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16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1.xml" ContentType="application/vnd.openxmlformats-officedocument.drawingml.chart+xml"/>
  <Override PartName="/xl/drawings/drawing17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18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ISO_CONINCO\01. VESION 2022 THUYET MINH + BANG TINH\2. Thuyết minh + Bản tính kết cấu\2. Phụ lục bản tính\1. Tải trọng đầu vào\"/>
    </mc:Choice>
  </mc:AlternateContent>
  <bookViews>
    <workbookView xWindow="0" yWindow="0" windowWidth="28800" windowHeight="12330" tabRatio="825" firstSheet="12" activeTab="12"/>
  </bookViews>
  <sheets>
    <sheet name="MPMR" sheetId="18" r:id="rId1"/>
    <sheet name="DMD" sheetId="19" r:id="rId2"/>
    <sheet name="BD" sheetId="17" r:id="rId3"/>
    <sheet name="SD" sheetId="16" r:id="rId4"/>
    <sheet name="Modal Participating Mass 9.7.4" sheetId="31" r:id="rId5"/>
    <sheet name="Diaphragm Mass Data 9.7.4" sheetId="30" r:id="rId6"/>
    <sheet name="Building Modes_9.7.4" sheetId="29" r:id="rId7"/>
    <sheet name="Story Data 9.7.4" sheetId="28" r:id="rId8"/>
    <sheet name="Modal Participating Mass 2016" sheetId="24" r:id="rId9"/>
    <sheet name="Mass Summary Diaphragm 2016" sheetId="25" r:id="rId10"/>
    <sheet name="DC Mass Displacements 2016" sheetId="23" r:id="rId11"/>
    <sheet name="Story Data 2016" sheetId="22" r:id="rId12"/>
    <sheet name="Menu" sheetId="20" r:id="rId13"/>
    <sheet name="1.Dead Load" sheetId="8" r:id="rId14"/>
    <sheet name="2.Win Load" sheetId="11" r:id="rId15"/>
    <sheet name="3.Earthquake" sheetId="13" r:id="rId16"/>
    <sheet name="4.Combination" sheetId="21" r:id="rId17"/>
    <sheet name="5.HS GIAM TAI" sheetId="33" state="hidden" r:id="rId18"/>
    <sheet name="Sheet1" sheetId="32" r:id="rId19"/>
    <sheet name="Base" sheetId="4" r:id="rId20"/>
    <sheet name="Wind base" sheetId="12" r:id="rId21"/>
    <sheet name="EarthQuake Base" sheetId="14" r:id="rId22"/>
  </sheets>
  <functionGroups builtInGroupCount="18"/>
  <externalReferences>
    <externalReference r:id="rId23"/>
    <externalReference r:id="rId24"/>
    <externalReference r:id="rId25"/>
  </externalReferences>
  <definedNames>
    <definedName name="_Fill" hidden="1">#REF!</definedName>
    <definedName name="_xlnm._FilterDatabase" localSheetId="13" hidden="1">'1.Dead Load'!$A$1:$A$640</definedName>
    <definedName name="_xlnm._FilterDatabase" localSheetId="14" hidden="1">'2.Win Load'!$A$1:$A$547</definedName>
    <definedName name="_xlnm._FilterDatabase" localSheetId="2" hidden="1">BD!$C$1:$K$1735</definedName>
    <definedName name="_xlnm._FilterDatabase" localSheetId="10" hidden="1">'DC Mass Displacements 2016'!$A$3:$J$1173</definedName>
    <definedName name="_Order1" hidden="1">255</definedName>
    <definedName name="_Order2" hidden="1">255</definedName>
    <definedName name="_Sort" localSheetId="17" hidden="1">#REF!</definedName>
    <definedName name="_Sort" hidden="1">#REF!</definedName>
    <definedName name="All_City">[1]EQBASE!$Q$4:$Q$664</definedName>
    <definedName name="Blding1">'1.Dead Load'!$E$256</definedName>
    <definedName name="Bldingtype">Base!$AP$3:$AP$93</definedName>
    <definedName name="BldingType1">OFFSET(INDIRECT(ADDRESS(MATCH(Room1,RType,0)+2,42,1,TRUE,"Base")),0,0,COUNTIF(RType,Room1),1)</definedName>
    <definedName name="BldingType10">OFFSET(INDIRECT(ADDRESS(MATCH(Room10,RType,0)+2,42,1,TRUE,"Base")),0,0,COUNTIF(RType,Room10),1)</definedName>
    <definedName name="BldingType11">OFFSET(INDIRECT(ADDRESS(MATCH(Room11,RType,0)+2,42,1,TRUE,"Base")),0,0,COUNTIF(RType,Room11),1)</definedName>
    <definedName name="BldingType12">OFFSET(INDIRECT(ADDRESS(MATCH(Room12,RType,0)+2,42,1,TRUE,"Base")),0,0,COUNTIF(RType,Room12),1)</definedName>
    <definedName name="BldingType13">OFFSET(INDIRECT(ADDRESS(MATCH(Room13,RType,0)+2,42,1,TRUE,"Base")),0,0,COUNTIF(RType,Room13),1)</definedName>
    <definedName name="BldingType14">OFFSET(INDIRECT(ADDRESS(MATCH(Room14,RType,0)+2,42,1,TRUE,"Base")),0,0,COUNTIF(RType,Room14),1)</definedName>
    <definedName name="BldingType15">OFFSET(INDIRECT(ADDRESS(MATCH(Room15,RType,0)+2,42,1,TRUE,"Base")),0,0,COUNTIF(RType,Room15),1)</definedName>
    <definedName name="BldingType16">OFFSET(INDIRECT(ADDRESS(MATCH(Room16,RType,0)+2,42,1,TRUE,"Base")),0,0,COUNTIF(RType,Room16),1)</definedName>
    <definedName name="BldingType17">OFFSET(INDIRECT(ADDRESS(MATCH(Room17,RType,0)+2,42,1,TRUE,"Base")),0,0,COUNTIF(RType,Room17),1)</definedName>
    <definedName name="BldingType18">OFFSET(INDIRECT(ADDRESS(MATCH(Room18,RType,0)+2,42,1,TRUE,"Base")),0,0,COUNTIF(RType,Room18),1)</definedName>
    <definedName name="BldingType19">OFFSET(INDIRECT(ADDRESS(MATCH(Room19,RType,0)+2,42,1,TRUE,"Base")),0,0,COUNTIF(RType,Room19),1)</definedName>
    <definedName name="BldingType2">OFFSET(INDIRECT(ADDRESS(MATCH(Room2,RType,0)+2,42,1,TRUE,"Base")),0,0,COUNTIF(RType,Room2),1)</definedName>
    <definedName name="BldingType20">OFFSET(INDIRECT(ADDRESS(MATCH(Room20,RType,0)+2,42,1,TRUE,"Base")),0,0,COUNTIF(RType,Room20),1)</definedName>
    <definedName name="BldingType3">OFFSET(INDIRECT(ADDRESS(MATCH(Room3,RType,0)+2,42,1,TRUE,"Base")),0,0,COUNTIF(RType,Room3),1)</definedName>
    <definedName name="BldingType4">OFFSET(INDIRECT(ADDRESS(MATCH(Room4,RType,0)+2,42,1,TRUE,"Base")),0,0,COUNTIF(RType,Room4),1)</definedName>
    <definedName name="BldingType5">OFFSET(INDIRECT(ADDRESS(MATCH(Room5,RType,0)+2,42,1,TRUE,"Base")),0,0,COUNTIF(RType,Room5),1)</definedName>
    <definedName name="BldingType6">OFFSET(INDIRECT(ADDRESS(MATCH(Room6,RType,0)+2,42,1,TRUE,"Base")),0,0,COUNTIF(RType,Room6),1)</definedName>
    <definedName name="BldingType7">OFFSET(INDIRECT(ADDRESS(MATCH(Room7,RType,0)+2,42,1,TRUE,"Base")),0,0,COUNTIF(RType,Room7),1)</definedName>
    <definedName name="BldingType8">OFFSET(INDIRECT(ADDRESS(MATCH(Room8,RType,0)+2,42,1,TRUE,"Base")),0,0,COUNTIF(RType,Room8),1)</definedName>
    <definedName name="BldingType9">OFFSET(INDIRECT(ADDRESS(MATCH(Room9,RType,0)+2,42,1,TRUE,"Base")),0,0,COUNTIF(RType,Room9),1)</definedName>
    <definedName name="Capcongtrinh">'Wind base'!$W$5:$W$13</definedName>
    <definedName name="cautao1">Menu!$D$8:$AC$34</definedName>
    <definedName name="cautao2">Menu!$D$8:$D$34</definedName>
    <definedName name="cautaotuong">Menu!$D$37:$AC$51</definedName>
    <definedName name="Chieuday">Base!$AK$3:$AK$31</definedName>
    <definedName name="City_All">'Wind base'!$AO$3:$AO$676</definedName>
    <definedName name="City1">'[1]EQ 9386-2012'!$B$50</definedName>
    <definedName name="City2">'3.Earthquake'!$F$44</definedName>
    <definedName name="City3">Menu!$B$14</definedName>
    <definedName name="CityValList">'Wind base'!$AW$3:$AW$65</definedName>
    <definedName name="CMODE">'[1]Modal Par. Mass Ratios'!$A$2:$A$20</definedName>
    <definedName name="DANG_DAO_DONG">Menu!$X$7:$X$10</definedName>
    <definedName name="dangdiahinh">'Wind base'!$V$5:$V$7</definedName>
    <definedName name="Etabs">Menu!$C$5</definedName>
    <definedName name="GioTinh">'[1]GIO TINH'!$A$30:$K$45</definedName>
    <definedName name="H">[1]Begin!$D$19</definedName>
    <definedName name="Hesotohop">'EarthQuake Base'!$J$47:$K$54</definedName>
    <definedName name="Hoạt_tải___Live_loads">'1.Dead Load'!$C$251</definedName>
    <definedName name="Hso_deu_dan_mat_dung">{"0.8","1"}</definedName>
    <definedName name="HSTQT">'EarthQuake Base'!$I$22:$I$24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Lang.">[1]Begin!$C$26</definedName>
    <definedName name="LDN">'EarthQuake Base'!$A$22:$A$26</definedName>
    <definedName name="Loaicaotuong">Menu!$D$54:$D$68</definedName>
    <definedName name="Loainha">'EarthQuake Base'!$J$47:$J$54</definedName>
    <definedName name="loaituong">Menu!$AB$37:$AC$51</definedName>
    <definedName name="loaituong1">Menu!$AB$37:$AB$51</definedName>
    <definedName name="loaituong2">Menu!$AC$37:$AC$51</definedName>
    <definedName name="Location1" localSheetId="17">OFFSET(INDIRECT(ADDRESS(MATCH(City1,All_City,0)+3,18,1,TRUE,"EQBASE")),0,0,COUNTIF(All_City,City1),1)</definedName>
    <definedName name="Location1" localSheetId="6">OFFSET(INDIRECT(ADDRESS(MATCH(City1,[0]!City_All,0)+2,42,1,TRUE,"Wind base")),0,0,COUNTIF([0]!City_All,City1),1)</definedName>
    <definedName name="Location1" localSheetId="5">OFFSET(INDIRECT(ADDRESS(MATCH(City1,[0]!City_All,0)+2,42,1,TRUE,"Wind base")),0,0,COUNTIF([0]!City_All,City1),1)</definedName>
    <definedName name="Location1" localSheetId="4">OFFSET(INDIRECT(ADDRESS(MATCH(City1,[0]!City_All,0)+2,42,1,TRUE,"Wind base")),0,0,COUNTIF([0]!City_All,City1),1)</definedName>
    <definedName name="Location1" localSheetId="7">OFFSET(INDIRECT(ADDRESS(MATCH(City1,[0]!City_All,0)+2,42,1,TRUE,"Wind base")),0,0,COUNTIF([0]!City_All,City1),1)</definedName>
    <definedName name="Location1">OFFSET(INDIRECT(ADDRESS(MATCH(City1,City_All,0)+2,42,1,TRUE,"Wind base")),0,0,COUNTIF(City_All,City1),1)</definedName>
    <definedName name="Location2">OFFSET(INDIRECT(ADDRESS(MATCH(City2,City_All,0)+2,42,1,TRUE,"Wind base")),0,0,COUNTIF(City_All,City2),1)</definedName>
    <definedName name="Location3">OFFSET(INDIRECT(ADDRESS(MATCH(City3,City_All,0)+2,42,1,TRUE,"Wind base")),0,0,COUNTIF(City_All,City3),1)</definedName>
    <definedName name="Lx">[1]Begin!$D$17</definedName>
    <definedName name="Ly">[1]Begin!$D$18</definedName>
    <definedName name="Mass_data">DMD!$A$1:$G$150</definedName>
    <definedName name="Mass_data_1">'Diaphragm Mass Data 9.7.4'!$A:$G</definedName>
    <definedName name="Mass_data_2">'Mass Summary Diaphragm 2016'!$A:$G</definedName>
    <definedName name="Menu">Menu!$A$7</definedName>
    <definedName name="Modal">#REF!</definedName>
    <definedName name="Mode">BD!$C1047078:$K1</definedName>
    <definedName name="Mode_1">'Building Modes_9.7.4'!$C:$K</definedName>
    <definedName name="Mode_2">'DC Mass Displacements 2016'!$A:$J</definedName>
    <definedName name="MODEDAODONG">Menu!$O$12:$O$52</definedName>
    <definedName name="Modedd">'[1]Modal Par. Mass Ratios'!$A$2:$N$20</definedName>
    <definedName name="Mstory">'[1]Center Mass Regidity'!$A:$M</definedName>
    <definedName name="nMode">'[1]Modal Par. Mass Ratios'!$O$1</definedName>
    <definedName name="Nuy">'[1]He so gio dong'!$A$8:$H$15</definedName>
    <definedName name="PDONGDAT">[1]EQBASE!$R$4:$W$664</definedName>
    <definedName name="Period">MPMR!$A$1:$N$50</definedName>
    <definedName name="Period_1">'Modal Participating Mass 9.7.4'!$A:$N</definedName>
    <definedName name="Period_2">'Modal Participating Mass 2016'!$A:$O</definedName>
    <definedName name="_xlnm.Print_Area" localSheetId="13">'1.Dead Load'!$B$1:$J$295</definedName>
    <definedName name="_xlnm.Print_Area" localSheetId="14">'2.Win Load'!$E$1:$R$547</definedName>
    <definedName name="_xlnm.Print_Area" localSheetId="15">'3.Earthquake'!$A$1:$O$71</definedName>
    <definedName name="_xlnm.Print_Area" localSheetId="16">'4.Combination'!$B$1:$J$115</definedName>
    <definedName name="_xlnm.Print_Area" localSheetId="17">'5.HS GIAM TAI'!$A$1:$I$48</definedName>
    <definedName name="_xlnm.Print_Area" localSheetId="19">Base!$B$1:$AW$98</definedName>
    <definedName name="_xlnm.Print_Area" localSheetId="2">BD!$C:$K</definedName>
    <definedName name="_xlnm.Print_Area" localSheetId="6">'Building Modes_9.7.4'!$C:$K</definedName>
    <definedName name="_xlnm.Print_Area" localSheetId="10">'DC Mass Displacements 2016'!$A:$J</definedName>
    <definedName name="_xlnm.Print_Area" localSheetId="5">'Diaphragm Mass Data 9.7.4'!$A:$G</definedName>
    <definedName name="_xlnm.Print_Area" localSheetId="1">DMD!$A$1:$G$150</definedName>
    <definedName name="_xlnm.Print_Area" localSheetId="21">'EarthQuake Base'!$I$29</definedName>
    <definedName name="_xlnm.Print_Area" localSheetId="9">'Mass Summary Diaphragm 2016'!$A:$G</definedName>
    <definedName name="_xlnm.Print_Area" localSheetId="8">'Modal Participating Mass 2016'!$A$1:$O$23</definedName>
    <definedName name="_xlnm.Print_Area" localSheetId="4">'Modal Participating Mass 9.7.4'!$A:$N</definedName>
    <definedName name="_xlnm.Print_Area" localSheetId="0">MPMR!$A:$N</definedName>
    <definedName name="_xlnm.Print_Area" localSheetId="3">SD!$A:$D</definedName>
    <definedName name="_xlnm.Print_Area" localSheetId="11">'Story Data 2016'!$A:$F</definedName>
    <definedName name="_xlnm.Print_Area" localSheetId="7">'Story Data 9.7.4'!$A:$D</definedName>
    <definedName name="_xlnm.Print_Titles" localSheetId="13">'1.Dead Load'!$1:$4</definedName>
    <definedName name="_xlnm.Print_Titles" localSheetId="14">'2.Win Load'!$1:$4</definedName>
    <definedName name="_xlnm.Print_Titles" localSheetId="15">'3.Earthquake'!$1:$4</definedName>
    <definedName name="Room1">'1.Dead Load'!$C$256</definedName>
    <definedName name="Room10">'1.Dead Load'!$C$274</definedName>
    <definedName name="Room11">'1.Dead Load'!$C$276</definedName>
    <definedName name="Room12">'1.Dead Load'!$C$278</definedName>
    <definedName name="Room13">'1.Dead Load'!$C$280</definedName>
    <definedName name="Room14">'1.Dead Load'!$C$282</definedName>
    <definedName name="Room15">'1.Dead Load'!$C$284</definedName>
    <definedName name="Room16">'1.Dead Load'!$C$286</definedName>
    <definedName name="Room17">'1.Dead Load'!$C$288</definedName>
    <definedName name="Room18">'1.Dead Load'!$C$290</definedName>
    <definedName name="Room19">'1.Dead Load'!$C$292</definedName>
    <definedName name="Room2">'1.Dead Load'!$C$258</definedName>
    <definedName name="Room20">'1.Dead Load'!$C$294</definedName>
    <definedName name="Room3">'1.Dead Load'!$C$260</definedName>
    <definedName name="Room4">'1.Dead Load'!$C$262</definedName>
    <definedName name="Room5">'1.Dead Load'!$C$264</definedName>
    <definedName name="Room6">'1.Dead Load'!$C$266</definedName>
    <definedName name="Room7">'1.Dead Load'!$C$268</definedName>
    <definedName name="Room8">'1.Dead Load'!$C$270</definedName>
    <definedName name="Room9">'1.Dead Load'!$C$272</definedName>
    <definedName name="RTValLIST">Base!$AT$3:$AT$300</definedName>
    <definedName name="RType">Base!$AO$3:$AO$93</definedName>
    <definedName name="ST_1">'3.Earthquake'!$G$38</definedName>
    <definedName name="ST_All">'EarthQuake Base'!$A$41:$A$48</definedName>
    <definedName name="ST_Class">OFFSET(INDIRECT(ADDRESS(MATCH(ST_1,ST_All,0)+40,2,1,TRUE,"EarthQuake Base")),0,0,COUNTIF(ST_All,ST_1),1)</definedName>
    <definedName name="Story_data">SD!$A$1:$D$150</definedName>
    <definedName name="Story_data_1">'Story Data 9.7.4'!$A:$D</definedName>
    <definedName name="Story_Data_2">'Story Data 2016'!$A:$F</definedName>
    <definedName name="STValList">'EarthQuake Base'!$J$40:$J$41</definedName>
    <definedName name="TCVN">Base!$AJ$3:$AJ$18</definedName>
    <definedName name="vatlieu1">Base!$AE$3:$AI$71</definedName>
    <definedName name="vatlieu2">Base!$AE$3:$AE$71</definedName>
    <definedName name="vatlieu3">Base!$AF$3:$AF$71</definedName>
    <definedName name="vatlieu4">Base!$AI$3:$AI$71</definedName>
    <definedName name="vatlieu5">Base!$AH$3:$AH$71</definedName>
    <definedName name="vatlieutuong">Base!$AE$73:$AI$98</definedName>
    <definedName name="vatlieutuong1">Base!$AE$73:$AE$98</definedName>
    <definedName name="Wo">[1]Begin!$C$25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49" i="13" l="1"/>
  <c r="B41" i="21" l="1"/>
  <c r="B35" i="21"/>
  <c r="B34" i="21"/>
  <c r="B33" i="21"/>
  <c r="B32" i="21"/>
  <c r="B31" i="21"/>
  <c r="B30" i="21"/>
  <c r="B24" i="21"/>
  <c r="B23" i="21"/>
  <c r="B22" i="21"/>
  <c r="B21" i="21"/>
  <c r="B15" i="21"/>
  <c r="B14" i="21"/>
  <c r="B13" i="21"/>
  <c r="B12" i="21"/>
  <c r="B11" i="21"/>
  <c r="B10" i="21"/>
  <c r="B8" i="21"/>
  <c r="B7" i="21"/>
  <c r="B6" i="21"/>
  <c r="B9" i="21"/>
  <c r="B3" i="21"/>
  <c r="B2" i="21"/>
  <c r="B1" i="21"/>
  <c r="G40" i="33"/>
  <c r="F40" i="33"/>
  <c r="G39" i="33"/>
  <c r="F39" i="33"/>
  <c r="H39" i="33" s="1"/>
  <c r="G38" i="33"/>
  <c r="F38" i="33"/>
  <c r="H38" i="33" s="1"/>
  <c r="G37" i="33"/>
  <c r="F37" i="33"/>
  <c r="G36" i="33"/>
  <c r="F36" i="33"/>
  <c r="H36" i="33" s="1"/>
  <c r="G35" i="33"/>
  <c r="F35" i="33"/>
  <c r="G34" i="33"/>
  <c r="F34" i="33"/>
  <c r="H34" i="33" s="1"/>
  <c r="G33" i="33"/>
  <c r="H33" i="33" s="1"/>
  <c r="F33" i="33"/>
  <c r="G32" i="33"/>
  <c r="F32" i="33"/>
  <c r="G31" i="33"/>
  <c r="F31" i="33"/>
  <c r="H31" i="33" s="1"/>
  <c r="G30" i="33"/>
  <c r="H30" i="33" s="1"/>
  <c r="F30" i="33"/>
  <c r="G29" i="33"/>
  <c r="F29" i="33"/>
  <c r="G28" i="33"/>
  <c r="F28" i="33"/>
  <c r="H28" i="33" s="1"/>
  <c r="G27" i="33"/>
  <c r="F27" i="33"/>
  <c r="H27" i="33" s="1"/>
  <c r="G26" i="33"/>
  <c r="F26" i="33"/>
  <c r="H26" i="33" s="1"/>
  <c r="G25" i="33"/>
  <c r="F25" i="33"/>
  <c r="G24" i="33"/>
  <c r="F24" i="33"/>
  <c r="G23" i="33"/>
  <c r="F23" i="33"/>
  <c r="H23" i="33" s="1"/>
  <c r="B49" i="21"/>
  <c r="B40" i="21"/>
  <c r="H35" i="33" l="1"/>
  <c r="H25" i="33"/>
  <c r="H29" i="33"/>
  <c r="H32" i="33"/>
  <c r="H37" i="33"/>
  <c r="H24" i="33"/>
  <c r="H40" i="33"/>
  <c r="A43" i="16"/>
  <c r="B43" i="16"/>
  <c r="C43" i="16"/>
  <c r="D43" i="16"/>
  <c r="R41" i="20"/>
  <c r="Q48" i="20"/>
  <c r="R48" i="20"/>
  <c r="T48" i="20"/>
  <c r="Q49" i="20"/>
  <c r="T49" i="20" s="1"/>
  <c r="R49" i="20"/>
  <c r="Q51" i="20"/>
  <c r="T51" i="20" s="1"/>
  <c r="P42" i="20"/>
  <c r="P47" i="20"/>
  <c r="P48" i="20"/>
  <c r="P49" i="20"/>
  <c r="P50" i="20"/>
  <c r="P51" i="20"/>
  <c r="O41" i="20"/>
  <c r="P41" i="20" s="1"/>
  <c r="O42" i="20"/>
  <c r="R42" i="20" s="1"/>
  <c r="O43" i="20"/>
  <c r="P43" i="20" s="1"/>
  <c r="O44" i="20"/>
  <c r="P44" i="20" s="1"/>
  <c r="O45" i="20"/>
  <c r="O46" i="20"/>
  <c r="R46" i="20" s="1"/>
  <c r="O47" i="20"/>
  <c r="O48" i="20"/>
  <c r="O49" i="20"/>
  <c r="O50" i="20"/>
  <c r="Q50" i="20" s="1"/>
  <c r="T50" i="20" s="1"/>
  <c r="O51" i="20"/>
  <c r="R51" i="20" s="1"/>
  <c r="O52" i="20"/>
  <c r="Q52" i="20" s="1"/>
  <c r="T52" i="20" s="1"/>
  <c r="Q45" i="20" l="1"/>
  <c r="T45" i="20" s="1"/>
  <c r="R45" i="20"/>
  <c r="P45" i="20"/>
  <c r="P52" i="20"/>
  <c r="R44" i="20"/>
  <c r="Q44" i="20"/>
  <c r="T44" i="20" s="1"/>
  <c r="Q47" i="20"/>
  <c r="T47" i="20" s="1"/>
  <c r="R47" i="20"/>
  <c r="R43" i="20"/>
  <c r="P46" i="20"/>
  <c r="Q46" i="20"/>
  <c r="T46" i="20" s="1"/>
  <c r="R52" i="20"/>
  <c r="Q43" i="20"/>
  <c r="T43" i="20" s="1"/>
  <c r="Q42" i="20"/>
  <c r="T42" i="20" s="1"/>
  <c r="Q41" i="20"/>
  <c r="T41" i="20" s="1"/>
  <c r="R50" i="20"/>
  <c r="F206" i="11"/>
  <c r="O206" i="11" l="1"/>
  <c r="N206" i="11"/>
  <c r="M206" i="11"/>
  <c r="J206" i="11"/>
  <c r="I206" i="11"/>
  <c r="H206" i="11"/>
  <c r="L28" i="8" l="1"/>
  <c r="D16" i="32" l="1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G21" i="32" l="1"/>
  <c r="B16" i="32"/>
  <c r="G16" i="32" s="1"/>
  <c r="G15" i="32"/>
  <c r="B14" i="32"/>
  <c r="G13" i="32"/>
  <c r="C5" i="32"/>
  <c r="C12" i="32"/>
  <c r="G12" i="32" s="1"/>
  <c r="C10" i="32"/>
  <c r="G10" i="32" s="1"/>
  <c r="C3" i="32"/>
  <c r="G3" i="32" s="1"/>
  <c r="G5" i="32"/>
  <c r="G4" i="32"/>
  <c r="G6" i="32"/>
  <c r="G7" i="32"/>
  <c r="G8" i="32"/>
  <c r="G9" i="32"/>
  <c r="G11" i="32"/>
  <c r="G14" i="32" l="1"/>
  <c r="G20" i="32" s="1"/>
  <c r="G22" i="32" s="1"/>
  <c r="G23" i="32" s="1"/>
  <c r="C62" i="8"/>
  <c r="A62" i="8" s="1"/>
  <c r="F59" i="8"/>
  <c r="A59" i="8"/>
  <c r="C71" i="8"/>
  <c r="A71" i="8" s="1"/>
  <c r="F69" i="8"/>
  <c r="A69" i="8"/>
  <c r="F67" i="8"/>
  <c r="A67" i="8"/>
  <c r="F65" i="8"/>
  <c r="A65" i="8"/>
  <c r="C63" i="8"/>
  <c r="A63" i="8" s="1"/>
  <c r="C52" i="8"/>
  <c r="A52" i="8" s="1"/>
  <c r="C61" i="8"/>
  <c r="A61" i="8" s="1"/>
  <c r="F57" i="8"/>
  <c r="A57" i="8"/>
  <c r="F55" i="8"/>
  <c r="A55" i="8"/>
  <c r="C53" i="8"/>
  <c r="A53" i="8" s="1"/>
  <c r="A3" i="18" l="1"/>
  <c r="O13" i="20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A4" i="18"/>
  <c r="O14" i="20" s="1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A5" i="18"/>
  <c r="O15" i="20" s="1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A6" i="18"/>
  <c r="O16" i="20" s="1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A7" i="18"/>
  <c r="O17" i="20" s="1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A8" i="18"/>
  <c r="O18" i="20" s="1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A9" i="18"/>
  <c r="O19" i="20" s="1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A10" i="18"/>
  <c r="O20" i="20" s="1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A11" i="18"/>
  <c r="O21" i="20" s="1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A12" i="18"/>
  <c r="O22" i="20" s="1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A13" i="18"/>
  <c r="O23" i="20" s="1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A14" i="18"/>
  <c r="O24" i="20" s="1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A15" i="18"/>
  <c r="O25" i="20" s="1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A16" i="18"/>
  <c r="O26" i="20" s="1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A17" i="18"/>
  <c r="O27" i="20" s="1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A18" i="18"/>
  <c r="O28" i="20" s="1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A19" i="18"/>
  <c r="O29" i="20" s="1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A20" i="18"/>
  <c r="O30" i="20" s="1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A21" i="18"/>
  <c r="O31" i="20" s="1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A22" i="18"/>
  <c r="O32" i="20" s="1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A23" i="18"/>
  <c r="O33" i="20" s="1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A24" i="18"/>
  <c r="O34" i="20" s="1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A25" i="18"/>
  <c r="O35" i="20" s="1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A26" i="18"/>
  <c r="O36" i="20" s="1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A27" i="18"/>
  <c r="O37" i="20" s="1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A28" i="18"/>
  <c r="O38" i="20" s="1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A29" i="18"/>
  <c r="O39" i="20" s="1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A30" i="18"/>
  <c r="O40" i="20" s="1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D2" i="18"/>
  <c r="E2" i="18"/>
  <c r="F2" i="18"/>
  <c r="G2" i="18"/>
  <c r="H2" i="18"/>
  <c r="I2" i="18"/>
  <c r="J2" i="18"/>
  <c r="K2" i="18"/>
  <c r="L2" i="18"/>
  <c r="M2" i="18"/>
  <c r="N2" i="18"/>
  <c r="C2" i="18"/>
  <c r="B2" i="18"/>
  <c r="A2" i="18"/>
  <c r="O12" i="20" s="1"/>
  <c r="A44" i="19"/>
  <c r="B44" i="19"/>
  <c r="C44" i="19"/>
  <c r="D44" i="19"/>
  <c r="E44" i="19"/>
  <c r="F44" i="19"/>
  <c r="G44" i="19"/>
  <c r="A45" i="19"/>
  <c r="B45" i="19"/>
  <c r="C45" i="19"/>
  <c r="D45" i="19"/>
  <c r="E45" i="19"/>
  <c r="F45" i="19"/>
  <c r="G45" i="19"/>
  <c r="A46" i="19"/>
  <c r="B46" i="19"/>
  <c r="C46" i="19"/>
  <c r="D46" i="19"/>
  <c r="E46" i="19"/>
  <c r="F46" i="19"/>
  <c r="G46" i="19"/>
  <c r="A47" i="19"/>
  <c r="B47" i="19"/>
  <c r="C47" i="19"/>
  <c r="D47" i="19"/>
  <c r="E47" i="19"/>
  <c r="F47" i="19"/>
  <c r="G47" i="19"/>
  <c r="A48" i="19"/>
  <c r="B48" i="19"/>
  <c r="C48" i="19"/>
  <c r="D48" i="19"/>
  <c r="E48" i="19"/>
  <c r="F48" i="19"/>
  <c r="G48" i="19"/>
  <c r="A49" i="19"/>
  <c r="B49" i="19"/>
  <c r="C49" i="19"/>
  <c r="D49" i="19"/>
  <c r="E49" i="19"/>
  <c r="F49" i="19"/>
  <c r="G49" i="19"/>
  <c r="A50" i="19"/>
  <c r="B50" i="19"/>
  <c r="C50" i="19"/>
  <c r="D50" i="19"/>
  <c r="E50" i="19"/>
  <c r="F50" i="19"/>
  <c r="G50" i="19"/>
  <c r="A51" i="19"/>
  <c r="B51" i="19"/>
  <c r="C51" i="19"/>
  <c r="D51" i="19"/>
  <c r="E51" i="19"/>
  <c r="F51" i="19"/>
  <c r="G51" i="19"/>
  <c r="A52" i="19"/>
  <c r="B52" i="19"/>
  <c r="C52" i="19"/>
  <c r="D52" i="19"/>
  <c r="E52" i="19"/>
  <c r="F52" i="19"/>
  <c r="G52" i="19"/>
  <c r="A53" i="19"/>
  <c r="B53" i="19"/>
  <c r="C53" i="19"/>
  <c r="D53" i="19"/>
  <c r="E53" i="19"/>
  <c r="F53" i="19"/>
  <c r="G53" i="19"/>
  <c r="A54" i="19"/>
  <c r="B54" i="19"/>
  <c r="C54" i="19"/>
  <c r="D54" i="19"/>
  <c r="E54" i="19"/>
  <c r="F54" i="19"/>
  <c r="G54" i="19"/>
  <c r="A55" i="19"/>
  <c r="B55" i="19"/>
  <c r="C55" i="19"/>
  <c r="D55" i="19"/>
  <c r="E55" i="19"/>
  <c r="F55" i="19"/>
  <c r="G55" i="19"/>
  <c r="A56" i="19"/>
  <c r="B56" i="19"/>
  <c r="C56" i="19"/>
  <c r="D56" i="19"/>
  <c r="E56" i="19"/>
  <c r="F56" i="19"/>
  <c r="G56" i="19"/>
  <c r="A57" i="19"/>
  <c r="B57" i="19"/>
  <c r="C57" i="19"/>
  <c r="D57" i="19"/>
  <c r="E57" i="19"/>
  <c r="F57" i="19"/>
  <c r="G57" i="19"/>
  <c r="A58" i="19"/>
  <c r="B58" i="19"/>
  <c r="C58" i="19"/>
  <c r="D58" i="19"/>
  <c r="E58" i="19"/>
  <c r="F58" i="19"/>
  <c r="G58" i="19"/>
  <c r="A59" i="19"/>
  <c r="B59" i="19"/>
  <c r="C59" i="19"/>
  <c r="D59" i="19"/>
  <c r="E59" i="19"/>
  <c r="F59" i="19"/>
  <c r="G59" i="19"/>
  <c r="A60" i="19"/>
  <c r="B60" i="19"/>
  <c r="C60" i="19"/>
  <c r="D60" i="19"/>
  <c r="E60" i="19"/>
  <c r="F60" i="19"/>
  <c r="G60" i="19"/>
  <c r="A61" i="19"/>
  <c r="B61" i="19"/>
  <c r="C61" i="19"/>
  <c r="D61" i="19"/>
  <c r="E61" i="19"/>
  <c r="F61" i="19"/>
  <c r="G61" i="19"/>
  <c r="A62" i="19"/>
  <c r="B62" i="19"/>
  <c r="C62" i="19"/>
  <c r="D62" i="19"/>
  <c r="E62" i="19"/>
  <c r="F62" i="19"/>
  <c r="G62" i="19"/>
  <c r="A63" i="19"/>
  <c r="B63" i="19"/>
  <c r="C63" i="19"/>
  <c r="D63" i="19"/>
  <c r="E63" i="19"/>
  <c r="F63" i="19"/>
  <c r="G63" i="19"/>
  <c r="A64" i="19"/>
  <c r="B64" i="19"/>
  <c r="C64" i="19"/>
  <c r="D64" i="19"/>
  <c r="E64" i="19"/>
  <c r="F64" i="19"/>
  <c r="G64" i="19"/>
  <c r="A65" i="19"/>
  <c r="B65" i="19"/>
  <c r="C65" i="19"/>
  <c r="D65" i="19"/>
  <c r="E65" i="19"/>
  <c r="F65" i="19"/>
  <c r="G65" i="19"/>
  <c r="A66" i="19"/>
  <c r="B66" i="19"/>
  <c r="C66" i="19"/>
  <c r="D66" i="19"/>
  <c r="E66" i="19"/>
  <c r="F66" i="19"/>
  <c r="G66" i="19"/>
  <c r="A67" i="19"/>
  <c r="B67" i="19"/>
  <c r="C67" i="19"/>
  <c r="D67" i="19"/>
  <c r="E67" i="19"/>
  <c r="F67" i="19"/>
  <c r="G67" i="19"/>
  <c r="A68" i="19"/>
  <c r="B68" i="19"/>
  <c r="C68" i="19"/>
  <c r="D68" i="19"/>
  <c r="E68" i="19"/>
  <c r="F68" i="19"/>
  <c r="G68" i="19"/>
  <c r="A69" i="19"/>
  <c r="B69" i="19"/>
  <c r="C69" i="19"/>
  <c r="D69" i="19"/>
  <c r="E69" i="19"/>
  <c r="F69" i="19"/>
  <c r="G69" i="19"/>
  <c r="A70" i="19"/>
  <c r="B70" i="19"/>
  <c r="C70" i="19"/>
  <c r="D70" i="19"/>
  <c r="E70" i="19"/>
  <c r="F70" i="19"/>
  <c r="G70" i="19"/>
  <c r="A71" i="19"/>
  <c r="B71" i="19"/>
  <c r="C71" i="19"/>
  <c r="D71" i="19"/>
  <c r="E71" i="19"/>
  <c r="F71" i="19"/>
  <c r="G71" i="19"/>
  <c r="A72" i="19"/>
  <c r="B72" i="19"/>
  <c r="C72" i="19"/>
  <c r="D72" i="19"/>
  <c r="E72" i="19"/>
  <c r="F72" i="19"/>
  <c r="G72" i="19"/>
  <c r="A73" i="19"/>
  <c r="B73" i="19"/>
  <c r="C73" i="19"/>
  <c r="D73" i="19"/>
  <c r="E73" i="19"/>
  <c r="F73" i="19"/>
  <c r="G73" i="19"/>
  <c r="A74" i="19"/>
  <c r="B74" i="19"/>
  <c r="C74" i="19"/>
  <c r="D74" i="19"/>
  <c r="E74" i="19"/>
  <c r="F74" i="19"/>
  <c r="G74" i="19"/>
  <c r="A75" i="19"/>
  <c r="B75" i="19"/>
  <c r="C75" i="19"/>
  <c r="D75" i="19"/>
  <c r="E75" i="19"/>
  <c r="F75" i="19"/>
  <c r="G75" i="19"/>
  <c r="A76" i="19"/>
  <c r="B76" i="19"/>
  <c r="C76" i="19"/>
  <c r="D76" i="19"/>
  <c r="E76" i="19"/>
  <c r="F76" i="19"/>
  <c r="G76" i="19"/>
  <c r="A77" i="19"/>
  <c r="B77" i="19"/>
  <c r="C77" i="19"/>
  <c r="D77" i="19"/>
  <c r="E77" i="19"/>
  <c r="F77" i="19"/>
  <c r="G77" i="19"/>
  <c r="A78" i="19"/>
  <c r="B78" i="19"/>
  <c r="C78" i="19"/>
  <c r="D78" i="19"/>
  <c r="E78" i="19"/>
  <c r="F78" i="19"/>
  <c r="G78" i="19"/>
  <c r="A79" i="19"/>
  <c r="B79" i="19"/>
  <c r="C79" i="19"/>
  <c r="D79" i="19"/>
  <c r="E79" i="19"/>
  <c r="F79" i="19"/>
  <c r="G79" i="19"/>
  <c r="A80" i="19"/>
  <c r="B80" i="19"/>
  <c r="C80" i="19"/>
  <c r="D80" i="19"/>
  <c r="E80" i="19"/>
  <c r="F80" i="19"/>
  <c r="G80" i="19"/>
  <c r="A81" i="19"/>
  <c r="B81" i="19"/>
  <c r="C81" i="19"/>
  <c r="D81" i="19"/>
  <c r="E81" i="19"/>
  <c r="F81" i="19"/>
  <c r="G81" i="19"/>
  <c r="A82" i="19"/>
  <c r="B82" i="19"/>
  <c r="C82" i="19"/>
  <c r="D82" i="19"/>
  <c r="E82" i="19"/>
  <c r="F82" i="19"/>
  <c r="G82" i="19"/>
  <c r="A83" i="19"/>
  <c r="B83" i="19"/>
  <c r="C83" i="19"/>
  <c r="D83" i="19"/>
  <c r="E83" i="19"/>
  <c r="F83" i="19"/>
  <c r="G83" i="19"/>
  <c r="A84" i="19"/>
  <c r="B84" i="19"/>
  <c r="C84" i="19"/>
  <c r="D84" i="19"/>
  <c r="E84" i="19"/>
  <c r="F84" i="19"/>
  <c r="G84" i="19"/>
  <c r="A85" i="19"/>
  <c r="B85" i="19"/>
  <c r="C85" i="19"/>
  <c r="D85" i="19"/>
  <c r="E85" i="19"/>
  <c r="F85" i="19"/>
  <c r="G85" i="19"/>
  <c r="A86" i="19"/>
  <c r="B86" i="19"/>
  <c r="C86" i="19"/>
  <c r="D86" i="19"/>
  <c r="E86" i="19"/>
  <c r="F86" i="19"/>
  <c r="G86" i="19"/>
  <c r="A87" i="19"/>
  <c r="B87" i="19"/>
  <c r="C87" i="19"/>
  <c r="D87" i="19"/>
  <c r="E87" i="19"/>
  <c r="F87" i="19"/>
  <c r="G87" i="19"/>
  <c r="A88" i="19"/>
  <c r="B88" i="19"/>
  <c r="C88" i="19"/>
  <c r="D88" i="19"/>
  <c r="E88" i="19"/>
  <c r="F88" i="19"/>
  <c r="G88" i="19"/>
  <c r="A89" i="19"/>
  <c r="B89" i="19"/>
  <c r="C89" i="19"/>
  <c r="D89" i="19"/>
  <c r="E89" i="19"/>
  <c r="F89" i="19"/>
  <c r="G89" i="19"/>
  <c r="A90" i="19"/>
  <c r="B90" i="19"/>
  <c r="C90" i="19"/>
  <c r="D90" i="19"/>
  <c r="E90" i="19"/>
  <c r="F90" i="19"/>
  <c r="G90" i="19"/>
  <c r="A91" i="19"/>
  <c r="B91" i="19"/>
  <c r="C91" i="19"/>
  <c r="D91" i="19"/>
  <c r="E91" i="19"/>
  <c r="F91" i="19"/>
  <c r="G91" i="19"/>
  <c r="A92" i="19"/>
  <c r="B92" i="19"/>
  <c r="C92" i="19"/>
  <c r="D92" i="19"/>
  <c r="E92" i="19"/>
  <c r="F92" i="19"/>
  <c r="G92" i="19"/>
  <c r="A93" i="19"/>
  <c r="B93" i="19"/>
  <c r="C93" i="19"/>
  <c r="D93" i="19"/>
  <c r="E93" i="19"/>
  <c r="F93" i="19"/>
  <c r="G93" i="19"/>
  <c r="A94" i="19"/>
  <c r="B94" i="19"/>
  <c r="C94" i="19"/>
  <c r="D94" i="19"/>
  <c r="E94" i="19"/>
  <c r="F94" i="19"/>
  <c r="G94" i="19"/>
  <c r="A95" i="19"/>
  <c r="B95" i="19"/>
  <c r="C95" i="19"/>
  <c r="D95" i="19"/>
  <c r="E95" i="19"/>
  <c r="F95" i="19"/>
  <c r="G95" i="19"/>
  <c r="A96" i="19"/>
  <c r="B96" i="19"/>
  <c r="C96" i="19"/>
  <c r="D96" i="19"/>
  <c r="E96" i="19"/>
  <c r="F96" i="19"/>
  <c r="G96" i="19"/>
  <c r="A97" i="19"/>
  <c r="B97" i="19"/>
  <c r="C97" i="19"/>
  <c r="D97" i="19"/>
  <c r="E97" i="19"/>
  <c r="F97" i="19"/>
  <c r="G97" i="19"/>
  <c r="A98" i="19"/>
  <c r="B98" i="19"/>
  <c r="C98" i="19"/>
  <c r="D98" i="19"/>
  <c r="E98" i="19"/>
  <c r="F98" i="19"/>
  <c r="G98" i="19"/>
  <c r="A99" i="19"/>
  <c r="B99" i="19"/>
  <c r="C99" i="19"/>
  <c r="D99" i="19"/>
  <c r="E99" i="19"/>
  <c r="F99" i="19"/>
  <c r="G99" i="19"/>
  <c r="A100" i="19"/>
  <c r="B100" i="19"/>
  <c r="C100" i="19"/>
  <c r="D100" i="19"/>
  <c r="E100" i="19"/>
  <c r="F100" i="19"/>
  <c r="G100" i="19"/>
  <c r="A101" i="19"/>
  <c r="B101" i="19"/>
  <c r="C101" i="19"/>
  <c r="D101" i="19"/>
  <c r="E101" i="19"/>
  <c r="F101" i="19"/>
  <c r="G101" i="19"/>
  <c r="A102" i="19"/>
  <c r="B102" i="19"/>
  <c r="C102" i="19"/>
  <c r="D102" i="19"/>
  <c r="E102" i="19"/>
  <c r="F102" i="19"/>
  <c r="G102" i="19"/>
  <c r="A103" i="19"/>
  <c r="B103" i="19"/>
  <c r="C103" i="19"/>
  <c r="D103" i="19"/>
  <c r="E103" i="19"/>
  <c r="F103" i="19"/>
  <c r="G103" i="19"/>
  <c r="A104" i="19"/>
  <c r="B104" i="19"/>
  <c r="C104" i="19"/>
  <c r="D104" i="19"/>
  <c r="E104" i="19"/>
  <c r="F104" i="19"/>
  <c r="G104" i="19"/>
  <c r="A105" i="19"/>
  <c r="B105" i="19"/>
  <c r="C105" i="19"/>
  <c r="D105" i="19"/>
  <c r="E105" i="19"/>
  <c r="F105" i="19"/>
  <c r="G105" i="19"/>
  <c r="A106" i="19"/>
  <c r="B106" i="19"/>
  <c r="C106" i="19"/>
  <c r="D106" i="19"/>
  <c r="E106" i="19"/>
  <c r="F106" i="19"/>
  <c r="G106" i="19"/>
  <c r="A107" i="19"/>
  <c r="B107" i="19"/>
  <c r="C107" i="19"/>
  <c r="D107" i="19"/>
  <c r="E107" i="19"/>
  <c r="F107" i="19"/>
  <c r="G107" i="19"/>
  <c r="A108" i="19"/>
  <c r="B108" i="19"/>
  <c r="C108" i="19"/>
  <c r="D108" i="19"/>
  <c r="E108" i="19"/>
  <c r="F108" i="19"/>
  <c r="G108" i="19"/>
  <c r="A109" i="19"/>
  <c r="B109" i="19"/>
  <c r="C109" i="19"/>
  <c r="D109" i="19"/>
  <c r="E109" i="19"/>
  <c r="F109" i="19"/>
  <c r="G109" i="19"/>
  <c r="A110" i="19"/>
  <c r="B110" i="19"/>
  <c r="C110" i="19"/>
  <c r="D110" i="19"/>
  <c r="E110" i="19"/>
  <c r="F110" i="19"/>
  <c r="G110" i="19"/>
  <c r="A111" i="19"/>
  <c r="B111" i="19"/>
  <c r="C111" i="19"/>
  <c r="D111" i="19"/>
  <c r="E111" i="19"/>
  <c r="F111" i="19"/>
  <c r="G111" i="19"/>
  <c r="A112" i="19"/>
  <c r="B112" i="19"/>
  <c r="C112" i="19"/>
  <c r="D112" i="19"/>
  <c r="E112" i="19"/>
  <c r="F112" i="19"/>
  <c r="G112" i="19"/>
  <c r="A113" i="19"/>
  <c r="B113" i="19"/>
  <c r="C113" i="19"/>
  <c r="D113" i="19"/>
  <c r="E113" i="19"/>
  <c r="F113" i="19"/>
  <c r="G113" i="19"/>
  <c r="A114" i="19"/>
  <c r="B114" i="19"/>
  <c r="C114" i="19"/>
  <c r="D114" i="19"/>
  <c r="E114" i="19"/>
  <c r="F114" i="19"/>
  <c r="G114" i="19"/>
  <c r="A115" i="19"/>
  <c r="B115" i="19"/>
  <c r="C115" i="19"/>
  <c r="D115" i="19"/>
  <c r="E115" i="19"/>
  <c r="F115" i="19"/>
  <c r="G115" i="19"/>
  <c r="A116" i="19"/>
  <c r="B116" i="19"/>
  <c r="C116" i="19"/>
  <c r="D116" i="19"/>
  <c r="E116" i="19"/>
  <c r="F116" i="19"/>
  <c r="G116" i="19"/>
  <c r="A117" i="19"/>
  <c r="B117" i="19"/>
  <c r="C117" i="19"/>
  <c r="D117" i="19"/>
  <c r="E117" i="19"/>
  <c r="F117" i="19"/>
  <c r="G117" i="19"/>
  <c r="A118" i="19"/>
  <c r="B118" i="19"/>
  <c r="C118" i="19"/>
  <c r="D118" i="19"/>
  <c r="E118" i="19"/>
  <c r="F118" i="19"/>
  <c r="G118" i="19"/>
  <c r="A119" i="19"/>
  <c r="B119" i="19"/>
  <c r="C119" i="19"/>
  <c r="D119" i="19"/>
  <c r="E119" i="19"/>
  <c r="F119" i="19"/>
  <c r="G119" i="19"/>
  <c r="A120" i="19"/>
  <c r="B120" i="19"/>
  <c r="C120" i="19"/>
  <c r="D120" i="19"/>
  <c r="E120" i="19"/>
  <c r="F120" i="19"/>
  <c r="G120" i="19"/>
  <c r="A121" i="19"/>
  <c r="B121" i="19"/>
  <c r="C121" i="19"/>
  <c r="D121" i="19"/>
  <c r="E121" i="19"/>
  <c r="F121" i="19"/>
  <c r="G121" i="19"/>
  <c r="A122" i="19"/>
  <c r="B122" i="19"/>
  <c r="C122" i="19"/>
  <c r="D122" i="19"/>
  <c r="E122" i="19"/>
  <c r="F122" i="19"/>
  <c r="G122" i="19"/>
  <c r="A123" i="19"/>
  <c r="B123" i="19"/>
  <c r="C123" i="19"/>
  <c r="D123" i="19"/>
  <c r="E123" i="19"/>
  <c r="F123" i="19"/>
  <c r="G123" i="19"/>
  <c r="A124" i="19"/>
  <c r="B124" i="19"/>
  <c r="C124" i="19"/>
  <c r="D124" i="19"/>
  <c r="E124" i="19"/>
  <c r="F124" i="19"/>
  <c r="G124" i="19"/>
  <c r="A125" i="19"/>
  <c r="B125" i="19"/>
  <c r="C125" i="19"/>
  <c r="D125" i="19"/>
  <c r="E125" i="19"/>
  <c r="F125" i="19"/>
  <c r="G125" i="19"/>
  <c r="A126" i="19"/>
  <c r="B126" i="19"/>
  <c r="C126" i="19"/>
  <c r="D126" i="19"/>
  <c r="E126" i="19"/>
  <c r="F126" i="19"/>
  <c r="G126" i="19"/>
  <c r="A127" i="19"/>
  <c r="B127" i="19"/>
  <c r="C127" i="19"/>
  <c r="D127" i="19"/>
  <c r="E127" i="19"/>
  <c r="F127" i="19"/>
  <c r="G127" i="19"/>
  <c r="A128" i="19"/>
  <c r="B128" i="19"/>
  <c r="C128" i="19"/>
  <c r="D128" i="19"/>
  <c r="E128" i="19"/>
  <c r="F128" i="19"/>
  <c r="G128" i="19"/>
  <c r="A129" i="19"/>
  <c r="B129" i="19"/>
  <c r="C129" i="19"/>
  <c r="D129" i="19"/>
  <c r="E129" i="19"/>
  <c r="F129" i="19"/>
  <c r="G129" i="19"/>
  <c r="A130" i="19"/>
  <c r="B130" i="19"/>
  <c r="C130" i="19"/>
  <c r="D130" i="19"/>
  <c r="E130" i="19"/>
  <c r="F130" i="19"/>
  <c r="G130" i="19"/>
  <c r="A131" i="19"/>
  <c r="B131" i="19"/>
  <c r="C131" i="19"/>
  <c r="D131" i="19"/>
  <c r="E131" i="19"/>
  <c r="F131" i="19"/>
  <c r="G131" i="19"/>
  <c r="A132" i="19"/>
  <c r="B132" i="19"/>
  <c r="C132" i="19"/>
  <c r="D132" i="19"/>
  <c r="E132" i="19"/>
  <c r="F132" i="19"/>
  <c r="G132" i="19"/>
  <c r="A133" i="19"/>
  <c r="B133" i="19"/>
  <c r="C133" i="19"/>
  <c r="D133" i="19"/>
  <c r="E133" i="19"/>
  <c r="F133" i="19"/>
  <c r="G133" i="19"/>
  <c r="A134" i="19"/>
  <c r="B134" i="19"/>
  <c r="C134" i="19"/>
  <c r="D134" i="19"/>
  <c r="E134" i="19"/>
  <c r="F134" i="19"/>
  <c r="G134" i="19"/>
  <c r="A135" i="19"/>
  <c r="B135" i="19"/>
  <c r="C135" i="19"/>
  <c r="D135" i="19"/>
  <c r="E135" i="19"/>
  <c r="F135" i="19"/>
  <c r="G135" i="19"/>
  <c r="A136" i="19"/>
  <c r="B136" i="19"/>
  <c r="C136" i="19"/>
  <c r="D136" i="19"/>
  <c r="E136" i="19"/>
  <c r="F136" i="19"/>
  <c r="G136" i="19"/>
  <c r="A137" i="19"/>
  <c r="B137" i="19"/>
  <c r="C137" i="19"/>
  <c r="D137" i="19"/>
  <c r="E137" i="19"/>
  <c r="F137" i="19"/>
  <c r="G137" i="19"/>
  <c r="A138" i="19"/>
  <c r="B138" i="19"/>
  <c r="C138" i="19"/>
  <c r="D138" i="19"/>
  <c r="E138" i="19"/>
  <c r="F138" i="19"/>
  <c r="G138" i="19"/>
  <c r="A139" i="19"/>
  <c r="B139" i="19"/>
  <c r="C139" i="19"/>
  <c r="D139" i="19"/>
  <c r="E139" i="19"/>
  <c r="F139" i="19"/>
  <c r="G139" i="19"/>
  <c r="A140" i="19"/>
  <c r="B140" i="19"/>
  <c r="C140" i="19"/>
  <c r="D140" i="19"/>
  <c r="E140" i="19"/>
  <c r="F140" i="19"/>
  <c r="G140" i="19"/>
  <c r="A141" i="19"/>
  <c r="B141" i="19"/>
  <c r="C141" i="19"/>
  <c r="D141" i="19"/>
  <c r="E141" i="19"/>
  <c r="F141" i="19"/>
  <c r="G141" i="19"/>
  <c r="A142" i="19"/>
  <c r="B142" i="19"/>
  <c r="C142" i="19"/>
  <c r="D142" i="19"/>
  <c r="E142" i="19"/>
  <c r="F142" i="19"/>
  <c r="G142" i="19"/>
  <c r="A143" i="19"/>
  <c r="B143" i="19"/>
  <c r="C143" i="19"/>
  <c r="D143" i="19"/>
  <c r="E143" i="19"/>
  <c r="F143" i="19"/>
  <c r="G143" i="19"/>
  <c r="A144" i="19"/>
  <c r="B144" i="19"/>
  <c r="C144" i="19"/>
  <c r="D144" i="19"/>
  <c r="E144" i="19"/>
  <c r="F144" i="19"/>
  <c r="G144" i="19"/>
  <c r="A145" i="19"/>
  <c r="B145" i="19"/>
  <c r="C145" i="19"/>
  <c r="D145" i="19"/>
  <c r="E145" i="19"/>
  <c r="F145" i="19"/>
  <c r="G145" i="19"/>
  <c r="A146" i="19"/>
  <c r="B146" i="19"/>
  <c r="C146" i="19"/>
  <c r="D146" i="19"/>
  <c r="E146" i="19"/>
  <c r="F146" i="19"/>
  <c r="G146" i="19"/>
  <c r="A147" i="19"/>
  <c r="B147" i="19"/>
  <c r="C147" i="19"/>
  <c r="D147" i="19"/>
  <c r="E147" i="19"/>
  <c r="F147" i="19"/>
  <c r="G147" i="19"/>
  <c r="A148" i="19"/>
  <c r="B148" i="19"/>
  <c r="C148" i="19"/>
  <c r="D148" i="19"/>
  <c r="E148" i="19"/>
  <c r="F148" i="19"/>
  <c r="G148" i="19"/>
  <c r="A149" i="19"/>
  <c r="B149" i="19"/>
  <c r="C149" i="19"/>
  <c r="D149" i="19"/>
  <c r="E149" i="19"/>
  <c r="F149" i="19"/>
  <c r="G149" i="19"/>
  <c r="A150" i="19"/>
  <c r="B150" i="19"/>
  <c r="C150" i="19"/>
  <c r="D150" i="19"/>
  <c r="E150" i="19"/>
  <c r="F150" i="19"/>
  <c r="G150" i="19"/>
  <c r="A3" i="19"/>
  <c r="B3" i="19"/>
  <c r="C3" i="19"/>
  <c r="D3" i="19"/>
  <c r="E3" i="19"/>
  <c r="F3" i="19"/>
  <c r="G3" i="19"/>
  <c r="A4" i="19"/>
  <c r="B4" i="19"/>
  <c r="C4" i="19"/>
  <c r="D4" i="19"/>
  <c r="E4" i="19"/>
  <c r="F4" i="19"/>
  <c r="G4" i="19"/>
  <c r="A5" i="19"/>
  <c r="B5" i="19"/>
  <c r="C5" i="19"/>
  <c r="D5" i="19"/>
  <c r="E5" i="19"/>
  <c r="F5" i="19"/>
  <c r="G5" i="19"/>
  <c r="A6" i="19"/>
  <c r="B6" i="19"/>
  <c r="C6" i="19"/>
  <c r="D6" i="19"/>
  <c r="E6" i="19"/>
  <c r="F6" i="19"/>
  <c r="G6" i="19"/>
  <c r="A7" i="19"/>
  <c r="B7" i="19"/>
  <c r="C7" i="19"/>
  <c r="D7" i="19"/>
  <c r="E7" i="19"/>
  <c r="F7" i="19"/>
  <c r="G7" i="19"/>
  <c r="A8" i="19"/>
  <c r="B8" i="19"/>
  <c r="C8" i="19"/>
  <c r="D8" i="19"/>
  <c r="E8" i="19"/>
  <c r="F8" i="19"/>
  <c r="G8" i="19"/>
  <c r="A9" i="19"/>
  <c r="B9" i="19"/>
  <c r="C9" i="19"/>
  <c r="D9" i="19"/>
  <c r="E9" i="19"/>
  <c r="F9" i="19"/>
  <c r="G9" i="19"/>
  <c r="A10" i="19"/>
  <c r="B10" i="19"/>
  <c r="C10" i="19"/>
  <c r="D10" i="19"/>
  <c r="E10" i="19"/>
  <c r="F10" i="19"/>
  <c r="G10" i="19"/>
  <c r="A11" i="19"/>
  <c r="B11" i="19"/>
  <c r="C11" i="19"/>
  <c r="D11" i="19"/>
  <c r="E11" i="19"/>
  <c r="F11" i="19"/>
  <c r="G11" i="19"/>
  <c r="A12" i="19"/>
  <c r="B12" i="19"/>
  <c r="C12" i="19"/>
  <c r="D12" i="19"/>
  <c r="E12" i="19"/>
  <c r="F12" i="19"/>
  <c r="G12" i="19"/>
  <c r="A13" i="19"/>
  <c r="B13" i="19"/>
  <c r="C13" i="19"/>
  <c r="D13" i="19"/>
  <c r="E13" i="19"/>
  <c r="F13" i="19"/>
  <c r="G13" i="19"/>
  <c r="A14" i="19"/>
  <c r="B14" i="19"/>
  <c r="C14" i="19"/>
  <c r="D14" i="19"/>
  <c r="E14" i="19"/>
  <c r="F14" i="19"/>
  <c r="G14" i="19"/>
  <c r="A15" i="19"/>
  <c r="B15" i="19"/>
  <c r="C15" i="19"/>
  <c r="D15" i="19"/>
  <c r="E15" i="19"/>
  <c r="F15" i="19"/>
  <c r="G15" i="19"/>
  <c r="A16" i="19"/>
  <c r="B16" i="19"/>
  <c r="C16" i="19"/>
  <c r="D16" i="19"/>
  <c r="E16" i="19"/>
  <c r="F16" i="19"/>
  <c r="G16" i="19"/>
  <c r="A17" i="19"/>
  <c r="B17" i="19"/>
  <c r="C17" i="19"/>
  <c r="D17" i="19"/>
  <c r="E17" i="19"/>
  <c r="F17" i="19"/>
  <c r="G17" i="19"/>
  <c r="A18" i="19"/>
  <c r="B18" i="19"/>
  <c r="C18" i="19"/>
  <c r="D18" i="19"/>
  <c r="E18" i="19"/>
  <c r="F18" i="19"/>
  <c r="G18" i="19"/>
  <c r="A19" i="19"/>
  <c r="B19" i="19"/>
  <c r="C19" i="19"/>
  <c r="D19" i="19"/>
  <c r="E19" i="19"/>
  <c r="F19" i="19"/>
  <c r="G19" i="19"/>
  <c r="A20" i="19"/>
  <c r="B20" i="19"/>
  <c r="C20" i="19"/>
  <c r="D20" i="19"/>
  <c r="E20" i="19"/>
  <c r="F20" i="19"/>
  <c r="G20" i="19"/>
  <c r="A21" i="19"/>
  <c r="B21" i="19"/>
  <c r="C21" i="19"/>
  <c r="D21" i="19"/>
  <c r="E21" i="19"/>
  <c r="F21" i="19"/>
  <c r="G21" i="19"/>
  <c r="A22" i="19"/>
  <c r="B22" i="19"/>
  <c r="C22" i="19"/>
  <c r="D22" i="19"/>
  <c r="E22" i="19"/>
  <c r="F22" i="19"/>
  <c r="G22" i="19"/>
  <c r="A23" i="19"/>
  <c r="B23" i="19"/>
  <c r="C23" i="19"/>
  <c r="D23" i="19"/>
  <c r="E23" i="19"/>
  <c r="F23" i="19"/>
  <c r="G23" i="19"/>
  <c r="A24" i="19"/>
  <c r="B24" i="19"/>
  <c r="C24" i="19"/>
  <c r="D24" i="19"/>
  <c r="E24" i="19"/>
  <c r="F24" i="19"/>
  <c r="G24" i="19"/>
  <c r="A25" i="19"/>
  <c r="B25" i="19"/>
  <c r="C25" i="19"/>
  <c r="D25" i="19"/>
  <c r="E25" i="19"/>
  <c r="F25" i="19"/>
  <c r="G25" i="19"/>
  <c r="A26" i="19"/>
  <c r="B26" i="19"/>
  <c r="C26" i="19"/>
  <c r="D26" i="19"/>
  <c r="E26" i="19"/>
  <c r="F26" i="19"/>
  <c r="G26" i="19"/>
  <c r="A27" i="19"/>
  <c r="B27" i="19"/>
  <c r="C27" i="19"/>
  <c r="D27" i="19"/>
  <c r="E27" i="19"/>
  <c r="F27" i="19"/>
  <c r="G27" i="19"/>
  <c r="A28" i="19"/>
  <c r="B28" i="19"/>
  <c r="C28" i="19"/>
  <c r="D28" i="19"/>
  <c r="E28" i="19"/>
  <c r="F28" i="19"/>
  <c r="G28" i="19"/>
  <c r="A29" i="19"/>
  <c r="B29" i="19"/>
  <c r="C29" i="19"/>
  <c r="D29" i="19"/>
  <c r="E29" i="19"/>
  <c r="F29" i="19"/>
  <c r="G29" i="19"/>
  <c r="A30" i="19"/>
  <c r="B30" i="19"/>
  <c r="C30" i="19"/>
  <c r="D30" i="19"/>
  <c r="E30" i="19"/>
  <c r="F30" i="19"/>
  <c r="G30" i="19"/>
  <c r="A31" i="19"/>
  <c r="B31" i="19"/>
  <c r="C31" i="19"/>
  <c r="D31" i="19"/>
  <c r="E31" i="19"/>
  <c r="F31" i="19"/>
  <c r="G31" i="19"/>
  <c r="A32" i="19"/>
  <c r="B32" i="19"/>
  <c r="C32" i="19"/>
  <c r="D32" i="19"/>
  <c r="E32" i="19"/>
  <c r="F32" i="19"/>
  <c r="G32" i="19"/>
  <c r="A33" i="19"/>
  <c r="B33" i="19"/>
  <c r="C33" i="19"/>
  <c r="D33" i="19"/>
  <c r="E33" i="19"/>
  <c r="F33" i="19"/>
  <c r="G33" i="19"/>
  <c r="A34" i="19"/>
  <c r="B34" i="19"/>
  <c r="C34" i="19"/>
  <c r="D34" i="19"/>
  <c r="E34" i="19"/>
  <c r="F34" i="19"/>
  <c r="G34" i="19"/>
  <c r="A35" i="19"/>
  <c r="B35" i="19"/>
  <c r="C35" i="19"/>
  <c r="D35" i="19"/>
  <c r="E35" i="19"/>
  <c r="F35" i="19"/>
  <c r="G35" i="19"/>
  <c r="A36" i="19"/>
  <c r="B36" i="19"/>
  <c r="C36" i="19"/>
  <c r="D36" i="19"/>
  <c r="E36" i="19"/>
  <c r="F36" i="19"/>
  <c r="G36" i="19"/>
  <c r="A37" i="19"/>
  <c r="B37" i="19"/>
  <c r="C37" i="19"/>
  <c r="D37" i="19"/>
  <c r="E37" i="19"/>
  <c r="F37" i="19"/>
  <c r="G37" i="19"/>
  <c r="A38" i="19"/>
  <c r="B38" i="19"/>
  <c r="C38" i="19"/>
  <c r="D38" i="19"/>
  <c r="E38" i="19"/>
  <c r="F38" i="19"/>
  <c r="G38" i="19"/>
  <c r="A39" i="19"/>
  <c r="B39" i="19"/>
  <c r="C39" i="19"/>
  <c r="D39" i="19"/>
  <c r="E39" i="19"/>
  <c r="F39" i="19"/>
  <c r="G39" i="19"/>
  <c r="A40" i="19"/>
  <c r="B40" i="19"/>
  <c r="C40" i="19"/>
  <c r="D40" i="19"/>
  <c r="E40" i="19"/>
  <c r="F40" i="19"/>
  <c r="G40" i="19"/>
  <c r="A41" i="19"/>
  <c r="B41" i="19"/>
  <c r="C41" i="19"/>
  <c r="D41" i="19"/>
  <c r="E41" i="19"/>
  <c r="F41" i="19"/>
  <c r="G41" i="19"/>
  <c r="A42" i="19"/>
  <c r="B42" i="19"/>
  <c r="C42" i="19"/>
  <c r="D42" i="19"/>
  <c r="E42" i="19"/>
  <c r="F42" i="19"/>
  <c r="G42" i="19"/>
  <c r="A43" i="19"/>
  <c r="B43" i="19"/>
  <c r="C43" i="19"/>
  <c r="D43" i="19"/>
  <c r="E43" i="19"/>
  <c r="F43" i="19"/>
  <c r="G43" i="19"/>
  <c r="B2" i="19"/>
  <c r="C2" i="19"/>
  <c r="D2" i="19"/>
  <c r="E2" i="19"/>
  <c r="F2" i="19"/>
  <c r="G2" i="19"/>
  <c r="A2" i="19"/>
  <c r="L3" i="17"/>
  <c r="M3" i="17" s="1"/>
  <c r="E3" i="17" s="1"/>
  <c r="L4" i="17"/>
  <c r="M4" i="17" s="1"/>
  <c r="E4" i="17" s="1"/>
  <c r="L5" i="17"/>
  <c r="M5" i="17" s="1"/>
  <c r="E5" i="17" s="1"/>
  <c r="L6" i="17"/>
  <c r="M6" i="17" s="1"/>
  <c r="E6" i="17" s="1"/>
  <c r="L7" i="17"/>
  <c r="M7" i="17" s="1"/>
  <c r="E7" i="17" s="1"/>
  <c r="L8" i="17"/>
  <c r="M8" i="17" s="1"/>
  <c r="E8" i="17" s="1"/>
  <c r="L9" i="17"/>
  <c r="M9" i="17" s="1"/>
  <c r="E9" i="17" s="1"/>
  <c r="L10" i="17"/>
  <c r="M10" i="17" s="1"/>
  <c r="E10" i="17" s="1"/>
  <c r="L11" i="17"/>
  <c r="M11" i="17" s="1"/>
  <c r="E11" i="17" s="1"/>
  <c r="L12" i="17"/>
  <c r="M12" i="17" s="1"/>
  <c r="E12" i="17" s="1"/>
  <c r="L13" i="17"/>
  <c r="M13" i="17" s="1"/>
  <c r="E13" i="17" s="1"/>
  <c r="L14" i="17"/>
  <c r="M14" i="17" s="1"/>
  <c r="E14" i="17" s="1"/>
  <c r="L15" i="17"/>
  <c r="M15" i="17" s="1"/>
  <c r="E15" i="17" s="1"/>
  <c r="L16" i="17"/>
  <c r="M16" i="17" s="1"/>
  <c r="E16" i="17" s="1"/>
  <c r="L17" i="17"/>
  <c r="M17" i="17" s="1"/>
  <c r="E17" i="17" s="1"/>
  <c r="L18" i="17"/>
  <c r="M18" i="17" s="1"/>
  <c r="E18" i="17" s="1"/>
  <c r="L19" i="17"/>
  <c r="M19" i="17" s="1"/>
  <c r="E19" i="17" s="1"/>
  <c r="L20" i="17"/>
  <c r="M20" i="17" s="1"/>
  <c r="E20" i="17" s="1"/>
  <c r="L21" i="17"/>
  <c r="M21" i="17" s="1"/>
  <c r="E21" i="17" s="1"/>
  <c r="L22" i="17"/>
  <c r="M22" i="17" s="1"/>
  <c r="E22" i="17" s="1"/>
  <c r="L23" i="17"/>
  <c r="M23" i="17" s="1"/>
  <c r="E23" i="17" s="1"/>
  <c r="L24" i="17"/>
  <c r="M24" i="17" s="1"/>
  <c r="E24" i="17" s="1"/>
  <c r="L25" i="17"/>
  <c r="M25" i="17" s="1"/>
  <c r="E25" i="17" s="1"/>
  <c r="L26" i="17"/>
  <c r="M26" i="17" s="1"/>
  <c r="E26" i="17" s="1"/>
  <c r="L27" i="17"/>
  <c r="M27" i="17" s="1"/>
  <c r="E27" i="17" s="1"/>
  <c r="L28" i="17"/>
  <c r="M28" i="17" s="1"/>
  <c r="E28" i="17" s="1"/>
  <c r="L29" i="17"/>
  <c r="M29" i="17" s="1"/>
  <c r="E29" i="17" s="1"/>
  <c r="L30" i="17"/>
  <c r="M30" i="17" s="1"/>
  <c r="E30" i="17" s="1"/>
  <c r="L31" i="17"/>
  <c r="M31" i="17" s="1"/>
  <c r="E31" i="17" s="1"/>
  <c r="L32" i="17"/>
  <c r="M32" i="17" s="1"/>
  <c r="E32" i="17" s="1"/>
  <c r="L33" i="17"/>
  <c r="M33" i="17" s="1"/>
  <c r="E33" i="17" s="1"/>
  <c r="L34" i="17"/>
  <c r="M34" i="17" s="1"/>
  <c r="E34" i="17" s="1"/>
  <c r="L35" i="17"/>
  <c r="M35" i="17" s="1"/>
  <c r="E35" i="17" s="1"/>
  <c r="L36" i="17"/>
  <c r="M36" i="17" s="1"/>
  <c r="E36" i="17" s="1"/>
  <c r="L37" i="17"/>
  <c r="M37" i="17" s="1"/>
  <c r="E37" i="17" s="1"/>
  <c r="L38" i="17"/>
  <c r="M38" i="17" s="1"/>
  <c r="E38" i="17" s="1"/>
  <c r="L39" i="17"/>
  <c r="M39" i="17" s="1"/>
  <c r="E39" i="17" s="1"/>
  <c r="L40" i="17"/>
  <c r="M40" i="17" s="1"/>
  <c r="E40" i="17" s="1"/>
  <c r="L41" i="17"/>
  <c r="M41" i="17" s="1"/>
  <c r="E41" i="17" s="1"/>
  <c r="L42" i="17"/>
  <c r="M42" i="17" s="1"/>
  <c r="E42" i="17" s="1"/>
  <c r="L43" i="17"/>
  <c r="M43" i="17" s="1"/>
  <c r="E43" i="17" s="1"/>
  <c r="L44" i="17"/>
  <c r="M44" i="17" s="1"/>
  <c r="E44" i="17" s="1"/>
  <c r="L45" i="17"/>
  <c r="M45" i="17" s="1"/>
  <c r="E45" i="17" s="1"/>
  <c r="L46" i="17"/>
  <c r="M46" i="17" s="1"/>
  <c r="E46" i="17" s="1"/>
  <c r="L47" i="17"/>
  <c r="M47" i="17" s="1"/>
  <c r="E47" i="17" s="1"/>
  <c r="L48" i="17"/>
  <c r="M48" i="17" s="1"/>
  <c r="E48" i="17" s="1"/>
  <c r="L49" i="17"/>
  <c r="M49" i="17" s="1"/>
  <c r="E49" i="17" s="1"/>
  <c r="L50" i="17"/>
  <c r="M50" i="17" s="1"/>
  <c r="E50" i="17" s="1"/>
  <c r="L51" i="17"/>
  <c r="M51" i="17" s="1"/>
  <c r="E51" i="17" s="1"/>
  <c r="L52" i="17"/>
  <c r="M52" i="17" s="1"/>
  <c r="E52" i="17" s="1"/>
  <c r="L53" i="17"/>
  <c r="M53" i="17" s="1"/>
  <c r="E53" i="17" s="1"/>
  <c r="L54" i="17"/>
  <c r="M54" i="17" s="1"/>
  <c r="E54" i="17" s="1"/>
  <c r="L55" i="17"/>
  <c r="M55" i="17" s="1"/>
  <c r="E55" i="17" s="1"/>
  <c r="L56" i="17"/>
  <c r="M56" i="17" s="1"/>
  <c r="E56" i="17" s="1"/>
  <c r="L57" i="17"/>
  <c r="M57" i="17" s="1"/>
  <c r="E57" i="17" s="1"/>
  <c r="L58" i="17"/>
  <c r="M58" i="17" s="1"/>
  <c r="E58" i="17" s="1"/>
  <c r="L59" i="17"/>
  <c r="M59" i="17" s="1"/>
  <c r="E59" i="17" s="1"/>
  <c r="L60" i="17"/>
  <c r="M60" i="17" s="1"/>
  <c r="E60" i="17" s="1"/>
  <c r="L61" i="17"/>
  <c r="M61" i="17" s="1"/>
  <c r="E61" i="17" s="1"/>
  <c r="L62" i="17"/>
  <c r="M62" i="17" s="1"/>
  <c r="E62" i="17" s="1"/>
  <c r="L63" i="17"/>
  <c r="M63" i="17" s="1"/>
  <c r="E63" i="17" s="1"/>
  <c r="L64" i="17"/>
  <c r="M64" i="17" s="1"/>
  <c r="E64" i="17" s="1"/>
  <c r="L65" i="17"/>
  <c r="M65" i="17" s="1"/>
  <c r="E65" i="17" s="1"/>
  <c r="L66" i="17"/>
  <c r="M66" i="17" s="1"/>
  <c r="E66" i="17" s="1"/>
  <c r="L67" i="17"/>
  <c r="M67" i="17" s="1"/>
  <c r="E67" i="17" s="1"/>
  <c r="L68" i="17"/>
  <c r="M68" i="17" s="1"/>
  <c r="E68" i="17" s="1"/>
  <c r="L69" i="17"/>
  <c r="M69" i="17" s="1"/>
  <c r="E69" i="17" s="1"/>
  <c r="L70" i="17"/>
  <c r="M70" i="17" s="1"/>
  <c r="E70" i="17" s="1"/>
  <c r="L71" i="17"/>
  <c r="M71" i="17" s="1"/>
  <c r="E71" i="17" s="1"/>
  <c r="L72" i="17"/>
  <c r="M72" i="17" s="1"/>
  <c r="E72" i="17" s="1"/>
  <c r="L73" i="17"/>
  <c r="M73" i="17" s="1"/>
  <c r="E73" i="17" s="1"/>
  <c r="L74" i="17"/>
  <c r="M74" i="17" s="1"/>
  <c r="E74" i="17" s="1"/>
  <c r="L75" i="17"/>
  <c r="M75" i="17" s="1"/>
  <c r="E75" i="17" s="1"/>
  <c r="L76" i="17"/>
  <c r="M76" i="17" s="1"/>
  <c r="E76" i="17" s="1"/>
  <c r="L77" i="17"/>
  <c r="M77" i="17" s="1"/>
  <c r="E77" i="17" s="1"/>
  <c r="L78" i="17"/>
  <c r="M78" i="17" s="1"/>
  <c r="E78" i="17" s="1"/>
  <c r="L79" i="17"/>
  <c r="M79" i="17" s="1"/>
  <c r="E79" i="17" s="1"/>
  <c r="L80" i="17"/>
  <c r="M80" i="17" s="1"/>
  <c r="E80" i="17" s="1"/>
  <c r="L81" i="17"/>
  <c r="M81" i="17" s="1"/>
  <c r="E81" i="17" s="1"/>
  <c r="L82" i="17"/>
  <c r="M82" i="17" s="1"/>
  <c r="E82" i="17" s="1"/>
  <c r="L83" i="17"/>
  <c r="M83" i="17" s="1"/>
  <c r="E83" i="17" s="1"/>
  <c r="L84" i="17"/>
  <c r="M84" i="17" s="1"/>
  <c r="E84" i="17" s="1"/>
  <c r="L85" i="17"/>
  <c r="M85" i="17" s="1"/>
  <c r="E85" i="17" s="1"/>
  <c r="L86" i="17"/>
  <c r="M86" i="17" s="1"/>
  <c r="E86" i="17" s="1"/>
  <c r="L87" i="17"/>
  <c r="M87" i="17" s="1"/>
  <c r="E87" i="17" s="1"/>
  <c r="L88" i="17"/>
  <c r="M88" i="17" s="1"/>
  <c r="E88" i="17" s="1"/>
  <c r="L89" i="17"/>
  <c r="M89" i="17" s="1"/>
  <c r="E89" i="17" s="1"/>
  <c r="L90" i="17"/>
  <c r="M90" i="17" s="1"/>
  <c r="E90" i="17" s="1"/>
  <c r="L91" i="17"/>
  <c r="M91" i="17" s="1"/>
  <c r="E91" i="17" s="1"/>
  <c r="L92" i="17"/>
  <c r="M92" i="17" s="1"/>
  <c r="E92" i="17" s="1"/>
  <c r="L93" i="17"/>
  <c r="M93" i="17" s="1"/>
  <c r="E93" i="17" s="1"/>
  <c r="L94" i="17"/>
  <c r="M94" i="17" s="1"/>
  <c r="E94" i="17" s="1"/>
  <c r="L95" i="17"/>
  <c r="M95" i="17" s="1"/>
  <c r="E95" i="17" s="1"/>
  <c r="L96" i="17"/>
  <c r="M96" i="17" s="1"/>
  <c r="E96" i="17" s="1"/>
  <c r="L97" i="17"/>
  <c r="M97" i="17" s="1"/>
  <c r="E97" i="17" s="1"/>
  <c r="L98" i="17"/>
  <c r="M98" i="17" s="1"/>
  <c r="E98" i="17" s="1"/>
  <c r="L99" i="17"/>
  <c r="M99" i="17" s="1"/>
  <c r="E99" i="17" s="1"/>
  <c r="L100" i="17"/>
  <c r="M100" i="17" s="1"/>
  <c r="E100" i="17" s="1"/>
  <c r="L101" i="17"/>
  <c r="M101" i="17" s="1"/>
  <c r="E101" i="17" s="1"/>
  <c r="L102" i="17"/>
  <c r="M102" i="17" s="1"/>
  <c r="E102" i="17" s="1"/>
  <c r="L103" i="17"/>
  <c r="M103" i="17" s="1"/>
  <c r="E103" i="17" s="1"/>
  <c r="L104" i="17"/>
  <c r="M104" i="17" s="1"/>
  <c r="E104" i="17" s="1"/>
  <c r="L105" i="17"/>
  <c r="M105" i="17" s="1"/>
  <c r="E105" i="17" s="1"/>
  <c r="L106" i="17"/>
  <c r="M106" i="17" s="1"/>
  <c r="E106" i="17" s="1"/>
  <c r="L107" i="17"/>
  <c r="M107" i="17" s="1"/>
  <c r="E107" i="17" s="1"/>
  <c r="L108" i="17"/>
  <c r="M108" i="17" s="1"/>
  <c r="E108" i="17" s="1"/>
  <c r="L109" i="17"/>
  <c r="M109" i="17" s="1"/>
  <c r="E109" i="17" s="1"/>
  <c r="L110" i="17"/>
  <c r="M110" i="17" s="1"/>
  <c r="E110" i="17" s="1"/>
  <c r="L111" i="17"/>
  <c r="M111" i="17" s="1"/>
  <c r="E111" i="17" s="1"/>
  <c r="L112" i="17"/>
  <c r="M112" i="17" s="1"/>
  <c r="E112" i="17" s="1"/>
  <c r="L113" i="17"/>
  <c r="M113" i="17" s="1"/>
  <c r="E113" i="17" s="1"/>
  <c r="L114" i="17"/>
  <c r="M114" i="17" s="1"/>
  <c r="E114" i="17" s="1"/>
  <c r="L115" i="17"/>
  <c r="M115" i="17" s="1"/>
  <c r="E115" i="17" s="1"/>
  <c r="L116" i="17"/>
  <c r="M116" i="17" s="1"/>
  <c r="E116" i="17" s="1"/>
  <c r="L117" i="17"/>
  <c r="M117" i="17" s="1"/>
  <c r="E117" i="17" s="1"/>
  <c r="L118" i="17"/>
  <c r="M118" i="17" s="1"/>
  <c r="E118" i="17" s="1"/>
  <c r="L119" i="17"/>
  <c r="M119" i="17" s="1"/>
  <c r="E119" i="17" s="1"/>
  <c r="L120" i="17"/>
  <c r="M120" i="17" s="1"/>
  <c r="E120" i="17" s="1"/>
  <c r="L121" i="17"/>
  <c r="M121" i="17" s="1"/>
  <c r="E121" i="17" s="1"/>
  <c r="L122" i="17"/>
  <c r="M122" i="17" s="1"/>
  <c r="E122" i="17" s="1"/>
  <c r="L123" i="17"/>
  <c r="M123" i="17" s="1"/>
  <c r="E123" i="17" s="1"/>
  <c r="L124" i="17"/>
  <c r="M124" i="17" s="1"/>
  <c r="E124" i="17" s="1"/>
  <c r="L125" i="17"/>
  <c r="M125" i="17" s="1"/>
  <c r="E125" i="17" s="1"/>
  <c r="L126" i="17"/>
  <c r="M126" i="17" s="1"/>
  <c r="E126" i="17" s="1"/>
  <c r="L127" i="17"/>
  <c r="M127" i="17" s="1"/>
  <c r="E127" i="17" s="1"/>
  <c r="L128" i="17"/>
  <c r="M128" i="17" s="1"/>
  <c r="E128" i="17" s="1"/>
  <c r="L129" i="17"/>
  <c r="M129" i="17" s="1"/>
  <c r="E129" i="17" s="1"/>
  <c r="L130" i="17"/>
  <c r="M130" i="17" s="1"/>
  <c r="E130" i="17" s="1"/>
  <c r="L131" i="17"/>
  <c r="M131" i="17" s="1"/>
  <c r="E131" i="17" s="1"/>
  <c r="L132" i="17"/>
  <c r="M132" i="17" s="1"/>
  <c r="E132" i="17" s="1"/>
  <c r="L133" i="17"/>
  <c r="M133" i="17" s="1"/>
  <c r="E133" i="17" s="1"/>
  <c r="L134" i="17"/>
  <c r="M134" i="17" s="1"/>
  <c r="E134" i="17" s="1"/>
  <c r="L135" i="17"/>
  <c r="M135" i="17" s="1"/>
  <c r="E135" i="17" s="1"/>
  <c r="L136" i="17"/>
  <c r="M136" i="17" s="1"/>
  <c r="E136" i="17" s="1"/>
  <c r="L137" i="17"/>
  <c r="M137" i="17" s="1"/>
  <c r="E137" i="17" s="1"/>
  <c r="L138" i="17"/>
  <c r="M138" i="17" s="1"/>
  <c r="E138" i="17" s="1"/>
  <c r="L139" i="17"/>
  <c r="M139" i="17" s="1"/>
  <c r="E139" i="17" s="1"/>
  <c r="L140" i="17"/>
  <c r="M140" i="17" s="1"/>
  <c r="E140" i="17" s="1"/>
  <c r="L141" i="17"/>
  <c r="M141" i="17" s="1"/>
  <c r="E141" i="17" s="1"/>
  <c r="L142" i="17"/>
  <c r="M142" i="17" s="1"/>
  <c r="E142" i="17" s="1"/>
  <c r="L143" i="17"/>
  <c r="M143" i="17" s="1"/>
  <c r="E143" i="17" s="1"/>
  <c r="L144" i="17"/>
  <c r="M144" i="17" s="1"/>
  <c r="E144" i="17" s="1"/>
  <c r="L145" i="17"/>
  <c r="M145" i="17" s="1"/>
  <c r="E145" i="17" s="1"/>
  <c r="L146" i="17"/>
  <c r="M146" i="17" s="1"/>
  <c r="E146" i="17" s="1"/>
  <c r="L147" i="17"/>
  <c r="M147" i="17" s="1"/>
  <c r="E147" i="17" s="1"/>
  <c r="L148" i="17"/>
  <c r="M148" i="17" s="1"/>
  <c r="E148" i="17" s="1"/>
  <c r="L149" i="17"/>
  <c r="M149" i="17" s="1"/>
  <c r="E149" i="17" s="1"/>
  <c r="L150" i="17"/>
  <c r="M150" i="17" s="1"/>
  <c r="E150" i="17" s="1"/>
  <c r="L151" i="17"/>
  <c r="M151" i="17" s="1"/>
  <c r="E151" i="17" s="1"/>
  <c r="L152" i="17"/>
  <c r="M152" i="17" s="1"/>
  <c r="E152" i="17" s="1"/>
  <c r="L153" i="17"/>
  <c r="M153" i="17" s="1"/>
  <c r="E153" i="17" s="1"/>
  <c r="L154" i="17"/>
  <c r="M154" i="17" s="1"/>
  <c r="E154" i="17" s="1"/>
  <c r="L155" i="17"/>
  <c r="M155" i="17" s="1"/>
  <c r="E155" i="17" s="1"/>
  <c r="L156" i="17"/>
  <c r="M156" i="17" s="1"/>
  <c r="E156" i="17" s="1"/>
  <c r="L157" i="17"/>
  <c r="M157" i="17" s="1"/>
  <c r="E157" i="17" s="1"/>
  <c r="L158" i="17"/>
  <c r="M158" i="17" s="1"/>
  <c r="E158" i="17" s="1"/>
  <c r="L159" i="17"/>
  <c r="M159" i="17" s="1"/>
  <c r="E159" i="17" s="1"/>
  <c r="L160" i="17"/>
  <c r="M160" i="17" s="1"/>
  <c r="E160" i="17" s="1"/>
  <c r="L161" i="17"/>
  <c r="M161" i="17" s="1"/>
  <c r="E161" i="17" s="1"/>
  <c r="L162" i="17"/>
  <c r="M162" i="17" s="1"/>
  <c r="E162" i="17" s="1"/>
  <c r="L163" i="17"/>
  <c r="M163" i="17" s="1"/>
  <c r="E163" i="17" s="1"/>
  <c r="L164" i="17"/>
  <c r="M164" i="17" s="1"/>
  <c r="E164" i="17" s="1"/>
  <c r="L165" i="17"/>
  <c r="M165" i="17" s="1"/>
  <c r="E165" i="17" s="1"/>
  <c r="L166" i="17"/>
  <c r="M166" i="17" s="1"/>
  <c r="E166" i="17" s="1"/>
  <c r="L167" i="17"/>
  <c r="M167" i="17" s="1"/>
  <c r="E167" i="17" s="1"/>
  <c r="L168" i="17"/>
  <c r="M168" i="17" s="1"/>
  <c r="E168" i="17" s="1"/>
  <c r="L169" i="17"/>
  <c r="M169" i="17" s="1"/>
  <c r="E169" i="17" s="1"/>
  <c r="L170" i="17"/>
  <c r="M170" i="17" s="1"/>
  <c r="E170" i="17" s="1"/>
  <c r="L171" i="17"/>
  <c r="M171" i="17" s="1"/>
  <c r="E171" i="17" s="1"/>
  <c r="L172" i="17"/>
  <c r="M172" i="17" s="1"/>
  <c r="E172" i="17" s="1"/>
  <c r="L173" i="17"/>
  <c r="M173" i="17" s="1"/>
  <c r="E173" i="17" s="1"/>
  <c r="L174" i="17"/>
  <c r="M174" i="17" s="1"/>
  <c r="E174" i="17" s="1"/>
  <c r="L175" i="17"/>
  <c r="M175" i="17" s="1"/>
  <c r="E175" i="17" s="1"/>
  <c r="L176" i="17"/>
  <c r="M176" i="17" s="1"/>
  <c r="E176" i="17" s="1"/>
  <c r="L177" i="17"/>
  <c r="M177" i="17" s="1"/>
  <c r="E177" i="17" s="1"/>
  <c r="L178" i="17"/>
  <c r="M178" i="17" s="1"/>
  <c r="E178" i="17" s="1"/>
  <c r="L179" i="17"/>
  <c r="M179" i="17" s="1"/>
  <c r="E179" i="17" s="1"/>
  <c r="L180" i="17"/>
  <c r="M180" i="17" s="1"/>
  <c r="E180" i="17" s="1"/>
  <c r="L181" i="17"/>
  <c r="M181" i="17" s="1"/>
  <c r="E181" i="17" s="1"/>
  <c r="L182" i="17"/>
  <c r="M182" i="17" s="1"/>
  <c r="E182" i="17" s="1"/>
  <c r="L183" i="17"/>
  <c r="M183" i="17" s="1"/>
  <c r="E183" i="17" s="1"/>
  <c r="L184" i="17"/>
  <c r="M184" i="17" s="1"/>
  <c r="E184" i="17" s="1"/>
  <c r="L185" i="17"/>
  <c r="M185" i="17" s="1"/>
  <c r="E185" i="17" s="1"/>
  <c r="L186" i="17"/>
  <c r="M186" i="17" s="1"/>
  <c r="E186" i="17" s="1"/>
  <c r="L187" i="17"/>
  <c r="M187" i="17" s="1"/>
  <c r="E187" i="17" s="1"/>
  <c r="L188" i="17"/>
  <c r="M188" i="17" s="1"/>
  <c r="E188" i="17" s="1"/>
  <c r="L189" i="17"/>
  <c r="M189" i="17" s="1"/>
  <c r="E189" i="17" s="1"/>
  <c r="L190" i="17"/>
  <c r="M190" i="17" s="1"/>
  <c r="E190" i="17" s="1"/>
  <c r="L191" i="17"/>
  <c r="M191" i="17" s="1"/>
  <c r="E191" i="17" s="1"/>
  <c r="L192" i="17"/>
  <c r="M192" i="17" s="1"/>
  <c r="E192" i="17" s="1"/>
  <c r="L193" i="17"/>
  <c r="M193" i="17" s="1"/>
  <c r="E193" i="17" s="1"/>
  <c r="L194" i="17"/>
  <c r="M194" i="17" s="1"/>
  <c r="E194" i="17" s="1"/>
  <c r="L195" i="17"/>
  <c r="M195" i="17" s="1"/>
  <c r="E195" i="17" s="1"/>
  <c r="L196" i="17"/>
  <c r="M196" i="17" s="1"/>
  <c r="E196" i="17" s="1"/>
  <c r="L197" i="17"/>
  <c r="M197" i="17" s="1"/>
  <c r="E197" i="17" s="1"/>
  <c r="L198" i="17"/>
  <c r="M198" i="17" s="1"/>
  <c r="E198" i="17" s="1"/>
  <c r="L199" i="17"/>
  <c r="M199" i="17" s="1"/>
  <c r="E199" i="17" s="1"/>
  <c r="L200" i="17"/>
  <c r="M200" i="17" s="1"/>
  <c r="E200" i="17" s="1"/>
  <c r="L201" i="17"/>
  <c r="M201" i="17" s="1"/>
  <c r="E201" i="17" s="1"/>
  <c r="L202" i="17"/>
  <c r="M202" i="17" s="1"/>
  <c r="E202" i="17" s="1"/>
  <c r="L203" i="17"/>
  <c r="M203" i="17" s="1"/>
  <c r="E203" i="17" s="1"/>
  <c r="L204" i="17"/>
  <c r="M204" i="17" s="1"/>
  <c r="E204" i="17" s="1"/>
  <c r="L205" i="17"/>
  <c r="M205" i="17" s="1"/>
  <c r="E205" i="17" s="1"/>
  <c r="L206" i="17"/>
  <c r="M206" i="17" s="1"/>
  <c r="E206" i="17" s="1"/>
  <c r="L207" i="17"/>
  <c r="M207" i="17" s="1"/>
  <c r="E207" i="17" s="1"/>
  <c r="L208" i="17"/>
  <c r="M208" i="17" s="1"/>
  <c r="E208" i="17" s="1"/>
  <c r="L209" i="17"/>
  <c r="M209" i="17" s="1"/>
  <c r="E209" i="17" s="1"/>
  <c r="L210" i="17"/>
  <c r="M210" i="17" s="1"/>
  <c r="E210" i="17" s="1"/>
  <c r="L211" i="17"/>
  <c r="M211" i="17" s="1"/>
  <c r="E211" i="17" s="1"/>
  <c r="L212" i="17"/>
  <c r="M212" i="17" s="1"/>
  <c r="E212" i="17" s="1"/>
  <c r="L213" i="17"/>
  <c r="M213" i="17" s="1"/>
  <c r="E213" i="17" s="1"/>
  <c r="L214" i="17"/>
  <c r="M214" i="17" s="1"/>
  <c r="E214" i="17" s="1"/>
  <c r="L215" i="17"/>
  <c r="M215" i="17" s="1"/>
  <c r="E215" i="17" s="1"/>
  <c r="L216" i="17"/>
  <c r="M216" i="17" s="1"/>
  <c r="E216" i="17" s="1"/>
  <c r="L217" i="17"/>
  <c r="M217" i="17" s="1"/>
  <c r="E217" i="17" s="1"/>
  <c r="L218" i="17"/>
  <c r="M218" i="17" s="1"/>
  <c r="E218" i="17" s="1"/>
  <c r="L219" i="17"/>
  <c r="M219" i="17" s="1"/>
  <c r="E219" i="17" s="1"/>
  <c r="L220" i="17"/>
  <c r="M220" i="17" s="1"/>
  <c r="E220" i="17" s="1"/>
  <c r="L221" i="17"/>
  <c r="M221" i="17" s="1"/>
  <c r="E221" i="17" s="1"/>
  <c r="L222" i="17"/>
  <c r="M222" i="17" s="1"/>
  <c r="E222" i="17" s="1"/>
  <c r="L223" i="17"/>
  <c r="M223" i="17" s="1"/>
  <c r="E223" i="17" s="1"/>
  <c r="L224" i="17"/>
  <c r="M224" i="17" s="1"/>
  <c r="E224" i="17" s="1"/>
  <c r="L225" i="17"/>
  <c r="M225" i="17" s="1"/>
  <c r="E225" i="17" s="1"/>
  <c r="L226" i="17"/>
  <c r="M226" i="17" s="1"/>
  <c r="E226" i="17" s="1"/>
  <c r="L227" i="17"/>
  <c r="M227" i="17" s="1"/>
  <c r="E227" i="17" s="1"/>
  <c r="L228" i="17"/>
  <c r="M228" i="17" s="1"/>
  <c r="E228" i="17" s="1"/>
  <c r="L229" i="17"/>
  <c r="M229" i="17" s="1"/>
  <c r="E229" i="17" s="1"/>
  <c r="L230" i="17"/>
  <c r="M230" i="17" s="1"/>
  <c r="E230" i="17" s="1"/>
  <c r="L231" i="17"/>
  <c r="M231" i="17" s="1"/>
  <c r="E231" i="17" s="1"/>
  <c r="L232" i="17"/>
  <c r="M232" i="17" s="1"/>
  <c r="E232" i="17" s="1"/>
  <c r="L233" i="17"/>
  <c r="M233" i="17" s="1"/>
  <c r="E233" i="17" s="1"/>
  <c r="L234" i="17"/>
  <c r="M234" i="17" s="1"/>
  <c r="E234" i="17" s="1"/>
  <c r="L235" i="17"/>
  <c r="M235" i="17" s="1"/>
  <c r="E235" i="17" s="1"/>
  <c r="L236" i="17"/>
  <c r="M236" i="17" s="1"/>
  <c r="E236" i="17" s="1"/>
  <c r="L237" i="17"/>
  <c r="M237" i="17" s="1"/>
  <c r="E237" i="17" s="1"/>
  <c r="L238" i="17"/>
  <c r="M238" i="17" s="1"/>
  <c r="E238" i="17" s="1"/>
  <c r="L239" i="17"/>
  <c r="M239" i="17" s="1"/>
  <c r="E239" i="17" s="1"/>
  <c r="L240" i="17"/>
  <c r="M240" i="17" s="1"/>
  <c r="E240" i="17" s="1"/>
  <c r="L241" i="17"/>
  <c r="M241" i="17" s="1"/>
  <c r="E241" i="17" s="1"/>
  <c r="L242" i="17"/>
  <c r="M242" i="17" s="1"/>
  <c r="E242" i="17" s="1"/>
  <c r="L243" i="17"/>
  <c r="M243" i="17" s="1"/>
  <c r="E243" i="17" s="1"/>
  <c r="L244" i="17"/>
  <c r="M244" i="17" s="1"/>
  <c r="E244" i="17" s="1"/>
  <c r="L245" i="17"/>
  <c r="M245" i="17" s="1"/>
  <c r="E245" i="17" s="1"/>
  <c r="L246" i="17"/>
  <c r="M246" i="17" s="1"/>
  <c r="E246" i="17" s="1"/>
  <c r="L247" i="17"/>
  <c r="M247" i="17" s="1"/>
  <c r="E247" i="17" s="1"/>
  <c r="L248" i="17"/>
  <c r="M248" i="17" s="1"/>
  <c r="E248" i="17" s="1"/>
  <c r="L249" i="17"/>
  <c r="M249" i="17" s="1"/>
  <c r="E249" i="17" s="1"/>
  <c r="L250" i="17"/>
  <c r="M250" i="17" s="1"/>
  <c r="E250" i="17" s="1"/>
  <c r="L251" i="17"/>
  <c r="M251" i="17" s="1"/>
  <c r="E251" i="17" s="1"/>
  <c r="L252" i="17"/>
  <c r="M252" i="17" s="1"/>
  <c r="E252" i="17" s="1"/>
  <c r="L253" i="17"/>
  <c r="M253" i="17" s="1"/>
  <c r="E253" i="17" s="1"/>
  <c r="L254" i="17"/>
  <c r="M254" i="17" s="1"/>
  <c r="E254" i="17" s="1"/>
  <c r="L255" i="17"/>
  <c r="M255" i="17" s="1"/>
  <c r="E255" i="17" s="1"/>
  <c r="L256" i="17"/>
  <c r="M256" i="17" s="1"/>
  <c r="E256" i="17" s="1"/>
  <c r="L257" i="17"/>
  <c r="M257" i="17" s="1"/>
  <c r="E257" i="17" s="1"/>
  <c r="L258" i="17"/>
  <c r="M258" i="17" s="1"/>
  <c r="E258" i="17" s="1"/>
  <c r="L259" i="17"/>
  <c r="M259" i="17" s="1"/>
  <c r="E259" i="17" s="1"/>
  <c r="L260" i="17"/>
  <c r="M260" i="17" s="1"/>
  <c r="E260" i="17" s="1"/>
  <c r="L261" i="17"/>
  <c r="M261" i="17" s="1"/>
  <c r="E261" i="17" s="1"/>
  <c r="L262" i="17"/>
  <c r="M262" i="17" s="1"/>
  <c r="E262" i="17" s="1"/>
  <c r="L263" i="17"/>
  <c r="M263" i="17" s="1"/>
  <c r="E263" i="17" s="1"/>
  <c r="L264" i="17"/>
  <c r="M264" i="17" s="1"/>
  <c r="E264" i="17" s="1"/>
  <c r="L265" i="17"/>
  <c r="M265" i="17" s="1"/>
  <c r="E265" i="17" s="1"/>
  <c r="L266" i="17"/>
  <c r="M266" i="17" s="1"/>
  <c r="E266" i="17" s="1"/>
  <c r="L267" i="17"/>
  <c r="M267" i="17" s="1"/>
  <c r="E267" i="17" s="1"/>
  <c r="L268" i="17"/>
  <c r="M268" i="17" s="1"/>
  <c r="E268" i="17" s="1"/>
  <c r="L269" i="17"/>
  <c r="M269" i="17" s="1"/>
  <c r="E269" i="17" s="1"/>
  <c r="L270" i="17"/>
  <c r="M270" i="17" s="1"/>
  <c r="E270" i="17" s="1"/>
  <c r="L271" i="17"/>
  <c r="M271" i="17" s="1"/>
  <c r="E271" i="17" s="1"/>
  <c r="L272" i="17"/>
  <c r="M272" i="17" s="1"/>
  <c r="E272" i="17" s="1"/>
  <c r="L273" i="17"/>
  <c r="M273" i="17" s="1"/>
  <c r="E273" i="17" s="1"/>
  <c r="L274" i="17"/>
  <c r="M274" i="17" s="1"/>
  <c r="E274" i="17" s="1"/>
  <c r="L275" i="17"/>
  <c r="M275" i="17" s="1"/>
  <c r="E275" i="17" s="1"/>
  <c r="L276" i="17"/>
  <c r="M276" i="17" s="1"/>
  <c r="E276" i="17" s="1"/>
  <c r="L277" i="17"/>
  <c r="M277" i="17" s="1"/>
  <c r="E277" i="17" s="1"/>
  <c r="L278" i="17"/>
  <c r="M278" i="17" s="1"/>
  <c r="E278" i="17" s="1"/>
  <c r="L279" i="17"/>
  <c r="M279" i="17" s="1"/>
  <c r="E279" i="17" s="1"/>
  <c r="L280" i="17"/>
  <c r="M280" i="17" s="1"/>
  <c r="E280" i="17" s="1"/>
  <c r="L281" i="17"/>
  <c r="M281" i="17" s="1"/>
  <c r="E281" i="17" s="1"/>
  <c r="L282" i="17"/>
  <c r="M282" i="17" s="1"/>
  <c r="E282" i="17" s="1"/>
  <c r="L283" i="17"/>
  <c r="M283" i="17" s="1"/>
  <c r="E283" i="17" s="1"/>
  <c r="L284" i="17"/>
  <c r="M284" i="17" s="1"/>
  <c r="E284" i="17" s="1"/>
  <c r="L285" i="17"/>
  <c r="M285" i="17" s="1"/>
  <c r="E285" i="17" s="1"/>
  <c r="L286" i="17"/>
  <c r="M286" i="17" s="1"/>
  <c r="E286" i="17" s="1"/>
  <c r="L287" i="17"/>
  <c r="M287" i="17" s="1"/>
  <c r="E287" i="17" s="1"/>
  <c r="L288" i="17"/>
  <c r="M288" i="17" s="1"/>
  <c r="E288" i="17" s="1"/>
  <c r="L289" i="17"/>
  <c r="M289" i="17" s="1"/>
  <c r="E289" i="17" s="1"/>
  <c r="L290" i="17"/>
  <c r="M290" i="17" s="1"/>
  <c r="E290" i="17" s="1"/>
  <c r="L291" i="17"/>
  <c r="M291" i="17" s="1"/>
  <c r="E291" i="17" s="1"/>
  <c r="L292" i="17"/>
  <c r="M292" i="17" s="1"/>
  <c r="E292" i="17" s="1"/>
  <c r="L293" i="17"/>
  <c r="M293" i="17" s="1"/>
  <c r="E293" i="17" s="1"/>
  <c r="L294" i="17"/>
  <c r="M294" i="17" s="1"/>
  <c r="E294" i="17" s="1"/>
  <c r="L295" i="17"/>
  <c r="M295" i="17" s="1"/>
  <c r="E295" i="17" s="1"/>
  <c r="L296" i="17"/>
  <c r="M296" i="17" s="1"/>
  <c r="E296" i="17" s="1"/>
  <c r="L297" i="17"/>
  <c r="M297" i="17" s="1"/>
  <c r="E297" i="17" s="1"/>
  <c r="L298" i="17"/>
  <c r="M298" i="17" s="1"/>
  <c r="E298" i="17" s="1"/>
  <c r="L299" i="17"/>
  <c r="M299" i="17" s="1"/>
  <c r="E299" i="17" s="1"/>
  <c r="L300" i="17"/>
  <c r="M300" i="17" s="1"/>
  <c r="E300" i="17" s="1"/>
  <c r="L301" i="17"/>
  <c r="M301" i="17" s="1"/>
  <c r="E301" i="17" s="1"/>
  <c r="L302" i="17"/>
  <c r="M302" i="17" s="1"/>
  <c r="E302" i="17" s="1"/>
  <c r="L303" i="17"/>
  <c r="M303" i="17" s="1"/>
  <c r="E303" i="17" s="1"/>
  <c r="L304" i="17"/>
  <c r="M304" i="17" s="1"/>
  <c r="E304" i="17" s="1"/>
  <c r="L305" i="17"/>
  <c r="M305" i="17" s="1"/>
  <c r="E305" i="17" s="1"/>
  <c r="L306" i="17"/>
  <c r="M306" i="17" s="1"/>
  <c r="E306" i="17" s="1"/>
  <c r="L307" i="17"/>
  <c r="M307" i="17" s="1"/>
  <c r="E307" i="17" s="1"/>
  <c r="L308" i="17"/>
  <c r="M308" i="17" s="1"/>
  <c r="E308" i="17" s="1"/>
  <c r="L309" i="17"/>
  <c r="M309" i="17" s="1"/>
  <c r="E309" i="17" s="1"/>
  <c r="L310" i="17"/>
  <c r="M310" i="17" s="1"/>
  <c r="E310" i="17" s="1"/>
  <c r="L311" i="17"/>
  <c r="M311" i="17" s="1"/>
  <c r="E311" i="17" s="1"/>
  <c r="L312" i="17"/>
  <c r="M312" i="17" s="1"/>
  <c r="E312" i="17" s="1"/>
  <c r="L313" i="17"/>
  <c r="M313" i="17" s="1"/>
  <c r="E313" i="17" s="1"/>
  <c r="L314" i="17"/>
  <c r="M314" i="17" s="1"/>
  <c r="E314" i="17" s="1"/>
  <c r="L315" i="17"/>
  <c r="M315" i="17" s="1"/>
  <c r="E315" i="17" s="1"/>
  <c r="L316" i="17"/>
  <c r="M316" i="17" s="1"/>
  <c r="E316" i="17" s="1"/>
  <c r="L317" i="17"/>
  <c r="M317" i="17" s="1"/>
  <c r="E317" i="17" s="1"/>
  <c r="L318" i="17"/>
  <c r="M318" i="17" s="1"/>
  <c r="E318" i="17" s="1"/>
  <c r="L319" i="17"/>
  <c r="M319" i="17" s="1"/>
  <c r="E319" i="17" s="1"/>
  <c r="L320" i="17"/>
  <c r="M320" i="17" s="1"/>
  <c r="E320" i="17" s="1"/>
  <c r="L321" i="17"/>
  <c r="M321" i="17" s="1"/>
  <c r="E321" i="17" s="1"/>
  <c r="L322" i="17"/>
  <c r="M322" i="17" s="1"/>
  <c r="E322" i="17" s="1"/>
  <c r="L323" i="17"/>
  <c r="M323" i="17" s="1"/>
  <c r="E323" i="17" s="1"/>
  <c r="L324" i="17"/>
  <c r="M324" i="17" s="1"/>
  <c r="E324" i="17" s="1"/>
  <c r="L325" i="17"/>
  <c r="M325" i="17" s="1"/>
  <c r="E325" i="17" s="1"/>
  <c r="L326" i="17"/>
  <c r="M326" i="17" s="1"/>
  <c r="E326" i="17" s="1"/>
  <c r="L327" i="17"/>
  <c r="M327" i="17" s="1"/>
  <c r="E327" i="17" s="1"/>
  <c r="L328" i="17"/>
  <c r="M328" i="17" s="1"/>
  <c r="E328" i="17" s="1"/>
  <c r="L329" i="17"/>
  <c r="M329" i="17" s="1"/>
  <c r="E329" i="17" s="1"/>
  <c r="L330" i="17"/>
  <c r="M330" i="17" s="1"/>
  <c r="E330" i="17" s="1"/>
  <c r="L331" i="17"/>
  <c r="M331" i="17" s="1"/>
  <c r="E331" i="17" s="1"/>
  <c r="L332" i="17"/>
  <c r="M332" i="17" s="1"/>
  <c r="E332" i="17" s="1"/>
  <c r="L333" i="17"/>
  <c r="M333" i="17" s="1"/>
  <c r="E333" i="17" s="1"/>
  <c r="L334" i="17"/>
  <c r="M334" i="17" s="1"/>
  <c r="E334" i="17" s="1"/>
  <c r="L335" i="17"/>
  <c r="M335" i="17" s="1"/>
  <c r="E335" i="17" s="1"/>
  <c r="L336" i="17"/>
  <c r="M336" i="17" s="1"/>
  <c r="E336" i="17" s="1"/>
  <c r="L337" i="17"/>
  <c r="M337" i="17" s="1"/>
  <c r="E337" i="17" s="1"/>
  <c r="L338" i="17"/>
  <c r="M338" i="17" s="1"/>
  <c r="E338" i="17" s="1"/>
  <c r="L339" i="17"/>
  <c r="M339" i="17" s="1"/>
  <c r="E339" i="17" s="1"/>
  <c r="L340" i="17"/>
  <c r="M340" i="17" s="1"/>
  <c r="E340" i="17" s="1"/>
  <c r="L341" i="17"/>
  <c r="M341" i="17" s="1"/>
  <c r="E341" i="17" s="1"/>
  <c r="L342" i="17"/>
  <c r="M342" i="17" s="1"/>
  <c r="E342" i="17" s="1"/>
  <c r="L343" i="17"/>
  <c r="M343" i="17" s="1"/>
  <c r="E343" i="17" s="1"/>
  <c r="L344" i="17"/>
  <c r="M344" i="17" s="1"/>
  <c r="E344" i="17" s="1"/>
  <c r="L345" i="17"/>
  <c r="M345" i="17" s="1"/>
  <c r="E345" i="17" s="1"/>
  <c r="L346" i="17"/>
  <c r="M346" i="17" s="1"/>
  <c r="E346" i="17" s="1"/>
  <c r="L347" i="17"/>
  <c r="M347" i="17" s="1"/>
  <c r="E347" i="17" s="1"/>
  <c r="L348" i="17"/>
  <c r="M348" i="17" s="1"/>
  <c r="E348" i="17" s="1"/>
  <c r="L349" i="17"/>
  <c r="M349" i="17" s="1"/>
  <c r="E349" i="17" s="1"/>
  <c r="L350" i="17"/>
  <c r="M350" i="17" s="1"/>
  <c r="E350" i="17" s="1"/>
  <c r="L351" i="17"/>
  <c r="M351" i="17" s="1"/>
  <c r="E351" i="17" s="1"/>
  <c r="L352" i="17"/>
  <c r="M352" i="17" s="1"/>
  <c r="E352" i="17" s="1"/>
  <c r="L353" i="17"/>
  <c r="M353" i="17" s="1"/>
  <c r="E353" i="17" s="1"/>
  <c r="L354" i="17"/>
  <c r="M354" i="17" s="1"/>
  <c r="E354" i="17" s="1"/>
  <c r="L355" i="17"/>
  <c r="M355" i="17" s="1"/>
  <c r="E355" i="17" s="1"/>
  <c r="L356" i="17"/>
  <c r="M356" i="17" s="1"/>
  <c r="E356" i="17" s="1"/>
  <c r="L357" i="17"/>
  <c r="M357" i="17" s="1"/>
  <c r="E357" i="17" s="1"/>
  <c r="L358" i="17"/>
  <c r="M358" i="17" s="1"/>
  <c r="E358" i="17" s="1"/>
  <c r="L359" i="17"/>
  <c r="M359" i="17" s="1"/>
  <c r="E359" i="17" s="1"/>
  <c r="L360" i="17"/>
  <c r="M360" i="17" s="1"/>
  <c r="E360" i="17" s="1"/>
  <c r="L361" i="17"/>
  <c r="M361" i="17" s="1"/>
  <c r="E361" i="17" s="1"/>
  <c r="L362" i="17"/>
  <c r="M362" i="17" s="1"/>
  <c r="E362" i="17" s="1"/>
  <c r="L363" i="17"/>
  <c r="M363" i="17" s="1"/>
  <c r="E363" i="17" s="1"/>
  <c r="L364" i="17"/>
  <c r="M364" i="17" s="1"/>
  <c r="E364" i="17" s="1"/>
  <c r="L365" i="17"/>
  <c r="M365" i="17" s="1"/>
  <c r="E365" i="17" s="1"/>
  <c r="L366" i="17"/>
  <c r="M366" i="17" s="1"/>
  <c r="E366" i="17" s="1"/>
  <c r="L367" i="17"/>
  <c r="M367" i="17" s="1"/>
  <c r="E367" i="17" s="1"/>
  <c r="L368" i="17"/>
  <c r="M368" i="17" s="1"/>
  <c r="E368" i="17" s="1"/>
  <c r="L369" i="17"/>
  <c r="M369" i="17" s="1"/>
  <c r="E369" i="17" s="1"/>
  <c r="L370" i="17"/>
  <c r="M370" i="17" s="1"/>
  <c r="E370" i="17" s="1"/>
  <c r="L371" i="17"/>
  <c r="M371" i="17" s="1"/>
  <c r="E371" i="17" s="1"/>
  <c r="L372" i="17"/>
  <c r="M372" i="17" s="1"/>
  <c r="E372" i="17" s="1"/>
  <c r="L373" i="17"/>
  <c r="M373" i="17" s="1"/>
  <c r="E373" i="17" s="1"/>
  <c r="L374" i="17"/>
  <c r="M374" i="17" s="1"/>
  <c r="E374" i="17" s="1"/>
  <c r="L375" i="17"/>
  <c r="M375" i="17" s="1"/>
  <c r="E375" i="17" s="1"/>
  <c r="L376" i="17"/>
  <c r="M376" i="17" s="1"/>
  <c r="E376" i="17" s="1"/>
  <c r="L377" i="17"/>
  <c r="M377" i="17" s="1"/>
  <c r="E377" i="17" s="1"/>
  <c r="L378" i="17"/>
  <c r="M378" i="17" s="1"/>
  <c r="E378" i="17" s="1"/>
  <c r="L379" i="17"/>
  <c r="M379" i="17" s="1"/>
  <c r="E379" i="17" s="1"/>
  <c r="L380" i="17"/>
  <c r="M380" i="17" s="1"/>
  <c r="E380" i="17" s="1"/>
  <c r="L381" i="17"/>
  <c r="M381" i="17" s="1"/>
  <c r="E381" i="17" s="1"/>
  <c r="L382" i="17"/>
  <c r="M382" i="17" s="1"/>
  <c r="E382" i="17" s="1"/>
  <c r="L383" i="17"/>
  <c r="M383" i="17" s="1"/>
  <c r="E383" i="17" s="1"/>
  <c r="L384" i="17"/>
  <c r="M384" i="17" s="1"/>
  <c r="E384" i="17" s="1"/>
  <c r="L385" i="17"/>
  <c r="M385" i="17" s="1"/>
  <c r="E385" i="17" s="1"/>
  <c r="L386" i="17"/>
  <c r="M386" i="17" s="1"/>
  <c r="E386" i="17" s="1"/>
  <c r="L387" i="17"/>
  <c r="M387" i="17" s="1"/>
  <c r="E387" i="17" s="1"/>
  <c r="L388" i="17"/>
  <c r="M388" i="17" s="1"/>
  <c r="E388" i="17" s="1"/>
  <c r="L389" i="17"/>
  <c r="M389" i="17" s="1"/>
  <c r="E389" i="17" s="1"/>
  <c r="L390" i="17"/>
  <c r="M390" i="17" s="1"/>
  <c r="E390" i="17" s="1"/>
  <c r="L391" i="17"/>
  <c r="M391" i="17" s="1"/>
  <c r="E391" i="17" s="1"/>
  <c r="L392" i="17"/>
  <c r="M392" i="17" s="1"/>
  <c r="E392" i="17" s="1"/>
  <c r="L393" i="17"/>
  <c r="M393" i="17" s="1"/>
  <c r="E393" i="17" s="1"/>
  <c r="L394" i="17"/>
  <c r="M394" i="17" s="1"/>
  <c r="E394" i="17" s="1"/>
  <c r="L395" i="17"/>
  <c r="M395" i="17" s="1"/>
  <c r="E395" i="17" s="1"/>
  <c r="L396" i="17"/>
  <c r="M396" i="17" s="1"/>
  <c r="E396" i="17" s="1"/>
  <c r="L397" i="17"/>
  <c r="M397" i="17" s="1"/>
  <c r="E397" i="17" s="1"/>
  <c r="L398" i="17"/>
  <c r="M398" i="17" s="1"/>
  <c r="E398" i="17" s="1"/>
  <c r="L399" i="17"/>
  <c r="M399" i="17" s="1"/>
  <c r="E399" i="17" s="1"/>
  <c r="L400" i="17"/>
  <c r="M400" i="17" s="1"/>
  <c r="E400" i="17" s="1"/>
  <c r="L401" i="17"/>
  <c r="M401" i="17" s="1"/>
  <c r="E401" i="17" s="1"/>
  <c r="L402" i="17"/>
  <c r="M402" i="17" s="1"/>
  <c r="E402" i="17" s="1"/>
  <c r="L403" i="17"/>
  <c r="M403" i="17" s="1"/>
  <c r="E403" i="17" s="1"/>
  <c r="L404" i="17"/>
  <c r="M404" i="17" s="1"/>
  <c r="E404" i="17" s="1"/>
  <c r="L405" i="17"/>
  <c r="M405" i="17" s="1"/>
  <c r="E405" i="17" s="1"/>
  <c r="L406" i="17"/>
  <c r="M406" i="17" s="1"/>
  <c r="E406" i="17" s="1"/>
  <c r="L407" i="17"/>
  <c r="M407" i="17" s="1"/>
  <c r="E407" i="17" s="1"/>
  <c r="L408" i="17"/>
  <c r="M408" i="17" s="1"/>
  <c r="E408" i="17" s="1"/>
  <c r="L409" i="17"/>
  <c r="M409" i="17" s="1"/>
  <c r="E409" i="17" s="1"/>
  <c r="L410" i="17"/>
  <c r="M410" i="17" s="1"/>
  <c r="E410" i="17" s="1"/>
  <c r="L411" i="17"/>
  <c r="M411" i="17" s="1"/>
  <c r="E411" i="17" s="1"/>
  <c r="L412" i="17"/>
  <c r="M412" i="17" s="1"/>
  <c r="E412" i="17" s="1"/>
  <c r="L413" i="17"/>
  <c r="M413" i="17" s="1"/>
  <c r="E413" i="17" s="1"/>
  <c r="L414" i="17"/>
  <c r="M414" i="17" s="1"/>
  <c r="E414" i="17" s="1"/>
  <c r="L415" i="17"/>
  <c r="M415" i="17" s="1"/>
  <c r="E415" i="17" s="1"/>
  <c r="L416" i="17"/>
  <c r="M416" i="17" s="1"/>
  <c r="E416" i="17" s="1"/>
  <c r="L417" i="17"/>
  <c r="M417" i="17" s="1"/>
  <c r="E417" i="17" s="1"/>
  <c r="L418" i="17"/>
  <c r="M418" i="17" s="1"/>
  <c r="E418" i="17" s="1"/>
  <c r="L419" i="17"/>
  <c r="M419" i="17" s="1"/>
  <c r="E419" i="17" s="1"/>
  <c r="L420" i="17"/>
  <c r="M420" i="17" s="1"/>
  <c r="E420" i="17" s="1"/>
  <c r="L421" i="17"/>
  <c r="M421" i="17" s="1"/>
  <c r="E421" i="17" s="1"/>
  <c r="L422" i="17"/>
  <c r="M422" i="17" s="1"/>
  <c r="E422" i="17" s="1"/>
  <c r="L423" i="17"/>
  <c r="M423" i="17" s="1"/>
  <c r="E423" i="17" s="1"/>
  <c r="L424" i="17"/>
  <c r="M424" i="17" s="1"/>
  <c r="E424" i="17" s="1"/>
  <c r="L425" i="17"/>
  <c r="M425" i="17" s="1"/>
  <c r="E425" i="17" s="1"/>
  <c r="L426" i="17"/>
  <c r="M426" i="17" s="1"/>
  <c r="E426" i="17" s="1"/>
  <c r="L427" i="17"/>
  <c r="M427" i="17" s="1"/>
  <c r="E427" i="17" s="1"/>
  <c r="L428" i="17"/>
  <c r="M428" i="17" s="1"/>
  <c r="E428" i="17" s="1"/>
  <c r="L429" i="17"/>
  <c r="M429" i="17" s="1"/>
  <c r="E429" i="17" s="1"/>
  <c r="L430" i="17"/>
  <c r="M430" i="17" s="1"/>
  <c r="E430" i="17" s="1"/>
  <c r="L431" i="17"/>
  <c r="M431" i="17" s="1"/>
  <c r="E431" i="17" s="1"/>
  <c r="L432" i="17"/>
  <c r="M432" i="17" s="1"/>
  <c r="E432" i="17" s="1"/>
  <c r="L433" i="17"/>
  <c r="M433" i="17" s="1"/>
  <c r="E433" i="17" s="1"/>
  <c r="L434" i="17"/>
  <c r="M434" i="17" s="1"/>
  <c r="E434" i="17" s="1"/>
  <c r="L435" i="17"/>
  <c r="M435" i="17" s="1"/>
  <c r="E435" i="17" s="1"/>
  <c r="L436" i="17"/>
  <c r="M436" i="17" s="1"/>
  <c r="E436" i="17" s="1"/>
  <c r="L437" i="17"/>
  <c r="M437" i="17" s="1"/>
  <c r="E437" i="17" s="1"/>
  <c r="L438" i="17"/>
  <c r="M438" i="17" s="1"/>
  <c r="E438" i="17" s="1"/>
  <c r="L439" i="17"/>
  <c r="M439" i="17" s="1"/>
  <c r="E439" i="17" s="1"/>
  <c r="L440" i="17"/>
  <c r="M440" i="17" s="1"/>
  <c r="E440" i="17" s="1"/>
  <c r="L441" i="17"/>
  <c r="M441" i="17" s="1"/>
  <c r="E441" i="17" s="1"/>
  <c r="L442" i="17"/>
  <c r="M442" i="17" s="1"/>
  <c r="E442" i="17" s="1"/>
  <c r="L443" i="17"/>
  <c r="M443" i="17" s="1"/>
  <c r="E443" i="17" s="1"/>
  <c r="L444" i="17"/>
  <c r="M444" i="17" s="1"/>
  <c r="E444" i="17" s="1"/>
  <c r="L445" i="17"/>
  <c r="M445" i="17" s="1"/>
  <c r="E445" i="17" s="1"/>
  <c r="L446" i="17"/>
  <c r="M446" i="17" s="1"/>
  <c r="E446" i="17" s="1"/>
  <c r="L447" i="17"/>
  <c r="M447" i="17" s="1"/>
  <c r="E447" i="17" s="1"/>
  <c r="L448" i="17"/>
  <c r="M448" i="17" s="1"/>
  <c r="E448" i="17" s="1"/>
  <c r="L449" i="17"/>
  <c r="M449" i="17" s="1"/>
  <c r="E449" i="17" s="1"/>
  <c r="L450" i="17"/>
  <c r="M450" i="17" s="1"/>
  <c r="E450" i="17" s="1"/>
  <c r="L451" i="17"/>
  <c r="M451" i="17" s="1"/>
  <c r="E451" i="17" s="1"/>
  <c r="L452" i="17"/>
  <c r="M452" i="17" s="1"/>
  <c r="E452" i="17" s="1"/>
  <c r="L453" i="17"/>
  <c r="M453" i="17" s="1"/>
  <c r="E453" i="17" s="1"/>
  <c r="L454" i="17"/>
  <c r="M454" i="17" s="1"/>
  <c r="E454" i="17" s="1"/>
  <c r="L455" i="17"/>
  <c r="M455" i="17" s="1"/>
  <c r="E455" i="17" s="1"/>
  <c r="L456" i="17"/>
  <c r="M456" i="17" s="1"/>
  <c r="E456" i="17" s="1"/>
  <c r="L457" i="17"/>
  <c r="M457" i="17" s="1"/>
  <c r="E457" i="17" s="1"/>
  <c r="L458" i="17"/>
  <c r="M458" i="17" s="1"/>
  <c r="E458" i="17" s="1"/>
  <c r="L459" i="17"/>
  <c r="M459" i="17" s="1"/>
  <c r="E459" i="17" s="1"/>
  <c r="L460" i="17"/>
  <c r="M460" i="17" s="1"/>
  <c r="E460" i="17" s="1"/>
  <c r="L461" i="17"/>
  <c r="M461" i="17" s="1"/>
  <c r="E461" i="17" s="1"/>
  <c r="L462" i="17"/>
  <c r="M462" i="17" s="1"/>
  <c r="E462" i="17" s="1"/>
  <c r="L463" i="17"/>
  <c r="M463" i="17" s="1"/>
  <c r="E463" i="17" s="1"/>
  <c r="L464" i="17"/>
  <c r="M464" i="17" s="1"/>
  <c r="E464" i="17" s="1"/>
  <c r="L465" i="17"/>
  <c r="M465" i="17" s="1"/>
  <c r="E465" i="17" s="1"/>
  <c r="L466" i="17"/>
  <c r="M466" i="17" s="1"/>
  <c r="E466" i="17" s="1"/>
  <c r="L467" i="17"/>
  <c r="M467" i="17" s="1"/>
  <c r="E467" i="17" s="1"/>
  <c r="L468" i="17"/>
  <c r="M468" i="17" s="1"/>
  <c r="E468" i="17" s="1"/>
  <c r="L469" i="17"/>
  <c r="M469" i="17" s="1"/>
  <c r="E469" i="17" s="1"/>
  <c r="L470" i="17"/>
  <c r="M470" i="17" s="1"/>
  <c r="E470" i="17" s="1"/>
  <c r="L471" i="17"/>
  <c r="M471" i="17" s="1"/>
  <c r="E471" i="17" s="1"/>
  <c r="L472" i="17"/>
  <c r="M472" i="17" s="1"/>
  <c r="E472" i="17" s="1"/>
  <c r="L473" i="17"/>
  <c r="M473" i="17" s="1"/>
  <c r="E473" i="17" s="1"/>
  <c r="L474" i="17"/>
  <c r="M474" i="17" s="1"/>
  <c r="E474" i="17" s="1"/>
  <c r="L475" i="17"/>
  <c r="M475" i="17" s="1"/>
  <c r="E475" i="17" s="1"/>
  <c r="L476" i="17"/>
  <c r="M476" i="17" s="1"/>
  <c r="E476" i="17" s="1"/>
  <c r="L477" i="17"/>
  <c r="M477" i="17" s="1"/>
  <c r="E477" i="17" s="1"/>
  <c r="L478" i="17"/>
  <c r="M478" i="17" s="1"/>
  <c r="E478" i="17" s="1"/>
  <c r="L479" i="17"/>
  <c r="M479" i="17" s="1"/>
  <c r="E479" i="17" s="1"/>
  <c r="L480" i="17"/>
  <c r="M480" i="17" s="1"/>
  <c r="E480" i="17" s="1"/>
  <c r="L481" i="17"/>
  <c r="M481" i="17" s="1"/>
  <c r="E481" i="17" s="1"/>
  <c r="L482" i="17"/>
  <c r="M482" i="17" s="1"/>
  <c r="E482" i="17" s="1"/>
  <c r="L483" i="17"/>
  <c r="M483" i="17" s="1"/>
  <c r="E483" i="17" s="1"/>
  <c r="L484" i="17"/>
  <c r="M484" i="17" s="1"/>
  <c r="E484" i="17" s="1"/>
  <c r="L485" i="17"/>
  <c r="M485" i="17" s="1"/>
  <c r="E485" i="17" s="1"/>
  <c r="L486" i="17"/>
  <c r="M486" i="17" s="1"/>
  <c r="E486" i="17" s="1"/>
  <c r="L487" i="17"/>
  <c r="M487" i="17" s="1"/>
  <c r="E487" i="17" s="1"/>
  <c r="L488" i="17"/>
  <c r="M488" i="17" s="1"/>
  <c r="E488" i="17" s="1"/>
  <c r="L489" i="17"/>
  <c r="M489" i="17" s="1"/>
  <c r="E489" i="17" s="1"/>
  <c r="L490" i="17"/>
  <c r="M490" i="17" s="1"/>
  <c r="E490" i="17" s="1"/>
  <c r="L491" i="17"/>
  <c r="M491" i="17" s="1"/>
  <c r="E491" i="17" s="1"/>
  <c r="L492" i="17"/>
  <c r="M492" i="17" s="1"/>
  <c r="E492" i="17" s="1"/>
  <c r="L493" i="17"/>
  <c r="M493" i="17" s="1"/>
  <c r="E493" i="17" s="1"/>
  <c r="L494" i="17"/>
  <c r="M494" i="17" s="1"/>
  <c r="E494" i="17" s="1"/>
  <c r="L495" i="17"/>
  <c r="M495" i="17" s="1"/>
  <c r="E495" i="17" s="1"/>
  <c r="L496" i="17"/>
  <c r="M496" i="17" s="1"/>
  <c r="E496" i="17" s="1"/>
  <c r="L497" i="17"/>
  <c r="M497" i="17" s="1"/>
  <c r="E497" i="17" s="1"/>
  <c r="L498" i="17"/>
  <c r="M498" i="17" s="1"/>
  <c r="E498" i="17" s="1"/>
  <c r="L499" i="17"/>
  <c r="M499" i="17" s="1"/>
  <c r="E499" i="17" s="1"/>
  <c r="L500" i="17"/>
  <c r="M500" i="17" s="1"/>
  <c r="E500" i="17" s="1"/>
  <c r="L501" i="17"/>
  <c r="M501" i="17" s="1"/>
  <c r="E501" i="17" s="1"/>
  <c r="L502" i="17"/>
  <c r="M502" i="17" s="1"/>
  <c r="E502" i="17" s="1"/>
  <c r="L503" i="17"/>
  <c r="M503" i="17" s="1"/>
  <c r="E503" i="17" s="1"/>
  <c r="L504" i="17"/>
  <c r="M504" i="17" s="1"/>
  <c r="E504" i="17" s="1"/>
  <c r="L505" i="17"/>
  <c r="M505" i="17" s="1"/>
  <c r="E505" i="17" s="1"/>
  <c r="L506" i="17"/>
  <c r="M506" i="17" s="1"/>
  <c r="E506" i="17" s="1"/>
  <c r="L507" i="17"/>
  <c r="M507" i="17" s="1"/>
  <c r="E507" i="17" s="1"/>
  <c r="L508" i="17"/>
  <c r="M508" i="17" s="1"/>
  <c r="E508" i="17" s="1"/>
  <c r="L509" i="17"/>
  <c r="M509" i="17" s="1"/>
  <c r="E509" i="17" s="1"/>
  <c r="L510" i="17"/>
  <c r="M510" i="17" s="1"/>
  <c r="E510" i="17" s="1"/>
  <c r="L511" i="17"/>
  <c r="M511" i="17" s="1"/>
  <c r="E511" i="17" s="1"/>
  <c r="L512" i="17"/>
  <c r="M512" i="17" s="1"/>
  <c r="E512" i="17" s="1"/>
  <c r="L513" i="17"/>
  <c r="M513" i="17" s="1"/>
  <c r="E513" i="17" s="1"/>
  <c r="L514" i="17"/>
  <c r="M514" i="17" s="1"/>
  <c r="E514" i="17" s="1"/>
  <c r="L515" i="17"/>
  <c r="M515" i="17" s="1"/>
  <c r="E515" i="17" s="1"/>
  <c r="L516" i="17"/>
  <c r="M516" i="17" s="1"/>
  <c r="E516" i="17" s="1"/>
  <c r="L517" i="17"/>
  <c r="M517" i="17" s="1"/>
  <c r="E517" i="17" s="1"/>
  <c r="L518" i="17"/>
  <c r="M518" i="17" s="1"/>
  <c r="E518" i="17" s="1"/>
  <c r="L519" i="17"/>
  <c r="M519" i="17" s="1"/>
  <c r="E519" i="17" s="1"/>
  <c r="L520" i="17"/>
  <c r="M520" i="17" s="1"/>
  <c r="E520" i="17" s="1"/>
  <c r="L521" i="17"/>
  <c r="M521" i="17" s="1"/>
  <c r="E521" i="17" s="1"/>
  <c r="L522" i="17"/>
  <c r="M522" i="17" s="1"/>
  <c r="E522" i="17" s="1"/>
  <c r="L523" i="17"/>
  <c r="M523" i="17" s="1"/>
  <c r="E523" i="17" s="1"/>
  <c r="L524" i="17"/>
  <c r="M524" i="17" s="1"/>
  <c r="E524" i="17" s="1"/>
  <c r="L525" i="17"/>
  <c r="M525" i="17" s="1"/>
  <c r="E525" i="17" s="1"/>
  <c r="L526" i="17"/>
  <c r="M526" i="17" s="1"/>
  <c r="E526" i="17" s="1"/>
  <c r="L527" i="17"/>
  <c r="M527" i="17" s="1"/>
  <c r="E527" i="17" s="1"/>
  <c r="L528" i="17"/>
  <c r="M528" i="17" s="1"/>
  <c r="E528" i="17" s="1"/>
  <c r="L529" i="17"/>
  <c r="M529" i="17" s="1"/>
  <c r="E529" i="17" s="1"/>
  <c r="L530" i="17"/>
  <c r="M530" i="17" s="1"/>
  <c r="E530" i="17" s="1"/>
  <c r="L531" i="17"/>
  <c r="M531" i="17" s="1"/>
  <c r="E531" i="17" s="1"/>
  <c r="L532" i="17"/>
  <c r="M532" i="17" s="1"/>
  <c r="E532" i="17" s="1"/>
  <c r="L533" i="17"/>
  <c r="M533" i="17" s="1"/>
  <c r="E533" i="17" s="1"/>
  <c r="L534" i="17"/>
  <c r="M534" i="17" s="1"/>
  <c r="E534" i="17" s="1"/>
  <c r="L535" i="17"/>
  <c r="M535" i="17" s="1"/>
  <c r="E535" i="17" s="1"/>
  <c r="L536" i="17"/>
  <c r="M536" i="17" s="1"/>
  <c r="E536" i="17" s="1"/>
  <c r="L537" i="17"/>
  <c r="M537" i="17" s="1"/>
  <c r="E537" i="17" s="1"/>
  <c r="L538" i="17"/>
  <c r="M538" i="17" s="1"/>
  <c r="E538" i="17" s="1"/>
  <c r="L539" i="17"/>
  <c r="M539" i="17" s="1"/>
  <c r="E539" i="17" s="1"/>
  <c r="L540" i="17"/>
  <c r="M540" i="17" s="1"/>
  <c r="E540" i="17" s="1"/>
  <c r="L541" i="17"/>
  <c r="M541" i="17" s="1"/>
  <c r="E541" i="17" s="1"/>
  <c r="L542" i="17"/>
  <c r="M542" i="17" s="1"/>
  <c r="E542" i="17" s="1"/>
  <c r="L543" i="17"/>
  <c r="M543" i="17" s="1"/>
  <c r="E543" i="17" s="1"/>
  <c r="L544" i="17"/>
  <c r="M544" i="17" s="1"/>
  <c r="E544" i="17" s="1"/>
  <c r="L545" i="17"/>
  <c r="M545" i="17" s="1"/>
  <c r="E545" i="17" s="1"/>
  <c r="L546" i="17"/>
  <c r="M546" i="17" s="1"/>
  <c r="E546" i="17" s="1"/>
  <c r="L547" i="17"/>
  <c r="M547" i="17" s="1"/>
  <c r="E547" i="17" s="1"/>
  <c r="L548" i="17"/>
  <c r="M548" i="17" s="1"/>
  <c r="E548" i="17" s="1"/>
  <c r="L549" i="17"/>
  <c r="M549" i="17" s="1"/>
  <c r="E549" i="17" s="1"/>
  <c r="L550" i="17"/>
  <c r="M550" i="17" s="1"/>
  <c r="E550" i="17" s="1"/>
  <c r="L551" i="17"/>
  <c r="M551" i="17" s="1"/>
  <c r="E551" i="17" s="1"/>
  <c r="L552" i="17"/>
  <c r="M552" i="17" s="1"/>
  <c r="E552" i="17" s="1"/>
  <c r="L553" i="17"/>
  <c r="M553" i="17" s="1"/>
  <c r="E553" i="17" s="1"/>
  <c r="L554" i="17"/>
  <c r="M554" i="17" s="1"/>
  <c r="E554" i="17" s="1"/>
  <c r="L555" i="17"/>
  <c r="M555" i="17" s="1"/>
  <c r="E555" i="17" s="1"/>
  <c r="L556" i="17"/>
  <c r="M556" i="17" s="1"/>
  <c r="E556" i="17" s="1"/>
  <c r="L557" i="17"/>
  <c r="M557" i="17" s="1"/>
  <c r="E557" i="17" s="1"/>
  <c r="L558" i="17"/>
  <c r="M558" i="17" s="1"/>
  <c r="E558" i="17" s="1"/>
  <c r="L559" i="17"/>
  <c r="M559" i="17" s="1"/>
  <c r="E559" i="17" s="1"/>
  <c r="L560" i="17"/>
  <c r="M560" i="17" s="1"/>
  <c r="E560" i="17" s="1"/>
  <c r="L561" i="17"/>
  <c r="M561" i="17" s="1"/>
  <c r="E561" i="17" s="1"/>
  <c r="L562" i="17"/>
  <c r="M562" i="17" s="1"/>
  <c r="E562" i="17" s="1"/>
  <c r="L563" i="17"/>
  <c r="M563" i="17" s="1"/>
  <c r="E563" i="17" s="1"/>
  <c r="L564" i="17"/>
  <c r="M564" i="17" s="1"/>
  <c r="E564" i="17" s="1"/>
  <c r="L565" i="17"/>
  <c r="M565" i="17" s="1"/>
  <c r="E565" i="17" s="1"/>
  <c r="L566" i="17"/>
  <c r="M566" i="17" s="1"/>
  <c r="E566" i="17" s="1"/>
  <c r="L567" i="17"/>
  <c r="M567" i="17" s="1"/>
  <c r="E567" i="17" s="1"/>
  <c r="L568" i="17"/>
  <c r="M568" i="17" s="1"/>
  <c r="E568" i="17" s="1"/>
  <c r="L569" i="17"/>
  <c r="M569" i="17" s="1"/>
  <c r="E569" i="17" s="1"/>
  <c r="L570" i="17"/>
  <c r="M570" i="17" s="1"/>
  <c r="E570" i="17" s="1"/>
  <c r="L571" i="17"/>
  <c r="M571" i="17" s="1"/>
  <c r="E571" i="17" s="1"/>
  <c r="L572" i="17"/>
  <c r="M572" i="17" s="1"/>
  <c r="E572" i="17" s="1"/>
  <c r="L573" i="17"/>
  <c r="M573" i="17" s="1"/>
  <c r="E573" i="17" s="1"/>
  <c r="L574" i="17"/>
  <c r="M574" i="17" s="1"/>
  <c r="E574" i="17" s="1"/>
  <c r="L575" i="17"/>
  <c r="M575" i="17" s="1"/>
  <c r="E575" i="17" s="1"/>
  <c r="L576" i="17"/>
  <c r="M576" i="17" s="1"/>
  <c r="E576" i="17" s="1"/>
  <c r="L577" i="17"/>
  <c r="M577" i="17" s="1"/>
  <c r="E577" i="17" s="1"/>
  <c r="L578" i="17"/>
  <c r="M578" i="17" s="1"/>
  <c r="E578" i="17" s="1"/>
  <c r="L579" i="17"/>
  <c r="M579" i="17" s="1"/>
  <c r="E579" i="17" s="1"/>
  <c r="L580" i="17"/>
  <c r="M580" i="17" s="1"/>
  <c r="E580" i="17" s="1"/>
  <c r="L581" i="17"/>
  <c r="M581" i="17" s="1"/>
  <c r="E581" i="17" s="1"/>
  <c r="L582" i="17"/>
  <c r="M582" i="17" s="1"/>
  <c r="E582" i="17" s="1"/>
  <c r="L583" i="17"/>
  <c r="M583" i="17" s="1"/>
  <c r="E583" i="17" s="1"/>
  <c r="L584" i="17"/>
  <c r="M584" i="17" s="1"/>
  <c r="E584" i="17" s="1"/>
  <c r="L585" i="17"/>
  <c r="M585" i="17" s="1"/>
  <c r="E585" i="17" s="1"/>
  <c r="L586" i="17"/>
  <c r="M586" i="17" s="1"/>
  <c r="E586" i="17" s="1"/>
  <c r="L587" i="17"/>
  <c r="M587" i="17" s="1"/>
  <c r="E587" i="17" s="1"/>
  <c r="L588" i="17"/>
  <c r="M588" i="17" s="1"/>
  <c r="E588" i="17" s="1"/>
  <c r="L589" i="17"/>
  <c r="M589" i="17" s="1"/>
  <c r="E589" i="17" s="1"/>
  <c r="L590" i="17"/>
  <c r="M590" i="17" s="1"/>
  <c r="E590" i="17" s="1"/>
  <c r="L591" i="17"/>
  <c r="M591" i="17" s="1"/>
  <c r="E591" i="17" s="1"/>
  <c r="L592" i="17"/>
  <c r="M592" i="17" s="1"/>
  <c r="E592" i="17" s="1"/>
  <c r="L593" i="17"/>
  <c r="M593" i="17" s="1"/>
  <c r="E593" i="17" s="1"/>
  <c r="L594" i="17"/>
  <c r="M594" i="17" s="1"/>
  <c r="E594" i="17" s="1"/>
  <c r="L595" i="17"/>
  <c r="M595" i="17" s="1"/>
  <c r="E595" i="17" s="1"/>
  <c r="L596" i="17"/>
  <c r="M596" i="17" s="1"/>
  <c r="E596" i="17" s="1"/>
  <c r="L597" i="17"/>
  <c r="M597" i="17" s="1"/>
  <c r="E597" i="17" s="1"/>
  <c r="L598" i="17"/>
  <c r="M598" i="17" s="1"/>
  <c r="E598" i="17" s="1"/>
  <c r="L599" i="17"/>
  <c r="M599" i="17" s="1"/>
  <c r="E599" i="17" s="1"/>
  <c r="L600" i="17"/>
  <c r="M600" i="17" s="1"/>
  <c r="E600" i="17" s="1"/>
  <c r="L601" i="17"/>
  <c r="M601" i="17" s="1"/>
  <c r="E601" i="17" s="1"/>
  <c r="L602" i="17"/>
  <c r="M602" i="17" s="1"/>
  <c r="E602" i="17" s="1"/>
  <c r="L603" i="17"/>
  <c r="M603" i="17" s="1"/>
  <c r="E603" i="17" s="1"/>
  <c r="L604" i="17"/>
  <c r="M604" i="17" s="1"/>
  <c r="E604" i="17" s="1"/>
  <c r="L605" i="17"/>
  <c r="M605" i="17" s="1"/>
  <c r="E605" i="17" s="1"/>
  <c r="L606" i="17"/>
  <c r="M606" i="17" s="1"/>
  <c r="E606" i="17" s="1"/>
  <c r="L607" i="17"/>
  <c r="M607" i="17" s="1"/>
  <c r="E607" i="17" s="1"/>
  <c r="L608" i="17"/>
  <c r="M608" i="17" s="1"/>
  <c r="E608" i="17" s="1"/>
  <c r="L609" i="17"/>
  <c r="M609" i="17" s="1"/>
  <c r="E609" i="17" s="1"/>
  <c r="L610" i="17"/>
  <c r="M610" i="17" s="1"/>
  <c r="E610" i="17" s="1"/>
  <c r="L611" i="17"/>
  <c r="M611" i="17" s="1"/>
  <c r="E611" i="17" s="1"/>
  <c r="L612" i="17"/>
  <c r="M612" i="17" s="1"/>
  <c r="E612" i="17" s="1"/>
  <c r="L613" i="17"/>
  <c r="M613" i="17" s="1"/>
  <c r="E613" i="17" s="1"/>
  <c r="L614" i="17"/>
  <c r="M614" i="17" s="1"/>
  <c r="E614" i="17" s="1"/>
  <c r="L615" i="17"/>
  <c r="M615" i="17" s="1"/>
  <c r="E615" i="17" s="1"/>
  <c r="L616" i="17"/>
  <c r="M616" i="17" s="1"/>
  <c r="E616" i="17" s="1"/>
  <c r="L617" i="17"/>
  <c r="M617" i="17" s="1"/>
  <c r="E617" i="17" s="1"/>
  <c r="L618" i="17"/>
  <c r="M618" i="17" s="1"/>
  <c r="E618" i="17" s="1"/>
  <c r="L619" i="17"/>
  <c r="M619" i="17" s="1"/>
  <c r="E619" i="17" s="1"/>
  <c r="L620" i="17"/>
  <c r="M620" i="17" s="1"/>
  <c r="E620" i="17" s="1"/>
  <c r="L621" i="17"/>
  <c r="M621" i="17" s="1"/>
  <c r="E621" i="17" s="1"/>
  <c r="L622" i="17"/>
  <c r="M622" i="17" s="1"/>
  <c r="E622" i="17" s="1"/>
  <c r="L623" i="17"/>
  <c r="M623" i="17" s="1"/>
  <c r="E623" i="17" s="1"/>
  <c r="L624" i="17"/>
  <c r="M624" i="17" s="1"/>
  <c r="E624" i="17" s="1"/>
  <c r="L625" i="17"/>
  <c r="M625" i="17" s="1"/>
  <c r="E625" i="17" s="1"/>
  <c r="L626" i="17"/>
  <c r="M626" i="17" s="1"/>
  <c r="E626" i="17" s="1"/>
  <c r="L627" i="17"/>
  <c r="M627" i="17" s="1"/>
  <c r="E627" i="17" s="1"/>
  <c r="L628" i="17"/>
  <c r="M628" i="17" s="1"/>
  <c r="E628" i="17" s="1"/>
  <c r="L629" i="17"/>
  <c r="M629" i="17" s="1"/>
  <c r="E629" i="17" s="1"/>
  <c r="L630" i="17"/>
  <c r="M630" i="17" s="1"/>
  <c r="E630" i="17" s="1"/>
  <c r="L631" i="17"/>
  <c r="M631" i="17" s="1"/>
  <c r="E631" i="17" s="1"/>
  <c r="L632" i="17"/>
  <c r="M632" i="17" s="1"/>
  <c r="E632" i="17" s="1"/>
  <c r="L633" i="17"/>
  <c r="M633" i="17" s="1"/>
  <c r="E633" i="17" s="1"/>
  <c r="L634" i="17"/>
  <c r="M634" i="17" s="1"/>
  <c r="E634" i="17" s="1"/>
  <c r="L635" i="17"/>
  <c r="M635" i="17" s="1"/>
  <c r="E635" i="17" s="1"/>
  <c r="L636" i="17"/>
  <c r="M636" i="17" s="1"/>
  <c r="E636" i="17" s="1"/>
  <c r="L637" i="17"/>
  <c r="M637" i="17" s="1"/>
  <c r="E637" i="17" s="1"/>
  <c r="L638" i="17"/>
  <c r="M638" i="17" s="1"/>
  <c r="E638" i="17" s="1"/>
  <c r="L639" i="17"/>
  <c r="M639" i="17" s="1"/>
  <c r="E639" i="17" s="1"/>
  <c r="L640" i="17"/>
  <c r="M640" i="17" s="1"/>
  <c r="E640" i="17" s="1"/>
  <c r="L641" i="17"/>
  <c r="M641" i="17" s="1"/>
  <c r="E641" i="17" s="1"/>
  <c r="L642" i="17"/>
  <c r="M642" i="17" s="1"/>
  <c r="E642" i="17" s="1"/>
  <c r="L643" i="17"/>
  <c r="M643" i="17" s="1"/>
  <c r="E643" i="17" s="1"/>
  <c r="L644" i="17"/>
  <c r="M644" i="17" s="1"/>
  <c r="E644" i="17" s="1"/>
  <c r="L645" i="17"/>
  <c r="M645" i="17" s="1"/>
  <c r="E645" i="17" s="1"/>
  <c r="L646" i="17"/>
  <c r="M646" i="17" s="1"/>
  <c r="E646" i="17" s="1"/>
  <c r="L647" i="17"/>
  <c r="M647" i="17" s="1"/>
  <c r="E647" i="17" s="1"/>
  <c r="L648" i="17"/>
  <c r="M648" i="17" s="1"/>
  <c r="E648" i="17" s="1"/>
  <c r="L649" i="17"/>
  <c r="M649" i="17" s="1"/>
  <c r="E649" i="17" s="1"/>
  <c r="L650" i="17"/>
  <c r="M650" i="17" s="1"/>
  <c r="E650" i="17" s="1"/>
  <c r="L651" i="17"/>
  <c r="M651" i="17" s="1"/>
  <c r="E651" i="17" s="1"/>
  <c r="L652" i="17"/>
  <c r="M652" i="17" s="1"/>
  <c r="E652" i="17" s="1"/>
  <c r="L653" i="17"/>
  <c r="M653" i="17" s="1"/>
  <c r="E653" i="17" s="1"/>
  <c r="L654" i="17"/>
  <c r="M654" i="17" s="1"/>
  <c r="E654" i="17" s="1"/>
  <c r="L655" i="17"/>
  <c r="M655" i="17" s="1"/>
  <c r="E655" i="17" s="1"/>
  <c r="L656" i="17"/>
  <c r="M656" i="17" s="1"/>
  <c r="E656" i="17" s="1"/>
  <c r="L657" i="17"/>
  <c r="M657" i="17" s="1"/>
  <c r="E657" i="17" s="1"/>
  <c r="L658" i="17"/>
  <c r="M658" i="17" s="1"/>
  <c r="E658" i="17" s="1"/>
  <c r="L659" i="17"/>
  <c r="M659" i="17" s="1"/>
  <c r="E659" i="17" s="1"/>
  <c r="L660" i="17"/>
  <c r="M660" i="17" s="1"/>
  <c r="E660" i="17" s="1"/>
  <c r="L661" i="17"/>
  <c r="M661" i="17" s="1"/>
  <c r="E661" i="17" s="1"/>
  <c r="L662" i="17"/>
  <c r="M662" i="17" s="1"/>
  <c r="E662" i="17" s="1"/>
  <c r="L663" i="17"/>
  <c r="M663" i="17" s="1"/>
  <c r="E663" i="17" s="1"/>
  <c r="L664" i="17"/>
  <c r="M664" i="17" s="1"/>
  <c r="E664" i="17" s="1"/>
  <c r="L665" i="17"/>
  <c r="M665" i="17" s="1"/>
  <c r="E665" i="17" s="1"/>
  <c r="L666" i="17"/>
  <c r="M666" i="17" s="1"/>
  <c r="E666" i="17" s="1"/>
  <c r="L667" i="17"/>
  <c r="M667" i="17" s="1"/>
  <c r="E667" i="17" s="1"/>
  <c r="L668" i="17"/>
  <c r="M668" i="17" s="1"/>
  <c r="E668" i="17" s="1"/>
  <c r="L669" i="17"/>
  <c r="M669" i="17" s="1"/>
  <c r="E669" i="17" s="1"/>
  <c r="L670" i="17"/>
  <c r="M670" i="17" s="1"/>
  <c r="E670" i="17" s="1"/>
  <c r="L671" i="17"/>
  <c r="M671" i="17" s="1"/>
  <c r="E671" i="17" s="1"/>
  <c r="L672" i="17"/>
  <c r="M672" i="17" s="1"/>
  <c r="E672" i="17" s="1"/>
  <c r="L673" i="17"/>
  <c r="M673" i="17" s="1"/>
  <c r="E673" i="17" s="1"/>
  <c r="L674" i="17"/>
  <c r="M674" i="17" s="1"/>
  <c r="E674" i="17" s="1"/>
  <c r="L675" i="17"/>
  <c r="M675" i="17" s="1"/>
  <c r="E675" i="17" s="1"/>
  <c r="L676" i="17"/>
  <c r="M676" i="17" s="1"/>
  <c r="E676" i="17" s="1"/>
  <c r="L677" i="17"/>
  <c r="M677" i="17" s="1"/>
  <c r="E677" i="17" s="1"/>
  <c r="L678" i="17"/>
  <c r="M678" i="17" s="1"/>
  <c r="E678" i="17" s="1"/>
  <c r="L679" i="17"/>
  <c r="M679" i="17" s="1"/>
  <c r="E679" i="17" s="1"/>
  <c r="L680" i="17"/>
  <c r="M680" i="17" s="1"/>
  <c r="E680" i="17" s="1"/>
  <c r="L681" i="17"/>
  <c r="M681" i="17" s="1"/>
  <c r="E681" i="17" s="1"/>
  <c r="L682" i="17"/>
  <c r="M682" i="17" s="1"/>
  <c r="E682" i="17" s="1"/>
  <c r="L683" i="17"/>
  <c r="M683" i="17" s="1"/>
  <c r="E683" i="17" s="1"/>
  <c r="L684" i="17"/>
  <c r="M684" i="17" s="1"/>
  <c r="E684" i="17" s="1"/>
  <c r="L685" i="17"/>
  <c r="M685" i="17" s="1"/>
  <c r="E685" i="17" s="1"/>
  <c r="L686" i="17"/>
  <c r="M686" i="17" s="1"/>
  <c r="E686" i="17" s="1"/>
  <c r="L687" i="17"/>
  <c r="M687" i="17" s="1"/>
  <c r="E687" i="17" s="1"/>
  <c r="L688" i="17"/>
  <c r="M688" i="17" s="1"/>
  <c r="E688" i="17" s="1"/>
  <c r="L689" i="17"/>
  <c r="M689" i="17" s="1"/>
  <c r="E689" i="17" s="1"/>
  <c r="L690" i="17"/>
  <c r="M690" i="17" s="1"/>
  <c r="E690" i="17" s="1"/>
  <c r="L691" i="17"/>
  <c r="M691" i="17" s="1"/>
  <c r="E691" i="17" s="1"/>
  <c r="L692" i="17"/>
  <c r="M692" i="17" s="1"/>
  <c r="E692" i="17" s="1"/>
  <c r="L693" i="17"/>
  <c r="M693" i="17" s="1"/>
  <c r="E693" i="17" s="1"/>
  <c r="L694" i="17"/>
  <c r="M694" i="17" s="1"/>
  <c r="E694" i="17" s="1"/>
  <c r="L695" i="17"/>
  <c r="M695" i="17" s="1"/>
  <c r="E695" i="17" s="1"/>
  <c r="L696" i="17"/>
  <c r="M696" i="17" s="1"/>
  <c r="E696" i="17" s="1"/>
  <c r="L697" i="17"/>
  <c r="M697" i="17" s="1"/>
  <c r="E697" i="17" s="1"/>
  <c r="L698" i="17"/>
  <c r="M698" i="17" s="1"/>
  <c r="E698" i="17" s="1"/>
  <c r="L699" i="17"/>
  <c r="M699" i="17" s="1"/>
  <c r="E699" i="17" s="1"/>
  <c r="L700" i="17"/>
  <c r="M700" i="17" s="1"/>
  <c r="E700" i="17" s="1"/>
  <c r="L701" i="17"/>
  <c r="M701" i="17" s="1"/>
  <c r="E701" i="17" s="1"/>
  <c r="L702" i="17"/>
  <c r="M702" i="17" s="1"/>
  <c r="E702" i="17" s="1"/>
  <c r="L703" i="17"/>
  <c r="M703" i="17" s="1"/>
  <c r="E703" i="17" s="1"/>
  <c r="L704" i="17"/>
  <c r="M704" i="17" s="1"/>
  <c r="E704" i="17" s="1"/>
  <c r="L705" i="17"/>
  <c r="M705" i="17" s="1"/>
  <c r="E705" i="17" s="1"/>
  <c r="L706" i="17"/>
  <c r="M706" i="17" s="1"/>
  <c r="E706" i="17" s="1"/>
  <c r="L707" i="17"/>
  <c r="M707" i="17" s="1"/>
  <c r="E707" i="17" s="1"/>
  <c r="L708" i="17"/>
  <c r="M708" i="17" s="1"/>
  <c r="E708" i="17" s="1"/>
  <c r="L709" i="17"/>
  <c r="M709" i="17" s="1"/>
  <c r="E709" i="17" s="1"/>
  <c r="L710" i="17"/>
  <c r="M710" i="17" s="1"/>
  <c r="E710" i="17" s="1"/>
  <c r="L711" i="17"/>
  <c r="M711" i="17" s="1"/>
  <c r="E711" i="17" s="1"/>
  <c r="L712" i="17"/>
  <c r="M712" i="17" s="1"/>
  <c r="E712" i="17" s="1"/>
  <c r="L713" i="17"/>
  <c r="M713" i="17" s="1"/>
  <c r="E713" i="17" s="1"/>
  <c r="L714" i="17"/>
  <c r="M714" i="17" s="1"/>
  <c r="E714" i="17" s="1"/>
  <c r="L715" i="17"/>
  <c r="M715" i="17" s="1"/>
  <c r="E715" i="17" s="1"/>
  <c r="L716" i="17"/>
  <c r="M716" i="17" s="1"/>
  <c r="E716" i="17" s="1"/>
  <c r="L717" i="17"/>
  <c r="M717" i="17" s="1"/>
  <c r="E717" i="17" s="1"/>
  <c r="L718" i="17"/>
  <c r="M718" i="17" s="1"/>
  <c r="E718" i="17" s="1"/>
  <c r="L719" i="17"/>
  <c r="M719" i="17" s="1"/>
  <c r="E719" i="17" s="1"/>
  <c r="L720" i="17"/>
  <c r="M720" i="17" s="1"/>
  <c r="E720" i="17" s="1"/>
  <c r="L721" i="17"/>
  <c r="M721" i="17" s="1"/>
  <c r="E721" i="17" s="1"/>
  <c r="L722" i="17"/>
  <c r="M722" i="17" s="1"/>
  <c r="E722" i="17" s="1"/>
  <c r="L723" i="17"/>
  <c r="M723" i="17" s="1"/>
  <c r="E723" i="17" s="1"/>
  <c r="L724" i="17"/>
  <c r="M724" i="17" s="1"/>
  <c r="E724" i="17" s="1"/>
  <c r="L725" i="17"/>
  <c r="M725" i="17" s="1"/>
  <c r="E725" i="17" s="1"/>
  <c r="L726" i="17"/>
  <c r="M726" i="17" s="1"/>
  <c r="E726" i="17" s="1"/>
  <c r="L727" i="17"/>
  <c r="M727" i="17" s="1"/>
  <c r="E727" i="17" s="1"/>
  <c r="L728" i="17"/>
  <c r="M728" i="17" s="1"/>
  <c r="E728" i="17" s="1"/>
  <c r="L729" i="17"/>
  <c r="M729" i="17" s="1"/>
  <c r="E729" i="17" s="1"/>
  <c r="L730" i="17"/>
  <c r="M730" i="17" s="1"/>
  <c r="E730" i="17" s="1"/>
  <c r="L731" i="17"/>
  <c r="M731" i="17" s="1"/>
  <c r="E731" i="17" s="1"/>
  <c r="L732" i="17"/>
  <c r="M732" i="17" s="1"/>
  <c r="E732" i="17" s="1"/>
  <c r="L733" i="17"/>
  <c r="M733" i="17" s="1"/>
  <c r="E733" i="17" s="1"/>
  <c r="L734" i="17"/>
  <c r="M734" i="17" s="1"/>
  <c r="E734" i="17" s="1"/>
  <c r="L735" i="17"/>
  <c r="M735" i="17" s="1"/>
  <c r="E735" i="17" s="1"/>
  <c r="L736" i="17"/>
  <c r="M736" i="17" s="1"/>
  <c r="E736" i="17" s="1"/>
  <c r="L737" i="17"/>
  <c r="M737" i="17" s="1"/>
  <c r="E737" i="17" s="1"/>
  <c r="L738" i="17"/>
  <c r="M738" i="17" s="1"/>
  <c r="E738" i="17" s="1"/>
  <c r="L739" i="17"/>
  <c r="M739" i="17" s="1"/>
  <c r="E739" i="17" s="1"/>
  <c r="L740" i="17"/>
  <c r="M740" i="17" s="1"/>
  <c r="E740" i="17" s="1"/>
  <c r="L741" i="17"/>
  <c r="M741" i="17" s="1"/>
  <c r="E741" i="17" s="1"/>
  <c r="L742" i="17"/>
  <c r="M742" i="17" s="1"/>
  <c r="E742" i="17" s="1"/>
  <c r="L743" i="17"/>
  <c r="M743" i="17" s="1"/>
  <c r="E743" i="17" s="1"/>
  <c r="L744" i="17"/>
  <c r="M744" i="17" s="1"/>
  <c r="E744" i="17" s="1"/>
  <c r="L745" i="17"/>
  <c r="M745" i="17" s="1"/>
  <c r="E745" i="17" s="1"/>
  <c r="L746" i="17"/>
  <c r="M746" i="17" s="1"/>
  <c r="E746" i="17" s="1"/>
  <c r="L747" i="17"/>
  <c r="M747" i="17" s="1"/>
  <c r="E747" i="17" s="1"/>
  <c r="L748" i="17"/>
  <c r="M748" i="17" s="1"/>
  <c r="E748" i="17" s="1"/>
  <c r="L749" i="17"/>
  <c r="M749" i="17" s="1"/>
  <c r="E749" i="17" s="1"/>
  <c r="L750" i="17"/>
  <c r="M750" i="17" s="1"/>
  <c r="E750" i="17" s="1"/>
  <c r="L751" i="17"/>
  <c r="M751" i="17" s="1"/>
  <c r="E751" i="17" s="1"/>
  <c r="L752" i="17"/>
  <c r="M752" i="17" s="1"/>
  <c r="E752" i="17" s="1"/>
  <c r="L753" i="17"/>
  <c r="M753" i="17" s="1"/>
  <c r="E753" i="17" s="1"/>
  <c r="L754" i="17"/>
  <c r="M754" i="17" s="1"/>
  <c r="E754" i="17" s="1"/>
  <c r="L755" i="17"/>
  <c r="M755" i="17" s="1"/>
  <c r="E755" i="17" s="1"/>
  <c r="L756" i="17"/>
  <c r="M756" i="17" s="1"/>
  <c r="E756" i="17" s="1"/>
  <c r="L757" i="17"/>
  <c r="M757" i="17" s="1"/>
  <c r="E757" i="17" s="1"/>
  <c r="L758" i="17"/>
  <c r="M758" i="17" s="1"/>
  <c r="E758" i="17" s="1"/>
  <c r="L759" i="17"/>
  <c r="M759" i="17" s="1"/>
  <c r="E759" i="17" s="1"/>
  <c r="L760" i="17"/>
  <c r="M760" i="17" s="1"/>
  <c r="E760" i="17" s="1"/>
  <c r="L761" i="17"/>
  <c r="M761" i="17" s="1"/>
  <c r="E761" i="17" s="1"/>
  <c r="L762" i="17"/>
  <c r="M762" i="17" s="1"/>
  <c r="E762" i="17" s="1"/>
  <c r="L763" i="17"/>
  <c r="M763" i="17" s="1"/>
  <c r="E763" i="17" s="1"/>
  <c r="L764" i="17"/>
  <c r="M764" i="17" s="1"/>
  <c r="E764" i="17" s="1"/>
  <c r="L765" i="17"/>
  <c r="M765" i="17" s="1"/>
  <c r="E765" i="17" s="1"/>
  <c r="L766" i="17"/>
  <c r="M766" i="17" s="1"/>
  <c r="E766" i="17" s="1"/>
  <c r="L767" i="17"/>
  <c r="M767" i="17" s="1"/>
  <c r="E767" i="17" s="1"/>
  <c r="L768" i="17"/>
  <c r="M768" i="17" s="1"/>
  <c r="E768" i="17" s="1"/>
  <c r="L769" i="17"/>
  <c r="M769" i="17" s="1"/>
  <c r="E769" i="17" s="1"/>
  <c r="L770" i="17"/>
  <c r="M770" i="17" s="1"/>
  <c r="E770" i="17" s="1"/>
  <c r="L771" i="17"/>
  <c r="M771" i="17" s="1"/>
  <c r="E771" i="17" s="1"/>
  <c r="L772" i="17"/>
  <c r="M772" i="17" s="1"/>
  <c r="E772" i="17" s="1"/>
  <c r="L773" i="17"/>
  <c r="M773" i="17" s="1"/>
  <c r="E773" i="17" s="1"/>
  <c r="L774" i="17"/>
  <c r="M774" i="17" s="1"/>
  <c r="E774" i="17" s="1"/>
  <c r="L775" i="17"/>
  <c r="M775" i="17" s="1"/>
  <c r="E775" i="17" s="1"/>
  <c r="L776" i="17"/>
  <c r="M776" i="17" s="1"/>
  <c r="E776" i="17" s="1"/>
  <c r="L777" i="17"/>
  <c r="M777" i="17" s="1"/>
  <c r="E777" i="17" s="1"/>
  <c r="L778" i="17"/>
  <c r="M778" i="17" s="1"/>
  <c r="E778" i="17" s="1"/>
  <c r="L779" i="17"/>
  <c r="M779" i="17" s="1"/>
  <c r="E779" i="17" s="1"/>
  <c r="L780" i="17"/>
  <c r="M780" i="17" s="1"/>
  <c r="E780" i="17" s="1"/>
  <c r="L781" i="17"/>
  <c r="M781" i="17" s="1"/>
  <c r="E781" i="17" s="1"/>
  <c r="L782" i="17"/>
  <c r="M782" i="17" s="1"/>
  <c r="E782" i="17" s="1"/>
  <c r="L783" i="17"/>
  <c r="M783" i="17" s="1"/>
  <c r="E783" i="17" s="1"/>
  <c r="L784" i="17"/>
  <c r="M784" i="17" s="1"/>
  <c r="E784" i="17" s="1"/>
  <c r="L785" i="17"/>
  <c r="M785" i="17" s="1"/>
  <c r="E785" i="17" s="1"/>
  <c r="L786" i="17"/>
  <c r="M786" i="17" s="1"/>
  <c r="E786" i="17" s="1"/>
  <c r="L787" i="17"/>
  <c r="M787" i="17" s="1"/>
  <c r="E787" i="17" s="1"/>
  <c r="L788" i="17"/>
  <c r="M788" i="17" s="1"/>
  <c r="E788" i="17" s="1"/>
  <c r="L789" i="17"/>
  <c r="M789" i="17" s="1"/>
  <c r="E789" i="17" s="1"/>
  <c r="L790" i="17"/>
  <c r="M790" i="17" s="1"/>
  <c r="E790" i="17" s="1"/>
  <c r="L791" i="17"/>
  <c r="M791" i="17" s="1"/>
  <c r="E791" i="17" s="1"/>
  <c r="L792" i="17"/>
  <c r="M792" i="17" s="1"/>
  <c r="E792" i="17" s="1"/>
  <c r="L793" i="17"/>
  <c r="M793" i="17" s="1"/>
  <c r="E793" i="17" s="1"/>
  <c r="L794" i="17"/>
  <c r="M794" i="17" s="1"/>
  <c r="E794" i="17" s="1"/>
  <c r="L795" i="17"/>
  <c r="M795" i="17" s="1"/>
  <c r="E795" i="17" s="1"/>
  <c r="L796" i="17"/>
  <c r="M796" i="17" s="1"/>
  <c r="E796" i="17" s="1"/>
  <c r="L797" i="17"/>
  <c r="M797" i="17" s="1"/>
  <c r="E797" i="17" s="1"/>
  <c r="L798" i="17"/>
  <c r="M798" i="17" s="1"/>
  <c r="E798" i="17" s="1"/>
  <c r="L799" i="17"/>
  <c r="M799" i="17" s="1"/>
  <c r="E799" i="17" s="1"/>
  <c r="L800" i="17"/>
  <c r="M800" i="17" s="1"/>
  <c r="E800" i="17" s="1"/>
  <c r="L801" i="17"/>
  <c r="M801" i="17" s="1"/>
  <c r="E801" i="17" s="1"/>
  <c r="L802" i="17"/>
  <c r="M802" i="17" s="1"/>
  <c r="E802" i="17" s="1"/>
  <c r="L803" i="17"/>
  <c r="M803" i="17" s="1"/>
  <c r="E803" i="17" s="1"/>
  <c r="L804" i="17"/>
  <c r="M804" i="17" s="1"/>
  <c r="E804" i="17" s="1"/>
  <c r="L805" i="17"/>
  <c r="M805" i="17" s="1"/>
  <c r="E805" i="17" s="1"/>
  <c r="L806" i="17"/>
  <c r="M806" i="17" s="1"/>
  <c r="E806" i="17" s="1"/>
  <c r="L807" i="17"/>
  <c r="M807" i="17" s="1"/>
  <c r="E807" i="17" s="1"/>
  <c r="L808" i="17"/>
  <c r="M808" i="17" s="1"/>
  <c r="E808" i="17" s="1"/>
  <c r="L809" i="17"/>
  <c r="M809" i="17" s="1"/>
  <c r="E809" i="17" s="1"/>
  <c r="L810" i="17"/>
  <c r="M810" i="17" s="1"/>
  <c r="E810" i="17" s="1"/>
  <c r="L811" i="17"/>
  <c r="M811" i="17" s="1"/>
  <c r="E811" i="17" s="1"/>
  <c r="L812" i="17"/>
  <c r="M812" i="17" s="1"/>
  <c r="E812" i="17" s="1"/>
  <c r="L813" i="17"/>
  <c r="M813" i="17" s="1"/>
  <c r="E813" i="17" s="1"/>
  <c r="L814" i="17"/>
  <c r="M814" i="17" s="1"/>
  <c r="E814" i="17" s="1"/>
  <c r="L815" i="17"/>
  <c r="M815" i="17" s="1"/>
  <c r="E815" i="17" s="1"/>
  <c r="L816" i="17"/>
  <c r="M816" i="17" s="1"/>
  <c r="E816" i="17" s="1"/>
  <c r="L817" i="17"/>
  <c r="M817" i="17" s="1"/>
  <c r="E817" i="17" s="1"/>
  <c r="L818" i="17"/>
  <c r="M818" i="17" s="1"/>
  <c r="E818" i="17" s="1"/>
  <c r="L819" i="17"/>
  <c r="M819" i="17" s="1"/>
  <c r="E819" i="17" s="1"/>
  <c r="L820" i="17"/>
  <c r="M820" i="17" s="1"/>
  <c r="E820" i="17" s="1"/>
  <c r="L821" i="17"/>
  <c r="M821" i="17" s="1"/>
  <c r="E821" i="17" s="1"/>
  <c r="L822" i="17"/>
  <c r="M822" i="17" s="1"/>
  <c r="E822" i="17" s="1"/>
  <c r="L823" i="17"/>
  <c r="M823" i="17" s="1"/>
  <c r="E823" i="17" s="1"/>
  <c r="L824" i="17"/>
  <c r="M824" i="17" s="1"/>
  <c r="E824" i="17" s="1"/>
  <c r="L825" i="17"/>
  <c r="M825" i="17" s="1"/>
  <c r="E825" i="17" s="1"/>
  <c r="L826" i="17"/>
  <c r="M826" i="17" s="1"/>
  <c r="E826" i="17" s="1"/>
  <c r="L827" i="17"/>
  <c r="M827" i="17" s="1"/>
  <c r="E827" i="17" s="1"/>
  <c r="L828" i="17"/>
  <c r="M828" i="17" s="1"/>
  <c r="E828" i="17" s="1"/>
  <c r="L829" i="17"/>
  <c r="M829" i="17" s="1"/>
  <c r="E829" i="17" s="1"/>
  <c r="L830" i="17"/>
  <c r="M830" i="17" s="1"/>
  <c r="E830" i="17" s="1"/>
  <c r="L831" i="17"/>
  <c r="M831" i="17" s="1"/>
  <c r="E831" i="17" s="1"/>
  <c r="L832" i="17"/>
  <c r="M832" i="17" s="1"/>
  <c r="E832" i="17" s="1"/>
  <c r="L833" i="17"/>
  <c r="M833" i="17" s="1"/>
  <c r="E833" i="17" s="1"/>
  <c r="L834" i="17"/>
  <c r="M834" i="17" s="1"/>
  <c r="E834" i="17" s="1"/>
  <c r="L835" i="17"/>
  <c r="M835" i="17" s="1"/>
  <c r="E835" i="17" s="1"/>
  <c r="L836" i="17"/>
  <c r="M836" i="17" s="1"/>
  <c r="E836" i="17" s="1"/>
  <c r="L837" i="17"/>
  <c r="M837" i="17" s="1"/>
  <c r="E837" i="17" s="1"/>
  <c r="L838" i="17"/>
  <c r="M838" i="17" s="1"/>
  <c r="E838" i="17" s="1"/>
  <c r="L839" i="17"/>
  <c r="M839" i="17" s="1"/>
  <c r="E839" i="17" s="1"/>
  <c r="L840" i="17"/>
  <c r="M840" i="17" s="1"/>
  <c r="E840" i="17" s="1"/>
  <c r="L841" i="17"/>
  <c r="M841" i="17" s="1"/>
  <c r="E841" i="17" s="1"/>
  <c r="L842" i="17"/>
  <c r="M842" i="17" s="1"/>
  <c r="E842" i="17" s="1"/>
  <c r="L843" i="17"/>
  <c r="M843" i="17" s="1"/>
  <c r="E843" i="17" s="1"/>
  <c r="L844" i="17"/>
  <c r="M844" i="17" s="1"/>
  <c r="E844" i="17" s="1"/>
  <c r="L845" i="17"/>
  <c r="M845" i="17" s="1"/>
  <c r="E845" i="17" s="1"/>
  <c r="L846" i="17"/>
  <c r="M846" i="17" s="1"/>
  <c r="E846" i="17" s="1"/>
  <c r="L847" i="17"/>
  <c r="M847" i="17" s="1"/>
  <c r="E847" i="17" s="1"/>
  <c r="L848" i="17"/>
  <c r="M848" i="17" s="1"/>
  <c r="E848" i="17" s="1"/>
  <c r="L849" i="17"/>
  <c r="M849" i="17" s="1"/>
  <c r="E849" i="17" s="1"/>
  <c r="L850" i="17"/>
  <c r="M850" i="17" s="1"/>
  <c r="E850" i="17" s="1"/>
  <c r="L851" i="17"/>
  <c r="M851" i="17" s="1"/>
  <c r="E851" i="17" s="1"/>
  <c r="L852" i="17"/>
  <c r="M852" i="17" s="1"/>
  <c r="E852" i="17" s="1"/>
  <c r="L853" i="17"/>
  <c r="M853" i="17" s="1"/>
  <c r="E853" i="17" s="1"/>
  <c r="L854" i="17"/>
  <c r="M854" i="17" s="1"/>
  <c r="E854" i="17" s="1"/>
  <c r="L855" i="17"/>
  <c r="M855" i="17" s="1"/>
  <c r="E855" i="17" s="1"/>
  <c r="L856" i="17"/>
  <c r="M856" i="17" s="1"/>
  <c r="E856" i="17" s="1"/>
  <c r="L857" i="17"/>
  <c r="M857" i="17" s="1"/>
  <c r="E857" i="17" s="1"/>
  <c r="L858" i="17"/>
  <c r="M858" i="17" s="1"/>
  <c r="E858" i="17" s="1"/>
  <c r="L859" i="17"/>
  <c r="M859" i="17" s="1"/>
  <c r="E859" i="17" s="1"/>
  <c r="L860" i="17"/>
  <c r="M860" i="17" s="1"/>
  <c r="E860" i="17" s="1"/>
  <c r="L861" i="17"/>
  <c r="M861" i="17" s="1"/>
  <c r="E861" i="17" s="1"/>
  <c r="L862" i="17"/>
  <c r="M862" i="17" s="1"/>
  <c r="E862" i="17" s="1"/>
  <c r="L863" i="17"/>
  <c r="M863" i="17" s="1"/>
  <c r="E863" i="17" s="1"/>
  <c r="L864" i="17"/>
  <c r="M864" i="17" s="1"/>
  <c r="E864" i="17" s="1"/>
  <c r="L865" i="17"/>
  <c r="M865" i="17" s="1"/>
  <c r="E865" i="17" s="1"/>
  <c r="L866" i="17"/>
  <c r="M866" i="17" s="1"/>
  <c r="E866" i="17" s="1"/>
  <c r="L867" i="17"/>
  <c r="M867" i="17" s="1"/>
  <c r="E867" i="17" s="1"/>
  <c r="L868" i="17"/>
  <c r="M868" i="17" s="1"/>
  <c r="E868" i="17" s="1"/>
  <c r="L869" i="17"/>
  <c r="M869" i="17" s="1"/>
  <c r="E869" i="17" s="1"/>
  <c r="L870" i="17"/>
  <c r="M870" i="17" s="1"/>
  <c r="E870" i="17" s="1"/>
  <c r="L871" i="17"/>
  <c r="M871" i="17" s="1"/>
  <c r="E871" i="17" s="1"/>
  <c r="L872" i="17"/>
  <c r="M872" i="17" s="1"/>
  <c r="E872" i="17" s="1"/>
  <c r="L873" i="17"/>
  <c r="M873" i="17" s="1"/>
  <c r="E873" i="17" s="1"/>
  <c r="L874" i="17"/>
  <c r="M874" i="17" s="1"/>
  <c r="E874" i="17" s="1"/>
  <c r="L875" i="17"/>
  <c r="M875" i="17" s="1"/>
  <c r="E875" i="17" s="1"/>
  <c r="L876" i="17"/>
  <c r="M876" i="17" s="1"/>
  <c r="E876" i="17" s="1"/>
  <c r="L877" i="17"/>
  <c r="M877" i="17" s="1"/>
  <c r="E877" i="17" s="1"/>
  <c r="L878" i="17"/>
  <c r="M878" i="17" s="1"/>
  <c r="E878" i="17" s="1"/>
  <c r="L879" i="17"/>
  <c r="M879" i="17" s="1"/>
  <c r="E879" i="17" s="1"/>
  <c r="L880" i="17"/>
  <c r="M880" i="17" s="1"/>
  <c r="E880" i="17" s="1"/>
  <c r="L881" i="17"/>
  <c r="M881" i="17" s="1"/>
  <c r="E881" i="17" s="1"/>
  <c r="L882" i="17"/>
  <c r="M882" i="17" s="1"/>
  <c r="E882" i="17" s="1"/>
  <c r="L883" i="17"/>
  <c r="M883" i="17" s="1"/>
  <c r="E883" i="17" s="1"/>
  <c r="L884" i="17"/>
  <c r="M884" i="17" s="1"/>
  <c r="E884" i="17" s="1"/>
  <c r="L885" i="17"/>
  <c r="M885" i="17" s="1"/>
  <c r="E885" i="17" s="1"/>
  <c r="L886" i="17"/>
  <c r="M886" i="17" s="1"/>
  <c r="E886" i="17" s="1"/>
  <c r="L887" i="17"/>
  <c r="M887" i="17" s="1"/>
  <c r="E887" i="17" s="1"/>
  <c r="L888" i="17"/>
  <c r="M888" i="17" s="1"/>
  <c r="E888" i="17" s="1"/>
  <c r="L889" i="17"/>
  <c r="M889" i="17" s="1"/>
  <c r="E889" i="17" s="1"/>
  <c r="L890" i="17"/>
  <c r="M890" i="17" s="1"/>
  <c r="E890" i="17" s="1"/>
  <c r="L891" i="17"/>
  <c r="M891" i="17" s="1"/>
  <c r="E891" i="17" s="1"/>
  <c r="L892" i="17"/>
  <c r="M892" i="17" s="1"/>
  <c r="E892" i="17" s="1"/>
  <c r="L893" i="17"/>
  <c r="M893" i="17" s="1"/>
  <c r="E893" i="17" s="1"/>
  <c r="L894" i="17"/>
  <c r="M894" i="17" s="1"/>
  <c r="E894" i="17" s="1"/>
  <c r="L895" i="17"/>
  <c r="M895" i="17" s="1"/>
  <c r="E895" i="17" s="1"/>
  <c r="L896" i="17"/>
  <c r="M896" i="17" s="1"/>
  <c r="E896" i="17" s="1"/>
  <c r="L897" i="17"/>
  <c r="M897" i="17" s="1"/>
  <c r="E897" i="17" s="1"/>
  <c r="L898" i="17"/>
  <c r="M898" i="17" s="1"/>
  <c r="E898" i="17" s="1"/>
  <c r="L899" i="17"/>
  <c r="M899" i="17" s="1"/>
  <c r="E899" i="17" s="1"/>
  <c r="L900" i="17"/>
  <c r="M900" i="17" s="1"/>
  <c r="E900" i="17" s="1"/>
  <c r="L901" i="17"/>
  <c r="M901" i="17" s="1"/>
  <c r="E901" i="17" s="1"/>
  <c r="L902" i="17"/>
  <c r="M902" i="17" s="1"/>
  <c r="E902" i="17" s="1"/>
  <c r="L903" i="17"/>
  <c r="M903" i="17" s="1"/>
  <c r="E903" i="17" s="1"/>
  <c r="L904" i="17"/>
  <c r="M904" i="17" s="1"/>
  <c r="E904" i="17" s="1"/>
  <c r="L905" i="17"/>
  <c r="M905" i="17" s="1"/>
  <c r="E905" i="17" s="1"/>
  <c r="L906" i="17"/>
  <c r="M906" i="17" s="1"/>
  <c r="E906" i="17" s="1"/>
  <c r="L907" i="17"/>
  <c r="M907" i="17" s="1"/>
  <c r="E907" i="17" s="1"/>
  <c r="L908" i="17"/>
  <c r="M908" i="17" s="1"/>
  <c r="E908" i="17" s="1"/>
  <c r="L909" i="17"/>
  <c r="M909" i="17" s="1"/>
  <c r="E909" i="17" s="1"/>
  <c r="L910" i="17"/>
  <c r="M910" i="17" s="1"/>
  <c r="E910" i="17" s="1"/>
  <c r="L911" i="17"/>
  <c r="M911" i="17" s="1"/>
  <c r="E911" i="17" s="1"/>
  <c r="L912" i="17"/>
  <c r="M912" i="17" s="1"/>
  <c r="E912" i="17" s="1"/>
  <c r="L913" i="17"/>
  <c r="M913" i="17" s="1"/>
  <c r="E913" i="17" s="1"/>
  <c r="L914" i="17"/>
  <c r="M914" i="17" s="1"/>
  <c r="E914" i="17" s="1"/>
  <c r="L915" i="17"/>
  <c r="M915" i="17" s="1"/>
  <c r="E915" i="17" s="1"/>
  <c r="L916" i="17"/>
  <c r="M916" i="17" s="1"/>
  <c r="E916" i="17" s="1"/>
  <c r="L917" i="17"/>
  <c r="M917" i="17" s="1"/>
  <c r="E917" i="17" s="1"/>
  <c r="L918" i="17"/>
  <c r="M918" i="17" s="1"/>
  <c r="E918" i="17" s="1"/>
  <c r="L919" i="17"/>
  <c r="M919" i="17" s="1"/>
  <c r="E919" i="17" s="1"/>
  <c r="L920" i="17"/>
  <c r="M920" i="17" s="1"/>
  <c r="E920" i="17" s="1"/>
  <c r="L921" i="17"/>
  <c r="M921" i="17" s="1"/>
  <c r="E921" i="17" s="1"/>
  <c r="L922" i="17"/>
  <c r="M922" i="17" s="1"/>
  <c r="E922" i="17" s="1"/>
  <c r="L923" i="17"/>
  <c r="M923" i="17" s="1"/>
  <c r="E923" i="17" s="1"/>
  <c r="L924" i="17"/>
  <c r="M924" i="17" s="1"/>
  <c r="E924" i="17" s="1"/>
  <c r="L925" i="17"/>
  <c r="M925" i="17" s="1"/>
  <c r="E925" i="17" s="1"/>
  <c r="L926" i="17"/>
  <c r="M926" i="17" s="1"/>
  <c r="E926" i="17" s="1"/>
  <c r="L927" i="17"/>
  <c r="M927" i="17" s="1"/>
  <c r="E927" i="17" s="1"/>
  <c r="L928" i="17"/>
  <c r="M928" i="17" s="1"/>
  <c r="E928" i="17" s="1"/>
  <c r="L929" i="17"/>
  <c r="M929" i="17" s="1"/>
  <c r="E929" i="17" s="1"/>
  <c r="L930" i="17"/>
  <c r="M930" i="17" s="1"/>
  <c r="E930" i="17" s="1"/>
  <c r="L931" i="17"/>
  <c r="M931" i="17" s="1"/>
  <c r="E931" i="17" s="1"/>
  <c r="L932" i="17"/>
  <c r="M932" i="17" s="1"/>
  <c r="E932" i="17" s="1"/>
  <c r="L933" i="17"/>
  <c r="M933" i="17" s="1"/>
  <c r="E933" i="17" s="1"/>
  <c r="L934" i="17"/>
  <c r="M934" i="17" s="1"/>
  <c r="E934" i="17" s="1"/>
  <c r="L935" i="17"/>
  <c r="M935" i="17" s="1"/>
  <c r="E935" i="17" s="1"/>
  <c r="L936" i="17"/>
  <c r="M936" i="17" s="1"/>
  <c r="E936" i="17" s="1"/>
  <c r="L937" i="17"/>
  <c r="M937" i="17" s="1"/>
  <c r="E937" i="17" s="1"/>
  <c r="L938" i="17"/>
  <c r="M938" i="17" s="1"/>
  <c r="E938" i="17" s="1"/>
  <c r="L939" i="17"/>
  <c r="M939" i="17" s="1"/>
  <c r="E939" i="17" s="1"/>
  <c r="L940" i="17"/>
  <c r="M940" i="17" s="1"/>
  <c r="E940" i="17" s="1"/>
  <c r="L941" i="17"/>
  <c r="M941" i="17" s="1"/>
  <c r="E941" i="17" s="1"/>
  <c r="L942" i="17"/>
  <c r="M942" i="17" s="1"/>
  <c r="E942" i="17" s="1"/>
  <c r="L943" i="17"/>
  <c r="M943" i="17" s="1"/>
  <c r="E943" i="17" s="1"/>
  <c r="L944" i="17"/>
  <c r="M944" i="17" s="1"/>
  <c r="E944" i="17" s="1"/>
  <c r="L945" i="17"/>
  <c r="M945" i="17" s="1"/>
  <c r="E945" i="17" s="1"/>
  <c r="L946" i="17"/>
  <c r="M946" i="17" s="1"/>
  <c r="E946" i="17" s="1"/>
  <c r="L947" i="17"/>
  <c r="M947" i="17" s="1"/>
  <c r="E947" i="17" s="1"/>
  <c r="L948" i="17"/>
  <c r="M948" i="17" s="1"/>
  <c r="E948" i="17" s="1"/>
  <c r="L949" i="17"/>
  <c r="M949" i="17" s="1"/>
  <c r="E949" i="17" s="1"/>
  <c r="L950" i="17"/>
  <c r="M950" i="17" s="1"/>
  <c r="E950" i="17" s="1"/>
  <c r="L951" i="17"/>
  <c r="M951" i="17" s="1"/>
  <c r="E951" i="17" s="1"/>
  <c r="L952" i="17"/>
  <c r="M952" i="17" s="1"/>
  <c r="E952" i="17" s="1"/>
  <c r="L953" i="17"/>
  <c r="M953" i="17" s="1"/>
  <c r="E953" i="17" s="1"/>
  <c r="L954" i="17"/>
  <c r="M954" i="17" s="1"/>
  <c r="E954" i="17" s="1"/>
  <c r="L955" i="17"/>
  <c r="M955" i="17" s="1"/>
  <c r="E955" i="17" s="1"/>
  <c r="L956" i="17"/>
  <c r="M956" i="17" s="1"/>
  <c r="E956" i="17" s="1"/>
  <c r="L957" i="17"/>
  <c r="M957" i="17" s="1"/>
  <c r="E957" i="17" s="1"/>
  <c r="L958" i="17"/>
  <c r="M958" i="17" s="1"/>
  <c r="E958" i="17" s="1"/>
  <c r="L959" i="17"/>
  <c r="M959" i="17" s="1"/>
  <c r="E959" i="17" s="1"/>
  <c r="L960" i="17"/>
  <c r="M960" i="17" s="1"/>
  <c r="E960" i="17" s="1"/>
  <c r="L961" i="17"/>
  <c r="M961" i="17" s="1"/>
  <c r="E961" i="17" s="1"/>
  <c r="L962" i="17"/>
  <c r="M962" i="17" s="1"/>
  <c r="E962" i="17" s="1"/>
  <c r="L963" i="17"/>
  <c r="M963" i="17" s="1"/>
  <c r="E963" i="17" s="1"/>
  <c r="L964" i="17"/>
  <c r="M964" i="17" s="1"/>
  <c r="E964" i="17" s="1"/>
  <c r="L965" i="17"/>
  <c r="M965" i="17" s="1"/>
  <c r="E965" i="17" s="1"/>
  <c r="L966" i="17"/>
  <c r="M966" i="17" s="1"/>
  <c r="E966" i="17" s="1"/>
  <c r="L967" i="17"/>
  <c r="M967" i="17" s="1"/>
  <c r="E967" i="17" s="1"/>
  <c r="L968" i="17"/>
  <c r="M968" i="17" s="1"/>
  <c r="E968" i="17" s="1"/>
  <c r="L969" i="17"/>
  <c r="M969" i="17" s="1"/>
  <c r="E969" i="17" s="1"/>
  <c r="L970" i="17"/>
  <c r="M970" i="17" s="1"/>
  <c r="E970" i="17" s="1"/>
  <c r="L971" i="17"/>
  <c r="M971" i="17" s="1"/>
  <c r="E971" i="17" s="1"/>
  <c r="L972" i="17"/>
  <c r="M972" i="17" s="1"/>
  <c r="E972" i="17" s="1"/>
  <c r="L973" i="17"/>
  <c r="M973" i="17" s="1"/>
  <c r="E973" i="17" s="1"/>
  <c r="L974" i="17"/>
  <c r="M974" i="17" s="1"/>
  <c r="E974" i="17" s="1"/>
  <c r="L975" i="17"/>
  <c r="M975" i="17" s="1"/>
  <c r="E975" i="17" s="1"/>
  <c r="L976" i="17"/>
  <c r="M976" i="17" s="1"/>
  <c r="E976" i="17" s="1"/>
  <c r="L977" i="17"/>
  <c r="M977" i="17" s="1"/>
  <c r="E977" i="17" s="1"/>
  <c r="L978" i="17"/>
  <c r="M978" i="17" s="1"/>
  <c r="E978" i="17" s="1"/>
  <c r="L979" i="17"/>
  <c r="M979" i="17" s="1"/>
  <c r="E979" i="17" s="1"/>
  <c r="L980" i="17"/>
  <c r="M980" i="17" s="1"/>
  <c r="E980" i="17" s="1"/>
  <c r="L981" i="17"/>
  <c r="M981" i="17" s="1"/>
  <c r="E981" i="17" s="1"/>
  <c r="L982" i="17"/>
  <c r="M982" i="17" s="1"/>
  <c r="E982" i="17" s="1"/>
  <c r="L983" i="17"/>
  <c r="M983" i="17" s="1"/>
  <c r="E983" i="17" s="1"/>
  <c r="L984" i="17"/>
  <c r="M984" i="17" s="1"/>
  <c r="E984" i="17" s="1"/>
  <c r="L985" i="17"/>
  <c r="M985" i="17" s="1"/>
  <c r="E985" i="17" s="1"/>
  <c r="L986" i="17"/>
  <c r="M986" i="17" s="1"/>
  <c r="E986" i="17" s="1"/>
  <c r="L987" i="17"/>
  <c r="M987" i="17" s="1"/>
  <c r="E987" i="17" s="1"/>
  <c r="L988" i="17"/>
  <c r="M988" i="17" s="1"/>
  <c r="E988" i="17" s="1"/>
  <c r="L989" i="17"/>
  <c r="M989" i="17" s="1"/>
  <c r="E989" i="17" s="1"/>
  <c r="L990" i="17"/>
  <c r="M990" i="17" s="1"/>
  <c r="E990" i="17" s="1"/>
  <c r="L991" i="17"/>
  <c r="M991" i="17" s="1"/>
  <c r="E991" i="17" s="1"/>
  <c r="L992" i="17"/>
  <c r="M992" i="17" s="1"/>
  <c r="E992" i="17" s="1"/>
  <c r="L993" i="17"/>
  <c r="M993" i="17" s="1"/>
  <c r="E993" i="17" s="1"/>
  <c r="L994" i="17"/>
  <c r="M994" i="17" s="1"/>
  <c r="E994" i="17" s="1"/>
  <c r="L995" i="17"/>
  <c r="M995" i="17" s="1"/>
  <c r="E995" i="17" s="1"/>
  <c r="L996" i="17"/>
  <c r="M996" i="17" s="1"/>
  <c r="E996" i="17" s="1"/>
  <c r="L997" i="17"/>
  <c r="M997" i="17" s="1"/>
  <c r="E997" i="17" s="1"/>
  <c r="L998" i="17"/>
  <c r="M998" i="17" s="1"/>
  <c r="E998" i="17" s="1"/>
  <c r="L999" i="17"/>
  <c r="M999" i="17" s="1"/>
  <c r="E999" i="17" s="1"/>
  <c r="L1000" i="17"/>
  <c r="M1000" i="17" s="1"/>
  <c r="E1000" i="17" s="1"/>
  <c r="L1001" i="17"/>
  <c r="M1001" i="17" s="1"/>
  <c r="E1001" i="17" s="1"/>
  <c r="L1002" i="17"/>
  <c r="M1002" i="17" s="1"/>
  <c r="E1002" i="17" s="1"/>
  <c r="L1003" i="17"/>
  <c r="M1003" i="17" s="1"/>
  <c r="E1003" i="17" s="1"/>
  <c r="L1004" i="17"/>
  <c r="M1004" i="17" s="1"/>
  <c r="E1004" i="17" s="1"/>
  <c r="L1005" i="17"/>
  <c r="M1005" i="17" s="1"/>
  <c r="E1005" i="17" s="1"/>
  <c r="L1006" i="17"/>
  <c r="M1006" i="17" s="1"/>
  <c r="E1006" i="17" s="1"/>
  <c r="L1007" i="17"/>
  <c r="M1007" i="17" s="1"/>
  <c r="E1007" i="17" s="1"/>
  <c r="L1008" i="17"/>
  <c r="M1008" i="17" s="1"/>
  <c r="E1008" i="17" s="1"/>
  <c r="L1009" i="17"/>
  <c r="M1009" i="17" s="1"/>
  <c r="E1009" i="17" s="1"/>
  <c r="L1010" i="17"/>
  <c r="M1010" i="17" s="1"/>
  <c r="E1010" i="17" s="1"/>
  <c r="L1011" i="17"/>
  <c r="M1011" i="17" s="1"/>
  <c r="E1011" i="17" s="1"/>
  <c r="L1012" i="17"/>
  <c r="M1012" i="17" s="1"/>
  <c r="E1012" i="17" s="1"/>
  <c r="L1013" i="17"/>
  <c r="M1013" i="17" s="1"/>
  <c r="E1013" i="17" s="1"/>
  <c r="L1014" i="17"/>
  <c r="M1014" i="17" s="1"/>
  <c r="E1014" i="17" s="1"/>
  <c r="L1015" i="17"/>
  <c r="M1015" i="17" s="1"/>
  <c r="E1015" i="17" s="1"/>
  <c r="L1016" i="17"/>
  <c r="M1016" i="17" s="1"/>
  <c r="E1016" i="17" s="1"/>
  <c r="L1017" i="17"/>
  <c r="M1017" i="17" s="1"/>
  <c r="E1017" i="17" s="1"/>
  <c r="L1018" i="17"/>
  <c r="M1018" i="17" s="1"/>
  <c r="E1018" i="17" s="1"/>
  <c r="L1019" i="17"/>
  <c r="M1019" i="17" s="1"/>
  <c r="E1019" i="17" s="1"/>
  <c r="L1020" i="17"/>
  <c r="M1020" i="17" s="1"/>
  <c r="E1020" i="17" s="1"/>
  <c r="L1021" i="17"/>
  <c r="M1021" i="17" s="1"/>
  <c r="E1021" i="17" s="1"/>
  <c r="L1022" i="17"/>
  <c r="M1022" i="17" s="1"/>
  <c r="E1022" i="17" s="1"/>
  <c r="L1023" i="17"/>
  <c r="M1023" i="17" s="1"/>
  <c r="E1023" i="17" s="1"/>
  <c r="L1024" i="17"/>
  <c r="M1024" i="17" s="1"/>
  <c r="E1024" i="17" s="1"/>
  <c r="L1025" i="17"/>
  <c r="M1025" i="17" s="1"/>
  <c r="E1025" i="17" s="1"/>
  <c r="L1026" i="17"/>
  <c r="M1026" i="17" s="1"/>
  <c r="E1026" i="17" s="1"/>
  <c r="L1027" i="17"/>
  <c r="M1027" i="17" s="1"/>
  <c r="E1027" i="17" s="1"/>
  <c r="L1028" i="17"/>
  <c r="M1028" i="17" s="1"/>
  <c r="E1028" i="17" s="1"/>
  <c r="L1029" i="17"/>
  <c r="M1029" i="17" s="1"/>
  <c r="E1029" i="17" s="1"/>
  <c r="L1030" i="17"/>
  <c r="M1030" i="17" s="1"/>
  <c r="E1030" i="17" s="1"/>
  <c r="L1031" i="17"/>
  <c r="M1031" i="17" s="1"/>
  <c r="E1031" i="17" s="1"/>
  <c r="L1032" i="17"/>
  <c r="M1032" i="17" s="1"/>
  <c r="E1032" i="17" s="1"/>
  <c r="L1033" i="17"/>
  <c r="M1033" i="17" s="1"/>
  <c r="E1033" i="17" s="1"/>
  <c r="L1034" i="17"/>
  <c r="M1034" i="17" s="1"/>
  <c r="E1034" i="17" s="1"/>
  <c r="L1035" i="17"/>
  <c r="M1035" i="17" s="1"/>
  <c r="E1035" i="17" s="1"/>
  <c r="L1036" i="17"/>
  <c r="M1036" i="17" s="1"/>
  <c r="E1036" i="17" s="1"/>
  <c r="L1037" i="17"/>
  <c r="M1037" i="17" s="1"/>
  <c r="E1037" i="17" s="1"/>
  <c r="L1038" i="17"/>
  <c r="M1038" i="17" s="1"/>
  <c r="E1038" i="17" s="1"/>
  <c r="L1039" i="17"/>
  <c r="M1039" i="17" s="1"/>
  <c r="E1039" i="17" s="1"/>
  <c r="L1040" i="17"/>
  <c r="M1040" i="17" s="1"/>
  <c r="E1040" i="17" s="1"/>
  <c r="L1041" i="17"/>
  <c r="M1041" i="17" s="1"/>
  <c r="E1041" i="17" s="1"/>
  <c r="L1042" i="17"/>
  <c r="M1042" i="17" s="1"/>
  <c r="E1042" i="17" s="1"/>
  <c r="L1043" i="17"/>
  <c r="M1043" i="17" s="1"/>
  <c r="E1043" i="17" s="1"/>
  <c r="L1044" i="17"/>
  <c r="M1044" i="17" s="1"/>
  <c r="E1044" i="17" s="1"/>
  <c r="L1045" i="17"/>
  <c r="M1045" i="17" s="1"/>
  <c r="E1045" i="17" s="1"/>
  <c r="L1046" i="17"/>
  <c r="M1046" i="17" s="1"/>
  <c r="E1046" i="17" s="1"/>
  <c r="L1047" i="17"/>
  <c r="M1047" i="17" s="1"/>
  <c r="E1047" i="17" s="1"/>
  <c r="L1048" i="17"/>
  <c r="M1048" i="17" s="1"/>
  <c r="E1048" i="17" s="1"/>
  <c r="L1049" i="17"/>
  <c r="M1049" i="17" s="1"/>
  <c r="E1049" i="17" s="1"/>
  <c r="L1050" i="17"/>
  <c r="M1050" i="17" s="1"/>
  <c r="E1050" i="17" s="1"/>
  <c r="L1051" i="17"/>
  <c r="M1051" i="17" s="1"/>
  <c r="E1051" i="17" s="1"/>
  <c r="L1052" i="17"/>
  <c r="M1052" i="17" s="1"/>
  <c r="E1052" i="17" s="1"/>
  <c r="L1053" i="17"/>
  <c r="M1053" i="17" s="1"/>
  <c r="E1053" i="17" s="1"/>
  <c r="L1054" i="17"/>
  <c r="M1054" i="17" s="1"/>
  <c r="E1054" i="17" s="1"/>
  <c r="L1055" i="17"/>
  <c r="M1055" i="17" s="1"/>
  <c r="E1055" i="17" s="1"/>
  <c r="L1056" i="17"/>
  <c r="M1056" i="17" s="1"/>
  <c r="E1056" i="17" s="1"/>
  <c r="L1057" i="17"/>
  <c r="M1057" i="17" s="1"/>
  <c r="E1057" i="17" s="1"/>
  <c r="L1058" i="17"/>
  <c r="M1058" i="17" s="1"/>
  <c r="E1058" i="17" s="1"/>
  <c r="L1059" i="17"/>
  <c r="M1059" i="17" s="1"/>
  <c r="E1059" i="17" s="1"/>
  <c r="L1060" i="17"/>
  <c r="M1060" i="17" s="1"/>
  <c r="E1060" i="17" s="1"/>
  <c r="L1061" i="17"/>
  <c r="M1061" i="17" s="1"/>
  <c r="E1061" i="17" s="1"/>
  <c r="L1062" i="17"/>
  <c r="M1062" i="17" s="1"/>
  <c r="E1062" i="17" s="1"/>
  <c r="L1063" i="17"/>
  <c r="M1063" i="17" s="1"/>
  <c r="E1063" i="17" s="1"/>
  <c r="L1064" i="17"/>
  <c r="M1064" i="17" s="1"/>
  <c r="E1064" i="17" s="1"/>
  <c r="L1065" i="17"/>
  <c r="M1065" i="17" s="1"/>
  <c r="E1065" i="17" s="1"/>
  <c r="L1066" i="17"/>
  <c r="M1066" i="17" s="1"/>
  <c r="E1066" i="17" s="1"/>
  <c r="L1067" i="17"/>
  <c r="M1067" i="17" s="1"/>
  <c r="E1067" i="17" s="1"/>
  <c r="L1068" i="17"/>
  <c r="M1068" i="17" s="1"/>
  <c r="E1068" i="17" s="1"/>
  <c r="L1069" i="17"/>
  <c r="M1069" i="17" s="1"/>
  <c r="E1069" i="17" s="1"/>
  <c r="L1070" i="17"/>
  <c r="M1070" i="17" s="1"/>
  <c r="E1070" i="17" s="1"/>
  <c r="L1071" i="17"/>
  <c r="M1071" i="17" s="1"/>
  <c r="E1071" i="17" s="1"/>
  <c r="L1072" i="17"/>
  <c r="M1072" i="17" s="1"/>
  <c r="E1072" i="17" s="1"/>
  <c r="L1073" i="17"/>
  <c r="M1073" i="17" s="1"/>
  <c r="E1073" i="17" s="1"/>
  <c r="L1074" i="17"/>
  <c r="M1074" i="17" s="1"/>
  <c r="E1074" i="17" s="1"/>
  <c r="L1075" i="17"/>
  <c r="M1075" i="17" s="1"/>
  <c r="E1075" i="17" s="1"/>
  <c r="L1076" i="17"/>
  <c r="M1076" i="17" s="1"/>
  <c r="E1076" i="17" s="1"/>
  <c r="L1077" i="17"/>
  <c r="M1077" i="17" s="1"/>
  <c r="E1077" i="17" s="1"/>
  <c r="L1078" i="17"/>
  <c r="M1078" i="17" s="1"/>
  <c r="E1078" i="17" s="1"/>
  <c r="L1079" i="17"/>
  <c r="M1079" i="17" s="1"/>
  <c r="E1079" i="17" s="1"/>
  <c r="L1080" i="17"/>
  <c r="M1080" i="17" s="1"/>
  <c r="E1080" i="17" s="1"/>
  <c r="L1081" i="17"/>
  <c r="M1081" i="17" s="1"/>
  <c r="E1081" i="17" s="1"/>
  <c r="L1082" i="17"/>
  <c r="M1082" i="17" s="1"/>
  <c r="E1082" i="17" s="1"/>
  <c r="L1083" i="17"/>
  <c r="M1083" i="17" s="1"/>
  <c r="E1083" i="17" s="1"/>
  <c r="L1084" i="17"/>
  <c r="M1084" i="17" s="1"/>
  <c r="E1084" i="17" s="1"/>
  <c r="L1085" i="17"/>
  <c r="M1085" i="17" s="1"/>
  <c r="E1085" i="17" s="1"/>
  <c r="L1086" i="17"/>
  <c r="M1086" i="17" s="1"/>
  <c r="E1086" i="17" s="1"/>
  <c r="L1087" i="17"/>
  <c r="M1087" i="17" s="1"/>
  <c r="E1087" i="17" s="1"/>
  <c r="L1088" i="17"/>
  <c r="M1088" i="17" s="1"/>
  <c r="E1088" i="17" s="1"/>
  <c r="L1089" i="17"/>
  <c r="M1089" i="17" s="1"/>
  <c r="E1089" i="17" s="1"/>
  <c r="L1090" i="17"/>
  <c r="M1090" i="17" s="1"/>
  <c r="E1090" i="17" s="1"/>
  <c r="L1091" i="17"/>
  <c r="M1091" i="17" s="1"/>
  <c r="E1091" i="17" s="1"/>
  <c r="L1092" i="17"/>
  <c r="M1092" i="17" s="1"/>
  <c r="E1092" i="17" s="1"/>
  <c r="L1093" i="17"/>
  <c r="M1093" i="17" s="1"/>
  <c r="E1093" i="17" s="1"/>
  <c r="L1094" i="17"/>
  <c r="M1094" i="17" s="1"/>
  <c r="E1094" i="17" s="1"/>
  <c r="L1095" i="17"/>
  <c r="M1095" i="17" s="1"/>
  <c r="E1095" i="17" s="1"/>
  <c r="L1096" i="17"/>
  <c r="M1096" i="17" s="1"/>
  <c r="E1096" i="17" s="1"/>
  <c r="L1097" i="17"/>
  <c r="M1097" i="17" s="1"/>
  <c r="E1097" i="17" s="1"/>
  <c r="L1098" i="17"/>
  <c r="M1098" i="17" s="1"/>
  <c r="E1098" i="17" s="1"/>
  <c r="L1099" i="17"/>
  <c r="M1099" i="17" s="1"/>
  <c r="E1099" i="17" s="1"/>
  <c r="L1100" i="17"/>
  <c r="M1100" i="17" s="1"/>
  <c r="E1100" i="17" s="1"/>
  <c r="L1101" i="17"/>
  <c r="M1101" i="17" s="1"/>
  <c r="E1101" i="17" s="1"/>
  <c r="L1102" i="17"/>
  <c r="M1102" i="17" s="1"/>
  <c r="E1102" i="17" s="1"/>
  <c r="L1103" i="17"/>
  <c r="M1103" i="17" s="1"/>
  <c r="E1103" i="17" s="1"/>
  <c r="L1104" i="17"/>
  <c r="M1104" i="17" s="1"/>
  <c r="E1104" i="17" s="1"/>
  <c r="L1105" i="17"/>
  <c r="M1105" i="17" s="1"/>
  <c r="E1105" i="17" s="1"/>
  <c r="L1106" i="17"/>
  <c r="M1106" i="17" s="1"/>
  <c r="E1106" i="17" s="1"/>
  <c r="L1107" i="17"/>
  <c r="M1107" i="17" s="1"/>
  <c r="E1107" i="17" s="1"/>
  <c r="L1108" i="17"/>
  <c r="M1108" i="17" s="1"/>
  <c r="E1108" i="17" s="1"/>
  <c r="L1109" i="17"/>
  <c r="M1109" i="17" s="1"/>
  <c r="E1109" i="17" s="1"/>
  <c r="L1110" i="17"/>
  <c r="M1110" i="17" s="1"/>
  <c r="E1110" i="17" s="1"/>
  <c r="L1111" i="17"/>
  <c r="M1111" i="17" s="1"/>
  <c r="E1111" i="17" s="1"/>
  <c r="L1112" i="17"/>
  <c r="M1112" i="17" s="1"/>
  <c r="E1112" i="17" s="1"/>
  <c r="L1113" i="17"/>
  <c r="M1113" i="17" s="1"/>
  <c r="E1113" i="17" s="1"/>
  <c r="L1114" i="17"/>
  <c r="M1114" i="17" s="1"/>
  <c r="E1114" i="17" s="1"/>
  <c r="L1115" i="17"/>
  <c r="M1115" i="17" s="1"/>
  <c r="E1115" i="17" s="1"/>
  <c r="L1116" i="17"/>
  <c r="M1116" i="17" s="1"/>
  <c r="E1116" i="17" s="1"/>
  <c r="L1117" i="17"/>
  <c r="M1117" i="17" s="1"/>
  <c r="E1117" i="17" s="1"/>
  <c r="L1118" i="17"/>
  <c r="M1118" i="17" s="1"/>
  <c r="E1118" i="17" s="1"/>
  <c r="L1119" i="17"/>
  <c r="M1119" i="17" s="1"/>
  <c r="E1119" i="17" s="1"/>
  <c r="L1120" i="17"/>
  <c r="M1120" i="17" s="1"/>
  <c r="E1120" i="17" s="1"/>
  <c r="L1121" i="17"/>
  <c r="M1121" i="17" s="1"/>
  <c r="E1121" i="17" s="1"/>
  <c r="L1122" i="17"/>
  <c r="M1122" i="17" s="1"/>
  <c r="E1122" i="17" s="1"/>
  <c r="L1123" i="17"/>
  <c r="M1123" i="17" s="1"/>
  <c r="E1123" i="17" s="1"/>
  <c r="L1124" i="17"/>
  <c r="M1124" i="17" s="1"/>
  <c r="E1124" i="17" s="1"/>
  <c r="L1125" i="17"/>
  <c r="M1125" i="17" s="1"/>
  <c r="E1125" i="17" s="1"/>
  <c r="L1126" i="17"/>
  <c r="M1126" i="17" s="1"/>
  <c r="E1126" i="17" s="1"/>
  <c r="L1127" i="17"/>
  <c r="M1127" i="17" s="1"/>
  <c r="E1127" i="17" s="1"/>
  <c r="L1128" i="17"/>
  <c r="M1128" i="17" s="1"/>
  <c r="E1128" i="17" s="1"/>
  <c r="L1129" i="17"/>
  <c r="M1129" i="17" s="1"/>
  <c r="E1129" i="17" s="1"/>
  <c r="L1130" i="17"/>
  <c r="M1130" i="17" s="1"/>
  <c r="E1130" i="17" s="1"/>
  <c r="L1131" i="17"/>
  <c r="M1131" i="17" s="1"/>
  <c r="E1131" i="17" s="1"/>
  <c r="L1132" i="17"/>
  <c r="M1132" i="17" s="1"/>
  <c r="E1132" i="17" s="1"/>
  <c r="L1133" i="17"/>
  <c r="M1133" i="17" s="1"/>
  <c r="E1133" i="17" s="1"/>
  <c r="L1134" i="17"/>
  <c r="M1134" i="17" s="1"/>
  <c r="E1134" i="17" s="1"/>
  <c r="L1135" i="17"/>
  <c r="M1135" i="17" s="1"/>
  <c r="E1135" i="17" s="1"/>
  <c r="L1136" i="17"/>
  <c r="M1136" i="17" s="1"/>
  <c r="E1136" i="17" s="1"/>
  <c r="L1137" i="17"/>
  <c r="M1137" i="17" s="1"/>
  <c r="E1137" i="17" s="1"/>
  <c r="L1138" i="17"/>
  <c r="M1138" i="17" s="1"/>
  <c r="E1138" i="17" s="1"/>
  <c r="L1139" i="17"/>
  <c r="M1139" i="17" s="1"/>
  <c r="E1139" i="17" s="1"/>
  <c r="L1140" i="17"/>
  <c r="M1140" i="17" s="1"/>
  <c r="E1140" i="17" s="1"/>
  <c r="L1141" i="17"/>
  <c r="M1141" i="17" s="1"/>
  <c r="E1141" i="17" s="1"/>
  <c r="L1142" i="17"/>
  <c r="M1142" i="17" s="1"/>
  <c r="E1142" i="17" s="1"/>
  <c r="L1143" i="17"/>
  <c r="M1143" i="17" s="1"/>
  <c r="E1143" i="17" s="1"/>
  <c r="L1144" i="17"/>
  <c r="M1144" i="17" s="1"/>
  <c r="E1144" i="17" s="1"/>
  <c r="L1145" i="17"/>
  <c r="M1145" i="17" s="1"/>
  <c r="E1145" i="17" s="1"/>
  <c r="L1146" i="17"/>
  <c r="M1146" i="17" s="1"/>
  <c r="E1146" i="17" s="1"/>
  <c r="L1147" i="17"/>
  <c r="M1147" i="17" s="1"/>
  <c r="E1147" i="17" s="1"/>
  <c r="L1148" i="17"/>
  <c r="M1148" i="17" s="1"/>
  <c r="E1148" i="17" s="1"/>
  <c r="L1149" i="17"/>
  <c r="M1149" i="17" s="1"/>
  <c r="E1149" i="17" s="1"/>
  <c r="L1150" i="17"/>
  <c r="M1150" i="17" s="1"/>
  <c r="E1150" i="17" s="1"/>
  <c r="L1151" i="17"/>
  <c r="M1151" i="17" s="1"/>
  <c r="E1151" i="17" s="1"/>
  <c r="L1152" i="17"/>
  <c r="M1152" i="17" s="1"/>
  <c r="E1152" i="17" s="1"/>
  <c r="L1153" i="17"/>
  <c r="M1153" i="17" s="1"/>
  <c r="E1153" i="17" s="1"/>
  <c r="L1154" i="17"/>
  <c r="M1154" i="17" s="1"/>
  <c r="E1154" i="17" s="1"/>
  <c r="L1155" i="17"/>
  <c r="M1155" i="17" s="1"/>
  <c r="E1155" i="17" s="1"/>
  <c r="L1156" i="17"/>
  <c r="M1156" i="17" s="1"/>
  <c r="E1156" i="17" s="1"/>
  <c r="L1157" i="17"/>
  <c r="M1157" i="17" s="1"/>
  <c r="E1157" i="17" s="1"/>
  <c r="L1158" i="17"/>
  <c r="M1158" i="17" s="1"/>
  <c r="E1158" i="17" s="1"/>
  <c r="L1159" i="17"/>
  <c r="M1159" i="17" s="1"/>
  <c r="E1159" i="17" s="1"/>
  <c r="L1160" i="17"/>
  <c r="M1160" i="17" s="1"/>
  <c r="E1160" i="17" s="1"/>
  <c r="L1161" i="17"/>
  <c r="M1161" i="17" s="1"/>
  <c r="E1161" i="17" s="1"/>
  <c r="L1162" i="17"/>
  <c r="M1162" i="17" s="1"/>
  <c r="E1162" i="17" s="1"/>
  <c r="L1163" i="17"/>
  <c r="M1163" i="17" s="1"/>
  <c r="E1163" i="17" s="1"/>
  <c r="L1164" i="17"/>
  <c r="M1164" i="17" s="1"/>
  <c r="E1164" i="17" s="1"/>
  <c r="L1165" i="17"/>
  <c r="M1165" i="17" s="1"/>
  <c r="E1165" i="17" s="1"/>
  <c r="L1166" i="17"/>
  <c r="M1166" i="17" s="1"/>
  <c r="E1166" i="17" s="1"/>
  <c r="L1167" i="17"/>
  <c r="M1167" i="17" s="1"/>
  <c r="E1167" i="17" s="1"/>
  <c r="L1168" i="17"/>
  <c r="M1168" i="17" s="1"/>
  <c r="E1168" i="17" s="1"/>
  <c r="L1169" i="17"/>
  <c r="M1169" i="17" s="1"/>
  <c r="E1169" i="17" s="1"/>
  <c r="L1170" i="17"/>
  <c r="M1170" i="17" s="1"/>
  <c r="E1170" i="17" s="1"/>
  <c r="L1171" i="17"/>
  <c r="M1171" i="17" s="1"/>
  <c r="E1171" i="17" s="1"/>
  <c r="L1172" i="17"/>
  <c r="M1172" i="17" s="1"/>
  <c r="E1172" i="17" s="1"/>
  <c r="L1173" i="17"/>
  <c r="M1173" i="17" s="1"/>
  <c r="E1173" i="17" s="1"/>
  <c r="L1174" i="17"/>
  <c r="M1174" i="17" s="1"/>
  <c r="E1174" i="17" s="1"/>
  <c r="L1175" i="17"/>
  <c r="M1175" i="17" s="1"/>
  <c r="E1175" i="17" s="1"/>
  <c r="L1176" i="17"/>
  <c r="M1176" i="17" s="1"/>
  <c r="E1176" i="17" s="1"/>
  <c r="L1177" i="17"/>
  <c r="M1177" i="17" s="1"/>
  <c r="E1177" i="17" s="1"/>
  <c r="L1178" i="17"/>
  <c r="M1178" i="17" s="1"/>
  <c r="E1178" i="17" s="1"/>
  <c r="L1179" i="17"/>
  <c r="M1179" i="17" s="1"/>
  <c r="E1179" i="17" s="1"/>
  <c r="L1180" i="17"/>
  <c r="M1180" i="17" s="1"/>
  <c r="E1180" i="17" s="1"/>
  <c r="L1181" i="17"/>
  <c r="M1181" i="17" s="1"/>
  <c r="E1181" i="17" s="1"/>
  <c r="L1182" i="17"/>
  <c r="M1182" i="17" s="1"/>
  <c r="E1182" i="17" s="1"/>
  <c r="L1183" i="17"/>
  <c r="M1183" i="17" s="1"/>
  <c r="E1183" i="17" s="1"/>
  <c r="L1184" i="17"/>
  <c r="M1184" i="17" s="1"/>
  <c r="E1184" i="17" s="1"/>
  <c r="L1185" i="17"/>
  <c r="M1185" i="17" s="1"/>
  <c r="E1185" i="17" s="1"/>
  <c r="L1186" i="17"/>
  <c r="M1186" i="17" s="1"/>
  <c r="E1186" i="17" s="1"/>
  <c r="L1187" i="17"/>
  <c r="M1187" i="17" s="1"/>
  <c r="E1187" i="17" s="1"/>
  <c r="L1188" i="17"/>
  <c r="M1188" i="17" s="1"/>
  <c r="E1188" i="17" s="1"/>
  <c r="L1189" i="17"/>
  <c r="M1189" i="17" s="1"/>
  <c r="E1189" i="17" s="1"/>
  <c r="L1190" i="17"/>
  <c r="M1190" i="17" s="1"/>
  <c r="E1190" i="17" s="1"/>
  <c r="L1191" i="17"/>
  <c r="M1191" i="17" s="1"/>
  <c r="E1191" i="17" s="1"/>
  <c r="L1192" i="17"/>
  <c r="M1192" i="17" s="1"/>
  <c r="E1192" i="17" s="1"/>
  <c r="L1193" i="17"/>
  <c r="M1193" i="17" s="1"/>
  <c r="E1193" i="17" s="1"/>
  <c r="L1194" i="17"/>
  <c r="M1194" i="17" s="1"/>
  <c r="E1194" i="17" s="1"/>
  <c r="L1195" i="17"/>
  <c r="M1195" i="17" s="1"/>
  <c r="E1195" i="17" s="1"/>
  <c r="L1196" i="17"/>
  <c r="M1196" i="17" s="1"/>
  <c r="E1196" i="17" s="1"/>
  <c r="L1197" i="17"/>
  <c r="M1197" i="17" s="1"/>
  <c r="E1197" i="17" s="1"/>
  <c r="L1198" i="17"/>
  <c r="M1198" i="17" s="1"/>
  <c r="E1198" i="17" s="1"/>
  <c r="L1199" i="17"/>
  <c r="M1199" i="17" s="1"/>
  <c r="E1199" i="17" s="1"/>
  <c r="L1200" i="17"/>
  <c r="M1200" i="17" s="1"/>
  <c r="E1200" i="17" s="1"/>
  <c r="L1201" i="17"/>
  <c r="M1201" i="17" s="1"/>
  <c r="E1201" i="17" s="1"/>
  <c r="L1202" i="17"/>
  <c r="M1202" i="17" s="1"/>
  <c r="E1202" i="17" s="1"/>
  <c r="L1203" i="17"/>
  <c r="M1203" i="17" s="1"/>
  <c r="E1203" i="17" s="1"/>
  <c r="L1204" i="17"/>
  <c r="M1204" i="17" s="1"/>
  <c r="E1204" i="17" s="1"/>
  <c r="L1205" i="17"/>
  <c r="M1205" i="17" s="1"/>
  <c r="E1205" i="17" s="1"/>
  <c r="L1206" i="17"/>
  <c r="M1206" i="17" s="1"/>
  <c r="E1206" i="17" s="1"/>
  <c r="L1207" i="17"/>
  <c r="M1207" i="17" s="1"/>
  <c r="E1207" i="17" s="1"/>
  <c r="L1208" i="17"/>
  <c r="M1208" i="17" s="1"/>
  <c r="E1208" i="17" s="1"/>
  <c r="L1209" i="17"/>
  <c r="M1209" i="17" s="1"/>
  <c r="E1209" i="17" s="1"/>
  <c r="L1210" i="17"/>
  <c r="M1210" i="17" s="1"/>
  <c r="E1210" i="17" s="1"/>
  <c r="L1211" i="17"/>
  <c r="M1211" i="17" s="1"/>
  <c r="E1211" i="17" s="1"/>
  <c r="L1212" i="17"/>
  <c r="M1212" i="17" s="1"/>
  <c r="E1212" i="17" s="1"/>
  <c r="L1213" i="17"/>
  <c r="M1213" i="17" s="1"/>
  <c r="E1213" i="17" s="1"/>
  <c r="L1214" i="17"/>
  <c r="M1214" i="17" s="1"/>
  <c r="E1214" i="17" s="1"/>
  <c r="L1215" i="17"/>
  <c r="M1215" i="17" s="1"/>
  <c r="E1215" i="17" s="1"/>
  <c r="L1216" i="17"/>
  <c r="M1216" i="17" s="1"/>
  <c r="E1216" i="17" s="1"/>
  <c r="L1217" i="17"/>
  <c r="M1217" i="17" s="1"/>
  <c r="E1217" i="17" s="1"/>
  <c r="L1218" i="17"/>
  <c r="M1218" i="17" s="1"/>
  <c r="E1218" i="17" s="1"/>
  <c r="L1219" i="17"/>
  <c r="M1219" i="17" s="1"/>
  <c r="E1219" i="17" s="1"/>
  <c r="L1220" i="17"/>
  <c r="M1220" i="17" s="1"/>
  <c r="E1220" i="17" s="1"/>
  <c r="L1221" i="17"/>
  <c r="M1221" i="17" s="1"/>
  <c r="E1221" i="17" s="1"/>
  <c r="L1222" i="17"/>
  <c r="M1222" i="17" s="1"/>
  <c r="E1222" i="17" s="1"/>
  <c r="L1223" i="17"/>
  <c r="M1223" i="17" s="1"/>
  <c r="E1223" i="17" s="1"/>
  <c r="L1224" i="17"/>
  <c r="M1224" i="17" s="1"/>
  <c r="E1224" i="17" s="1"/>
  <c r="L1225" i="17"/>
  <c r="M1225" i="17" s="1"/>
  <c r="E1225" i="17" s="1"/>
  <c r="L1226" i="17"/>
  <c r="M1226" i="17" s="1"/>
  <c r="E1226" i="17" s="1"/>
  <c r="L1227" i="17"/>
  <c r="M1227" i="17" s="1"/>
  <c r="E1227" i="17" s="1"/>
  <c r="L1228" i="17"/>
  <c r="M1228" i="17" s="1"/>
  <c r="E1228" i="17" s="1"/>
  <c r="L1229" i="17"/>
  <c r="M1229" i="17" s="1"/>
  <c r="E1229" i="17" s="1"/>
  <c r="L1230" i="17"/>
  <c r="M1230" i="17" s="1"/>
  <c r="E1230" i="17" s="1"/>
  <c r="L1231" i="17"/>
  <c r="M1231" i="17" s="1"/>
  <c r="E1231" i="17" s="1"/>
  <c r="L1232" i="17"/>
  <c r="M1232" i="17" s="1"/>
  <c r="E1232" i="17" s="1"/>
  <c r="L1233" i="17"/>
  <c r="M1233" i="17" s="1"/>
  <c r="E1233" i="17" s="1"/>
  <c r="L1234" i="17"/>
  <c r="M1234" i="17" s="1"/>
  <c r="E1234" i="17" s="1"/>
  <c r="L1235" i="17"/>
  <c r="M1235" i="17" s="1"/>
  <c r="E1235" i="17" s="1"/>
  <c r="L1236" i="17"/>
  <c r="M1236" i="17" s="1"/>
  <c r="E1236" i="17" s="1"/>
  <c r="L1237" i="17"/>
  <c r="M1237" i="17" s="1"/>
  <c r="E1237" i="17" s="1"/>
  <c r="L1238" i="17"/>
  <c r="M1238" i="17" s="1"/>
  <c r="E1238" i="17" s="1"/>
  <c r="L1239" i="17"/>
  <c r="M1239" i="17" s="1"/>
  <c r="E1239" i="17" s="1"/>
  <c r="L1240" i="17"/>
  <c r="M1240" i="17" s="1"/>
  <c r="E1240" i="17" s="1"/>
  <c r="L1241" i="17"/>
  <c r="M1241" i="17" s="1"/>
  <c r="E1241" i="17" s="1"/>
  <c r="L1242" i="17"/>
  <c r="M1242" i="17" s="1"/>
  <c r="E1242" i="17" s="1"/>
  <c r="L1243" i="17"/>
  <c r="M1243" i="17" s="1"/>
  <c r="E1243" i="17" s="1"/>
  <c r="L1244" i="17"/>
  <c r="M1244" i="17" s="1"/>
  <c r="E1244" i="17" s="1"/>
  <c r="L1245" i="17"/>
  <c r="M1245" i="17" s="1"/>
  <c r="E1245" i="17" s="1"/>
  <c r="L1246" i="17"/>
  <c r="M1246" i="17" s="1"/>
  <c r="E1246" i="17" s="1"/>
  <c r="L1247" i="17"/>
  <c r="M1247" i="17" s="1"/>
  <c r="E1247" i="17" s="1"/>
  <c r="L1248" i="17"/>
  <c r="M1248" i="17" s="1"/>
  <c r="E1248" i="17" s="1"/>
  <c r="L1249" i="17"/>
  <c r="M1249" i="17" s="1"/>
  <c r="E1249" i="17" s="1"/>
  <c r="L1250" i="17"/>
  <c r="M1250" i="17" s="1"/>
  <c r="E1250" i="17" s="1"/>
  <c r="L1251" i="17"/>
  <c r="M1251" i="17" s="1"/>
  <c r="E1251" i="17" s="1"/>
  <c r="L1252" i="17"/>
  <c r="M1252" i="17" s="1"/>
  <c r="E1252" i="17" s="1"/>
  <c r="L1253" i="17"/>
  <c r="M1253" i="17" s="1"/>
  <c r="E1253" i="17" s="1"/>
  <c r="L1254" i="17"/>
  <c r="M1254" i="17" s="1"/>
  <c r="E1254" i="17" s="1"/>
  <c r="L1255" i="17"/>
  <c r="M1255" i="17" s="1"/>
  <c r="E1255" i="17" s="1"/>
  <c r="L1256" i="17"/>
  <c r="M1256" i="17" s="1"/>
  <c r="E1256" i="17" s="1"/>
  <c r="L1257" i="17"/>
  <c r="M1257" i="17" s="1"/>
  <c r="E1257" i="17" s="1"/>
  <c r="L1258" i="17"/>
  <c r="M1258" i="17" s="1"/>
  <c r="E1258" i="17" s="1"/>
  <c r="L1259" i="17"/>
  <c r="M1259" i="17" s="1"/>
  <c r="E1259" i="17" s="1"/>
  <c r="L1260" i="17"/>
  <c r="M1260" i="17" s="1"/>
  <c r="E1260" i="17" s="1"/>
  <c r="L1261" i="17"/>
  <c r="M1261" i="17" s="1"/>
  <c r="E1261" i="17" s="1"/>
  <c r="L1262" i="17"/>
  <c r="M1262" i="17" s="1"/>
  <c r="E1262" i="17" s="1"/>
  <c r="L1263" i="17"/>
  <c r="M1263" i="17" s="1"/>
  <c r="E1263" i="17" s="1"/>
  <c r="L1264" i="17"/>
  <c r="M1264" i="17" s="1"/>
  <c r="E1264" i="17" s="1"/>
  <c r="L1265" i="17"/>
  <c r="M1265" i="17" s="1"/>
  <c r="E1265" i="17" s="1"/>
  <c r="L1266" i="17"/>
  <c r="M1266" i="17" s="1"/>
  <c r="E1266" i="17" s="1"/>
  <c r="L1267" i="17"/>
  <c r="M1267" i="17" s="1"/>
  <c r="E1267" i="17" s="1"/>
  <c r="L1268" i="17"/>
  <c r="M1268" i="17" s="1"/>
  <c r="E1268" i="17" s="1"/>
  <c r="L1269" i="17"/>
  <c r="M1269" i="17" s="1"/>
  <c r="E1269" i="17" s="1"/>
  <c r="L1270" i="17"/>
  <c r="M1270" i="17" s="1"/>
  <c r="E1270" i="17" s="1"/>
  <c r="L1271" i="17"/>
  <c r="M1271" i="17" s="1"/>
  <c r="E1271" i="17" s="1"/>
  <c r="L1272" i="17"/>
  <c r="M1272" i="17" s="1"/>
  <c r="E1272" i="17" s="1"/>
  <c r="L1273" i="17"/>
  <c r="M1273" i="17" s="1"/>
  <c r="E1273" i="17" s="1"/>
  <c r="L1274" i="17"/>
  <c r="M1274" i="17" s="1"/>
  <c r="E1274" i="17" s="1"/>
  <c r="L1275" i="17"/>
  <c r="M1275" i="17" s="1"/>
  <c r="E1275" i="17" s="1"/>
  <c r="L1276" i="17"/>
  <c r="M1276" i="17" s="1"/>
  <c r="E1276" i="17" s="1"/>
  <c r="L1277" i="17"/>
  <c r="M1277" i="17" s="1"/>
  <c r="E1277" i="17" s="1"/>
  <c r="L1278" i="17"/>
  <c r="M1278" i="17" s="1"/>
  <c r="E1278" i="17" s="1"/>
  <c r="L1279" i="17"/>
  <c r="M1279" i="17" s="1"/>
  <c r="E1279" i="17" s="1"/>
  <c r="L1280" i="17"/>
  <c r="M1280" i="17" s="1"/>
  <c r="E1280" i="17" s="1"/>
  <c r="L1281" i="17"/>
  <c r="M1281" i="17" s="1"/>
  <c r="E1281" i="17" s="1"/>
  <c r="L1282" i="17"/>
  <c r="M1282" i="17" s="1"/>
  <c r="E1282" i="17" s="1"/>
  <c r="L1283" i="17"/>
  <c r="M1283" i="17" s="1"/>
  <c r="E1283" i="17" s="1"/>
  <c r="L1284" i="17"/>
  <c r="M1284" i="17" s="1"/>
  <c r="E1284" i="17" s="1"/>
  <c r="L1285" i="17"/>
  <c r="M1285" i="17" s="1"/>
  <c r="E1285" i="17" s="1"/>
  <c r="L1286" i="17"/>
  <c r="M1286" i="17" s="1"/>
  <c r="E1286" i="17" s="1"/>
  <c r="L1287" i="17"/>
  <c r="M1287" i="17" s="1"/>
  <c r="E1287" i="17" s="1"/>
  <c r="L1288" i="17"/>
  <c r="M1288" i="17" s="1"/>
  <c r="E1288" i="17" s="1"/>
  <c r="L1289" i="17"/>
  <c r="M1289" i="17" s="1"/>
  <c r="E1289" i="17" s="1"/>
  <c r="L1290" i="17"/>
  <c r="M1290" i="17" s="1"/>
  <c r="E1290" i="17" s="1"/>
  <c r="L1291" i="17"/>
  <c r="M1291" i="17" s="1"/>
  <c r="E1291" i="17" s="1"/>
  <c r="L1292" i="17"/>
  <c r="M1292" i="17" s="1"/>
  <c r="E1292" i="17" s="1"/>
  <c r="L1293" i="17"/>
  <c r="M1293" i="17" s="1"/>
  <c r="E1293" i="17" s="1"/>
  <c r="L1294" i="17"/>
  <c r="M1294" i="17" s="1"/>
  <c r="E1294" i="17" s="1"/>
  <c r="L1295" i="17"/>
  <c r="M1295" i="17" s="1"/>
  <c r="E1295" i="17" s="1"/>
  <c r="L1296" i="17"/>
  <c r="M1296" i="17" s="1"/>
  <c r="E1296" i="17" s="1"/>
  <c r="L1297" i="17"/>
  <c r="M1297" i="17" s="1"/>
  <c r="E1297" i="17" s="1"/>
  <c r="L1298" i="17"/>
  <c r="M1298" i="17" s="1"/>
  <c r="E1298" i="17" s="1"/>
  <c r="L1299" i="17"/>
  <c r="M1299" i="17" s="1"/>
  <c r="E1299" i="17" s="1"/>
  <c r="L1300" i="17"/>
  <c r="M1300" i="17" s="1"/>
  <c r="E1300" i="17" s="1"/>
  <c r="L1301" i="17"/>
  <c r="M1301" i="17" s="1"/>
  <c r="E1301" i="17" s="1"/>
  <c r="L1302" i="17"/>
  <c r="M1302" i="17" s="1"/>
  <c r="E1302" i="17" s="1"/>
  <c r="L1303" i="17"/>
  <c r="M1303" i="17" s="1"/>
  <c r="E1303" i="17" s="1"/>
  <c r="L1304" i="17"/>
  <c r="M1304" i="17" s="1"/>
  <c r="E1304" i="17" s="1"/>
  <c r="L1305" i="17"/>
  <c r="M1305" i="17" s="1"/>
  <c r="E1305" i="17" s="1"/>
  <c r="L1306" i="17"/>
  <c r="M1306" i="17" s="1"/>
  <c r="E1306" i="17" s="1"/>
  <c r="L1307" i="17"/>
  <c r="M1307" i="17" s="1"/>
  <c r="E1307" i="17" s="1"/>
  <c r="L1308" i="17"/>
  <c r="M1308" i="17" s="1"/>
  <c r="E1308" i="17" s="1"/>
  <c r="L1309" i="17"/>
  <c r="M1309" i="17" s="1"/>
  <c r="E1309" i="17" s="1"/>
  <c r="L1310" i="17"/>
  <c r="M1310" i="17" s="1"/>
  <c r="E1310" i="17" s="1"/>
  <c r="L1311" i="17"/>
  <c r="M1311" i="17" s="1"/>
  <c r="E1311" i="17" s="1"/>
  <c r="L1312" i="17"/>
  <c r="M1312" i="17" s="1"/>
  <c r="E1312" i="17" s="1"/>
  <c r="L1313" i="17"/>
  <c r="M1313" i="17" s="1"/>
  <c r="E1313" i="17" s="1"/>
  <c r="L1314" i="17"/>
  <c r="M1314" i="17" s="1"/>
  <c r="E1314" i="17" s="1"/>
  <c r="L1315" i="17"/>
  <c r="M1315" i="17" s="1"/>
  <c r="E1315" i="17" s="1"/>
  <c r="L1316" i="17"/>
  <c r="M1316" i="17" s="1"/>
  <c r="E1316" i="17" s="1"/>
  <c r="L1317" i="17"/>
  <c r="M1317" i="17" s="1"/>
  <c r="E1317" i="17" s="1"/>
  <c r="L1318" i="17"/>
  <c r="M1318" i="17" s="1"/>
  <c r="E1318" i="17" s="1"/>
  <c r="L1319" i="17"/>
  <c r="M1319" i="17" s="1"/>
  <c r="E1319" i="17" s="1"/>
  <c r="L1320" i="17"/>
  <c r="M1320" i="17" s="1"/>
  <c r="E1320" i="17" s="1"/>
  <c r="L1321" i="17"/>
  <c r="M1321" i="17" s="1"/>
  <c r="E1321" i="17" s="1"/>
  <c r="L1322" i="17"/>
  <c r="M1322" i="17" s="1"/>
  <c r="E1322" i="17" s="1"/>
  <c r="L1323" i="17"/>
  <c r="M1323" i="17" s="1"/>
  <c r="E1323" i="17" s="1"/>
  <c r="L1324" i="17"/>
  <c r="M1324" i="17" s="1"/>
  <c r="E1324" i="17" s="1"/>
  <c r="L1325" i="17"/>
  <c r="M1325" i="17" s="1"/>
  <c r="E1325" i="17" s="1"/>
  <c r="L1326" i="17"/>
  <c r="M1326" i="17" s="1"/>
  <c r="E1326" i="17" s="1"/>
  <c r="L1327" i="17"/>
  <c r="M1327" i="17" s="1"/>
  <c r="E1327" i="17" s="1"/>
  <c r="L1328" i="17"/>
  <c r="M1328" i="17" s="1"/>
  <c r="E1328" i="17" s="1"/>
  <c r="L1329" i="17"/>
  <c r="M1329" i="17" s="1"/>
  <c r="E1329" i="17" s="1"/>
  <c r="L1330" i="17"/>
  <c r="M1330" i="17" s="1"/>
  <c r="E1330" i="17" s="1"/>
  <c r="L1331" i="17"/>
  <c r="M1331" i="17" s="1"/>
  <c r="E1331" i="17" s="1"/>
  <c r="L1332" i="17"/>
  <c r="M1332" i="17" s="1"/>
  <c r="E1332" i="17" s="1"/>
  <c r="L1333" i="17"/>
  <c r="M1333" i="17" s="1"/>
  <c r="E1333" i="17" s="1"/>
  <c r="L1334" i="17"/>
  <c r="M1334" i="17" s="1"/>
  <c r="E1334" i="17" s="1"/>
  <c r="L1335" i="17"/>
  <c r="M1335" i="17" s="1"/>
  <c r="E1335" i="17" s="1"/>
  <c r="L1336" i="17"/>
  <c r="M1336" i="17" s="1"/>
  <c r="E1336" i="17" s="1"/>
  <c r="L1337" i="17"/>
  <c r="M1337" i="17" s="1"/>
  <c r="E1337" i="17" s="1"/>
  <c r="L1338" i="17"/>
  <c r="M1338" i="17" s="1"/>
  <c r="E1338" i="17" s="1"/>
  <c r="L1339" i="17"/>
  <c r="M1339" i="17" s="1"/>
  <c r="E1339" i="17" s="1"/>
  <c r="L1340" i="17"/>
  <c r="M1340" i="17" s="1"/>
  <c r="E1340" i="17" s="1"/>
  <c r="L1341" i="17"/>
  <c r="M1341" i="17" s="1"/>
  <c r="E1341" i="17" s="1"/>
  <c r="L1342" i="17"/>
  <c r="M1342" i="17" s="1"/>
  <c r="E1342" i="17" s="1"/>
  <c r="L1343" i="17"/>
  <c r="M1343" i="17" s="1"/>
  <c r="E1343" i="17" s="1"/>
  <c r="L1344" i="17"/>
  <c r="M1344" i="17" s="1"/>
  <c r="E1344" i="17" s="1"/>
  <c r="L1345" i="17"/>
  <c r="M1345" i="17" s="1"/>
  <c r="E1345" i="17" s="1"/>
  <c r="L1346" i="17"/>
  <c r="M1346" i="17" s="1"/>
  <c r="E1346" i="17" s="1"/>
  <c r="L1347" i="17"/>
  <c r="M1347" i="17" s="1"/>
  <c r="E1347" i="17" s="1"/>
  <c r="L1348" i="17"/>
  <c r="M1348" i="17" s="1"/>
  <c r="E1348" i="17" s="1"/>
  <c r="L1349" i="17"/>
  <c r="M1349" i="17" s="1"/>
  <c r="E1349" i="17" s="1"/>
  <c r="L1350" i="17"/>
  <c r="M1350" i="17" s="1"/>
  <c r="E1350" i="17" s="1"/>
  <c r="L1351" i="17"/>
  <c r="M1351" i="17" s="1"/>
  <c r="E1351" i="17" s="1"/>
  <c r="L1352" i="17"/>
  <c r="M1352" i="17" s="1"/>
  <c r="E1352" i="17" s="1"/>
  <c r="L1353" i="17"/>
  <c r="M1353" i="17" s="1"/>
  <c r="E1353" i="17" s="1"/>
  <c r="L1354" i="17"/>
  <c r="M1354" i="17" s="1"/>
  <c r="E1354" i="17" s="1"/>
  <c r="L1355" i="17"/>
  <c r="M1355" i="17" s="1"/>
  <c r="E1355" i="17" s="1"/>
  <c r="L1356" i="17"/>
  <c r="M1356" i="17" s="1"/>
  <c r="E1356" i="17" s="1"/>
  <c r="L1357" i="17"/>
  <c r="M1357" i="17" s="1"/>
  <c r="E1357" i="17" s="1"/>
  <c r="L1358" i="17"/>
  <c r="M1358" i="17" s="1"/>
  <c r="E1358" i="17" s="1"/>
  <c r="L1359" i="17"/>
  <c r="M1359" i="17" s="1"/>
  <c r="E1359" i="17" s="1"/>
  <c r="L1360" i="17"/>
  <c r="M1360" i="17" s="1"/>
  <c r="E1360" i="17" s="1"/>
  <c r="L1361" i="17"/>
  <c r="M1361" i="17" s="1"/>
  <c r="E1361" i="17" s="1"/>
  <c r="L1362" i="17"/>
  <c r="M1362" i="17" s="1"/>
  <c r="E1362" i="17" s="1"/>
  <c r="L1363" i="17"/>
  <c r="M1363" i="17" s="1"/>
  <c r="E1363" i="17" s="1"/>
  <c r="L1364" i="17"/>
  <c r="M1364" i="17" s="1"/>
  <c r="E1364" i="17" s="1"/>
  <c r="L1365" i="17"/>
  <c r="M1365" i="17" s="1"/>
  <c r="E1365" i="17" s="1"/>
  <c r="L1366" i="17"/>
  <c r="M1366" i="17" s="1"/>
  <c r="E1366" i="17" s="1"/>
  <c r="L1367" i="17"/>
  <c r="M1367" i="17" s="1"/>
  <c r="E1367" i="17" s="1"/>
  <c r="L1368" i="17"/>
  <c r="M1368" i="17" s="1"/>
  <c r="E1368" i="17" s="1"/>
  <c r="L1369" i="17"/>
  <c r="M1369" i="17" s="1"/>
  <c r="E1369" i="17" s="1"/>
  <c r="L1370" i="17"/>
  <c r="M1370" i="17" s="1"/>
  <c r="E1370" i="17" s="1"/>
  <c r="L1371" i="17"/>
  <c r="M1371" i="17" s="1"/>
  <c r="E1371" i="17" s="1"/>
  <c r="L1372" i="17"/>
  <c r="M1372" i="17" s="1"/>
  <c r="E1372" i="17" s="1"/>
  <c r="L1373" i="17"/>
  <c r="M1373" i="17" s="1"/>
  <c r="E1373" i="17" s="1"/>
  <c r="L1374" i="17"/>
  <c r="M1374" i="17" s="1"/>
  <c r="E1374" i="17" s="1"/>
  <c r="L1375" i="17"/>
  <c r="M1375" i="17" s="1"/>
  <c r="E1375" i="17" s="1"/>
  <c r="L1376" i="17"/>
  <c r="M1376" i="17" s="1"/>
  <c r="E1376" i="17" s="1"/>
  <c r="L1377" i="17"/>
  <c r="M1377" i="17" s="1"/>
  <c r="E1377" i="17" s="1"/>
  <c r="L1378" i="17"/>
  <c r="M1378" i="17" s="1"/>
  <c r="E1378" i="17" s="1"/>
  <c r="L1379" i="17"/>
  <c r="M1379" i="17" s="1"/>
  <c r="E1379" i="17" s="1"/>
  <c r="L1380" i="17"/>
  <c r="M1380" i="17" s="1"/>
  <c r="E1380" i="17" s="1"/>
  <c r="L1381" i="17"/>
  <c r="M1381" i="17" s="1"/>
  <c r="E1381" i="17" s="1"/>
  <c r="L1382" i="17"/>
  <c r="M1382" i="17" s="1"/>
  <c r="E1382" i="17" s="1"/>
  <c r="L1383" i="17"/>
  <c r="M1383" i="17" s="1"/>
  <c r="E1383" i="17" s="1"/>
  <c r="L1384" i="17"/>
  <c r="M1384" i="17" s="1"/>
  <c r="E1384" i="17" s="1"/>
  <c r="L1385" i="17"/>
  <c r="M1385" i="17" s="1"/>
  <c r="E1385" i="17" s="1"/>
  <c r="L1386" i="17"/>
  <c r="M1386" i="17" s="1"/>
  <c r="E1386" i="17" s="1"/>
  <c r="L1387" i="17"/>
  <c r="M1387" i="17" s="1"/>
  <c r="E1387" i="17" s="1"/>
  <c r="L1388" i="17"/>
  <c r="M1388" i="17" s="1"/>
  <c r="E1388" i="17" s="1"/>
  <c r="L1389" i="17"/>
  <c r="M1389" i="17" s="1"/>
  <c r="E1389" i="17" s="1"/>
  <c r="L1390" i="17"/>
  <c r="M1390" i="17" s="1"/>
  <c r="E1390" i="17" s="1"/>
  <c r="L1391" i="17"/>
  <c r="M1391" i="17" s="1"/>
  <c r="E1391" i="17" s="1"/>
  <c r="L1392" i="17"/>
  <c r="M1392" i="17" s="1"/>
  <c r="E1392" i="17" s="1"/>
  <c r="L1393" i="17"/>
  <c r="M1393" i="17" s="1"/>
  <c r="E1393" i="17" s="1"/>
  <c r="L1394" i="17"/>
  <c r="M1394" i="17" s="1"/>
  <c r="E1394" i="17" s="1"/>
  <c r="L1395" i="17"/>
  <c r="M1395" i="17" s="1"/>
  <c r="E1395" i="17" s="1"/>
  <c r="L1396" i="17"/>
  <c r="M1396" i="17" s="1"/>
  <c r="E1396" i="17" s="1"/>
  <c r="L1397" i="17"/>
  <c r="M1397" i="17" s="1"/>
  <c r="E1397" i="17" s="1"/>
  <c r="L1398" i="17"/>
  <c r="M1398" i="17" s="1"/>
  <c r="E1398" i="17" s="1"/>
  <c r="L1399" i="17"/>
  <c r="M1399" i="17" s="1"/>
  <c r="E1399" i="17" s="1"/>
  <c r="L1400" i="17"/>
  <c r="M1400" i="17" s="1"/>
  <c r="E1400" i="17" s="1"/>
  <c r="L1401" i="17"/>
  <c r="M1401" i="17" s="1"/>
  <c r="E1401" i="17" s="1"/>
  <c r="L1402" i="17"/>
  <c r="M1402" i="17" s="1"/>
  <c r="E1402" i="17" s="1"/>
  <c r="L1403" i="17"/>
  <c r="M1403" i="17" s="1"/>
  <c r="E1403" i="17" s="1"/>
  <c r="L1404" i="17"/>
  <c r="M1404" i="17" s="1"/>
  <c r="E1404" i="17" s="1"/>
  <c r="L1405" i="17"/>
  <c r="M1405" i="17" s="1"/>
  <c r="E1405" i="17" s="1"/>
  <c r="L1406" i="17"/>
  <c r="M1406" i="17" s="1"/>
  <c r="E1406" i="17" s="1"/>
  <c r="L1407" i="17"/>
  <c r="M1407" i="17" s="1"/>
  <c r="E1407" i="17" s="1"/>
  <c r="L1408" i="17"/>
  <c r="M1408" i="17" s="1"/>
  <c r="E1408" i="17" s="1"/>
  <c r="L1409" i="17"/>
  <c r="M1409" i="17" s="1"/>
  <c r="E1409" i="17" s="1"/>
  <c r="L1410" i="17"/>
  <c r="M1410" i="17" s="1"/>
  <c r="E1410" i="17" s="1"/>
  <c r="L1411" i="17"/>
  <c r="M1411" i="17" s="1"/>
  <c r="E1411" i="17" s="1"/>
  <c r="L1412" i="17"/>
  <c r="M1412" i="17" s="1"/>
  <c r="E1412" i="17" s="1"/>
  <c r="L1413" i="17"/>
  <c r="M1413" i="17" s="1"/>
  <c r="E1413" i="17" s="1"/>
  <c r="L1414" i="17"/>
  <c r="M1414" i="17" s="1"/>
  <c r="E1414" i="17" s="1"/>
  <c r="L1415" i="17"/>
  <c r="M1415" i="17" s="1"/>
  <c r="E1415" i="17" s="1"/>
  <c r="L1416" i="17"/>
  <c r="M1416" i="17" s="1"/>
  <c r="E1416" i="17" s="1"/>
  <c r="L1417" i="17"/>
  <c r="M1417" i="17" s="1"/>
  <c r="E1417" i="17" s="1"/>
  <c r="L1418" i="17"/>
  <c r="M1418" i="17" s="1"/>
  <c r="E1418" i="17" s="1"/>
  <c r="L1419" i="17"/>
  <c r="M1419" i="17" s="1"/>
  <c r="E1419" i="17" s="1"/>
  <c r="L1420" i="17"/>
  <c r="M1420" i="17" s="1"/>
  <c r="E1420" i="17" s="1"/>
  <c r="L1421" i="17"/>
  <c r="M1421" i="17" s="1"/>
  <c r="E1421" i="17" s="1"/>
  <c r="L1422" i="17"/>
  <c r="M1422" i="17" s="1"/>
  <c r="E1422" i="17" s="1"/>
  <c r="L1423" i="17"/>
  <c r="M1423" i="17" s="1"/>
  <c r="E1423" i="17" s="1"/>
  <c r="L1424" i="17"/>
  <c r="M1424" i="17" s="1"/>
  <c r="E1424" i="17" s="1"/>
  <c r="L1425" i="17"/>
  <c r="M1425" i="17" s="1"/>
  <c r="E1425" i="17" s="1"/>
  <c r="L1426" i="17"/>
  <c r="M1426" i="17" s="1"/>
  <c r="E1426" i="17" s="1"/>
  <c r="L1427" i="17"/>
  <c r="M1427" i="17" s="1"/>
  <c r="E1427" i="17" s="1"/>
  <c r="L1428" i="17"/>
  <c r="M1428" i="17" s="1"/>
  <c r="E1428" i="17" s="1"/>
  <c r="L1429" i="17"/>
  <c r="M1429" i="17" s="1"/>
  <c r="E1429" i="17" s="1"/>
  <c r="L1430" i="17"/>
  <c r="M1430" i="17" s="1"/>
  <c r="E1430" i="17" s="1"/>
  <c r="L1431" i="17"/>
  <c r="M1431" i="17" s="1"/>
  <c r="E1431" i="17" s="1"/>
  <c r="L1432" i="17"/>
  <c r="M1432" i="17" s="1"/>
  <c r="E1432" i="17" s="1"/>
  <c r="L1433" i="17"/>
  <c r="M1433" i="17" s="1"/>
  <c r="E1433" i="17" s="1"/>
  <c r="L1434" i="17"/>
  <c r="M1434" i="17" s="1"/>
  <c r="E1434" i="17" s="1"/>
  <c r="L1435" i="17"/>
  <c r="M1435" i="17" s="1"/>
  <c r="E1435" i="17" s="1"/>
  <c r="L1436" i="17"/>
  <c r="M1436" i="17" s="1"/>
  <c r="E1436" i="17" s="1"/>
  <c r="L1437" i="17"/>
  <c r="M1437" i="17" s="1"/>
  <c r="E1437" i="17" s="1"/>
  <c r="L1438" i="17"/>
  <c r="M1438" i="17" s="1"/>
  <c r="E1438" i="17" s="1"/>
  <c r="L1439" i="17"/>
  <c r="M1439" i="17" s="1"/>
  <c r="E1439" i="17" s="1"/>
  <c r="L1440" i="17"/>
  <c r="M1440" i="17" s="1"/>
  <c r="E1440" i="17" s="1"/>
  <c r="L1441" i="17"/>
  <c r="M1441" i="17" s="1"/>
  <c r="E1441" i="17" s="1"/>
  <c r="L1442" i="17"/>
  <c r="M1442" i="17" s="1"/>
  <c r="E1442" i="17" s="1"/>
  <c r="L1443" i="17"/>
  <c r="M1443" i="17" s="1"/>
  <c r="E1443" i="17" s="1"/>
  <c r="L1444" i="17"/>
  <c r="M1444" i="17" s="1"/>
  <c r="E1444" i="17" s="1"/>
  <c r="L1445" i="17"/>
  <c r="M1445" i="17" s="1"/>
  <c r="E1445" i="17" s="1"/>
  <c r="L1446" i="17"/>
  <c r="M1446" i="17" s="1"/>
  <c r="E1446" i="17" s="1"/>
  <c r="L1447" i="17"/>
  <c r="M1447" i="17" s="1"/>
  <c r="E1447" i="17" s="1"/>
  <c r="L1448" i="17"/>
  <c r="M1448" i="17" s="1"/>
  <c r="E1448" i="17" s="1"/>
  <c r="L1449" i="17"/>
  <c r="M1449" i="17" s="1"/>
  <c r="E1449" i="17" s="1"/>
  <c r="L1450" i="17"/>
  <c r="M1450" i="17" s="1"/>
  <c r="E1450" i="17" s="1"/>
  <c r="L1451" i="17"/>
  <c r="M1451" i="17" s="1"/>
  <c r="E1451" i="17" s="1"/>
  <c r="L1452" i="17"/>
  <c r="M1452" i="17" s="1"/>
  <c r="E1452" i="17" s="1"/>
  <c r="L1453" i="17"/>
  <c r="M1453" i="17" s="1"/>
  <c r="E1453" i="17" s="1"/>
  <c r="L1454" i="17"/>
  <c r="M1454" i="17" s="1"/>
  <c r="E1454" i="17" s="1"/>
  <c r="L1455" i="17"/>
  <c r="M1455" i="17" s="1"/>
  <c r="E1455" i="17" s="1"/>
  <c r="L1456" i="17"/>
  <c r="M1456" i="17" s="1"/>
  <c r="E1456" i="17" s="1"/>
  <c r="L1457" i="17"/>
  <c r="M1457" i="17" s="1"/>
  <c r="E1457" i="17" s="1"/>
  <c r="L1458" i="17"/>
  <c r="M1458" i="17" s="1"/>
  <c r="E1458" i="17" s="1"/>
  <c r="L1459" i="17"/>
  <c r="M1459" i="17" s="1"/>
  <c r="E1459" i="17" s="1"/>
  <c r="L1460" i="17"/>
  <c r="M1460" i="17" s="1"/>
  <c r="E1460" i="17" s="1"/>
  <c r="L1461" i="17"/>
  <c r="M1461" i="17" s="1"/>
  <c r="E1461" i="17" s="1"/>
  <c r="L1462" i="17"/>
  <c r="M1462" i="17" s="1"/>
  <c r="E1462" i="17" s="1"/>
  <c r="L1463" i="17"/>
  <c r="M1463" i="17" s="1"/>
  <c r="E1463" i="17" s="1"/>
  <c r="L1464" i="17"/>
  <c r="M1464" i="17" s="1"/>
  <c r="E1464" i="17" s="1"/>
  <c r="L1465" i="17"/>
  <c r="M1465" i="17" s="1"/>
  <c r="E1465" i="17" s="1"/>
  <c r="L1466" i="17"/>
  <c r="M1466" i="17" s="1"/>
  <c r="E1466" i="17" s="1"/>
  <c r="L1467" i="17"/>
  <c r="M1467" i="17" s="1"/>
  <c r="E1467" i="17" s="1"/>
  <c r="L1468" i="17"/>
  <c r="M1468" i="17" s="1"/>
  <c r="E1468" i="17" s="1"/>
  <c r="L1469" i="17"/>
  <c r="M1469" i="17" s="1"/>
  <c r="E1469" i="17" s="1"/>
  <c r="L1470" i="17"/>
  <c r="M1470" i="17" s="1"/>
  <c r="E1470" i="17" s="1"/>
  <c r="L1471" i="17"/>
  <c r="M1471" i="17" s="1"/>
  <c r="E1471" i="17" s="1"/>
  <c r="L1472" i="17"/>
  <c r="M1472" i="17" s="1"/>
  <c r="E1472" i="17" s="1"/>
  <c r="L1473" i="17"/>
  <c r="M1473" i="17" s="1"/>
  <c r="E1473" i="17" s="1"/>
  <c r="L1474" i="17"/>
  <c r="M1474" i="17" s="1"/>
  <c r="E1474" i="17" s="1"/>
  <c r="L1475" i="17"/>
  <c r="M1475" i="17" s="1"/>
  <c r="E1475" i="17" s="1"/>
  <c r="L1476" i="17"/>
  <c r="M1476" i="17" s="1"/>
  <c r="E1476" i="17" s="1"/>
  <c r="L1477" i="17"/>
  <c r="M1477" i="17" s="1"/>
  <c r="E1477" i="17" s="1"/>
  <c r="L1478" i="17"/>
  <c r="M1478" i="17" s="1"/>
  <c r="E1478" i="17" s="1"/>
  <c r="L1479" i="17"/>
  <c r="M1479" i="17" s="1"/>
  <c r="E1479" i="17" s="1"/>
  <c r="L1480" i="17"/>
  <c r="M1480" i="17" s="1"/>
  <c r="E1480" i="17" s="1"/>
  <c r="L1481" i="17"/>
  <c r="M1481" i="17" s="1"/>
  <c r="E1481" i="17" s="1"/>
  <c r="L1482" i="17"/>
  <c r="M1482" i="17" s="1"/>
  <c r="E1482" i="17" s="1"/>
  <c r="L1483" i="17"/>
  <c r="M1483" i="17" s="1"/>
  <c r="E1483" i="17" s="1"/>
  <c r="L1484" i="17"/>
  <c r="M1484" i="17" s="1"/>
  <c r="E1484" i="17" s="1"/>
  <c r="L1485" i="17"/>
  <c r="M1485" i="17" s="1"/>
  <c r="E1485" i="17" s="1"/>
  <c r="L1486" i="17"/>
  <c r="M1486" i="17" s="1"/>
  <c r="E1486" i="17" s="1"/>
  <c r="L1487" i="17"/>
  <c r="M1487" i="17" s="1"/>
  <c r="E1487" i="17" s="1"/>
  <c r="L1488" i="17"/>
  <c r="M1488" i="17" s="1"/>
  <c r="E1488" i="17" s="1"/>
  <c r="L1489" i="17"/>
  <c r="M1489" i="17" s="1"/>
  <c r="E1489" i="17" s="1"/>
  <c r="L1490" i="17"/>
  <c r="M1490" i="17" s="1"/>
  <c r="E1490" i="17" s="1"/>
  <c r="L1491" i="17"/>
  <c r="M1491" i="17" s="1"/>
  <c r="E1491" i="17" s="1"/>
  <c r="L1492" i="17"/>
  <c r="M1492" i="17" s="1"/>
  <c r="E1492" i="17" s="1"/>
  <c r="L1493" i="17"/>
  <c r="M1493" i="17" s="1"/>
  <c r="E1493" i="17" s="1"/>
  <c r="L1494" i="17"/>
  <c r="M1494" i="17" s="1"/>
  <c r="E1494" i="17" s="1"/>
  <c r="L1495" i="17"/>
  <c r="M1495" i="17" s="1"/>
  <c r="E1495" i="17" s="1"/>
  <c r="L1496" i="17"/>
  <c r="M1496" i="17" s="1"/>
  <c r="E1496" i="17" s="1"/>
  <c r="L1497" i="17"/>
  <c r="M1497" i="17" s="1"/>
  <c r="E1497" i="17" s="1"/>
  <c r="L1498" i="17"/>
  <c r="M1498" i="17" s="1"/>
  <c r="E1498" i="17" s="1"/>
  <c r="L1499" i="17"/>
  <c r="M1499" i="17" s="1"/>
  <c r="E1499" i="17" s="1"/>
  <c r="L1500" i="17"/>
  <c r="M1500" i="17" s="1"/>
  <c r="E1500" i="17" s="1"/>
  <c r="L1501" i="17"/>
  <c r="M1501" i="17" s="1"/>
  <c r="E1501" i="17" s="1"/>
  <c r="L1502" i="17"/>
  <c r="M1502" i="17" s="1"/>
  <c r="E1502" i="17" s="1"/>
  <c r="L1503" i="17"/>
  <c r="M1503" i="17" s="1"/>
  <c r="E1503" i="17" s="1"/>
  <c r="L1504" i="17"/>
  <c r="M1504" i="17" s="1"/>
  <c r="E1504" i="17" s="1"/>
  <c r="L1505" i="17"/>
  <c r="M1505" i="17" s="1"/>
  <c r="E1505" i="17" s="1"/>
  <c r="L1506" i="17"/>
  <c r="M1506" i="17" s="1"/>
  <c r="E1506" i="17" s="1"/>
  <c r="L1507" i="17"/>
  <c r="M1507" i="17" s="1"/>
  <c r="E1507" i="17" s="1"/>
  <c r="L1508" i="17"/>
  <c r="M1508" i="17" s="1"/>
  <c r="E1508" i="17" s="1"/>
  <c r="L1509" i="17"/>
  <c r="M1509" i="17" s="1"/>
  <c r="E1509" i="17" s="1"/>
  <c r="L1510" i="17"/>
  <c r="M1510" i="17" s="1"/>
  <c r="E1510" i="17" s="1"/>
  <c r="L1511" i="17"/>
  <c r="M1511" i="17" s="1"/>
  <c r="E1511" i="17" s="1"/>
  <c r="L1512" i="17"/>
  <c r="M1512" i="17" s="1"/>
  <c r="E1512" i="17" s="1"/>
  <c r="L1513" i="17"/>
  <c r="M1513" i="17" s="1"/>
  <c r="E1513" i="17" s="1"/>
  <c r="L1514" i="17"/>
  <c r="M1514" i="17" s="1"/>
  <c r="E1514" i="17" s="1"/>
  <c r="L1515" i="17"/>
  <c r="M1515" i="17" s="1"/>
  <c r="E1515" i="17" s="1"/>
  <c r="L1516" i="17"/>
  <c r="M1516" i="17" s="1"/>
  <c r="E1516" i="17" s="1"/>
  <c r="L1517" i="17"/>
  <c r="M1517" i="17" s="1"/>
  <c r="E1517" i="17" s="1"/>
  <c r="L1518" i="17"/>
  <c r="M1518" i="17" s="1"/>
  <c r="E1518" i="17" s="1"/>
  <c r="L1519" i="17"/>
  <c r="M1519" i="17" s="1"/>
  <c r="E1519" i="17" s="1"/>
  <c r="L1520" i="17"/>
  <c r="M1520" i="17" s="1"/>
  <c r="E1520" i="17" s="1"/>
  <c r="L1521" i="17"/>
  <c r="M1521" i="17" s="1"/>
  <c r="E1521" i="17" s="1"/>
  <c r="L1522" i="17"/>
  <c r="M1522" i="17" s="1"/>
  <c r="E1522" i="17" s="1"/>
  <c r="L1523" i="17"/>
  <c r="M1523" i="17" s="1"/>
  <c r="E1523" i="17" s="1"/>
  <c r="L1524" i="17"/>
  <c r="M1524" i="17" s="1"/>
  <c r="E1524" i="17" s="1"/>
  <c r="L1525" i="17"/>
  <c r="M1525" i="17" s="1"/>
  <c r="E1525" i="17" s="1"/>
  <c r="L1526" i="17"/>
  <c r="M1526" i="17" s="1"/>
  <c r="E1526" i="17" s="1"/>
  <c r="L1527" i="17"/>
  <c r="M1527" i="17" s="1"/>
  <c r="E1527" i="17" s="1"/>
  <c r="L1528" i="17"/>
  <c r="M1528" i="17" s="1"/>
  <c r="E1528" i="17" s="1"/>
  <c r="L1529" i="17"/>
  <c r="M1529" i="17" s="1"/>
  <c r="E1529" i="17" s="1"/>
  <c r="L1530" i="17"/>
  <c r="M1530" i="17" s="1"/>
  <c r="E1530" i="17" s="1"/>
  <c r="L1531" i="17"/>
  <c r="M1531" i="17" s="1"/>
  <c r="E1531" i="17" s="1"/>
  <c r="L1532" i="17"/>
  <c r="M1532" i="17" s="1"/>
  <c r="E1532" i="17" s="1"/>
  <c r="L1533" i="17"/>
  <c r="M1533" i="17" s="1"/>
  <c r="E1533" i="17" s="1"/>
  <c r="L1534" i="17"/>
  <c r="M1534" i="17" s="1"/>
  <c r="E1534" i="17" s="1"/>
  <c r="L1535" i="17"/>
  <c r="M1535" i="17" s="1"/>
  <c r="E1535" i="17" s="1"/>
  <c r="L1536" i="17"/>
  <c r="M1536" i="17" s="1"/>
  <c r="E1536" i="17" s="1"/>
  <c r="L1537" i="17"/>
  <c r="M1537" i="17" s="1"/>
  <c r="E1537" i="17" s="1"/>
  <c r="L1538" i="17"/>
  <c r="M1538" i="17" s="1"/>
  <c r="E1538" i="17" s="1"/>
  <c r="L1539" i="17"/>
  <c r="M1539" i="17" s="1"/>
  <c r="E1539" i="17" s="1"/>
  <c r="L1540" i="17"/>
  <c r="M1540" i="17" s="1"/>
  <c r="E1540" i="17" s="1"/>
  <c r="L1541" i="17"/>
  <c r="M1541" i="17" s="1"/>
  <c r="E1541" i="17" s="1"/>
  <c r="L1542" i="17"/>
  <c r="M1542" i="17" s="1"/>
  <c r="E1542" i="17" s="1"/>
  <c r="L1543" i="17"/>
  <c r="M1543" i="17" s="1"/>
  <c r="E1543" i="17" s="1"/>
  <c r="L1544" i="17"/>
  <c r="M1544" i="17" s="1"/>
  <c r="E1544" i="17" s="1"/>
  <c r="L1545" i="17"/>
  <c r="M1545" i="17" s="1"/>
  <c r="E1545" i="17" s="1"/>
  <c r="L1546" i="17"/>
  <c r="M1546" i="17" s="1"/>
  <c r="E1546" i="17" s="1"/>
  <c r="L1547" i="17"/>
  <c r="M1547" i="17" s="1"/>
  <c r="E1547" i="17" s="1"/>
  <c r="L1548" i="17"/>
  <c r="M1548" i="17" s="1"/>
  <c r="E1548" i="17" s="1"/>
  <c r="L1549" i="17"/>
  <c r="M1549" i="17" s="1"/>
  <c r="E1549" i="17" s="1"/>
  <c r="L1550" i="17"/>
  <c r="M1550" i="17" s="1"/>
  <c r="E1550" i="17" s="1"/>
  <c r="L1551" i="17"/>
  <c r="M1551" i="17" s="1"/>
  <c r="E1551" i="17" s="1"/>
  <c r="L1552" i="17"/>
  <c r="M1552" i="17" s="1"/>
  <c r="E1552" i="17" s="1"/>
  <c r="L1553" i="17"/>
  <c r="M1553" i="17" s="1"/>
  <c r="E1553" i="17" s="1"/>
  <c r="L1554" i="17"/>
  <c r="M1554" i="17" s="1"/>
  <c r="E1554" i="17" s="1"/>
  <c r="L1555" i="17"/>
  <c r="M1555" i="17" s="1"/>
  <c r="E1555" i="17" s="1"/>
  <c r="L1556" i="17"/>
  <c r="M1556" i="17" s="1"/>
  <c r="E1556" i="17" s="1"/>
  <c r="L1557" i="17"/>
  <c r="M1557" i="17" s="1"/>
  <c r="E1557" i="17" s="1"/>
  <c r="L1558" i="17"/>
  <c r="M1558" i="17" s="1"/>
  <c r="E1558" i="17" s="1"/>
  <c r="L1559" i="17"/>
  <c r="M1559" i="17" s="1"/>
  <c r="E1559" i="17" s="1"/>
  <c r="L1560" i="17"/>
  <c r="M1560" i="17" s="1"/>
  <c r="E1560" i="17" s="1"/>
  <c r="L1561" i="17"/>
  <c r="M1561" i="17" s="1"/>
  <c r="E1561" i="17" s="1"/>
  <c r="L1562" i="17"/>
  <c r="M1562" i="17" s="1"/>
  <c r="E1562" i="17" s="1"/>
  <c r="L1563" i="17"/>
  <c r="M1563" i="17" s="1"/>
  <c r="E1563" i="17" s="1"/>
  <c r="L1564" i="17"/>
  <c r="M1564" i="17" s="1"/>
  <c r="E1564" i="17" s="1"/>
  <c r="L1565" i="17"/>
  <c r="M1565" i="17" s="1"/>
  <c r="E1565" i="17" s="1"/>
  <c r="L1566" i="17"/>
  <c r="M1566" i="17" s="1"/>
  <c r="E1566" i="17" s="1"/>
  <c r="L1567" i="17"/>
  <c r="M1567" i="17" s="1"/>
  <c r="E1567" i="17" s="1"/>
  <c r="L1568" i="17"/>
  <c r="M1568" i="17" s="1"/>
  <c r="E1568" i="17" s="1"/>
  <c r="L1569" i="17"/>
  <c r="M1569" i="17" s="1"/>
  <c r="E1569" i="17" s="1"/>
  <c r="L1570" i="17"/>
  <c r="M1570" i="17" s="1"/>
  <c r="E1570" i="17" s="1"/>
  <c r="L1571" i="17"/>
  <c r="M1571" i="17" s="1"/>
  <c r="E1571" i="17" s="1"/>
  <c r="L1572" i="17"/>
  <c r="M1572" i="17" s="1"/>
  <c r="E1572" i="17" s="1"/>
  <c r="L1573" i="17"/>
  <c r="M1573" i="17" s="1"/>
  <c r="E1573" i="17" s="1"/>
  <c r="L1574" i="17"/>
  <c r="M1574" i="17" s="1"/>
  <c r="E1574" i="17" s="1"/>
  <c r="L1575" i="17"/>
  <c r="M1575" i="17" s="1"/>
  <c r="E1575" i="17" s="1"/>
  <c r="L1576" i="17"/>
  <c r="M1576" i="17" s="1"/>
  <c r="E1576" i="17" s="1"/>
  <c r="L1577" i="17"/>
  <c r="M1577" i="17" s="1"/>
  <c r="E1577" i="17" s="1"/>
  <c r="L1578" i="17"/>
  <c r="M1578" i="17" s="1"/>
  <c r="E1578" i="17" s="1"/>
  <c r="L1579" i="17"/>
  <c r="M1579" i="17" s="1"/>
  <c r="E1579" i="17" s="1"/>
  <c r="L1580" i="17"/>
  <c r="M1580" i="17" s="1"/>
  <c r="E1580" i="17" s="1"/>
  <c r="L1581" i="17"/>
  <c r="M1581" i="17" s="1"/>
  <c r="E1581" i="17" s="1"/>
  <c r="L1582" i="17"/>
  <c r="M1582" i="17" s="1"/>
  <c r="E1582" i="17" s="1"/>
  <c r="L1583" i="17"/>
  <c r="M1583" i="17" s="1"/>
  <c r="E1583" i="17" s="1"/>
  <c r="L1584" i="17"/>
  <c r="M1584" i="17" s="1"/>
  <c r="E1584" i="17" s="1"/>
  <c r="L1585" i="17"/>
  <c r="M1585" i="17" s="1"/>
  <c r="E1585" i="17" s="1"/>
  <c r="L1586" i="17"/>
  <c r="M1586" i="17" s="1"/>
  <c r="E1586" i="17" s="1"/>
  <c r="L1587" i="17"/>
  <c r="M1587" i="17" s="1"/>
  <c r="E1587" i="17" s="1"/>
  <c r="L1588" i="17"/>
  <c r="M1588" i="17" s="1"/>
  <c r="E1588" i="17" s="1"/>
  <c r="L1589" i="17"/>
  <c r="M1589" i="17" s="1"/>
  <c r="E1589" i="17" s="1"/>
  <c r="L1590" i="17"/>
  <c r="M1590" i="17" s="1"/>
  <c r="E1590" i="17" s="1"/>
  <c r="L1591" i="17"/>
  <c r="M1591" i="17" s="1"/>
  <c r="E1591" i="17" s="1"/>
  <c r="L1592" i="17"/>
  <c r="M1592" i="17" s="1"/>
  <c r="E1592" i="17" s="1"/>
  <c r="L1593" i="17"/>
  <c r="M1593" i="17" s="1"/>
  <c r="E1593" i="17" s="1"/>
  <c r="L1594" i="17"/>
  <c r="M1594" i="17" s="1"/>
  <c r="E1594" i="17" s="1"/>
  <c r="L1595" i="17"/>
  <c r="M1595" i="17" s="1"/>
  <c r="E1595" i="17" s="1"/>
  <c r="L1596" i="17"/>
  <c r="M1596" i="17" s="1"/>
  <c r="E1596" i="17" s="1"/>
  <c r="L1597" i="17"/>
  <c r="M1597" i="17" s="1"/>
  <c r="E1597" i="17" s="1"/>
  <c r="L1598" i="17"/>
  <c r="M1598" i="17" s="1"/>
  <c r="E1598" i="17" s="1"/>
  <c r="L1599" i="17"/>
  <c r="M1599" i="17" s="1"/>
  <c r="E1599" i="17" s="1"/>
  <c r="L1600" i="17"/>
  <c r="M1600" i="17" s="1"/>
  <c r="E1600" i="17" s="1"/>
  <c r="L1601" i="17"/>
  <c r="M1601" i="17" s="1"/>
  <c r="E1601" i="17" s="1"/>
  <c r="L1602" i="17"/>
  <c r="M1602" i="17" s="1"/>
  <c r="E1602" i="17" s="1"/>
  <c r="L1603" i="17"/>
  <c r="M1603" i="17" s="1"/>
  <c r="E1603" i="17" s="1"/>
  <c r="L1604" i="17"/>
  <c r="M1604" i="17" s="1"/>
  <c r="E1604" i="17" s="1"/>
  <c r="L1605" i="17"/>
  <c r="M1605" i="17" s="1"/>
  <c r="E1605" i="17" s="1"/>
  <c r="L1606" i="17"/>
  <c r="M1606" i="17" s="1"/>
  <c r="E1606" i="17" s="1"/>
  <c r="L1607" i="17"/>
  <c r="M1607" i="17" s="1"/>
  <c r="E1607" i="17" s="1"/>
  <c r="L1608" i="17"/>
  <c r="M1608" i="17" s="1"/>
  <c r="E1608" i="17" s="1"/>
  <c r="L1609" i="17"/>
  <c r="M1609" i="17" s="1"/>
  <c r="E1609" i="17" s="1"/>
  <c r="L1610" i="17"/>
  <c r="M1610" i="17" s="1"/>
  <c r="E1610" i="17" s="1"/>
  <c r="L1611" i="17"/>
  <c r="M1611" i="17" s="1"/>
  <c r="E1611" i="17" s="1"/>
  <c r="L1612" i="17"/>
  <c r="M1612" i="17" s="1"/>
  <c r="E1612" i="17" s="1"/>
  <c r="L1613" i="17"/>
  <c r="M1613" i="17" s="1"/>
  <c r="E1613" i="17" s="1"/>
  <c r="L1614" i="17"/>
  <c r="M1614" i="17" s="1"/>
  <c r="E1614" i="17" s="1"/>
  <c r="L1615" i="17"/>
  <c r="M1615" i="17" s="1"/>
  <c r="E1615" i="17" s="1"/>
  <c r="L1616" i="17"/>
  <c r="M1616" i="17" s="1"/>
  <c r="E1616" i="17" s="1"/>
  <c r="L1617" i="17"/>
  <c r="M1617" i="17" s="1"/>
  <c r="E1617" i="17" s="1"/>
  <c r="L1618" i="17"/>
  <c r="M1618" i="17" s="1"/>
  <c r="E1618" i="17" s="1"/>
  <c r="L1619" i="17"/>
  <c r="M1619" i="17" s="1"/>
  <c r="E1619" i="17" s="1"/>
  <c r="L1620" i="17"/>
  <c r="M1620" i="17" s="1"/>
  <c r="E1620" i="17" s="1"/>
  <c r="L1621" i="17"/>
  <c r="M1621" i="17" s="1"/>
  <c r="E1621" i="17" s="1"/>
  <c r="L1622" i="17"/>
  <c r="M1622" i="17" s="1"/>
  <c r="E1622" i="17" s="1"/>
  <c r="L1623" i="17"/>
  <c r="M1623" i="17" s="1"/>
  <c r="E1623" i="17" s="1"/>
  <c r="L1624" i="17"/>
  <c r="M1624" i="17" s="1"/>
  <c r="E1624" i="17" s="1"/>
  <c r="L1625" i="17"/>
  <c r="M1625" i="17" s="1"/>
  <c r="E1625" i="17" s="1"/>
  <c r="L1626" i="17"/>
  <c r="M1626" i="17" s="1"/>
  <c r="E1626" i="17" s="1"/>
  <c r="L1627" i="17"/>
  <c r="M1627" i="17" s="1"/>
  <c r="E1627" i="17" s="1"/>
  <c r="L1628" i="17"/>
  <c r="M1628" i="17" s="1"/>
  <c r="E1628" i="17" s="1"/>
  <c r="L1629" i="17"/>
  <c r="M1629" i="17" s="1"/>
  <c r="E1629" i="17" s="1"/>
  <c r="L1630" i="17"/>
  <c r="M1630" i="17" s="1"/>
  <c r="E1630" i="17" s="1"/>
  <c r="L1631" i="17"/>
  <c r="M1631" i="17" s="1"/>
  <c r="E1631" i="17" s="1"/>
  <c r="L1632" i="17"/>
  <c r="M1632" i="17" s="1"/>
  <c r="E1632" i="17" s="1"/>
  <c r="L1633" i="17"/>
  <c r="M1633" i="17" s="1"/>
  <c r="E1633" i="17" s="1"/>
  <c r="L1634" i="17"/>
  <c r="M1634" i="17" s="1"/>
  <c r="E1634" i="17" s="1"/>
  <c r="L1635" i="17"/>
  <c r="M1635" i="17" s="1"/>
  <c r="E1635" i="17" s="1"/>
  <c r="L1636" i="17"/>
  <c r="M1636" i="17" s="1"/>
  <c r="E1636" i="17" s="1"/>
  <c r="L1637" i="17"/>
  <c r="M1637" i="17" s="1"/>
  <c r="E1637" i="17" s="1"/>
  <c r="L1638" i="17"/>
  <c r="M1638" i="17" s="1"/>
  <c r="E1638" i="17" s="1"/>
  <c r="L1639" i="17"/>
  <c r="M1639" i="17" s="1"/>
  <c r="E1639" i="17" s="1"/>
  <c r="L1640" i="17"/>
  <c r="M1640" i="17" s="1"/>
  <c r="E1640" i="17" s="1"/>
  <c r="L1641" i="17"/>
  <c r="M1641" i="17" s="1"/>
  <c r="E1641" i="17" s="1"/>
  <c r="L1642" i="17"/>
  <c r="M1642" i="17" s="1"/>
  <c r="E1642" i="17" s="1"/>
  <c r="L1643" i="17"/>
  <c r="M1643" i="17" s="1"/>
  <c r="E1643" i="17" s="1"/>
  <c r="L1644" i="17"/>
  <c r="M1644" i="17" s="1"/>
  <c r="E1644" i="17" s="1"/>
  <c r="L1645" i="17"/>
  <c r="M1645" i="17" s="1"/>
  <c r="E1645" i="17" s="1"/>
  <c r="L1646" i="17"/>
  <c r="M1646" i="17" s="1"/>
  <c r="E1646" i="17" s="1"/>
  <c r="L1647" i="17"/>
  <c r="M1647" i="17" s="1"/>
  <c r="E1647" i="17" s="1"/>
  <c r="L1648" i="17"/>
  <c r="M1648" i="17" s="1"/>
  <c r="E1648" i="17" s="1"/>
  <c r="L1649" i="17"/>
  <c r="M1649" i="17" s="1"/>
  <c r="E1649" i="17" s="1"/>
  <c r="L1650" i="17"/>
  <c r="M1650" i="17" s="1"/>
  <c r="E1650" i="17" s="1"/>
  <c r="L1651" i="17"/>
  <c r="M1651" i="17" s="1"/>
  <c r="E1651" i="17" s="1"/>
  <c r="L1652" i="17"/>
  <c r="M1652" i="17" s="1"/>
  <c r="E1652" i="17" s="1"/>
  <c r="L1653" i="17"/>
  <c r="M1653" i="17" s="1"/>
  <c r="E1653" i="17" s="1"/>
  <c r="L1654" i="17"/>
  <c r="M1654" i="17" s="1"/>
  <c r="E1654" i="17" s="1"/>
  <c r="L1655" i="17"/>
  <c r="M1655" i="17" s="1"/>
  <c r="E1655" i="17" s="1"/>
  <c r="L1656" i="17"/>
  <c r="M1656" i="17" s="1"/>
  <c r="E1656" i="17" s="1"/>
  <c r="L1657" i="17"/>
  <c r="M1657" i="17" s="1"/>
  <c r="E1657" i="17" s="1"/>
  <c r="L1658" i="17"/>
  <c r="M1658" i="17" s="1"/>
  <c r="E1658" i="17" s="1"/>
  <c r="L1659" i="17"/>
  <c r="M1659" i="17" s="1"/>
  <c r="E1659" i="17" s="1"/>
  <c r="L1660" i="17"/>
  <c r="M1660" i="17" s="1"/>
  <c r="E1660" i="17" s="1"/>
  <c r="L1661" i="17"/>
  <c r="M1661" i="17" s="1"/>
  <c r="E1661" i="17" s="1"/>
  <c r="L1662" i="17"/>
  <c r="M1662" i="17" s="1"/>
  <c r="E1662" i="17" s="1"/>
  <c r="L1663" i="17"/>
  <c r="M1663" i="17" s="1"/>
  <c r="E1663" i="17" s="1"/>
  <c r="L1664" i="17"/>
  <c r="M1664" i="17" s="1"/>
  <c r="E1664" i="17" s="1"/>
  <c r="L1665" i="17"/>
  <c r="M1665" i="17" s="1"/>
  <c r="E1665" i="17" s="1"/>
  <c r="L1666" i="17"/>
  <c r="M1666" i="17" s="1"/>
  <c r="E1666" i="17" s="1"/>
  <c r="L1667" i="17"/>
  <c r="M1667" i="17" s="1"/>
  <c r="E1667" i="17" s="1"/>
  <c r="L1668" i="17"/>
  <c r="M1668" i="17" s="1"/>
  <c r="E1668" i="17" s="1"/>
  <c r="L1669" i="17"/>
  <c r="M1669" i="17" s="1"/>
  <c r="E1669" i="17" s="1"/>
  <c r="L1670" i="17"/>
  <c r="M1670" i="17" s="1"/>
  <c r="E1670" i="17" s="1"/>
  <c r="L1671" i="17"/>
  <c r="M1671" i="17" s="1"/>
  <c r="E1671" i="17" s="1"/>
  <c r="L1672" i="17"/>
  <c r="M1672" i="17" s="1"/>
  <c r="E1672" i="17" s="1"/>
  <c r="L1673" i="17"/>
  <c r="M1673" i="17" s="1"/>
  <c r="E1673" i="17" s="1"/>
  <c r="L1674" i="17"/>
  <c r="M1674" i="17" s="1"/>
  <c r="E1674" i="17" s="1"/>
  <c r="L1675" i="17"/>
  <c r="M1675" i="17" s="1"/>
  <c r="E1675" i="17" s="1"/>
  <c r="L1676" i="17"/>
  <c r="M1676" i="17" s="1"/>
  <c r="E1676" i="17" s="1"/>
  <c r="L1677" i="17"/>
  <c r="M1677" i="17" s="1"/>
  <c r="E1677" i="17" s="1"/>
  <c r="L1678" i="17"/>
  <c r="M1678" i="17" s="1"/>
  <c r="E1678" i="17" s="1"/>
  <c r="L1679" i="17"/>
  <c r="M1679" i="17" s="1"/>
  <c r="E1679" i="17" s="1"/>
  <c r="L1680" i="17"/>
  <c r="M1680" i="17" s="1"/>
  <c r="E1680" i="17" s="1"/>
  <c r="L1681" i="17"/>
  <c r="M1681" i="17" s="1"/>
  <c r="E1681" i="17" s="1"/>
  <c r="L1682" i="17"/>
  <c r="M1682" i="17" s="1"/>
  <c r="E1682" i="17" s="1"/>
  <c r="L1683" i="17"/>
  <c r="M1683" i="17" s="1"/>
  <c r="E1683" i="17" s="1"/>
  <c r="L1684" i="17"/>
  <c r="M1684" i="17" s="1"/>
  <c r="E1684" i="17" s="1"/>
  <c r="L1685" i="17"/>
  <c r="M1685" i="17" s="1"/>
  <c r="E1685" i="17" s="1"/>
  <c r="L1686" i="17"/>
  <c r="M1686" i="17" s="1"/>
  <c r="E1686" i="17" s="1"/>
  <c r="L1687" i="17"/>
  <c r="M1687" i="17" s="1"/>
  <c r="E1687" i="17" s="1"/>
  <c r="L1688" i="17"/>
  <c r="M1688" i="17" s="1"/>
  <c r="E1688" i="17" s="1"/>
  <c r="L1689" i="17"/>
  <c r="M1689" i="17" s="1"/>
  <c r="E1689" i="17" s="1"/>
  <c r="L1690" i="17"/>
  <c r="M1690" i="17" s="1"/>
  <c r="E1690" i="17" s="1"/>
  <c r="L1691" i="17"/>
  <c r="M1691" i="17" s="1"/>
  <c r="E1691" i="17" s="1"/>
  <c r="L1692" i="17"/>
  <c r="M1692" i="17" s="1"/>
  <c r="E1692" i="17" s="1"/>
  <c r="L1693" i="17"/>
  <c r="M1693" i="17" s="1"/>
  <c r="E1693" i="17" s="1"/>
  <c r="L1694" i="17"/>
  <c r="M1694" i="17" s="1"/>
  <c r="E1694" i="17" s="1"/>
  <c r="L1695" i="17"/>
  <c r="M1695" i="17" s="1"/>
  <c r="E1695" i="17" s="1"/>
  <c r="L1696" i="17"/>
  <c r="M1696" i="17" s="1"/>
  <c r="E1696" i="17" s="1"/>
  <c r="L1697" i="17"/>
  <c r="M1697" i="17" s="1"/>
  <c r="E1697" i="17" s="1"/>
  <c r="L1698" i="17"/>
  <c r="M1698" i="17" s="1"/>
  <c r="E1698" i="17" s="1"/>
  <c r="L1699" i="17"/>
  <c r="M1699" i="17" s="1"/>
  <c r="E1699" i="17" s="1"/>
  <c r="L1700" i="17"/>
  <c r="M1700" i="17" s="1"/>
  <c r="E1700" i="17" s="1"/>
  <c r="L1701" i="17"/>
  <c r="M1701" i="17" s="1"/>
  <c r="E1701" i="17" s="1"/>
  <c r="L1702" i="17"/>
  <c r="M1702" i="17" s="1"/>
  <c r="E1702" i="17" s="1"/>
  <c r="L1703" i="17"/>
  <c r="M1703" i="17" s="1"/>
  <c r="E1703" i="17" s="1"/>
  <c r="L1704" i="17"/>
  <c r="M1704" i="17" s="1"/>
  <c r="E1704" i="17" s="1"/>
  <c r="L1705" i="17"/>
  <c r="M1705" i="17" s="1"/>
  <c r="E1705" i="17" s="1"/>
  <c r="L1706" i="17"/>
  <c r="M1706" i="17" s="1"/>
  <c r="E1706" i="17" s="1"/>
  <c r="L1707" i="17"/>
  <c r="M1707" i="17" s="1"/>
  <c r="E1707" i="17" s="1"/>
  <c r="L1708" i="17"/>
  <c r="M1708" i="17" s="1"/>
  <c r="E1708" i="17" s="1"/>
  <c r="L1709" i="17"/>
  <c r="M1709" i="17" s="1"/>
  <c r="E1709" i="17" s="1"/>
  <c r="L1710" i="17"/>
  <c r="M1710" i="17" s="1"/>
  <c r="E1710" i="17" s="1"/>
  <c r="L1711" i="17"/>
  <c r="M1711" i="17" s="1"/>
  <c r="E1711" i="17" s="1"/>
  <c r="L1712" i="17"/>
  <c r="M1712" i="17" s="1"/>
  <c r="E1712" i="17" s="1"/>
  <c r="L1713" i="17"/>
  <c r="M1713" i="17" s="1"/>
  <c r="E1713" i="17" s="1"/>
  <c r="L1714" i="17"/>
  <c r="M1714" i="17" s="1"/>
  <c r="E1714" i="17" s="1"/>
  <c r="L1715" i="17"/>
  <c r="M1715" i="17" s="1"/>
  <c r="E1715" i="17" s="1"/>
  <c r="L1716" i="17"/>
  <c r="M1716" i="17" s="1"/>
  <c r="E1716" i="17" s="1"/>
  <c r="L1717" i="17"/>
  <c r="M1717" i="17" s="1"/>
  <c r="E1717" i="17" s="1"/>
  <c r="L1718" i="17"/>
  <c r="M1718" i="17" s="1"/>
  <c r="E1718" i="17" s="1"/>
  <c r="L1719" i="17"/>
  <c r="M1719" i="17" s="1"/>
  <c r="E1719" i="17" s="1"/>
  <c r="L1720" i="17"/>
  <c r="M1720" i="17" s="1"/>
  <c r="E1720" i="17" s="1"/>
  <c r="L1721" i="17"/>
  <c r="M1721" i="17" s="1"/>
  <c r="E1721" i="17" s="1"/>
  <c r="L1722" i="17"/>
  <c r="M1722" i="17" s="1"/>
  <c r="E1722" i="17" s="1"/>
  <c r="L1723" i="17"/>
  <c r="M1723" i="17" s="1"/>
  <c r="E1723" i="17" s="1"/>
  <c r="L1724" i="17"/>
  <c r="M1724" i="17" s="1"/>
  <c r="E1724" i="17" s="1"/>
  <c r="L1725" i="17"/>
  <c r="M1725" i="17" s="1"/>
  <c r="E1725" i="17" s="1"/>
  <c r="L1726" i="17"/>
  <c r="M1726" i="17" s="1"/>
  <c r="E1726" i="17" s="1"/>
  <c r="L1727" i="17"/>
  <c r="M1727" i="17" s="1"/>
  <c r="E1727" i="17" s="1"/>
  <c r="L1728" i="17"/>
  <c r="M1728" i="17" s="1"/>
  <c r="E1728" i="17" s="1"/>
  <c r="L1729" i="17"/>
  <c r="M1729" i="17" s="1"/>
  <c r="E1729" i="17" s="1"/>
  <c r="L1730" i="17"/>
  <c r="M1730" i="17" s="1"/>
  <c r="E1730" i="17" s="1"/>
  <c r="L1731" i="17"/>
  <c r="M1731" i="17" s="1"/>
  <c r="E1731" i="17" s="1"/>
  <c r="L1732" i="17"/>
  <c r="M1732" i="17" s="1"/>
  <c r="E1732" i="17" s="1"/>
  <c r="L1733" i="17"/>
  <c r="M1733" i="17" s="1"/>
  <c r="E1733" i="17" s="1"/>
  <c r="L1734" i="17"/>
  <c r="M1734" i="17" s="1"/>
  <c r="E1734" i="17" s="1"/>
  <c r="L1735" i="17"/>
  <c r="M1735" i="17" s="1"/>
  <c r="E1735" i="17" s="1"/>
  <c r="L2" i="17"/>
  <c r="M2" i="17" s="1"/>
  <c r="E2" i="17" s="1"/>
  <c r="C632" i="17"/>
  <c r="D632" i="17"/>
  <c r="F632" i="17"/>
  <c r="G632" i="17"/>
  <c r="H632" i="17"/>
  <c r="I632" i="17"/>
  <c r="J632" i="17"/>
  <c r="K632" i="17"/>
  <c r="C633" i="17"/>
  <c r="D633" i="17"/>
  <c r="F633" i="17"/>
  <c r="G633" i="17"/>
  <c r="H633" i="17"/>
  <c r="I633" i="17"/>
  <c r="J633" i="17"/>
  <c r="K633" i="17"/>
  <c r="C634" i="17"/>
  <c r="D634" i="17"/>
  <c r="F634" i="17"/>
  <c r="G634" i="17"/>
  <c r="H634" i="17"/>
  <c r="I634" i="17"/>
  <c r="J634" i="17"/>
  <c r="K634" i="17"/>
  <c r="C635" i="17"/>
  <c r="D635" i="17"/>
  <c r="F635" i="17"/>
  <c r="G635" i="17"/>
  <c r="H635" i="17"/>
  <c r="I635" i="17"/>
  <c r="J635" i="17"/>
  <c r="K635" i="17"/>
  <c r="C636" i="17"/>
  <c r="D636" i="17"/>
  <c r="F636" i="17"/>
  <c r="G636" i="17"/>
  <c r="H636" i="17"/>
  <c r="I636" i="17"/>
  <c r="J636" i="17"/>
  <c r="K636" i="17"/>
  <c r="C637" i="17"/>
  <c r="D637" i="17"/>
  <c r="F637" i="17"/>
  <c r="G637" i="17"/>
  <c r="H637" i="17"/>
  <c r="I637" i="17"/>
  <c r="J637" i="17"/>
  <c r="K637" i="17"/>
  <c r="C638" i="17"/>
  <c r="D638" i="17"/>
  <c r="F638" i="17"/>
  <c r="G638" i="17"/>
  <c r="H638" i="17"/>
  <c r="I638" i="17"/>
  <c r="J638" i="17"/>
  <c r="K638" i="17"/>
  <c r="C639" i="17"/>
  <c r="D639" i="17"/>
  <c r="F639" i="17"/>
  <c r="G639" i="17"/>
  <c r="H639" i="17"/>
  <c r="I639" i="17"/>
  <c r="J639" i="17"/>
  <c r="K639" i="17"/>
  <c r="C640" i="17"/>
  <c r="D640" i="17"/>
  <c r="F640" i="17"/>
  <c r="G640" i="17"/>
  <c r="H640" i="17"/>
  <c r="I640" i="17"/>
  <c r="J640" i="17"/>
  <c r="K640" i="17"/>
  <c r="C641" i="17"/>
  <c r="D641" i="17"/>
  <c r="F641" i="17"/>
  <c r="G641" i="17"/>
  <c r="H641" i="17"/>
  <c r="I641" i="17"/>
  <c r="J641" i="17"/>
  <c r="K641" i="17"/>
  <c r="C642" i="17"/>
  <c r="D642" i="17"/>
  <c r="F642" i="17"/>
  <c r="G642" i="17"/>
  <c r="H642" i="17"/>
  <c r="I642" i="17"/>
  <c r="J642" i="17"/>
  <c r="K642" i="17"/>
  <c r="C643" i="17"/>
  <c r="D643" i="17"/>
  <c r="F643" i="17"/>
  <c r="G643" i="17"/>
  <c r="H643" i="17"/>
  <c r="I643" i="17"/>
  <c r="J643" i="17"/>
  <c r="K643" i="17"/>
  <c r="C644" i="17"/>
  <c r="D644" i="17"/>
  <c r="F644" i="17"/>
  <c r="G644" i="17"/>
  <c r="H644" i="17"/>
  <c r="I644" i="17"/>
  <c r="J644" i="17"/>
  <c r="K644" i="17"/>
  <c r="C645" i="17"/>
  <c r="D645" i="17"/>
  <c r="F645" i="17"/>
  <c r="G645" i="17"/>
  <c r="H645" i="17"/>
  <c r="I645" i="17"/>
  <c r="J645" i="17"/>
  <c r="K645" i="17"/>
  <c r="C646" i="17"/>
  <c r="D646" i="17"/>
  <c r="F646" i="17"/>
  <c r="G646" i="17"/>
  <c r="H646" i="17"/>
  <c r="I646" i="17"/>
  <c r="J646" i="17"/>
  <c r="K646" i="17"/>
  <c r="C647" i="17"/>
  <c r="D647" i="17"/>
  <c r="F647" i="17"/>
  <c r="G647" i="17"/>
  <c r="H647" i="17"/>
  <c r="I647" i="17"/>
  <c r="J647" i="17"/>
  <c r="K647" i="17"/>
  <c r="C648" i="17"/>
  <c r="D648" i="17"/>
  <c r="F648" i="17"/>
  <c r="G648" i="17"/>
  <c r="H648" i="17"/>
  <c r="I648" i="17"/>
  <c r="J648" i="17"/>
  <c r="K648" i="17"/>
  <c r="C649" i="17"/>
  <c r="D649" i="17"/>
  <c r="F649" i="17"/>
  <c r="G649" i="17"/>
  <c r="H649" i="17"/>
  <c r="I649" i="17"/>
  <c r="J649" i="17"/>
  <c r="K649" i="17"/>
  <c r="C650" i="17"/>
  <c r="D650" i="17"/>
  <c r="F650" i="17"/>
  <c r="G650" i="17"/>
  <c r="H650" i="17"/>
  <c r="I650" i="17"/>
  <c r="J650" i="17"/>
  <c r="K650" i="17"/>
  <c r="C651" i="17"/>
  <c r="D651" i="17"/>
  <c r="F651" i="17"/>
  <c r="G651" i="17"/>
  <c r="H651" i="17"/>
  <c r="I651" i="17"/>
  <c r="J651" i="17"/>
  <c r="K651" i="17"/>
  <c r="C652" i="17"/>
  <c r="D652" i="17"/>
  <c r="F652" i="17"/>
  <c r="G652" i="17"/>
  <c r="H652" i="17"/>
  <c r="I652" i="17"/>
  <c r="J652" i="17"/>
  <c r="K652" i="17"/>
  <c r="C653" i="17"/>
  <c r="D653" i="17"/>
  <c r="F653" i="17"/>
  <c r="G653" i="17"/>
  <c r="H653" i="17"/>
  <c r="I653" i="17"/>
  <c r="J653" i="17"/>
  <c r="K653" i="17"/>
  <c r="C654" i="17"/>
  <c r="D654" i="17"/>
  <c r="F654" i="17"/>
  <c r="G654" i="17"/>
  <c r="H654" i="17"/>
  <c r="I654" i="17"/>
  <c r="J654" i="17"/>
  <c r="K654" i="17"/>
  <c r="C655" i="17"/>
  <c r="D655" i="17"/>
  <c r="F655" i="17"/>
  <c r="G655" i="17"/>
  <c r="H655" i="17"/>
  <c r="I655" i="17"/>
  <c r="J655" i="17"/>
  <c r="K655" i="17"/>
  <c r="C656" i="17"/>
  <c r="D656" i="17"/>
  <c r="F656" i="17"/>
  <c r="G656" i="17"/>
  <c r="H656" i="17"/>
  <c r="I656" i="17"/>
  <c r="J656" i="17"/>
  <c r="K656" i="17"/>
  <c r="C657" i="17"/>
  <c r="D657" i="17"/>
  <c r="F657" i="17"/>
  <c r="G657" i="17"/>
  <c r="H657" i="17"/>
  <c r="I657" i="17"/>
  <c r="J657" i="17"/>
  <c r="K657" i="17"/>
  <c r="C658" i="17"/>
  <c r="D658" i="17"/>
  <c r="F658" i="17"/>
  <c r="G658" i="17"/>
  <c r="H658" i="17"/>
  <c r="I658" i="17"/>
  <c r="J658" i="17"/>
  <c r="K658" i="17"/>
  <c r="C659" i="17"/>
  <c r="D659" i="17"/>
  <c r="F659" i="17"/>
  <c r="G659" i="17"/>
  <c r="H659" i="17"/>
  <c r="I659" i="17"/>
  <c r="J659" i="17"/>
  <c r="K659" i="17"/>
  <c r="C660" i="17"/>
  <c r="D660" i="17"/>
  <c r="F660" i="17"/>
  <c r="G660" i="17"/>
  <c r="H660" i="17"/>
  <c r="I660" i="17"/>
  <c r="J660" i="17"/>
  <c r="K660" i="17"/>
  <c r="C661" i="17"/>
  <c r="D661" i="17"/>
  <c r="F661" i="17"/>
  <c r="G661" i="17"/>
  <c r="H661" i="17"/>
  <c r="I661" i="17"/>
  <c r="J661" i="17"/>
  <c r="K661" i="17"/>
  <c r="C662" i="17"/>
  <c r="D662" i="17"/>
  <c r="F662" i="17"/>
  <c r="G662" i="17"/>
  <c r="H662" i="17"/>
  <c r="I662" i="17"/>
  <c r="J662" i="17"/>
  <c r="K662" i="17"/>
  <c r="C663" i="17"/>
  <c r="D663" i="17"/>
  <c r="F663" i="17"/>
  <c r="G663" i="17"/>
  <c r="H663" i="17"/>
  <c r="I663" i="17"/>
  <c r="J663" i="17"/>
  <c r="K663" i="17"/>
  <c r="C664" i="17"/>
  <c r="D664" i="17"/>
  <c r="F664" i="17"/>
  <c r="G664" i="17"/>
  <c r="H664" i="17"/>
  <c r="I664" i="17"/>
  <c r="J664" i="17"/>
  <c r="K664" i="17"/>
  <c r="C665" i="17"/>
  <c r="D665" i="17"/>
  <c r="F665" i="17"/>
  <c r="G665" i="17"/>
  <c r="H665" i="17"/>
  <c r="I665" i="17"/>
  <c r="J665" i="17"/>
  <c r="K665" i="17"/>
  <c r="C666" i="17"/>
  <c r="D666" i="17"/>
  <c r="F666" i="17"/>
  <c r="G666" i="17"/>
  <c r="H666" i="17"/>
  <c r="I666" i="17"/>
  <c r="J666" i="17"/>
  <c r="K666" i="17"/>
  <c r="C667" i="17"/>
  <c r="D667" i="17"/>
  <c r="F667" i="17"/>
  <c r="G667" i="17"/>
  <c r="H667" i="17"/>
  <c r="I667" i="17"/>
  <c r="J667" i="17"/>
  <c r="K667" i="17"/>
  <c r="C668" i="17"/>
  <c r="D668" i="17"/>
  <c r="F668" i="17"/>
  <c r="G668" i="17"/>
  <c r="H668" i="17"/>
  <c r="I668" i="17"/>
  <c r="J668" i="17"/>
  <c r="K668" i="17"/>
  <c r="C669" i="17"/>
  <c r="D669" i="17"/>
  <c r="F669" i="17"/>
  <c r="G669" i="17"/>
  <c r="H669" i="17"/>
  <c r="I669" i="17"/>
  <c r="J669" i="17"/>
  <c r="K669" i="17"/>
  <c r="C670" i="17"/>
  <c r="D670" i="17"/>
  <c r="F670" i="17"/>
  <c r="G670" i="17"/>
  <c r="H670" i="17"/>
  <c r="I670" i="17"/>
  <c r="J670" i="17"/>
  <c r="K670" i="17"/>
  <c r="C671" i="17"/>
  <c r="D671" i="17"/>
  <c r="F671" i="17"/>
  <c r="G671" i="17"/>
  <c r="H671" i="17"/>
  <c r="I671" i="17"/>
  <c r="J671" i="17"/>
  <c r="K671" i="17"/>
  <c r="C672" i="17"/>
  <c r="D672" i="17"/>
  <c r="F672" i="17"/>
  <c r="G672" i="17"/>
  <c r="H672" i="17"/>
  <c r="I672" i="17"/>
  <c r="J672" i="17"/>
  <c r="K672" i="17"/>
  <c r="C673" i="17"/>
  <c r="D673" i="17"/>
  <c r="F673" i="17"/>
  <c r="G673" i="17"/>
  <c r="H673" i="17"/>
  <c r="I673" i="17"/>
  <c r="J673" i="17"/>
  <c r="K673" i="17"/>
  <c r="C674" i="17"/>
  <c r="D674" i="17"/>
  <c r="F674" i="17"/>
  <c r="G674" i="17"/>
  <c r="H674" i="17"/>
  <c r="I674" i="17"/>
  <c r="J674" i="17"/>
  <c r="K674" i="17"/>
  <c r="C675" i="17"/>
  <c r="D675" i="17"/>
  <c r="F675" i="17"/>
  <c r="G675" i="17"/>
  <c r="H675" i="17"/>
  <c r="I675" i="17"/>
  <c r="J675" i="17"/>
  <c r="K675" i="17"/>
  <c r="C676" i="17"/>
  <c r="D676" i="17"/>
  <c r="F676" i="17"/>
  <c r="G676" i="17"/>
  <c r="H676" i="17"/>
  <c r="I676" i="17"/>
  <c r="J676" i="17"/>
  <c r="K676" i="17"/>
  <c r="C677" i="17"/>
  <c r="D677" i="17"/>
  <c r="F677" i="17"/>
  <c r="G677" i="17"/>
  <c r="H677" i="17"/>
  <c r="I677" i="17"/>
  <c r="J677" i="17"/>
  <c r="K677" i="17"/>
  <c r="C678" i="17"/>
  <c r="D678" i="17"/>
  <c r="F678" i="17"/>
  <c r="G678" i="17"/>
  <c r="H678" i="17"/>
  <c r="I678" i="17"/>
  <c r="J678" i="17"/>
  <c r="K678" i="17"/>
  <c r="C679" i="17"/>
  <c r="D679" i="17"/>
  <c r="F679" i="17"/>
  <c r="G679" i="17"/>
  <c r="H679" i="17"/>
  <c r="I679" i="17"/>
  <c r="J679" i="17"/>
  <c r="K679" i="17"/>
  <c r="C680" i="17"/>
  <c r="D680" i="17"/>
  <c r="F680" i="17"/>
  <c r="G680" i="17"/>
  <c r="H680" i="17"/>
  <c r="I680" i="17"/>
  <c r="J680" i="17"/>
  <c r="K680" i="17"/>
  <c r="C681" i="17"/>
  <c r="D681" i="17"/>
  <c r="F681" i="17"/>
  <c r="G681" i="17"/>
  <c r="H681" i="17"/>
  <c r="I681" i="17"/>
  <c r="J681" i="17"/>
  <c r="K681" i="17"/>
  <c r="C682" i="17"/>
  <c r="D682" i="17"/>
  <c r="F682" i="17"/>
  <c r="G682" i="17"/>
  <c r="H682" i="17"/>
  <c r="I682" i="17"/>
  <c r="J682" i="17"/>
  <c r="K682" i="17"/>
  <c r="C683" i="17"/>
  <c r="D683" i="17"/>
  <c r="F683" i="17"/>
  <c r="G683" i="17"/>
  <c r="H683" i="17"/>
  <c r="I683" i="17"/>
  <c r="J683" i="17"/>
  <c r="K683" i="17"/>
  <c r="C684" i="17"/>
  <c r="D684" i="17"/>
  <c r="F684" i="17"/>
  <c r="G684" i="17"/>
  <c r="H684" i="17"/>
  <c r="I684" i="17"/>
  <c r="J684" i="17"/>
  <c r="K684" i="17"/>
  <c r="C685" i="17"/>
  <c r="D685" i="17"/>
  <c r="F685" i="17"/>
  <c r="G685" i="17"/>
  <c r="H685" i="17"/>
  <c r="I685" i="17"/>
  <c r="J685" i="17"/>
  <c r="K685" i="17"/>
  <c r="C686" i="17"/>
  <c r="D686" i="17"/>
  <c r="F686" i="17"/>
  <c r="G686" i="17"/>
  <c r="H686" i="17"/>
  <c r="I686" i="17"/>
  <c r="J686" i="17"/>
  <c r="K686" i="17"/>
  <c r="C687" i="17"/>
  <c r="D687" i="17"/>
  <c r="F687" i="17"/>
  <c r="G687" i="17"/>
  <c r="H687" i="17"/>
  <c r="I687" i="17"/>
  <c r="J687" i="17"/>
  <c r="K687" i="17"/>
  <c r="C688" i="17"/>
  <c r="D688" i="17"/>
  <c r="F688" i="17"/>
  <c r="G688" i="17"/>
  <c r="H688" i="17"/>
  <c r="I688" i="17"/>
  <c r="J688" i="17"/>
  <c r="K688" i="17"/>
  <c r="C689" i="17"/>
  <c r="D689" i="17"/>
  <c r="F689" i="17"/>
  <c r="G689" i="17"/>
  <c r="H689" i="17"/>
  <c r="I689" i="17"/>
  <c r="J689" i="17"/>
  <c r="K689" i="17"/>
  <c r="C690" i="17"/>
  <c r="D690" i="17"/>
  <c r="F690" i="17"/>
  <c r="G690" i="17"/>
  <c r="H690" i="17"/>
  <c r="I690" i="17"/>
  <c r="J690" i="17"/>
  <c r="K690" i="17"/>
  <c r="C691" i="17"/>
  <c r="D691" i="17"/>
  <c r="F691" i="17"/>
  <c r="G691" i="17"/>
  <c r="H691" i="17"/>
  <c r="I691" i="17"/>
  <c r="J691" i="17"/>
  <c r="K691" i="17"/>
  <c r="C692" i="17"/>
  <c r="D692" i="17"/>
  <c r="F692" i="17"/>
  <c r="G692" i="17"/>
  <c r="H692" i="17"/>
  <c r="I692" i="17"/>
  <c r="J692" i="17"/>
  <c r="K692" i="17"/>
  <c r="C693" i="17"/>
  <c r="D693" i="17"/>
  <c r="F693" i="17"/>
  <c r="G693" i="17"/>
  <c r="H693" i="17"/>
  <c r="I693" i="17"/>
  <c r="J693" i="17"/>
  <c r="K693" i="17"/>
  <c r="C694" i="17"/>
  <c r="D694" i="17"/>
  <c r="F694" i="17"/>
  <c r="G694" i="17"/>
  <c r="H694" i="17"/>
  <c r="I694" i="17"/>
  <c r="J694" i="17"/>
  <c r="K694" i="17"/>
  <c r="C695" i="17"/>
  <c r="D695" i="17"/>
  <c r="F695" i="17"/>
  <c r="G695" i="17"/>
  <c r="H695" i="17"/>
  <c r="I695" i="17"/>
  <c r="J695" i="17"/>
  <c r="K695" i="17"/>
  <c r="C696" i="17"/>
  <c r="D696" i="17"/>
  <c r="F696" i="17"/>
  <c r="G696" i="17"/>
  <c r="H696" i="17"/>
  <c r="I696" i="17"/>
  <c r="J696" i="17"/>
  <c r="K696" i="17"/>
  <c r="C697" i="17"/>
  <c r="D697" i="17"/>
  <c r="F697" i="17"/>
  <c r="G697" i="17"/>
  <c r="H697" i="17"/>
  <c r="I697" i="17"/>
  <c r="J697" i="17"/>
  <c r="K697" i="17"/>
  <c r="C698" i="17"/>
  <c r="D698" i="17"/>
  <c r="F698" i="17"/>
  <c r="G698" i="17"/>
  <c r="H698" i="17"/>
  <c r="I698" i="17"/>
  <c r="J698" i="17"/>
  <c r="K698" i="17"/>
  <c r="C699" i="17"/>
  <c r="D699" i="17"/>
  <c r="F699" i="17"/>
  <c r="G699" i="17"/>
  <c r="H699" i="17"/>
  <c r="I699" i="17"/>
  <c r="J699" i="17"/>
  <c r="K699" i="17"/>
  <c r="C700" i="17"/>
  <c r="D700" i="17"/>
  <c r="F700" i="17"/>
  <c r="G700" i="17"/>
  <c r="H700" i="17"/>
  <c r="I700" i="17"/>
  <c r="J700" i="17"/>
  <c r="K700" i="17"/>
  <c r="C701" i="17"/>
  <c r="D701" i="17"/>
  <c r="F701" i="17"/>
  <c r="G701" i="17"/>
  <c r="H701" i="17"/>
  <c r="I701" i="17"/>
  <c r="J701" i="17"/>
  <c r="K701" i="17"/>
  <c r="C702" i="17"/>
  <c r="D702" i="17"/>
  <c r="F702" i="17"/>
  <c r="G702" i="17"/>
  <c r="H702" i="17"/>
  <c r="I702" i="17"/>
  <c r="J702" i="17"/>
  <c r="K702" i="17"/>
  <c r="C703" i="17"/>
  <c r="D703" i="17"/>
  <c r="F703" i="17"/>
  <c r="G703" i="17"/>
  <c r="H703" i="17"/>
  <c r="I703" i="17"/>
  <c r="J703" i="17"/>
  <c r="K703" i="17"/>
  <c r="C704" i="17"/>
  <c r="D704" i="17"/>
  <c r="F704" i="17"/>
  <c r="G704" i="17"/>
  <c r="H704" i="17"/>
  <c r="I704" i="17"/>
  <c r="J704" i="17"/>
  <c r="K704" i="17"/>
  <c r="C705" i="17"/>
  <c r="D705" i="17"/>
  <c r="F705" i="17"/>
  <c r="G705" i="17"/>
  <c r="H705" i="17"/>
  <c r="I705" i="17"/>
  <c r="J705" i="17"/>
  <c r="K705" i="17"/>
  <c r="C706" i="17"/>
  <c r="D706" i="17"/>
  <c r="F706" i="17"/>
  <c r="G706" i="17"/>
  <c r="H706" i="17"/>
  <c r="I706" i="17"/>
  <c r="J706" i="17"/>
  <c r="K706" i="17"/>
  <c r="C707" i="17"/>
  <c r="D707" i="17"/>
  <c r="F707" i="17"/>
  <c r="G707" i="17"/>
  <c r="H707" i="17"/>
  <c r="I707" i="17"/>
  <c r="J707" i="17"/>
  <c r="K707" i="17"/>
  <c r="C708" i="17"/>
  <c r="D708" i="17"/>
  <c r="F708" i="17"/>
  <c r="G708" i="17"/>
  <c r="H708" i="17"/>
  <c r="I708" i="17"/>
  <c r="J708" i="17"/>
  <c r="K708" i="17"/>
  <c r="C709" i="17"/>
  <c r="D709" i="17"/>
  <c r="F709" i="17"/>
  <c r="G709" i="17"/>
  <c r="H709" i="17"/>
  <c r="I709" i="17"/>
  <c r="J709" i="17"/>
  <c r="K709" i="17"/>
  <c r="C710" i="17"/>
  <c r="D710" i="17"/>
  <c r="F710" i="17"/>
  <c r="G710" i="17"/>
  <c r="H710" i="17"/>
  <c r="I710" i="17"/>
  <c r="J710" i="17"/>
  <c r="K710" i="17"/>
  <c r="C711" i="17"/>
  <c r="D711" i="17"/>
  <c r="F711" i="17"/>
  <c r="G711" i="17"/>
  <c r="H711" i="17"/>
  <c r="I711" i="17"/>
  <c r="J711" i="17"/>
  <c r="K711" i="17"/>
  <c r="C712" i="17"/>
  <c r="D712" i="17"/>
  <c r="F712" i="17"/>
  <c r="G712" i="17"/>
  <c r="H712" i="17"/>
  <c r="I712" i="17"/>
  <c r="J712" i="17"/>
  <c r="K712" i="17"/>
  <c r="C713" i="17"/>
  <c r="D713" i="17"/>
  <c r="F713" i="17"/>
  <c r="G713" i="17"/>
  <c r="H713" i="17"/>
  <c r="I713" i="17"/>
  <c r="J713" i="17"/>
  <c r="K713" i="17"/>
  <c r="C714" i="17"/>
  <c r="D714" i="17"/>
  <c r="F714" i="17"/>
  <c r="G714" i="17"/>
  <c r="H714" i="17"/>
  <c r="I714" i="17"/>
  <c r="J714" i="17"/>
  <c r="K714" i="17"/>
  <c r="C715" i="17"/>
  <c r="D715" i="17"/>
  <c r="F715" i="17"/>
  <c r="G715" i="17"/>
  <c r="H715" i="17"/>
  <c r="I715" i="17"/>
  <c r="J715" i="17"/>
  <c r="K715" i="17"/>
  <c r="C716" i="17"/>
  <c r="D716" i="17"/>
  <c r="F716" i="17"/>
  <c r="G716" i="17"/>
  <c r="H716" i="17"/>
  <c r="I716" i="17"/>
  <c r="J716" i="17"/>
  <c r="K716" i="17"/>
  <c r="C717" i="17"/>
  <c r="D717" i="17"/>
  <c r="F717" i="17"/>
  <c r="G717" i="17"/>
  <c r="H717" i="17"/>
  <c r="I717" i="17"/>
  <c r="J717" i="17"/>
  <c r="K717" i="17"/>
  <c r="C718" i="17"/>
  <c r="D718" i="17"/>
  <c r="F718" i="17"/>
  <c r="G718" i="17"/>
  <c r="H718" i="17"/>
  <c r="I718" i="17"/>
  <c r="J718" i="17"/>
  <c r="K718" i="17"/>
  <c r="C719" i="17"/>
  <c r="D719" i="17"/>
  <c r="F719" i="17"/>
  <c r="G719" i="17"/>
  <c r="H719" i="17"/>
  <c r="I719" i="17"/>
  <c r="J719" i="17"/>
  <c r="K719" i="17"/>
  <c r="C720" i="17"/>
  <c r="D720" i="17"/>
  <c r="F720" i="17"/>
  <c r="G720" i="17"/>
  <c r="H720" i="17"/>
  <c r="I720" i="17"/>
  <c r="J720" i="17"/>
  <c r="K720" i="17"/>
  <c r="C721" i="17"/>
  <c r="D721" i="17"/>
  <c r="F721" i="17"/>
  <c r="G721" i="17"/>
  <c r="H721" i="17"/>
  <c r="I721" i="17"/>
  <c r="J721" i="17"/>
  <c r="K721" i="17"/>
  <c r="C722" i="17"/>
  <c r="D722" i="17"/>
  <c r="F722" i="17"/>
  <c r="G722" i="17"/>
  <c r="H722" i="17"/>
  <c r="I722" i="17"/>
  <c r="J722" i="17"/>
  <c r="K722" i="17"/>
  <c r="C723" i="17"/>
  <c r="D723" i="17"/>
  <c r="F723" i="17"/>
  <c r="G723" i="17"/>
  <c r="H723" i="17"/>
  <c r="I723" i="17"/>
  <c r="J723" i="17"/>
  <c r="K723" i="17"/>
  <c r="C724" i="17"/>
  <c r="D724" i="17"/>
  <c r="F724" i="17"/>
  <c r="G724" i="17"/>
  <c r="H724" i="17"/>
  <c r="I724" i="17"/>
  <c r="J724" i="17"/>
  <c r="K724" i="17"/>
  <c r="C725" i="17"/>
  <c r="D725" i="17"/>
  <c r="F725" i="17"/>
  <c r="G725" i="17"/>
  <c r="H725" i="17"/>
  <c r="I725" i="17"/>
  <c r="J725" i="17"/>
  <c r="K725" i="17"/>
  <c r="C726" i="17"/>
  <c r="D726" i="17"/>
  <c r="F726" i="17"/>
  <c r="G726" i="17"/>
  <c r="H726" i="17"/>
  <c r="I726" i="17"/>
  <c r="J726" i="17"/>
  <c r="K726" i="17"/>
  <c r="C727" i="17"/>
  <c r="D727" i="17"/>
  <c r="F727" i="17"/>
  <c r="G727" i="17"/>
  <c r="H727" i="17"/>
  <c r="I727" i="17"/>
  <c r="J727" i="17"/>
  <c r="K727" i="17"/>
  <c r="C728" i="17"/>
  <c r="D728" i="17"/>
  <c r="F728" i="17"/>
  <c r="G728" i="17"/>
  <c r="H728" i="17"/>
  <c r="I728" i="17"/>
  <c r="J728" i="17"/>
  <c r="K728" i="17"/>
  <c r="C729" i="17"/>
  <c r="D729" i="17"/>
  <c r="F729" i="17"/>
  <c r="G729" i="17"/>
  <c r="H729" i="17"/>
  <c r="I729" i="17"/>
  <c r="J729" i="17"/>
  <c r="K729" i="17"/>
  <c r="C730" i="17"/>
  <c r="D730" i="17"/>
  <c r="F730" i="17"/>
  <c r="G730" i="17"/>
  <c r="H730" i="17"/>
  <c r="I730" i="17"/>
  <c r="J730" i="17"/>
  <c r="K730" i="17"/>
  <c r="C731" i="17"/>
  <c r="D731" i="17"/>
  <c r="F731" i="17"/>
  <c r="G731" i="17"/>
  <c r="H731" i="17"/>
  <c r="I731" i="17"/>
  <c r="J731" i="17"/>
  <c r="K731" i="17"/>
  <c r="C732" i="17"/>
  <c r="D732" i="17"/>
  <c r="F732" i="17"/>
  <c r="G732" i="17"/>
  <c r="H732" i="17"/>
  <c r="I732" i="17"/>
  <c r="J732" i="17"/>
  <c r="K732" i="17"/>
  <c r="C733" i="17"/>
  <c r="D733" i="17"/>
  <c r="F733" i="17"/>
  <c r="G733" i="17"/>
  <c r="H733" i="17"/>
  <c r="I733" i="17"/>
  <c r="J733" i="17"/>
  <c r="K733" i="17"/>
  <c r="C734" i="17"/>
  <c r="D734" i="17"/>
  <c r="F734" i="17"/>
  <c r="G734" i="17"/>
  <c r="H734" i="17"/>
  <c r="I734" i="17"/>
  <c r="J734" i="17"/>
  <c r="K734" i="17"/>
  <c r="C735" i="17"/>
  <c r="D735" i="17"/>
  <c r="F735" i="17"/>
  <c r="G735" i="17"/>
  <c r="H735" i="17"/>
  <c r="I735" i="17"/>
  <c r="J735" i="17"/>
  <c r="K735" i="17"/>
  <c r="C736" i="17"/>
  <c r="D736" i="17"/>
  <c r="F736" i="17"/>
  <c r="G736" i="17"/>
  <c r="H736" i="17"/>
  <c r="I736" i="17"/>
  <c r="J736" i="17"/>
  <c r="K736" i="17"/>
  <c r="C737" i="17"/>
  <c r="D737" i="17"/>
  <c r="F737" i="17"/>
  <c r="G737" i="17"/>
  <c r="H737" i="17"/>
  <c r="I737" i="17"/>
  <c r="J737" i="17"/>
  <c r="K737" i="17"/>
  <c r="C738" i="17"/>
  <c r="D738" i="17"/>
  <c r="F738" i="17"/>
  <c r="G738" i="17"/>
  <c r="H738" i="17"/>
  <c r="I738" i="17"/>
  <c r="J738" i="17"/>
  <c r="K738" i="17"/>
  <c r="C739" i="17"/>
  <c r="D739" i="17"/>
  <c r="F739" i="17"/>
  <c r="G739" i="17"/>
  <c r="H739" i="17"/>
  <c r="I739" i="17"/>
  <c r="J739" i="17"/>
  <c r="K739" i="17"/>
  <c r="C740" i="17"/>
  <c r="D740" i="17"/>
  <c r="F740" i="17"/>
  <c r="G740" i="17"/>
  <c r="H740" i="17"/>
  <c r="I740" i="17"/>
  <c r="J740" i="17"/>
  <c r="K740" i="17"/>
  <c r="C741" i="17"/>
  <c r="D741" i="17"/>
  <c r="F741" i="17"/>
  <c r="G741" i="17"/>
  <c r="H741" i="17"/>
  <c r="I741" i="17"/>
  <c r="J741" i="17"/>
  <c r="K741" i="17"/>
  <c r="C742" i="17"/>
  <c r="D742" i="17"/>
  <c r="F742" i="17"/>
  <c r="G742" i="17"/>
  <c r="H742" i="17"/>
  <c r="I742" i="17"/>
  <c r="J742" i="17"/>
  <c r="K742" i="17"/>
  <c r="C743" i="17"/>
  <c r="D743" i="17"/>
  <c r="F743" i="17"/>
  <c r="G743" i="17"/>
  <c r="H743" i="17"/>
  <c r="I743" i="17"/>
  <c r="J743" i="17"/>
  <c r="K743" i="17"/>
  <c r="C744" i="17"/>
  <c r="D744" i="17"/>
  <c r="F744" i="17"/>
  <c r="G744" i="17"/>
  <c r="H744" i="17"/>
  <c r="I744" i="17"/>
  <c r="J744" i="17"/>
  <c r="K744" i="17"/>
  <c r="C745" i="17"/>
  <c r="D745" i="17"/>
  <c r="F745" i="17"/>
  <c r="G745" i="17"/>
  <c r="H745" i="17"/>
  <c r="I745" i="17"/>
  <c r="J745" i="17"/>
  <c r="K745" i="17"/>
  <c r="C746" i="17"/>
  <c r="D746" i="17"/>
  <c r="F746" i="17"/>
  <c r="G746" i="17"/>
  <c r="H746" i="17"/>
  <c r="I746" i="17"/>
  <c r="J746" i="17"/>
  <c r="K746" i="17"/>
  <c r="C747" i="17"/>
  <c r="D747" i="17"/>
  <c r="F747" i="17"/>
  <c r="G747" i="17"/>
  <c r="H747" i="17"/>
  <c r="I747" i="17"/>
  <c r="J747" i="17"/>
  <c r="K747" i="17"/>
  <c r="C748" i="17"/>
  <c r="D748" i="17"/>
  <c r="F748" i="17"/>
  <c r="G748" i="17"/>
  <c r="H748" i="17"/>
  <c r="I748" i="17"/>
  <c r="J748" i="17"/>
  <c r="K748" i="17"/>
  <c r="C749" i="17"/>
  <c r="D749" i="17"/>
  <c r="F749" i="17"/>
  <c r="G749" i="17"/>
  <c r="H749" i="17"/>
  <c r="I749" i="17"/>
  <c r="J749" i="17"/>
  <c r="K749" i="17"/>
  <c r="C750" i="17"/>
  <c r="D750" i="17"/>
  <c r="F750" i="17"/>
  <c r="G750" i="17"/>
  <c r="H750" i="17"/>
  <c r="I750" i="17"/>
  <c r="J750" i="17"/>
  <c r="K750" i="17"/>
  <c r="C751" i="17"/>
  <c r="D751" i="17"/>
  <c r="F751" i="17"/>
  <c r="G751" i="17"/>
  <c r="H751" i="17"/>
  <c r="I751" i="17"/>
  <c r="J751" i="17"/>
  <c r="K751" i="17"/>
  <c r="C752" i="17"/>
  <c r="D752" i="17"/>
  <c r="F752" i="17"/>
  <c r="G752" i="17"/>
  <c r="H752" i="17"/>
  <c r="I752" i="17"/>
  <c r="J752" i="17"/>
  <c r="K752" i="17"/>
  <c r="C753" i="17"/>
  <c r="D753" i="17"/>
  <c r="F753" i="17"/>
  <c r="G753" i="17"/>
  <c r="H753" i="17"/>
  <c r="I753" i="17"/>
  <c r="J753" i="17"/>
  <c r="K753" i="17"/>
  <c r="C754" i="17"/>
  <c r="D754" i="17"/>
  <c r="F754" i="17"/>
  <c r="G754" i="17"/>
  <c r="H754" i="17"/>
  <c r="I754" i="17"/>
  <c r="J754" i="17"/>
  <c r="K754" i="17"/>
  <c r="C755" i="17"/>
  <c r="D755" i="17"/>
  <c r="F755" i="17"/>
  <c r="G755" i="17"/>
  <c r="H755" i="17"/>
  <c r="I755" i="17"/>
  <c r="J755" i="17"/>
  <c r="K755" i="17"/>
  <c r="C756" i="17"/>
  <c r="D756" i="17"/>
  <c r="F756" i="17"/>
  <c r="G756" i="17"/>
  <c r="H756" i="17"/>
  <c r="I756" i="17"/>
  <c r="J756" i="17"/>
  <c r="K756" i="17"/>
  <c r="C757" i="17"/>
  <c r="D757" i="17"/>
  <c r="F757" i="17"/>
  <c r="G757" i="17"/>
  <c r="H757" i="17"/>
  <c r="I757" i="17"/>
  <c r="J757" i="17"/>
  <c r="K757" i="17"/>
  <c r="C758" i="17"/>
  <c r="D758" i="17"/>
  <c r="F758" i="17"/>
  <c r="G758" i="17"/>
  <c r="H758" i="17"/>
  <c r="I758" i="17"/>
  <c r="J758" i="17"/>
  <c r="K758" i="17"/>
  <c r="C759" i="17"/>
  <c r="D759" i="17"/>
  <c r="F759" i="17"/>
  <c r="G759" i="17"/>
  <c r="H759" i="17"/>
  <c r="I759" i="17"/>
  <c r="J759" i="17"/>
  <c r="K759" i="17"/>
  <c r="C760" i="17"/>
  <c r="D760" i="17"/>
  <c r="F760" i="17"/>
  <c r="G760" i="17"/>
  <c r="H760" i="17"/>
  <c r="I760" i="17"/>
  <c r="J760" i="17"/>
  <c r="K760" i="17"/>
  <c r="C761" i="17"/>
  <c r="D761" i="17"/>
  <c r="F761" i="17"/>
  <c r="G761" i="17"/>
  <c r="H761" i="17"/>
  <c r="I761" i="17"/>
  <c r="J761" i="17"/>
  <c r="K761" i="17"/>
  <c r="C762" i="17"/>
  <c r="D762" i="17"/>
  <c r="F762" i="17"/>
  <c r="G762" i="17"/>
  <c r="H762" i="17"/>
  <c r="I762" i="17"/>
  <c r="J762" i="17"/>
  <c r="K762" i="17"/>
  <c r="C763" i="17"/>
  <c r="D763" i="17"/>
  <c r="F763" i="17"/>
  <c r="G763" i="17"/>
  <c r="H763" i="17"/>
  <c r="I763" i="17"/>
  <c r="J763" i="17"/>
  <c r="K763" i="17"/>
  <c r="C764" i="17"/>
  <c r="D764" i="17"/>
  <c r="F764" i="17"/>
  <c r="G764" i="17"/>
  <c r="H764" i="17"/>
  <c r="I764" i="17"/>
  <c r="J764" i="17"/>
  <c r="K764" i="17"/>
  <c r="C765" i="17"/>
  <c r="D765" i="17"/>
  <c r="F765" i="17"/>
  <c r="G765" i="17"/>
  <c r="H765" i="17"/>
  <c r="I765" i="17"/>
  <c r="J765" i="17"/>
  <c r="K765" i="17"/>
  <c r="C766" i="17"/>
  <c r="D766" i="17"/>
  <c r="F766" i="17"/>
  <c r="G766" i="17"/>
  <c r="H766" i="17"/>
  <c r="I766" i="17"/>
  <c r="J766" i="17"/>
  <c r="K766" i="17"/>
  <c r="C767" i="17"/>
  <c r="D767" i="17"/>
  <c r="F767" i="17"/>
  <c r="G767" i="17"/>
  <c r="H767" i="17"/>
  <c r="I767" i="17"/>
  <c r="J767" i="17"/>
  <c r="K767" i="17"/>
  <c r="C768" i="17"/>
  <c r="D768" i="17"/>
  <c r="F768" i="17"/>
  <c r="G768" i="17"/>
  <c r="H768" i="17"/>
  <c r="I768" i="17"/>
  <c r="J768" i="17"/>
  <c r="K768" i="17"/>
  <c r="C769" i="17"/>
  <c r="D769" i="17"/>
  <c r="F769" i="17"/>
  <c r="G769" i="17"/>
  <c r="H769" i="17"/>
  <c r="I769" i="17"/>
  <c r="J769" i="17"/>
  <c r="K769" i="17"/>
  <c r="C770" i="17"/>
  <c r="D770" i="17"/>
  <c r="F770" i="17"/>
  <c r="G770" i="17"/>
  <c r="H770" i="17"/>
  <c r="I770" i="17"/>
  <c r="J770" i="17"/>
  <c r="K770" i="17"/>
  <c r="C771" i="17"/>
  <c r="D771" i="17"/>
  <c r="F771" i="17"/>
  <c r="G771" i="17"/>
  <c r="H771" i="17"/>
  <c r="I771" i="17"/>
  <c r="J771" i="17"/>
  <c r="K771" i="17"/>
  <c r="C772" i="17"/>
  <c r="D772" i="17"/>
  <c r="F772" i="17"/>
  <c r="G772" i="17"/>
  <c r="H772" i="17"/>
  <c r="I772" i="17"/>
  <c r="J772" i="17"/>
  <c r="K772" i="17"/>
  <c r="C773" i="17"/>
  <c r="D773" i="17"/>
  <c r="F773" i="17"/>
  <c r="G773" i="17"/>
  <c r="H773" i="17"/>
  <c r="I773" i="17"/>
  <c r="J773" i="17"/>
  <c r="K773" i="17"/>
  <c r="C774" i="17"/>
  <c r="D774" i="17"/>
  <c r="F774" i="17"/>
  <c r="G774" i="17"/>
  <c r="H774" i="17"/>
  <c r="I774" i="17"/>
  <c r="J774" i="17"/>
  <c r="K774" i="17"/>
  <c r="C775" i="17"/>
  <c r="D775" i="17"/>
  <c r="F775" i="17"/>
  <c r="G775" i="17"/>
  <c r="H775" i="17"/>
  <c r="I775" i="17"/>
  <c r="J775" i="17"/>
  <c r="K775" i="17"/>
  <c r="C776" i="17"/>
  <c r="D776" i="17"/>
  <c r="F776" i="17"/>
  <c r="G776" i="17"/>
  <c r="H776" i="17"/>
  <c r="I776" i="17"/>
  <c r="J776" i="17"/>
  <c r="K776" i="17"/>
  <c r="C777" i="17"/>
  <c r="D777" i="17"/>
  <c r="F777" i="17"/>
  <c r="G777" i="17"/>
  <c r="H777" i="17"/>
  <c r="I777" i="17"/>
  <c r="J777" i="17"/>
  <c r="K777" i="17"/>
  <c r="C778" i="17"/>
  <c r="D778" i="17"/>
  <c r="F778" i="17"/>
  <c r="G778" i="17"/>
  <c r="H778" i="17"/>
  <c r="I778" i="17"/>
  <c r="J778" i="17"/>
  <c r="K778" i="17"/>
  <c r="C779" i="17"/>
  <c r="D779" i="17"/>
  <c r="F779" i="17"/>
  <c r="G779" i="17"/>
  <c r="H779" i="17"/>
  <c r="I779" i="17"/>
  <c r="J779" i="17"/>
  <c r="K779" i="17"/>
  <c r="C780" i="17"/>
  <c r="D780" i="17"/>
  <c r="F780" i="17"/>
  <c r="G780" i="17"/>
  <c r="H780" i="17"/>
  <c r="I780" i="17"/>
  <c r="J780" i="17"/>
  <c r="K780" i="17"/>
  <c r="C781" i="17"/>
  <c r="D781" i="17"/>
  <c r="F781" i="17"/>
  <c r="G781" i="17"/>
  <c r="H781" i="17"/>
  <c r="I781" i="17"/>
  <c r="J781" i="17"/>
  <c r="K781" i="17"/>
  <c r="C782" i="17"/>
  <c r="D782" i="17"/>
  <c r="F782" i="17"/>
  <c r="G782" i="17"/>
  <c r="H782" i="17"/>
  <c r="I782" i="17"/>
  <c r="J782" i="17"/>
  <c r="K782" i="17"/>
  <c r="C783" i="17"/>
  <c r="D783" i="17"/>
  <c r="F783" i="17"/>
  <c r="G783" i="17"/>
  <c r="H783" i="17"/>
  <c r="I783" i="17"/>
  <c r="J783" i="17"/>
  <c r="K783" i="17"/>
  <c r="C784" i="17"/>
  <c r="D784" i="17"/>
  <c r="F784" i="17"/>
  <c r="G784" i="17"/>
  <c r="H784" i="17"/>
  <c r="I784" i="17"/>
  <c r="J784" i="17"/>
  <c r="K784" i="17"/>
  <c r="C785" i="17"/>
  <c r="D785" i="17"/>
  <c r="F785" i="17"/>
  <c r="G785" i="17"/>
  <c r="H785" i="17"/>
  <c r="I785" i="17"/>
  <c r="J785" i="17"/>
  <c r="K785" i="17"/>
  <c r="C786" i="17"/>
  <c r="D786" i="17"/>
  <c r="F786" i="17"/>
  <c r="G786" i="17"/>
  <c r="H786" i="17"/>
  <c r="I786" i="17"/>
  <c r="J786" i="17"/>
  <c r="K786" i="17"/>
  <c r="C787" i="17"/>
  <c r="D787" i="17"/>
  <c r="F787" i="17"/>
  <c r="G787" i="17"/>
  <c r="H787" i="17"/>
  <c r="I787" i="17"/>
  <c r="J787" i="17"/>
  <c r="K787" i="17"/>
  <c r="C788" i="17"/>
  <c r="D788" i="17"/>
  <c r="F788" i="17"/>
  <c r="G788" i="17"/>
  <c r="H788" i="17"/>
  <c r="I788" i="17"/>
  <c r="J788" i="17"/>
  <c r="K788" i="17"/>
  <c r="C789" i="17"/>
  <c r="D789" i="17"/>
  <c r="F789" i="17"/>
  <c r="G789" i="17"/>
  <c r="H789" i="17"/>
  <c r="I789" i="17"/>
  <c r="J789" i="17"/>
  <c r="K789" i="17"/>
  <c r="C790" i="17"/>
  <c r="D790" i="17"/>
  <c r="F790" i="17"/>
  <c r="G790" i="17"/>
  <c r="H790" i="17"/>
  <c r="I790" i="17"/>
  <c r="J790" i="17"/>
  <c r="K790" i="17"/>
  <c r="C791" i="17"/>
  <c r="D791" i="17"/>
  <c r="F791" i="17"/>
  <c r="G791" i="17"/>
  <c r="H791" i="17"/>
  <c r="I791" i="17"/>
  <c r="J791" i="17"/>
  <c r="K791" i="17"/>
  <c r="C792" i="17"/>
  <c r="D792" i="17"/>
  <c r="F792" i="17"/>
  <c r="G792" i="17"/>
  <c r="H792" i="17"/>
  <c r="I792" i="17"/>
  <c r="J792" i="17"/>
  <c r="K792" i="17"/>
  <c r="C793" i="17"/>
  <c r="D793" i="17"/>
  <c r="F793" i="17"/>
  <c r="G793" i="17"/>
  <c r="H793" i="17"/>
  <c r="I793" i="17"/>
  <c r="J793" i="17"/>
  <c r="K793" i="17"/>
  <c r="C794" i="17"/>
  <c r="D794" i="17"/>
  <c r="F794" i="17"/>
  <c r="G794" i="17"/>
  <c r="H794" i="17"/>
  <c r="I794" i="17"/>
  <c r="J794" i="17"/>
  <c r="K794" i="17"/>
  <c r="C795" i="17"/>
  <c r="D795" i="17"/>
  <c r="F795" i="17"/>
  <c r="G795" i="17"/>
  <c r="H795" i="17"/>
  <c r="I795" i="17"/>
  <c r="J795" i="17"/>
  <c r="K795" i="17"/>
  <c r="C796" i="17"/>
  <c r="D796" i="17"/>
  <c r="F796" i="17"/>
  <c r="G796" i="17"/>
  <c r="H796" i="17"/>
  <c r="I796" i="17"/>
  <c r="J796" i="17"/>
  <c r="K796" i="17"/>
  <c r="C797" i="17"/>
  <c r="D797" i="17"/>
  <c r="F797" i="17"/>
  <c r="G797" i="17"/>
  <c r="H797" i="17"/>
  <c r="I797" i="17"/>
  <c r="J797" i="17"/>
  <c r="K797" i="17"/>
  <c r="C798" i="17"/>
  <c r="D798" i="17"/>
  <c r="F798" i="17"/>
  <c r="G798" i="17"/>
  <c r="H798" i="17"/>
  <c r="I798" i="17"/>
  <c r="J798" i="17"/>
  <c r="K798" i="17"/>
  <c r="C799" i="17"/>
  <c r="D799" i="17"/>
  <c r="F799" i="17"/>
  <c r="G799" i="17"/>
  <c r="H799" i="17"/>
  <c r="I799" i="17"/>
  <c r="J799" i="17"/>
  <c r="K799" i="17"/>
  <c r="C800" i="17"/>
  <c r="D800" i="17"/>
  <c r="F800" i="17"/>
  <c r="G800" i="17"/>
  <c r="H800" i="17"/>
  <c r="I800" i="17"/>
  <c r="J800" i="17"/>
  <c r="K800" i="17"/>
  <c r="C801" i="17"/>
  <c r="D801" i="17"/>
  <c r="F801" i="17"/>
  <c r="G801" i="17"/>
  <c r="H801" i="17"/>
  <c r="I801" i="17"/>
  <c r="J801" i="17"/>
  <c r="K801" i="17"/>
  <c r="C802" i="17"/>
  <c r="D802" i="17"/>
  <c r="F802" i="17"/>
  <c r="G802" i="17"/>
  <c r="H802" i="17"/>
  <c r="I802" i="17"/>
  <c r="J802" i="17"/>
  <c r="K802" i="17"/>
  <c r="C803" i="17"/>
  <c r="D803" i="17"/>
  <c r="F803" i="17"/>
  <c r="G803" i="17"/>
  <c r="H803" i="17"/>
  <c r="I803" i="17"/>
  <c r="J803" i="17"/>
  <c r="K803" i="17"/>
  <c r="C804" i="17"/>
  <c r="D804" i="17"/>
  <c r="F804" i="17"/>
  <c r="G804" i="17"/>
  <c r="H804" i="17"/>
  <c r="I804" i="17"/>
  <c r="J804" i="17"/>
  <c r="K804" i="17"/>
  <c r="C805" i="17"/>
  <c r="D805" i="17"/>
  <c r="F805" i="17"/>
  <c r="G805" i="17"/>
  <c r="H805" i="17"/>
  <c r="I805" i="17"/>
  <c r="J805" i="17"/>
  <c r="K805" i="17"/>
  <c r="C806" i="17"/>
  <c r="D806" i="17"/>
  <c r="F806" i="17"/>
  <c r="G806" i="17"/>
  <c r="H806" i="17"/>
  <c r="I806" i="17"/>
  <c r="J806" i="17"/>
  <c r="K806" i="17"/>
  <c r="C807" i="17"/>
  <c r="D807" i="17"/>
  <c r="F807" i="17"/>
  <c r="G807" i="17"/>
  <c r="H807" i="17"/>
  <c r="I807" i="17"/>
  <c r="J807" i="17"/>
  <c r="K807" i="17"/>
  <c r="C808" i="17"/>
  <c r="D808" i="17"/>
  <c r="F808" i="17"/>
  <c r="G808" i="17"/>
  <c r="H808" i="17"/>
  <c r="I808" i="17"/>
  <c r="J808" i="17"/>
  <c r="K808" i="17"/>
  <c r="C809" i="17"/>
  <c r="D809" i="17"/>
  <c r="F809" i="17"/>
  <c r="G809" i="17"/>
  <c r="H809" i="17"/>
  <c r="I809" i="17"/>
  <c r="J809" i="17"/>
  <c r="K809" i="17"/>
  <c r="C810" i="17"/>
  <c r="D810" i="17"/>
  <c r="F810" i="17"/>
  <c r="G810" i="17"/>
  <c r="H810" i="17"/>
  <c r="I810" i="17"/>
  <c r="J810" i="17"/>
  <c r="K810" i="17"/>
  <c r="C811" i="17"/>
  <c r="D811" i="17"/>
  <c r="F811" i="17"/>
  <c r="G811" i="17"/>
  <c r="H811" i="17"/>
  <c r="I811" i="17"/>
  <c r="J811" i="17"/>
  <c r="K811" i="17"/>
  <c r="C812" i="17"/>
  <c r="D812" i="17"/>
  <c r="F812" i="17"/>
  <c r="G812" i="17"/>
  <c r="H812" i="17"/>
  <c r="I812" i="17"/>
  <c r="J812" i="17"/>
  <c r="K812" i="17"/>
  <c r="C813" i="17"/>
  <c r="D813" i="17"/>
  <c r="F813" i="17"/>
  <c r="G813" i="17"/>
  <c r="H813" i="17"/>
  <c r="I813" i="17"/>
  <c r="J813" i="17"/>
  <c r="K813" i="17"/>
  <c r="C814" i="17"/>
  <c r="D814" i="17"/>
  <c r="F814" i="17"/>
  <c r="G814" i="17"/>
  <c r="H814" i="17"/>
  <c r="I814" i="17"/>
  <c r="J814" i="17"/>
  <c r="K814" i="17"/>
  <c r="C815" i="17"/>
  <c r="D815" i="17"/>
  <c r="F815" i="17"/>
  <c r="G815" i="17"/>
  <c r="H815" i="17"/>
  <c r="I815" i="17"/>
  <c r="J815" i="17"/>
  <c r="K815" i="17"/>
  <c r="C816" i="17"/>
  <c r="D816" i="17"/>
  <c r="F816" i="17"/>
  <c r="G816" i="17"/>
  <c r="H816" i="17"/>
  <c r="I816" i="17"/>
  <c r="J816" i="17"/>
  <c r="K816" i="17"/>
  <c r="C817" i="17"/>
  <c r="D817" i="17"/>
  <c r="F817" i="17"/>
  <c r="G817" i="17"/>
  <c r="H817" i="17"/>
  <c r="I817" i="17"/>
  <c r="J817" i="17"/>
  <c r="K817" i="17"/>
  <c r="C818" i="17"/>
  <c r="D818" i="17"/>
  <c r="F818" i="17"/>
  <c r="G818" i="17"/>
  <c r="H818" i="17"/>
  <c r="I818" i="17"/>
  <c r="J818" i="17"/>
  <c r="K818" i="17"/>
  <c r="C819" i="17"/>
  <c r="D819" i="17"/>
  <c r="F819" i="17"/>
  <c r="G819" i="17"/>
  <c r="H819" i="17"/>
  <c r="I819" i="17"/>
  <c r="J819" i="17"/>
  <c r="K819" i="17"/>
  <c r="C820" i="17"/>
  <c r="D820" i="17"/>
  <c r="F820" i="17"/>
  <c r="G820" i="17"/>
  <c r="H820" i="17"/>
  <c r="I820" i="17"/>
  <c r="J820" i="17"/>
  <c r="K820" i="17"/>
  <c r="C821" i="17"/>
  <c r="D821" i="17"/>
  <c r="F821" i="17"/>
  <c r="G821" i="17"/>
  <c r="H821" i="17"/>
  <c r="I821" i="17"/>
  <c r="J821" i="17"/>
  <c r="K821" i="17"/>
  <c r="C822" i="17"/>
  <c r="D822" i="17"/>
  <c r="F822" i="17"/>
  <c r="G822" i="17"/>
  <c r="H822" i="17"/>
  <c r="I822" i="17"/>
  <c r="J822" i="17"/>
  <c r="K822" i="17"/>
  <c r="C823" i="17"/>
  <c r="D823" i="17"/>
  <c r="F823" i="17"/>
  <c r="G823" i="17"/>
  <c r="H823" i="17"/>
  <c r="I823" i="17"/>
  <c r="J823" i="17"/>
  <c r="K823" i="17"/>
  <c r="C824" i="17"/>
  <c r="D824" i="17"/>
  <c r="F824" i="17"/>
  <c r="G824" i="17"/>
  <c r="H824" i="17"/>
  <c r="I824" i="17"/>
  <c r="J824" i="17"/>
  <c r="K824" i="17"/>
  <c r="C825" i="17"/>
  <c r="D825" i="17"/>
  <c r="F825" i="17"/>
  <c r="G825" i="17"/>
  <c r="H825" i="17"/>
  <c r="I825" i="17"/>
  <c r="J825" i="17"/>
  <c r="K825" i="17"/>
  <c r="C826" i="17"/>
  <c r="D826" i="17"/>
  <c r="F826" i="17"/>
  <c r="G826" i="17"/>
  <c r="H826" i="17"/>
  <c r="I826" i="17"/>
  <c r="J826" i="17"/>
  <c r="K826" i="17"/>
  <c r="C827" i="17"/>
  <c r="D827" i="17"/>
  <c r="F827" i="17"/>
  <c r="G827" i="17"/>
  <c r="H827" i="17"/>
  <c r="I827" i="17"/>
  <c r="J827" i="17"/>
  <c r="K827" i="17"/>
  <c r="C828" i="17"/>
  <c r="D828" i="17"/>
  <c r="F828" i="17"/>
  <c r="G828" i="17"/>
  <c r="H828" i="17"/>
  <c r="I828" i="17"/>
  <c r="J828" i="17"/>
  <c r="K828" i="17"/>
  <c r="C829" i="17"/>
  <c r="D829" i="17"/>
  <c r="F829" i="17"/>
  <c r="G829" i="17"/>
  <c r="H829" i="17"/>
  <c r="I829" i="17"/>
  <c r="J829" i="17"/>
  <c r="K829" i="17"/>
  <c r="C830" i="17"/>
  <c r="D830" i="17"/>
  <c r="F830" i="17"/>
  <c r="G830" i="17"/>
  <c r="H830" i="17"/>
  <c r="I830" i="17"/>
  <c r="J830" i="17"/>
  <c r="K830" i="17"/>
  <c r="C831" i="17"/>
  <c r="D831" i="17"/>
  <c r="F831" i="17"/>
  <c r="G831" i="17"/>
  <c r="H831" i="17"/>
  <c r="I831" i="17"/>
  <c r="J831" i="17"/>
  <c r="K831" i="17"/>
  <c r="C832" i="17"/>
  <c r="D832" i="17"/>
  <c r="F832" i="17"/>
  <c r="G832" i="17"/>
  <c r="H832" i="17"/>
  <c r="I832" i="17"/>
  <c r="J832" i="17"/>
  <c r="K832" i="17"/>
  <c r="C833" i="17"/>
  <c r="D833" i="17"/>
  <c r="F833" i="17"/>
  <c r="G833" i="17"/>
  <c r="H833" i="17"/>
  <c r="I833" i="17"/>
  <c r="J833" i="17"/>
  <c r="K833" i="17"/>
  <c r="C834" i="17"/>
  <c r="D834" i="17"/>
  <c r="F834" i="17"/>
  <c r="G834" i="17"/>
  <c r="H834" i="17"/>
  <c r="I834" i="17"/>
  <c r="J834" i="17"/>
  <c r="K834" i="17"/>
  <c r="C835" i="17"/>
  <c r="D835" i="17"/>
  <c r="F835" i="17"/>
  <c r="G835" i="17"/>
  <c r="H835" i="17"/>
  <c r="I835" i="17"/>
  <c r="J835" i="17"/>
  <c r="K835" i="17"/>
  <c r="C836" i="17"/>
  <c r="D836" i="17"/>
  <c r="F836" i="17"/>
  <c r="G836" i="17"/>
  <c r="H836" i="17"/>
  <c r="I836" i="17"/>
  <c r="J836" i="17"/>
  <c r="K836" i="17"/>
  <c r="C837" i="17"/>
  <c r="D837" i="17"/>
  <c r="F837" i="17"/>
  <c r="G837" i="17"/>
  <c r="H837" i="17"/>
  <c r="I837" i="17"/>
  <c r="J837" i="17"/>
  <c r="K837" i="17"/>
  <c r="C838" i="17"/>
  <c r="D838" i="17"/>
  <c r="F838" i="17"/>
  <c r="G838" i="17"/>
  <c r="H838" i="17"/>
  <c r="I838" i="17"/>
  <c r="J838" i="17"/>
  <c r="K838" i="17"/>
  <c r="C839" i="17"/>
  <c r="D839" i="17"/>
  <c r="F839" i="17"/>
  <c r="G839" i="17"/>
  <c r="H839" i="17"/>
  <c r="I839" i="17"/>
  <c r="J839" i="17"/>
  <c r="K839" i="17"/>
  <c r="C840" i="17"/>
  <c r="D840" i="17"/>
  <c r="F840" i="17"/>
  <c r="G840" i="17"/>
  <c r="H840" i="17"/>
  <c r="I840" i="17"/>
  <c r="J840" i="17"/>
  <c r="K840" i="17"/>
  <c r="C841" i="17"/>
  <c r="D841" i="17"/>
  <c r="F841" i="17"/>
  <c r="G841" i="17"/>
  <c r="H841" i="17"/>
  <c r="I841" i="17"/>
  <c r="J841" i="17"/>
  <c r="K841" i="17"/>
  <c r="C842" i="17"/>
  <c r="D842" i="17"/>
  <c r="F842" i="17"/>
  <c r="G842" i="17"/>
  <c r="H842" i="17"/>
  <c r="I842" i="17"/>
  <c r="J842" i="17"/>
  <c r="K842" i="17"/>
  <c r="C843" i="17"/>
  <c r="D843" i="17"/>
  <c r="F843" i="17"/>
  <c r="G843" i="17"/>
  <c r="H843" i="17"/>
  <c r="I843" i="17"/>
  <c r="J843" i="17"/>
  <c r="K843" i="17"/>
  <c r="C844" i="17"/>
  <c r="D844" i="17"/>
  <c r="F844" i="17"/>
  <c r="G844" i="17"/>
  <c r="H844" i="17"/>
  <c r="I844" i="17"/>
  <c r="J844" i="17"/>
  <c r="K844" i="17"/>
  <c r="C845" i="17"/>
  <c r="D845" i="17"/>
  <c r="F845" i="17"/>
  <c r="G845" i="17"/>
  <c r="H845" i="17"/>
  <c r="I845" i="17"/>
  <c r="J845" i="17"/>
  <c r="K845" i="17"/>
  <c r="C846" i="17"/>
  <c r="D846" i="17"/>
  <c r="F846" i="17"/>
  <c r="G846" i="17"/>
  <c r="H846" i="17"/>
  <c r="I846" i="17"/>
  <c r="J846" i="17"/>
  <c r="K846" i="17"/>
  <c r="C847" i="17"/>
  <c r="D847" i="17"/>
  <c r="F847" i="17"/>
  <c r="G847" i="17"/>
  <c r="H847" i="17"/>
  <c r="I847" i="17"/>
  <c r="J847" i="17"/>
  <c r="K847" i="17"/>
  <c r="C848" i="17"/>
  <c r="D848" i="17"/>
  <c r="F848" i="17"/>
  <c r="G848" i="17"/>
  <c r="H848" i="17"/>
  <c r="I848" i="17"/>
  <c r="J848" i="17"/>
  <c r="K848" i="17"/>
  <c r="C849" i="17"/>
  <c r="D849" i="17"/>
  <c r="F849" i="17"/>
  <c r="G849" i="17"/>
  <c r="H849" i="17"/>
  <c r="I849" i="17"/>
  <c r="J849" i="17"/>
  <c r="K849" i="17"/>
  <c r="C850" i="17"/>
  <c r="D850" i="17"/>
  <c r="F850" i="17"/>
  <c r="G850" i="17"/>
  <c r="H850" i="17"/>
  <c r="I850" i="17"/>
  <c r="J850" i="17"/>
  <c r="K850" i="17"/>
  <c r="C851" i="17"/>
  <c r="D851" i="17"/>
  <c r="F851" i="17"/>
  <c r="G851" i="17"/>
  <c r="H851" i="17"/>
  <c r="I851" i="17"/>
  <c r="J851" i="17"/>
  <c r="K851" i="17"/>
  <c r="C852" i="17"/>
  <c r="D852" i="17"/>
  <c r="F852" i="17"/>
  <c r="G852" i="17"/>
  <c r="H852" i="17"/>
  <c r="I852" i="17"/>
  <c r="J852" i="17"/>
  <c r="K852" i="17"/>
  <c r="C853" i="17"/>
  <c r="D853" i="17"/>
  <c r="F853" i="17"/>
  <c r="G853" i="17"/>
  <c r="H853" i="17"/>
  <c r="I853" i="17"/>
  <c r="J853" i="17"/>
  <c r="K853" i="17"/>
  <c r="C854" i="17"/>
  <c r="D854" i="17"/>
  <c r="F854" i="17"/>
  <c r="G854" i="17"/>
  <c r="H854" i="17"/>
  <c r="I854" i="17"/>
  <c r="J854" i="17"/>
  <c r="K854" i="17"/>
  <c r="C855" i="17"/>
  <c r="D855" i="17"/>
  <c r="F855" i="17"/>
  <c r="G855" i="17"/>
  <c r="H855" i="17"/>
  <c r="I855" i="17"/>
  <c r="J855" i="17"/>
  <c r="K855" i="17"/>
  <c r="C856" i="17"/>
  <c r="D856" i="17"/>
  <c r="F856" i="17"/>
  <c r="G856" i="17"/>
  <c r="H856" i="17"/>
  <c r="I856" i="17"/>
  <c r="J856" i="17"/>
  <c r="K856" i="17"/>
  <c r="C857" i="17"/>
  <c r="D857" i="17"/>
  <c r="F857" i="17"/>
  <c r="G857" i="17"/>
  <c r="H857" i="17"/>
  <c r="I857" i="17"/>
  <c r="J857" i="17"/>
  <c r="K857" i="17"/>
  <c r="C858" i="17"/>
  <c r="D858" i="17"/>
  <c r="F858" i="17"/>
  <c r="G858" i="17"/>
  <c r="H858" i="17"/>
  <c r="I858" i="17"/>
  <c r="J858" i="17"/>
  <c r="K858" i="17"/>
  <c r="C859" i="17"/>
  <c r="D859" i="17"/>
  <c r="F859" i="17"/>
  <c r="G859" i="17"/>
  <c r="H859" i="17"/>
  <c r="I859" i="17"/>
  <c r="J859" i="17"/>
  <c r="K859" i="17"/>
  <c r="C860" i="17"/>
  <c r="D860" i="17"/>
  <c r="F860" i="17"/>
  <c r="G860" i="17"/>
  <c r="H860" i="17"/>
  <c r="I860" i="17"/>
  <c r="J860" i="17"/>
  <c r="K860" i="17"/>
  <c r="C861" i="17"/>
  <c r="D861" i="17"/>
  <c r="F861" i="17"/>
  <c r="G861" i="17"/>
  <c r="H861" i="17"/>
  <c r="I861" i="17"/>
  <c r="J861" i="17"/>
  <c r="K861" i="17"/>
  <c r="C862" i="17"/>
  <c r="D862" i="17"/>
  <c r="F862" i="17"/>
  <c r="G862" i="17"/>
  <c r="H862" i="17"/>
  <c r="I862" i="17"/>
  <c r="J862" i="17"/>
  <c r="K862" i="17"/>
  <c r="C863" i="17"/>
  <c r="D863" i="17"/>
  <c r="F863" i="17"/>
  <c r="G863" i="17"/>
  <c r="H863" i="17"/>
  <c r="I863" i="17"/>
  <c r="J863" i="17"/>
  <c r="K863" i="17"/>
  <c r="C864" i="17"/>
  <c r="D864" i="17"/>
  <c r="F864" i="17"/>
  <c r="G864" i="17"/>
  <c r="H864" i="17"/>
  <c r="I864" i="17"/>
  <c r="J864" i="17"/>
  <c r="K864" i="17"/>
  <c r="C865" i="17"/>
  <c r="D865" i="17"/>
  <c r="F865" i="17"/>
  <c r="G865" i="17"/>
  <c r="H865" i="17"/>
  <c r="I865" i="17"/>
  <c r="J865" i="17"/>
  <c r="K865" i="17"/>
  <c r="C866" i="17"/>
  <c r="D866" i="17"/>
  <c r="F866" i="17"/>
  <c r="G866" i="17"/>
  <c r="H866" i="17"/>
  <c r="I866" i="17"/>
  <c r="J866" i="17"/>
  <c r="K866" i="17"/>
  <c r="C867" i="17"/>
  <c r="D867" i="17"/>
  <c r="F867" i="17"/>
  <c r="G867" i="17"/>
  <c r="H867" i="17"/>
  <c r="I867" i="17"/>
  <c r="J867" i="17"/>
  <c r="K867" i="17"/>
  <c r="C868" i="17"/>
  <c r="D868" i="17"/>
  <c r="F868" i="17"/>
  <c r="G868" i="17"/>
  <c r="H868" i="17"/>
  <c r="I868" i="17"/>
  <c r="J868" i="17"/>
  <c r="K868" i="17"/>
  <c r="C869" i="17"/>
  <c r="D869" i="17"/>
  <c r="F869" i="17"/>
  <c r="G869" i="17"/>
  <c r="H869" i="17"/>
  <c r="I869" i="17"/>
  <c r="J869" i="17"/>
  <c r="K869" i="17"/>
  <c r="C870" i="17"/>
  <c r="D870" i="17"/>
  <c r="F870" i="17"/>
  <c r="G870" i="17"/>
  <c r="H870" i="17"/>
  <c r="I870" i="17"/>
  <c r="J870" i="17"/>
  <c r="K870" i="17"/>
  <c r="C871" i="17"/>
  <c r="D871" i="17"/>
  <c r="F871" i="17"/>
  <c r="G871" i="17"/>
  <c r="H871" i="17"/>
  <c r="I871" i="17"/>
  <c r="J871" i="17"/>
  <c r="K871" i="17"/>
  <c r="C872" i="17"/>
  <c r="D872" i="17"/>
  <c r="F872" i="17"/>
  <c r="G872" i="17"/>
  <c r="H872" i="17"/>
  <c r="I872" i="17"/>
  <c r="J872" i="17"/>
  <c r="K872" i="17"/>
  <c r="C873" i="17"/>
  <c r="D873" i="17"/>
  <c r="F873" i="17"/>
  <c r="G873" i="17"/>
  <c r="H873" i="17"/>
  <c r="I873" i="17"/>
  <c r="J873" i="17"/>
  <c r="K873" i="17"/>
  <c r="C874" i="17"/>
  <c r="D874" i="17"/>
  <c r="F874" i="17"/>
  <c r="G874" i="17"/>
  <c r="H874" i="17"/>
  <c r="I874" i="17"/>
  <c r="J874" i="17"/>
  <c r="K874" i="17"/>
  <c r="C875" i="17"/>
  <c r="D875" i="17"/>
  <c r="F875" i="17"/>
  <c r="G875" i="17"/>
  <c r="H875" i="17"/>
  <c r="I875" i="17"/>
  <c r="J875" i="17"/>
  <c r="K875" i="17"/>
  <c r="C876" i="17"/>
  <c r="D876" i="17"/>
  <c r="F876" i="17"/>
  <c r="G876" i="17"/>
  <c r="H876" i="17"/>
  <c r="I876" i="17"/>
  <c r="J876" i="17"/>
  <c r="K876" i="17"/>
  <c r="C877" i="17"/>
  <c r="D877" i="17"/>
  <c r="F877" i="17"/>
  <c r="G877" i="17"/>
  <c r="H877" i="17"/>
  <c r="I877" i="17"/>
  <c r="J877" i="17"/>
  <c r="K877" i="17"/>
  <c r="C878" i="17"/>
  <c r="D878" i="17"/>
  <c r="F878" i="17"/>
  <c r="G878" i="17"/>
  <c r="H878" i="17"/>
  <c r="I878" i="17"/>
  <c r="J878" i="17"/>
  <c r="K878" i="17"/>
  <c r="C879" i="17"/>
  <c r="D879" i="17"/>
  <c r="F879" i="17"/>
  <c r="G879" i="17"/>
  <c r="H879" i="17"/>
  <c r="I879" i="17"/>
  <c r="J879" i="17"/>
  <c r="K879" i="17"/>
  <c r="C880" i="17"/>
  <c r="D880" i="17"/>
  <c r="F880" i="17"/>
  <c r="G880" i="17"/>
  <c r="H880" i="17"/>
  <c r="I880" i="17"/>
  <c r="J880" i="17"/>
  <c r="K880" i="17"/>
  <c r="C881" i="17"/>
  <c r="D881" i="17"/>
  <c r="F881" i="17"/>
  <c r="G881" i="17"/>
  <c r="H881" i="17"/>
  <c r="I881" i="17"/>
  <c r="J881" i="17"/>
  <c r="K881" i="17"/>
  <c r="C882" i="17"/>
  <c r="D882" i="17"/>
  <c r="F882" i="17"/>
  <c r="G882" i="17"/>
  <c r="H882" i="17"/>
  <c r="I882" i="17"/>
  <c r="J882" i="17"/>
  <c r="K882" i="17"/>
  <c r="C883" i="17"/>
  <c r="D883" i="17"/>
  <c r="F883" i="17"/>
  <c r="G883" i="17"/>
  <c r="H883" i="17"/>
  <c r="I883" i="17"/>
  <c r="J883" i="17"/>
  <c r="K883" i="17"/>
  <c r="C884" i="17"/>
  <c r="D884" i="17"/>
  <c r="F884" i="17"/>
  <c r="G884" i="17"/>
  <c r="H884" i="17"/>
  <c r="I884" i="17"/>
  <c r="J884" i="17"/>
  <c r="K884" i="17"/>
  <c r="C885" i="17"/>
  <c r="D885" i="17"/>
  <c r="F885" i="17"/>
  <c r="G885" i="17"/>
  <c r="H885" i="17"/>
  <c r="I885" i="17"/>
  <c r="J885" i="17"/>
  <c r="K885" i="17"/>
  <c r="C886" i="17"/>
  <c r="D886" i="17"/>
  <c r="F886" i="17"/>
  <c r="G886" i="17"/>
  <c r="H886" i="17"/>
  <c r="I886" i="17"/>
  <c r="J886" i="17"/>
  <c r="K886" i="17"/>
  <c r="C887" i="17"/>
  <c r="D887" i="17"/>
  <c r="F887" i="17"/>
  <c r="G887" i="17"/>
  <c r="H887" i="17"/>
  <c r="I887" i="17"/>
  <c r="J887" i="17"/>
  <c r="K887" i="17"/>
  <c r="C888" i="17"/>
  <c r="D888" i="17"/>
  <c r="F888" i="17"/>
  <c r="G888" i="17"/>
  <c r="H888" i="17"/>
  <c r="I888" i="17"/>
  <c r="J888" i="17"/>
  <c r="K888" i="17"/>
  <c r="C889" i="17"/>
  <c r="D889" i="17"/>
  <c r="F889" i="17"/>
  <c r="G889" i="17"/>
  <c r="H889" i="17"/>
  <c r="I889" i="17"/>
  <c r="J889" i="17"/>
  <c r="K889" i="17"/>
  <c r="C890" i="17"/>
  <c r="D890" i="17"/>
  <c r="F890" i="17"/>
  <c r="G890" i="17"/>
  <c r="H890" i="17"/>
  <c r="I890" i="17"/>
  <c r="J890" i="17"/>
  <c r="K890" i="17"/>
  <c r="C891" i="17"/>
  <c r="D891" i="17"/>
  <c r="F891" i="17"/>
  <c r="G891" i="17"/>
  <c r="H891" i="17"/>
  <c r="I891" i="17"/>
  <c r="J891" i="17"/>
  <c r="K891" i="17"/>
  <c r="C892" i="17"/>
  <c r="D892" i="17"/>
  <c r="F892" i="17"/>
  <c r="G892" i="17"/>
  <c r="H892" i="17"/>
  <c r="I892" i="17"/>
  <c r="J892" i="17"/>
  <c r="K892" i="17"/>
  <c r="C893" i="17"/>
  <c r="D893" i="17"/>
  <c r="F893" i="17"/>
  <c r="G893" i="17"/>
  <c r="H893" i="17"/>
  <c r="I893" i="17"/>
  <c r="J893" i="17"/>
  <c r="K893" i="17"/>
  <c r="C894" i="17"/>
  <c r="D894" i="17"/>
  <c r="F894" i="17"/>
  <c r="G894" i="17"/>
  <c r="H894" i="17"/>
  <c r="I894" i="17"/>
  <c r="J894" i="17"/>
  <c r="K894" i="17"/>
  <c r="C895" i="17"/>
  <c r="D895" i="17"/>
  <c r="F895" i="17"/>
  <c r="G895" i="17"/>
  <c r="H895" i="17"/>
  <c r="I895" i="17"/>
  <c r="J895" i="17"/>
  <c r="K895" i="17"/>
  <c r="C896" i="17"/>
  <c r="D896" i="17"/>
  <c r="F896" i="17"/>
  <c r="G896" i="17"/>
  <c r="H896" i="17"/>
  <c r="I896" i="17"/>
  <c r="J896" i="17"/>
  <c r="K896" i="17"/>
  <c r="C897" i="17"/>
  <c r="D897" i="17"/>
  <c r="F897" i="17"/>
  <c r="G897" i="17"/>
  <c r="H897" i="17"/>
  <c r="I897" i="17"/>
  <c r="J897" i="17"/>
  <c r="K897" i="17"/>
  <c r="C898" i="17"/>
  <c r="D898" i="17"/>
  <c r="F898" i="17"/>
  <c r="G898" i="17"/>
  <c r="H898" i="17"/>
  <c r="I898" i="17"/>
  <c r="J898" i="17"/>
  <c r="K898" i="17"/>
  <c r="C899" i="17"/>
  <c r="D899" i="17"/>
  <c r="F899" i="17"/>
  <c r="G899" i="17"/>
  <c r="H899" i="17"/>
  <c r="I899" i="17"/>
  <c r="J899" i="17"/>
  <c r="K899" i="17"/>
  <c r="C900" i="17"/>
  <c r="D900" i="17"/>
  <c r="F900" i="17"/>
  <c r="G900" i="17"/>
  <c r="H900" i="17"/>
  <c r="I900" i="17"/>
  <c r="J900" i="17"/>
  <c r="K900" i="17"/>
  <c r="C901" i="17"/>
  <c r="D901" i="17"/>
  <c r="F901" i="17"/>
  <c r="G901" i="17"/>
  <c r="H901" i="17"/>
  <c r="I901" i="17"/>
  <c r="J901" i="17"/>
  <c r="K901" i="17"/>
  <c r="C902" i="17"/>
  <c r="D902" i="17"/>
  <c r="F902" i="17"/>
  <c r="G902" i="17"/>
  <c r="H902" i="17"/>
  <c r="I902" i="17"/>
  <c r="J902" i="17"/>
  <c r="K902" i="17"/>
  <c r="C903" i="17"/>
  <c r="D903" i="17"/>
  <c r="F903" i="17"/>
  <c r="G903" i="17"/>
  <c r="H903" i="17"/>
  <c r="I903" i="17"/>
  <c r="J903" i="17"/>
  <c r="K903" i="17"/>
  <c r="C904" i="17"/>
  <c r="D904" i="17"/>
  <c r="F904" i="17"/>
  <c r="G904" i="17"/>
  <c r="H904" i="17"/>
  <c r="I904" i="17"/>
  <c r="J904" i="17"/>
  <c r="K904" i="17"/>
  <c r="C905" i="17"/>
  <c r="D905" i="17"/>
  <c r="F905" i="17"/>
  <c r="G905" i="17"/>
  <c r="H905" i="17"/>
  <c r="I905" i="17"/>
  <c r="J905" i="17"/>
  <c r="K905" i="17"/>
  <c r="C906" i="17"/>
  <c r="D906" i="17"/>
  <c r="F906" i="17"/>
  <c r="G906" i="17"/>
  <c r="H906" i="17"/>
  <c r="I906" i="17"/>
  <c r="J906" i="17"/>
  <c r="K906" i="17"/>
  <c r="C907" i="17"/>
  <c r="D907" i="17"/>
  <c r="F907" i="17"/>
  <c r="G907" i="17"/>
  <c r="H907" i="17"/>
  <c r="I907" i="17"/>
  <c r="J907" i="17"/>
  <c r="K907" i="17"/>
  <c r="C908" i="17"/>
  <c r="D908" i="17"/>
  <c r="F908" i="17"/>
  <c r="G908" i="17"/>
  <c r="H908" i="17"/>
  <c r="I908" i="17"/>
  <c r="J908" i="17"/>
  <c r="K908" i="17"/>
  <c r="C909" i="17"/>
  <c r="D909" i="17"/>
  <c r="F909" i="17"/>
  <c r="G909" i="17"/>
  <c r="H909" i="17"/>
  <c r="I909" i="17"/>
  <c r="J909" i="17"/>
  <c r="K909" i="17"/>
  <c r="C910" i="17"/>
  <c r="D910" i="17"/>
  <c r="F910" i="17"/>
  <c r="G910" i="17"/>
  <c r="H910" i="17"/>
  <c r="I910" i="17"/>
  <c r="J910" i="17"/>
  <c r="K910" i="17"/>
  <c r="C911" i="17"/>
  <c r="D911" i="17"/>
  <c r="F911" i="17"/>
  <c r="G911" i="17"/>
  <c r="H911" i="17"/>
  <c r="I911" i="17"/>
  <c r="J911" i="17"/>
  <c r="K911" i="17"/>
  <c r="C912" i="17"/>
  <c r="D912" i="17"/>
  <c r="F912" i="17"/>
  <c r="G912" i="17"/>
  <c r="H912" i="17"/>
  <c r="I912" i="17"/>
  <c r="J912" i="17"/>
  <c r="K912" i="17"/>
  <c r="C913" i="17"/>
  <c r="D913" i="17"/>
  <c r="F913" i="17"/>
  <c r="G913" i="17"/>
  <c r="H913" i="17"/>
  <c r="I913" i="17"/>
  <c r="J913" i="17"/>
  <c r="K913" i="17"/>
  <c r="C914" i="17"/>
  <c r="D914" i="17"/>
  <c r="F914" i="17"/>
  <c r="G914" i="17"/>
  <c r="H914" i="17"/>
  <c r="I914" i="17"/>
  <c r="J914" i="17"/>
  <c r="K914" i="17"/>
  <c r="C915" i="17"/>
  <c r="D915" i="17"/>
  <c r="F915" i="17"/>
  <c r="G915" i="17"/>
  <c r="H915" i="17"/>
  <c r="I915" i="17"/>
  <c r="J915" i="17"/>
  <c r="K915" i="17"/>
  <c r="C916" i="17"/>
  <c r="D916" i="17"/>
  <c r="F916" i="17"/>
  <c r="G916" i="17"/>
  <c r="H916" i="17"/>
  <c r="I916" i="17"/>
  <c r="J916" i="17"/>
  <c r="K916" i="17"/>
  <c r="C917" i="17"/>
  <c r="D917" i="17"/>
  <c r="F917" i="17"/>
  <c r="G917" i="17"/>
  <c r="H917" i="17"/>
  <c r="I917" i="17"/>
  <c r="J917" i="17"/>
  <c r="K917" i="17"/>
  <c r="C918" i="17"/>
  <c r="D918" i="17"/>
  <c r="F918" i="17"/>
  <c r="G918" i="17"/>
  <c r="H918" i="17"/>
  <c r="I918" i="17"/>
  <c r="J918" i="17"/>
  <c r="K918" i="17"/>
  <c r="C919" i="17"/>
  <c r="D919" i="17"/>
  <c r="F919" i="17"/>
  <c r="G919" i="17"/>
  <c r="H919" i="17"/>
  <c r="I919" i="17"/>
  <c r="J919" i="17"/>
  <c r="K919" i="17"/>
  <c r="C920" i="17"/>
  <c r="D920" i="17"/>
  <c r="F920" i="17"/>
  <c r="G920" i="17"/>
  <c r="H920" i="17"/>
  <c r="I920" i="17"/>
  <c r="J920" i="17"/>
  <c r="K920" i="17"/>
  <c r="C921" i="17"/>
  <c r="D921" i="17"/>
  <c r="F921" i="17"/>
  <c r="G921" i="17"/>
  <c r="H921" i="17"/>
  <c r="I921" i="17"/>
  <c r="J921" i="17"/>
  <c r="K921" i="17"/>
  <c r="C922" i="17"/>
  <c r="D922" i="17"/>
  <c r="F922" i="17"/>
  <c r="G922" i="17"/>
  <c r="H922" i="17"/>
  <c r="I922" i="17"/>
  <c r="J922" i="17"/>
  <c r="K922" i="17"/>
  <c r="C923" i="17"/>
  <c r="D923" i="17"/>
  <c r="F923" i="17"/>
  <c r="G923" i="17"/>
  <c r="H923" i="17"/>
  <c r="I923" i="17"/>
  <c r="J923" i="17"/>
  <c r="K923" i="17"/>
  <c r="C924" i="17"/>
  <c r="D924" i="17"/>
  <c r="F924" i="17"/>
  <c r="G924" i="17"/>
  <c r="H924" i="17"/>
  <c r="I924" i="17"/>
  <c r="J924" i="17"/>
  <c r="K924" i="17"/>
  <c r="C925" i="17"/>
  <c r="D925" i="17"/>
  <c r="F925" i="17"/>
  <c r="G925" i="17"/>
  <c r="H925" i="17"/>
  <c r="I925" i="17"/>
  <c r="J925" i="17"/>
  <c r="K925" i="17"/>
  <c r="C926" i="17"/>
  <c r="D926" i="17"/>
  <c r="F926" i="17"/>
  <c r="G926" i="17"/>
  <c r="H926" i="17"/>
  <c r="I926" i="17"/>
  <c r="J926" i="17"/>
  <c r="K926" i="17"/>
  <c r="C927" i="17"/>
  <c r="D927" i="17"/>
  <c r="F927" i="17"/>
  <c r="G927" i="17"/>
  <c r="H927" i="17"/>
  <c r="I927" i="17"/>
  <c r="J927" i="17"/>
  <c r="K927" i="17"/>
  <c r="C928" i="17"/>
  <c r="D928" i="17"/>
  <c r="F928" i="17"/>
  <c r="G928" i="17"/>
  <c r="H928" i="17"/>
  <c r="I928" i="17"/>
  <c r="J928" i="17"/>
  <c r="K928" i="17"/>
  <c r="C929" i="17"/>
  <c r="D929" i="17"/>
  <c r="F929" i="17"/>
  <c r="G929" i="17"/>
  <c r="H929" i="17"/>
  <c r="I929" i="17"/>
  <c r="J929" i="17"/>
  <c r="K929" i="17"/>
  <c r="C930" i="17"/>
  <c r="D930" i="17"/>
  <c r="F930" i="17"/>
  <c r="G930" i="17"/>
  <c r="H930" i="17"/>
  <c r="I930" i="17"/>
  <c r="J930" i="17"/>
  <c r="K930" i="17"/>
  <c r="C931" i="17"/>
  <c r="D931" i="17"/>
  <c r="F931" i="17"/>
  <c r="G931" i="17"/>
  <c r="H931" i="17"/>
  <c r="I931" i="17"/>
  <c r="J931" i="17"/>
  <c r="K931" i="17"/>
  <c r="C932" i="17"/>
  <c r="D932" i="17"/>
  <c r="F932" i="17"/>
  <c r="G932" i="17"/>
  <c r="H932" i="17"/>
  <c r="I932" i="17"/>
  <c r="J932" i="17"/>
  <c r="K932" i="17"/>
  <c r="C933" i="17"/>
  <c r="D933" i="17"/>
  <c r="F933" i="17"/>
  <c r="G933" i="17"/>
  <c r="H933" i="17"/>
  <c r="I933" i="17"/>
  <c r="J933" i="17"/>
  <c r="K933" i="17"/>
  <c r="C934" i="17"/>
  <c r="D934" i="17"/>
  <c r="F934" i="17"/>
  <c r="G934" i="17"/>
  <c r="H934" i="17"/>
  <c r="I934" i="17"/>
  <c r="J934" i="17"/>
  <c r="K934" i="17"/>
  <c r="C935" i="17"/>
  <c r="D935" i="17"/>
  <c r="F935" i="17"/>
  <c r="G935" i="17"/>
  <c r="H935" i="17"/>
  <c r="I935" i="17"/>
  <c r="J935" i="17"/>
  <c r="K935" i="17"/>
  <c r="C936" i="17"/>
  <c r="D936" i="17"/>
  <c r="F936" i="17"/>
  <c r="G936" i="17"/>
  <c r="H936" i="17"/>
  <c r="I936" i="17"/>
  <c r="J936" i="17"/>
  <c r="K936" i="17"/>
  <c r="C937" i="17"/>
  <c r="D937" i="17"/>
  <c r="F937" i="17"/>
  <c r="G937" i="17"/>
  <c r="H937" i="17"/>
  <c r="I937" i="17"/>
  <c r="J937" i="17"/>
  <c r="K937" i="17"/>
  <c r="C938" i="17"/>
  <c r="D938" i="17"/>
  <c r="F938" i="17"/>
  <c r="G938" i="17"/>
  <c r="H938" i="17"/>
  <c r="I938" i="17"/>
  <c r="J938" i="17"/>
  <c r="K938" i="17"/>
  <c r="C939" i="17"/>
  <c r="D939" i="17"/>
  <c r="F939" i="17"/>
  <c r="G939" i="17"/>
  <c r="H939" i="17"/>
  <c r="I939" i="17"/>
  <c r="J939" i="17"/>
  <c r="K939" i="17"/>
  <c r="C940" i="17"/>
  <c r="D940" i="17"/>
  <c r="F940" i="17"/>
  <c r="G940" i="17"/>
  <c r="H940" i="17"/>
  <c r="I940" i="17"/>
  <c r="J940" i="17"/>
  <c r="K940" i="17"/>
  <c r="C941" i="17"/>
  <c r="D941" i="17"/>
  <c r="F941" i="17"/>
  <c r="G941" i="17"/>
  <c r="H941" i="17"/>
  <c r="I941" i="17"/>
  <c r="J941" i="17"/>
  <c r="K941" i="17"/>
  <c r="C942" i="17"/>
  <c r="D942" i="17"/>
  <c r="F942" i="17"/>
  <c r="G942" i="17"/>
  <c r="H942" i="17"/>
  <c r="I942" i="17"/>
  <c r="J942" i="17"/>
  <c r="K942" i="17"/>
  <c r="C943" i="17"/>
  <c r="D943" i="17"/>
  <c r="F943" i="17"/>
  <c r="G943" i="17"/>
  <c r="H943" i="17"/>
  <c r="I943" i="17"/>
  <c r="J943" i="17"/>
  <c r="K943" i="17"/>
  <c r="C944" i="17"/>
  <c r="D944" i="17"/>
  <c r="F944" i="17"/>
  <c r="G944" i="17"/>
  <c r="H944" i="17"/>
  <c r="I944" i="17"/>
  <c r="J944" i="17"/>
  <c r="K944" i="17"/>
  <c r="C945" i="17"/>
  <c r="D945" i="17"/>
  <c r="F945" i="17"/>
  <c r="G945" i="17"/>
  <c r="H945" i="17"/>
  <c r="I945" i="17"/>
  <c r="J945" i="17"/>
  <c r="K945" i="17"/>
  <c r="C946" i="17"/>
  <c r="D946" i="17"/>
  <c r="F946" i="17"/>
  <c r="G946" i="17"/>
  <c r="H946" i="17"/>
  <c r="I946" i="17"/>
  <c r="J946" i="17"/>
  <c r="K946" i="17"/>
  <c r="C947" i="17"/>
  <c r="D947" i="17"/>
  <c r="F947" i="17"/>
  <c r="G947" i="17"/>
  <c r="H947" i="17"/>
  <c r="I947" i="17"/>
  <c r="J947" i="17"/>
  <c r="K947" i="17"/>
  <c r="C948" i="17"/>
  <c r="D948" i="17"/>
  <c r="F948" i="17"/>
  <c r="G948" i="17"/>
  <c r="H948" i="17"/>
  <c r="I948" i="17"/>
  <c r="J948" i="17"/>
  <c r="K948" i="17"/>
  <c r="C949" i="17"/>
  <c r="D949" i="17"/>
  <c r="F949" i="17"/>
  <c r="G949" i="17"/>
  <c r="H949" i="17"/>
  <c r="I949" i="17"/>
  <c r="J949" i="17"/>
  <c r="K949" i="17"/>
  <c r="C950" i="17"/>
  <c r="D950" i="17"/>
  <c r="F950" i="17"/>
  <c r="G950" i="17"/>
  <c r="H950" i="17"/>
  <c r="I950" i="17"/>
  <c r="J950" i="17"/>
  <c r="K950" i="17"/>
  <c r="C951" i="17"/>
  <c r="D951" i="17"/>
  <c r="F951" i="17"/>
  <c r="G951" i="17"/>
  <c r="H951" i="17"/>
  <c r="I951" i="17"/>
  <c r="J951" i="17"/>
  <c r="K951" i="17"/>
  <c r="C952" i="17"/>
  <c r="D952" i="17"/>
  <c r="F952" i="17"/>
  <c r="G952" i="17"/>
  <c r="H952" i="17"/>
  <c r="I952" i="17"/>
  <c r="J952" i="17"/>
  <c r="K952" i="17"/>
  <c r="C953" i="17"/>
  <c r="D953" i="17"/>
  <c r="F953" i="17"/>
  <c r="G953" i="17"/>
  <c r="H953" i="17"/>
  <c r="I953" i="17"/>
  <c r="J953" i="17"/>
  <c r="K953" i="17"/>
  <c r="C954" i="17"/>
  <c r="D954" i="17"/>
  <c r="F954" i="17"/>
  <c r="G954" i="17"/>
  <c r="H954" i="17"/>
  <c r="I954" i="17"/>
  <c r="J954" i="17"/>
  <c r="K954" i="17"/>
  <c r="C955" i="17"/>
  <c r="D955" i="17"/>
  <c r="F955" i="17"/>
  <c r="G955" i="17"/>
  <c r="H955" i="17"/>
  <c r="I955" i="17"/>
  <c r="J955" i="17"/>
  <c r="K955" i="17"/>
  <c r="C956" i="17"/>
  <c r="D956" i="17"/>
  <c r="F956" i="17"/>
  <c r="G956" i="17"/>
  <c r="H956" i="17"/>
  <c r="I956" i="17"/>
  <c r="J956" i="17"/>
  <c r="K956" i="17"/>
  <c r="C957" i="17"/>
  <c r="D957" i="17"/>
  <c r="F957" i="17"/>
  <c r="G957" i="17"/>
  <c r="H957" i="17"/>
  <c r="I957" i="17"/>
  <c r="J957" i="17"/>
  <c r="K957" i="17"/>
  <c r="C958" i="17"/>
  <c r="D958" i="17"/>
  <c r="F958" i="17"/>
  <c r="G958" i="17"/>
  <c r="H958" i="17"/>
  <c r="I958" i="17"/>
  <c r="J958" i="17"/>
  <c r="K958" i="17"/>
  <c r="C959" i="17"/>
  <c r="D959" i="17"/>
  <c r="F959" i="17"/>
  <c r="G959" i="17"/>
  <c r="H959" i="17"/>
  <c r="I959" i="17"/>
  <c r="J959" i="17"/>
  <c r="K959" i="17"/>
  <c r="C960" i="17"/>
  <c r="D960" i="17"/>
  <c r="F960" i="17"/>
  <c r="G960" i="17"/>
  <c r="H960" i="17"/>
  <c r="I960" i="17"/>
  <c r="J960" i="17"/>
  <c r="K960" i="17"/>
  <c r="C961" i="17"/>
  <c r="D961" i="17"/>
  <c r="F961" i="17"/>
  <c r="G961" i="17"/>
  <c r="H961" i="17"/>
  <c r="I961" i="17"/>
  <c r="J961" i="17"/>
  <c r="K961" i="17"/>
  <c r="C962" i="17"/>
  <c r="D962" i="17"/>
  <c r="F962" i="17"/>
  <c r="G962" i="17"/>
  <c r="H962" i="17"/>
  <c r="I962" i="17"/>
  <c r="J962" i="17"/>
  <c r="K962" i="17"/>
  <c r="C963" i="17"/>
  <c r="D963" i="17"/>
  <c r="F963" i="17"/>
  <c r="G963" i="17"/>
  <c r="H963" i="17"/>
  <c r="I963" i="17"/>
  <c r="J963" i="17"/>
  <c r="K963" i="17"/>
  <c r="C964" i="17"/>
  <c r="D964" i="17"/>
  <c r="F964" i="17"/>
  <c r="G964" i="17"/>
  <c r="H964" i="17"/>
  <c r="I964" i="17"/>
  <c r="J964" i="17"/>
  <c r="K964" i="17"/>
  <c r="C965" i="17"/>
  <c r="D965" i="17"/>
  <c r="F965" i="17"/>
  <c r="G965" i="17"/>
  <c r="H965" i="17"/>
  <c r="I965" i="17"/>
  <c r="J965" i="17"/>
  <c r="K965" i="17"/>
  <c r="C966" i="17"/>
  <c r="D966" i="17"/>
  <c r="F966" i="17"/>
  <c r="G966" i="17"/>
  <c r="H966" i="17"/>
  <c r="I966" i="17"/>
  <c r="J966" i="17"/>
  <c r="K966" i="17"/>
  <c r="C967" i="17"/>
  <c r="D967" i="17"/>
  <c r="F967" i="17"/>
  <c r="G967" i="17"/>
  <c r="H967" i="17"/>
  <c r="I967" i="17"/>
  <c r="J967" i="17"/>
  <c r="K967" i="17"/>
  <c r="C968" i="17"/>
  <c r="D968" i="17"/>
  <c r="F968" i="17"/>
  <c r="G968" i="17"/>
  <c r="H968" i="17"/>
  <c r="I968" i="17"/>
  <c r="J968" i="17"/>
  <c r="K968" i="17"/>
  <c r="C969" i="17"/>
  <c r="D969" i="17"/>
  <c r="F969" i="17"/>
  <c r="G969" i="17"/>
  <c r="H969" i="17"/>
  <c r="I969" i="17"/>
  <c r="J969" i="17"/>
  <c r="K969" i="17"/>
  <c r="C970" i="17"/>
  <c r="D970" i="17"/>
  <c r="F970" i="17"/>
  <c r="G970" i="17"/>
  <c r="H970" i="17"/>
  <c r="I970" i="17"/>
  <c r="J970" i="17"/>
  <c r="K970" i="17"/>
  <c r="C971" i="17"/>
  <c r="D971" i="17"/>
  <c r="F971" i="17"/>
  <c r="G971" i="17"/>
  <c r="H971" i="17"/>
  <c r="I971" i="17"/>
  <c r="J971" i="17"/>
  <c r="K971" i="17"/>
  <c r="C972" i="17"/>
  <c r="D972" i="17"/>
  <c r="F972" i="17"/>
  <c r="G972" i="17"/>
  <c r="H972" i="17"/>
  <c r="I972" i="17"/>
  <c r="J972" i="17"/>
  <c r="K972" i="17"/>
  <c r="C973" i="17"/>
  <c r="D973" i="17"/>
  <c r="F973" i="17"/>
  <c r="G973" i="17"/>
  <c r="H973" i="17"/>
  <c r="I973" i="17"/>
  <c r="J973" i="17"/>
  <c r="K973" i="17"/>
  <c r="C974" i="17"/>
  <c r="D974" i="17"/>
  <c r="F974" i="17"/>
  <c r="G974" i="17"/>
  <c r="H974" i="17"/>
  <c r="I974" i="17"/>
  <c r="J974" i="17"/>
  <c r="K974" i="17"/>
  <c r="C975" i="17"/>
  <c r="D975" i="17"/>
  <c r="F975" i="17"/>
  <c r="G975" i="17"/>
  <c r="H975" i="17"/>
  <c r="I975" i="17"/>
  <c r="J975" i="17"/>
  <c r="K975" i="17"/>
  <c r="C976" i="17"/>
  <c r="D976" i="17"/>
  <c r="F976" i="17"/>
  <c r="G976" i="17"/>
  <c r="H976" i="17"/>
  <c r="I976" i="17"/>
  <c r="J976" i="17"/>
  <c r="K976" i="17"/>
  <c r="C977" i="17"/>
  <c r="D977" i="17"/>
  <c r="F977" i="17"/>
  <c r="G977" i="17"/>
  <c r="H977" i="17"/>
  <c r="I977" i="17"/>
  <c r="J977" i="17"/>
  <c r="K977" i="17"/>
  <c r="C978" i="17"/>
  <c r="D978" i="17"/>
  <c r="F978" i="17"/>
  <c r="G978" i="17"/>
  <c r="H978" i="17"/>
  <c r="I978" i="17"/>
  <c r="J978" i="17"/>
  <c r="K978" i="17"/>
  <c r="C979" i="17"/>
  <c r="D979" i="17"/>
  <c r="F979" i="17"/>
  <c r="G979" i="17"/>
  <c r="H979" i="17"/>
  <c r="I979" i="17"/>
  <c r="J979" i="17"/>
  <c r="K979" i="17"/>
  <c r="C980" i="17"/>
  <c r="D980" i="17"/>
  <c r="F980" i="17"/>
  <c r="G980" i="17"/>
  <c r="H980" i="17"/>
  <c r="I980" i="17"/>
  <c r="J980" i="17"/>
  <c r="K980" i="17"/>
  <c r="C981" i="17"/>
  <c r="D981" i="17"/>
  <c r="F981" i="17"/>
  <c r="G981" i="17"/>
  <c r="H981" i="17"/>
  <c r="I981" i="17"/>
  <c r="J981" i="17"/>
  <c r="K981" i="17"/>
  <c r="C982" i="17"/>
  <c r="D982" i="17"/>
  <c r="F982" i="17"/>
  <c r="G982" i="17"/>
  <c r="H982" i="17"/>
  <c r="I982" i="17"/>
  <c r="J982" i="17"/>
  <c r="K982" i="17"/>
  <c r="C983" i="17"/>
  <c r="D983" i="17"/>
  <c r="F983" i="17"/>
  <c r="G983" i="17"/>
  <c r="H983" i="17"/>
  <c r="I983" i="17"/>
  <c r="J983" i="17"/>
  <c r="K983" i="17"/>
  <c r="C984" i="17"/>
  <c r="D984" i="17"/>
  <c r="F984" i="17"/>
  <c r="G984" i="17"/>
  <c r="H984" i="17"/>
  <c r="I984" i="17"/>
  <c r="J984" i="17"/>
  <c r="K984" i="17"/>
  <c r="C985" i="17"/>
  <c r="D985" i="17"/>
  <c r="F985" i="17"/>
  <c r="G985" i="17"/>
  <c r="H985" i="17"/>
  <c r="I985" i="17"/>
  <c r="J985" i="17"/>
  <c r="K985" i="17"/>
  <c r="C986" i="17"/>
  <c r="D986" i="17"/>
  <c r="F986" i="17"/>
  <c r="G986" i="17"/>
  <c r="H986" i="17"/>
  <c r="I986" i="17"/>
  <c r="J986" i="17"/>
  <c r="K986" i="17"/>
  <c r="C987" i="17"/>
  <c r="D987" i="17"/>
  <c r="F987" i="17"/>
  <c r="G987" i="17"/>
  <c r="H987" i="17"/>
  <c r="I987" i="17"/>
  <c r="J987" i="17"/>
  <c r="K987" i="17"/>
  <c r="C988" i="17"/>
  <c r="D988" i="17"/>
  <c r="F988" i="17"/>
  <c r="G988" i="17"/>
  <c r="H988" i="17"/>
  <c r="I988" i="17"/>
  <c r="J988" i="17"/>
  <c r="K988" i="17"/>
  <c r="C989" i="17"/>
  <c r="D989" i="17"/>
  <c r="F989" i="17"/>
  <c r="G989" i="17"/>
  <c r="H989" i="17"/>
  <c r="I989" i="17"/>
  <c r="J989" i="17"/>
  <c r="K989" i="17"/>
  <c r="C990" i="17"/>
  <c r="D990" i="17"/>
  <c r="F990" i="17"/>
  <c r="G990" i="17"/>
  <c r="H990" i="17"/>
  <c r="I990" i="17"/>
  <c r="J990" i="17"/>
  <c r="K990" i="17"/>
  <c r="C991" i="17"/>
  <c r="D991" i="17"/>
  <c r="F991" i="17"/>
  <c r="G991" i="17"/>
  <c r="H991" i="17"/>
  <c r="I991" i="17"/>
  <c r="J991" i="17"/>
  <c r="K991" i="17"/>
  <c r="C992" i="17"/>
  <c r="D992" i="17"/>
  <c r="F992" i="17"/>
  <c r="G992" i="17"/>
  <c r="H992" i="17"/>
  <c r="I992" i="17"/>
  <c r="J992" i="17"/>
  <c r="K992" i="17"/>
  <c r="C993" i="17"/>
  <c r="D993" i="17"/>
  <c r="F993" i="17"/>
  <c r="G993" i="17"/>
  <c r="H993" i="17"/>
  <c r="I993" i="17"/>
  <c r="J993" i="17"/>
  <c r="K993" i="17"/>
  <c r="C994" i="17"/>
  <c r="D994" i="17"/>
  <c r="F994" i="17"/>
  <c r="G994" i="17"/>
  <c r="H994" i="17"/>
  <c r="I994" i="17"/>
  <c r="J994" i="17"/>
  <c r="K994" i="17"/>
  <c r="C995" i="17"/>
  <c r="D995" i="17"/>
  <c r="F995" i="17"/>
  <c r="G995" i="17"/>
  <c r="H995" i="17"/>
  <c r="I995" i="17"/>
  <c r="J995" i="17"/>
  <c r="K995" i="17"/>
  <c r="C996" i="17"/>
  <c r="D996" i="17"/>
  <c r="F996" i="17"/>
  <c r="G996" i="17"/>
  <c r="H996" i="17"/>
  <c r="I996" i="17"/>
  <c r="J996" i="17"/>
  <c r="K996" i="17"/>
  <c r="C997" i="17"/>
  <c r="D997" i="17"/>
  <c r="F997" i="17"/>
  <c r="G997" i="17"/>
  <c r="H997" i="17"/>
  <c r="I997" i="17"/>
  <c r="J997" i="17"/>
  <c r="K997" i="17"/>
  <c r="C998" i="17"/>
  <c r="D998" i="17"/>
  <c r="F998" i="17"/>
  <c r="G998" i="17"/>
  <c r="H998" i="17"/>
  <c r="I998" i="17"/>
  <c r="J998" i="17"/>
  <c r="K998" i="17"/>
  <c r="C999" i="17"/>
  <c r="D999" i="17"/>
  <c r="F999" i="17"/>
  <c r="G999" i="17"/>
  <c r="H999" i="17"/>
  <c r="I999" i="17"/>
  <c r="J999" i="17"/>
  <c r="K999" i="17"/>
  <c r="C1000" i="17"/>
  <c r="D1000" i="17"/>
  <c r="F1000" i="17"/>
  <c r="G1000" i="17"/>
  <c r="H1000" i="17"/>
  <c r="I1000" i="17"/>
  <c r="J1000" i="17"/>
  <c r="K1000" i="17"/>
  <c r="C1001" i="17"/>
  <c r="D1001" i="17"/>
  <c r="F1001" i="17"/>
  <c r="G1001" i="17"/>
  <c r="H1001" i="17"/>
  <c r="I1001" i="17"/>
  <c r="J1001" i="17"/>
  <c r="K1001" i="17"/>
  <c r="C1002" i="17"/>
  <c r="D1002" i="17"/>
  <c r="F1002" i="17"/>
  <c r="G1002" i="17"/>
  <c r="H1002" i="17"/>
  <c r="I1002" i="17"/>
  <c r="J1002" i="17"/>
  <c r="K1002" i="17"/>
  <c r="C1003" i="17"/>
  <c r="D1003" i="17"/>
  <c r="F1003" i="17"/>
  <c r="G1003" i="17"/>
  <c r="H1003" i="17"/>
  <c r="I1003" i="17"/>
  <c r="J1003" i="17"/>
  <c r="K1003" i="17"/>
  <c r="C1004" i="17"/>
  <c r="D1004" i="17"/>
  <c r="F1004" i="17"/>
  <c r="G1004" i="17"/>
  <c r="H1004" i="17"/>
  <c r="I1004" i="17"/>
  <c r="J1004" i="17"/>
  <c r="K1004" i="17"/>
  <c r="C1005" i="17"/>
  <c r="D1005" i="17"/>
  <c r="F1005" i="17"/>
  <c r="G1005" i="17"/>
  <c r="H1005" i="17"/>
  <c r="I1005" i="17"/>
  <c r="J1005" i="17"/>
  <c r="K1005" i="17"/>
  <c r="C1006" i="17"/>
  <c r="D1006" i="17"/>
  <c r="F1006" i="17"/>
  <c r="G1006" i="17"/>
  <c r="H1006" i="17"/>
  <c r="I1006" i="17"/>
  <c r="J1006" i="17"/>
  <c r="K1006" i="17"/>
  <c r="C1007" i="17"/>
  <c r="D1007" i="17"/>
  <c r="F1007" i="17"/>
  <c r="G1007" i="17"/>
  <c r="H1007" i="17"/>
  <c r="I1007" i="17"/>
  <c r="J1007" i="17"/>
  <c r="K1007" i="17"/>
  <c r="C1008" i="17"/>
  <c r="D1008" i="17"/>
  <c r="F1008" i="17"/>
  <c r="G1008" i="17"/>
  <c r="H1008" i="17"/>
  <c r="I1008" i="17"/>
  <c r="J1008" i="17"/>
  <c r="K1008" i="17"/>
  <c r="C1009" i="17"/>
  <c r="D1009" i="17"/>
  <c r="F1009" i="17"/>
  <c r="G1009" i="17"/>
  <c r="H1009" i="17"/>
  <c r="I1009" i="17"/>
  <c r="J1009" i="17"/>
  <c r="K1009" i="17"/>
  <c r="C1010" i="17"/>
  <c r="D1010" i="17"/>
  <c r="F1010" i="17"/>
  <c r="G1010" i="17"/>
  <c r="H1010" i="17"/>
  <c r="I1010" i="17"/>
  <c r="J1010" i="17"/>
  <c r="K1010" i="17"/>
  <c r="C1011" i="17"/>
  <c r="D1011" i="17"/>
  <c r="F1011" i="17"/>
  <c r="G1011" i="17"/>
  <c r="H1011" i="17"/>
  <c r="I1011" i="17"/>
  <c r="J1011" i="17"/>
  <c r="K1011" i="17"/>
  <c r="C1012" i="17"/>
  <c r="D1012" i="17"/>
  <c r="F1012" i="17"/>
  <c r="G1012" i="17"/>
  <c r="H1012" i="17"/>
  <c r="I1012" i="17"/>
  <c r="J1012" i="17"/>
  <c r="K1012" i="17"/>
  <c r="C1013" i="17"/>
  <c r="D1013" i="17"/>
  <c r="F1013" i="17"/>
  <c r="G1013" i="17"/>
  <c r="H1013" i="17"/>
  <c r="I1013" i="17"/>
  <c r="J1013" i="17"/>
  <c r="K1013" i="17"/>
  <c r="C1014" i="17"/>
  <c r="D1014" i="17"/>
  <c r="F1014" i="17"/>
  <c r="G1014" i="17"/>
  <c r="H1014" i="17"/>
  <c r="I1014" i="17"/>
  <c r="J1014" i="17"/>
  <c r="K1014" i="17"/>
  <c r="C1015" i="17"/>
  <c r="D1015" i="17"/>
  <c r="F1015" i="17"/>
  <c r="G1015" i="17"/>
  <c r="H1015" i="17"/>
  <c r="I1015" i="17"/>
  <c r="J1015" i="17"/>
  <c r="K1015" i="17"/>
  <c r="C1016" i="17"/>
  <c r="D1016" i="17"/>
  <c r="F1016" i="17"/>
  <c r="G1016" i="17"/>
  <c r="H1016" i="17"/>
  <c r="I1016" i="17"/>
  <c r="J1016" i="17"/>
  <c r="K1016" i="17"/>
  <c r="C1017" i="17"/>
  <c r="D1017" i="17"/>
  <c r="F1017" i="17"/>
  <c r="G1017" i="17"/>
  <c r="H1017" i="17"/>
  <c r="I1017" i="17"/>
  <c r="J1017" i="17"/>
  <c r="K1017" i="17"/>
  <c r="C1018" i="17"/>
  <c r="D1018" i="17"/>
  <c r="F1018" i="17"/>
  <c r="G1018" i="17"/>
  <c r="H1018" i="17"/>
  <c r="I1018" i="17"/>
  <c r="J1018" i="17"/>
  <c r="K1018" i="17"/>
  <c r="C1019" i="17"/>
  <c r="D1019" i="17"/>
  <c r="F1019" i="17"/>
  <c r="G1019" i="17"/>
  <c r="H1019" i="17"/>
  <c r="I1019" i="17"/>
  <c r="J1019" i="17"/>
  <c r="K1019" i="17"/>
  <c r="C1020" i="17"/>
  <c r="D1020" i="17"/>
  <c r="F1020" i="17"/>
  <c r="G1020" i="17"/>
  <c r="H1020" i="17"/>
  <c r="I1020" i="17"/>
  <c r="J1020" i="17"/>
  <c r="K1020" i="17"/>
  <c r="C1021" i="17"/>
  <c r="D1021" i="17"/>
  <c r="F1021" i="17"/>
  <c r="G1021" i="17"/>
  <c r="H1021" i="17"/>
  <c r="I1021" i="17"/>
  <c r="J1021" i="17"/>
  <c r="K1021" i="17"/>
  <c r="C1022" i="17"/>
  <c r="D1022" i="17"/>
  <c r="F1022" i="17"/>
  <c r="G1022" i="17"/>
  <c r="H1022" i="17"/>
  <c r="I1022" i="17"/>
  <c r="J1022" i="17"/>
  <c r="K1022" i="17"/>
  <c r="C1023" i="17"/>
  <c r="D1023" i="17"/>
  <c r="F1023" i="17"/>
  <c r="G1023" i="17"/>
  <c r="H1023" i="17"/>
  <c r="I1023" i="17"/>
  <c r="J1023" i="17"/>
  <c r="K1023" i="17"/>
  <c r="C1024" i="17"/>
  <c r="D1024" i="17"/>
  <c r="F1024" i="17"/>
  <c r="G1024" i="17"/>
  <c r="H1024" i="17"/>
  <c r="I1024" i="17"/>
  <c r="J1024" i="17"/>
  <c r="K1024" i="17"/>
  <c r="C1025" i="17"/>
  <c r="D1025" i="17"/>
  <c r="F1025" i="17"/>
  <c r="G1025" i="17"/>
  <c r="H1025" i="17"/>
  <c r="I1025" i="17"/>
  <c r="J1025" i="17"/>
  <c r="K1025" i="17"/>
  <c r="C1026" i="17"/>
  <c r="D1026" i="17"/>
  <c r="F1026" i="17"/>
  <c r="G1026" i="17"/>
  <c r="H1026" i="17"/>
  <c r="I1026" i="17"/>
  <c r="J1026" i="17"/>
  <c r="K1026" i="17"/>
  <c r="C1027" i="17"/>
  <c r="D1027" i="17"/>
  <c r="F1027" i="17"/>
  <c r="G1027" i="17"/>
  <c r="H1027" i="17"/>
  <c r="I1027" i="17"/>
  <c r="J1027" i="17"/>
  <c r="K1027" i="17"/>
  <c r="C1028" i="17"/>
  <c r="D1028" i="17"/>
  <c r="F1028" i="17"/>
  <c r="G1028" i="17"/>
  <c r="H1028" i="17"/>
  <c r="I1028" i="17"/>
  <c r="J1028" i="17"/>
  <c r="K1028" i="17"/>
  <c r="C1029" i="17"/>
  <c r="A1029" i="17" s="1"/>
  <c r="D1029" i="17"/>
  <c r="F1029" i="17"/>
  <c r="G1029" i="17"/>
  <c r="H1029" i="17"/>
  <c r="I1029" i="17"/>
  <c r="J1029" i="17"/>
  <c r="K1029" i="17"/>
  <c r="C1030" i="17"/>
  <c r="A1030" i="17" s="1"/>
  <c r="D1030" i="17"/>
  <c r="F1030" i="17"/>
  <c r="G1030" i="17"/>
  <c r="H1030" i="17"/>
  <c r="I1030" i="17"/>
  <c r="J1030" i="17"/>
  <c r="K1030" i="17"/>
  <c r="C1031" i="17"/>
  <c r="A1031" i="17" s="1"/>
  <c r="D1031" i="17"/>
  <c r="F1031" i="17"/>
  <c r="G1031" i="17"/>
  <c r="H1031" i="17"/>
  <c r="I1031" i="17"/>
  <c r="J1031" i="17"/>
  <c r="K1031" i="17"/>
  <c r="C1032" i="17"/>
  <c r="D1032" i="17"/>
  <c r="F1032" i="17"/>
  <c r="G1032" i="17"/>
  <c r="H1032" i="17"/>
  <c r="I1032" i="17"/>
  <c r="J1032" i="17"/>
  <c r="K1032" i="17"/>
  <c r="C1033" i="17"/>
  <c r="A1033" i="17" s="1"/>
  <c r="D1033" i="17"/>
  <c r="F1033" i="17"/>
  <c r="G1033" i="17"/>
  <c r="H1033" i="17"/>
  <c r="I1033" i="17"/>
  <c r="J1033" i="17"/>
  <c r="K1033" i="17"/>
  <c r="C1034" i="17"/>
  <c r="A1034" i="17" s="1"/>
  <c r="D1034" i="17"/>
  <c r="F1034" i="17"/>
  <c r="G1034" i="17"/>
  <c r="H1034" i="17"/>
  <c r="I1034" i="17"/>
  <c r="J1034" i="17"/>
  <c r="K1034" i="17"/>
  <c r="C1035" i="17"/>
  <c r="A1035" i="17" s="1"/>
  <c r="D1035" i="17"/>
  <c r="F1035" i="17"/>
  <c r="G1035" i="17"/>
  <c r="H1035" i="17"/>
  <c r="I1035" i="17"/>
  <c r="J1035" i="17"/>
  <c r="K1035" i="17"/>
  <c r="C1036" i="17"/>
  <c r="A1036" i="17" s="1"/>
  <c r="D1036" i="17"/>
  <c r="F1036" i="17"/>
  <c r="G1036" i="17"/>
  <c r="H1036" i="17"/>
  <c r="I1036" i="17"/>
  <c r="J1036" i="17"/>
  <c r="K1036" i="17"/>
  <c r="C1037" i="17"/>
  <c r="A1037" i="17" s="1"/>
  <c r="D1037" i="17"/>
  <c r="F1037" i="17"/>
  <c r="G1037" i="17"/>
  <c r="H1037" i="17"/>
  <c r="I1037" i="17"/>
  <c r="J1037" i="17"/>
  <c r="K1037" i="17"/>
  <c r="C1038" i="17"/>
  <c r="A1038" i="17" s="1"/>
  <c r="D1038" i="17"/>
  <c r="F1038" i="17"/>
  <c r="G1038" i="17"/>
  <c r="H1038" i="17"/>
  <c r="I1038" i="17"/>
  <c r="J1038" i="17"/>
  <c r="K1038" i="17"/>
  <c r="C1039" i="17"/>
  <c r="A1039" i="17" s="1"/>
  <c r="D1039" i="17"/>
  <c r="F1039" i="17"/>
  <c r="G1039" i="17"/>
  <c r="H1039" i="17"/>
  <c r="I1039" i="17"/>
  <c r="J1039" i="17"/>
  <c r="K1039" i="17"/>
  <c r="C1040" i="17"/>
  <c r="A1040" i="17" s="1"/>
  <c r="D1040" i="17"/>
  <c r="F1040" i="17"/>
  <c r="G1040" i="17"/>
  <c r="H1040" i="17"/>
  <c r="I1040" i="17"/>
  <c r="J1040" i="17"/>
  <c r="K1040" i="17"/>
  <c r="C1041" i="17"/>
  <c r="A1041" i="17" s="1"/>
  <c r="D1041" i="17"/>
  <c r="F1041" i="17"/>
  <c r="G1041" i="17"/>
  <c r="H1041" i="17"/>
  <c r="I1041" i="17"/>
  <c r="J1041" i="17"/>
  <c r="K1041" i="17"/>
  <c r="C1042" i="17"/>
  <c r="A1042" i="17" s="1"/>
  <c r="D1042" i="17"/>
  <c r="F1042" i="17"/>
  <c r="G1042" i="17"/>
  <c r="H1042" i="17"/>
  <c r="I1042" i="17"/>
  <c r="J1042" i="17"/>
  <c r="K1042" i="17"/>
  <c r="C1043" i="17"/>
  <c r="A1043" i="17" s="1"/>
  <c r="D1043" i="17"/>
  <c r="F1043" i="17"/>
  <c r="G1043" i="17"/>
  <c r="H1043" i="17"/>
  <c r="I1043" i="17"/>
  <c r="J1043" i="17"/>
  <c r="K1043" i="17"/>
  <c r="C1044" i="17"/>
  <c r="D1044" i="17"/>
  <c r="F1044" i="17"/>
  <c r="G1044" i="17"/>
  <c r="H1044" i="17"/>
  <c r="I1044" i="17"/>
  <c r="J1044" i="17"/>
  <c r="K1044" i="17"/>
  <c r="C1045" i="17"/>
  <c r="A1045" i="17" s="1"/>
  <c r="D1045" i="17"/>
  <c r="F1045" i="17"/>
  <c r="G1045" i="17"/>
  <c r="H1045" i="17"/>
  <c r="I1045" i="17"/>
  <c r="J1045" i="17"/>
  <c r="K1045" i="17"/>
  <c r="C1046" i="17"/>
  <c r="A1046" i="17" s="1"/>
  <c r="D1046" i="17"/>
  <c r="F1046" i="17"/>
  <c r="G1046" i="17"/>
  <c r="H1046" i="17"/>
  <c r="I1046" i="17"/>
  <c r="J1046" i="17"/>
  <c r="K1046" i="17"/>
  <c r="C1047" i="17"/>
  <c r="A1047" i="17" s="1"/>
  <c r="D1047" i="17"/>
  <c r="F1047" i="17"/>
  <c r="G1047" i="17"/>
  <c r="H1047" i="17"/>
  <c r="I1047" i="17"/>
  <c r="J1047" i="17"/>
  <c r="K1047" i="17"/>
  <c r="C1048" i="17"/>
  <c r="A1048" i="17" s="1"/>
  <c r="D1048" i="17"/>
  <c r="F1048" i="17"/>
  <c r="G1048" i="17"/>
  <c r="H1048" i="17"/>
  <c r="I1048" i="17"/>
  <c r="J1048" i="17"/>
  <c r="K1048" i="17"/>
  <c r="C1049" i="17"/>
  <c r="A1049" i="17" s="1"/>
  <c r="D1049" i="17"/>
  <c r="F1049" i="17"/>
  <c r="G1049" i="17"/>
  <c r="H1049" i="17"/>
  <c r="I1049" i="17"/>
  <c r="J1049" i="17"/>
  <c r="K1049" i="17"/>
  <c r="C1050" i="17"/>
  <c r="A1050" i="17" s="1"/>
  <c r="D1050" i="17"/>
  <c r="F1050" i="17"/>
  <c r="G1050" i="17"/>
  <c r="H1050" i="17"/>
  <c r="I1050" i="17"/>
  <c r="J1050" i="17"/>
  <c r="K1050" i="17"/>
  <c r="C1051" i="17"/>
  <c r="A1051" i="17" s="1"/>
  <c r="D1051" i="17"/>
  <c r="F1051" i="17"/>
  <c r="G1051" i="17"/>
  <c r="H1051" i="17"/>
  <c r="I1051" i="17"/>
  <c r="J1051" i="17"/>
  <c r="K1051" i="17"/>
  <c r="C1052" i="17"/>
  <c r="A1052" i="17" s="1"/>
  <c r="D1052" i="17"/>
  <c r="F1052" i="17"/>
  <c r="G1052" i="17"/>
  <c r="H1052" i="17"/>
  <c r="I1052" i="17"/>
  <c r="J1052" i="17"/>
  <c r="K1052" i="17"/>
  <c r="C1053" i="17"/>
  <c r="A1053" i="17" s="1"/>
  <c r="D1053" i="17"/>
  <c r="F1053" i="17"/>
  <c r="G1053" i="17"/>
  <c r="H1053" i="17"/>
  <c r="I1053" i="17"/>
  <c r="J1053" i="17"/>
  <c r="K1053" i="17"/>
  <c r="C1054" i="17"/>
  <c r="A1054" i="17" s="1"/>
  <c r="D1054" i="17"/>
  <c r="F1054" i="17"/>
  <c r="G1054" i="17"/>
  <c r="H1054" i="17"/>
  <c r="I1054" i="17"/>
  <c r="J1054" i="17"/>
  <c r="K1054" i="17"/>
  <c r="C1055" i="17"/>
  <c r="A1055" i="17" s="1"/>
  <c r="D1055" i="17"/>
  <c r="F1055" i="17"/>
  <c r="G1055" i="17"/>
  <c r="H1055" i="17"/>
  <c r="I1055" i="17"/>
  <c r="J1055" i="17"/>
  <c r="K1055" i="17"/>
  <c r="C1056" i="17"/>
  <c r="D1056" i="17"/>
  <c r="F1056" i="17"/>
  <c r="G1056" i="17"/>
  <c r="H1056" i="17"/>
  <c r="I1056" i="17"/>
  <c r="J1056" i="17"/>
  <c r="K1056" i="17"/>
  <c r="C1057" i="17"/>
  <c r="A1057" i="17" s="1"/>
  <c r="D1057" i="17"/>
  <c r="F1057" i="17"/>
  <c r="G1057" i="17"/>
  <c r="H1057" i="17"/>
  <c r="I1057" i="17"/>
  <c r="J1057" i="17"/>
  <c r="K1057" i="17"/>
  <c r="C1058" i="17"/>
  <c r="A1058" i="17" s="1"/>
  <c r="D1058" i="17"/>
  <c r="F1058" i="17"/>
  <c r="G1058" i="17"/>
  <c r="H1058" i="17"/>
  <c r="I1058" i="17"/>
  <c r="J1058" i="17"/>
  <c r="K1058" i="17"/>
  <c r="C1059" i="17"/>
  <c r="A1059" i="17" s="1"/>
  <c r="D1059" i="17"/>
  <c r="F1059" i="17"/>
  <c r="G1059" i="17"/>
  <c r="H1059" i="17"/>
  <c r="I1059" i="17"/>
  <c r="J1059" i="17"/>
  <c r="K1059" i="17"/>
  <c r="C1060" i="17"/>
  <c r="A1060" i="17" s="1"/>
  <c r="D1060" i="17"/>
  <c r="F1060" i="17"/>
  <c r="G1060" i="17"/>
  <c r="H1060" i="17"/>
  <c r="I1060" i="17"/>
  <c r="J1060" i="17"/>
  <c r="K1060" i="17"/>
  <c r="C1061" i="17"/>
  <c r="A1061" i="17" s="1"/>
  <c r="D1061" i="17"/>
  <c r="F1061" i="17"/>
  <c r="G1061" i="17"/>
  <c r="H1061" i="17"/>
  <c r="I1061" i="17"/>
  <c r="J1061" i="17"/>
  <c r="K1061" i="17"/>
  <c r="C1062" i="17"/>
  <c r="A1062" i="17" s="1"/>
  <c r="D1062" i="17"/>
  <c r="F1062" i="17"/>
  <c r="G1062" i="17"/>
  <c r="H1062" i="17"/>
  <c r="I1062" i="17"/>
  <c r="J1062" i="17"/>
  <c r="K1062" i="17"/>
  <c r="C1063" i="17"/>
  <c r="A1063" i="17" s="1"/>
  <c r="D1063" i="17"/>
  <c r="F1063" i="17"/>
  <c r="G1063" i="17"/>
  <c r="H1063" i="17"/>
  <c r="I1063" i="17"/>
  <c r="J1063" i="17"/>
  <c r="K1063" i="17"/>
  <c r="C1064" i="17"/>
  <c r="A1064" i="17" s="1"/>
  <c r="D1064" i="17"/>
  <c r="F1064" i="17"/>
  <c r="G1064" i="17"/>
  <c r="H1064" i="17"/>
  <c r="I1064" i="17"/>
  <c r="J1064" i="17"/>
  <c r="K1064" i="17"/>
  <c r="C1065" i="17"/>
  <c r="A1065" i="17" s="1"/>
  <c r="D1065" i="17"/>
  <c r="F1065" i="17"/>
  <c r="G1065" i="17"/>
  <c r="H1065" i="17"/>
  <c r="I1065" i="17"/>
  <c r="J1065" i="17"/>
  <c r="K1065" i="17"/>
  <c r="C1066" i="17"/>
  <c r="A1066" i="17" s="1"/>
  <c r="D1066" i="17"/>
  <c r="F1066" i="17"/>
  <c r="G1066" i="17"/>
  <c r="H1066" i="17"/>
  <c r="I1066" i="17"/>
  <c r="J1066" i="17"/>
  <c r="K1066" i="17"/>
  <c r="C1067" i="17"/>
  <c r="A1067" i="17" s="1"/>
  <c r="D1067" i="17"/>
  <c r="F1067" i="17"/>
  <c r="G1067" i="17"/>
  <c r="H1067" i="17"/>
  <c r="I1067" i="17"/>
  <c r="J1067" i="17"/>
  <c r="K1067" i="17"/>
  <c r="C1068" i="17"/>
  <c r="D1068" i="17"/>
  <c r="F1068" i="17"/>
  <c r="G1068" i="17"/>
  <c r="H1068" i="17"/>
  <c r="I1068" i="17"/>
  <c r="J1068" i="17"/>
  <c r="K1068" i="17"/>
  <c r="C1069" i="17"/>
  <c r="A1069" i="17" s="1"/>
  <c r="D1069" i="17"/>
  <c r="F1069" i="17"/>
  <c r="G1069" i="17"/>
  <c r="H1069" i="17"/>
  <c r="I1069" i="17"/>
  <c r="J1069" i="17"/>
  <c r="K1069" i="17"/>
  <c r="C1070" i="17"/>
  <c r="A1070" i="17" s="1"/>
  <c r="D1070" i="17"/>
  <c r="F1070" i="17"/>
  <c r="G1070" i="17"/>
  <c r="H1070" i="17"/>
  <c r="I1070" i="17"/>
  <c r="J1070" i="17"/>
  <c r="K1070" i="17"/>
  <c r="C1071" i="17"/>
  <c r="A1071" i="17" s="1"/>
  <c r="D1071" i="17"/>
  <c r="F1071" i="17"/>
  <c r="G1071" i="17"/>
  <c r="H1071" i="17"/>
  <c r="I1071" i="17"/>
  <c r="J1071" i="17"/>
  <c r="K1071" i="17"/>
  <c r="C1072" i="17"/>
  <c r="A1072" i="17" s="1"/>
  <c r="D1072" i="17"/>
  <c r="F1072" i="17"/>
  <c r="G1072" i="17"/>
  <c r="H1072" i="17"/>
  <c r="I1072" i="17"/>
  <c r="J1072" i="17"/>
  <c r="K1072" i="17"/>
  <c r="C1073" i="17"/>
  <c r="A1073" i="17" s="1"/>
  <c r="D1073" i="17"/>
  <c r="F1073" i="17"/>
  <c r="G1073" i="17"/>
  <c r="H1073" i="17"/>
  <c r="I1073" i="17"/>
  <c r="J1073" i="17"/>
  <c r="K1073" i="17"/>
  <c r="C1074" i="17"/>
  <c r="A1074" i="17" s="1"/>
  <c r="D1074" i="17"/>
  <c r="F1074" i="17"/>
  <c r="G1074" i="17"/>
  <c r="H1074" i="17"/>
  <c r="I1074" i="17"/>
  <c r="J1074" i="17"/>
  <c r="K1074" i="17"/>
  <c r="C1075" i="17"/>
  <c r="A1075" i="17" s="1"/>
  <c r="D1075" i="17"/>
  <c r="F1075" i="17"/>
  <c r="G1075" i="17"/>
  <c r="H1075" i="17"/>
  <c r="I1075" i="17"/>
  <c r="J1075" i="17"/>
  <c r="K1075" i="17"/>
  <c r="C1076" i="17"/>
  <c r="A1076" i="17" s="1"/>
  <c r="D1076" i="17"/>
  <c r="F1076" i="17"/>
  <c r="G1076" i="17"/>
  <c r="H1076" i="17"/>
  <c r="I1076" i="17"/>
  <c r="J1076" i="17"/>
  <c r="K1076" i="17"/>
  <c r="C1077" i="17"/>
  <c r="A1077" i="17" s="1"/>
  <c r="D1077" i="17"/>
  <c r="F1077" i="17"/>
  <c r="G1077" i="17"/>
  <c r="H1077" i="17"/>
  <c r="I1077" i="17"/>
  <c r="J1077" i="17"/>
  <c r="K1077" i="17"/>
  <c r="C1078" i="17"/>
  <c r="A1078" i="17" s="1"/>
  <c r="D1078" i="17"/>
  <c r="F1078" i="17"/>
  <c r="G1078" i="17"/>
  <c r="H1078" i="17"/>
  <c r="I1078" i="17"/>
  <c r="J1078" i="17"/>
  <c r="K1078" i="17"/>
  <c r="C1079" i="17"/>
  <c r="A1079" i="17" s="1"/>
  <c r="D1079" i="17"/>
  <c r="F1079" i="17"/>
  <c r="G1079" i="17"/>
  <c r="H1079" i="17"/>
  <c r="I1079" i="17"/>
  <c r="J1079" i="17"/>
  <c r="K1079" i="17"/>
  <c r="C1080" i="17"/>
  <c r="D1080" i="17"/>
  <c r="F1080" i="17"/>
  <c r="G1080" i="17"/>
  <c r="H1080" i="17"/>
  <c r="I1080" i="17"/>
  <c r="J1080" i="17"/>
  <c r="K1080" i="17"/>
  <c r="C1081" i="17"/>
  <c r="A1081" i="17" s="1"/>
  <c r="D1081" i="17"/>
  <c r="F1081" i="17"/>
  <c r="G1081" i="17"/>
  <c r="H1081" i="17"/>
  <c r="I1081" i="17"/>
  <c r="J1081" i="17"/>
  <c r="K1081" i="17"/>
  <c r="C1082" i="17"/>
  <c r="A1082" i="17" s="1"/>
  <c r="D1082" i="17"/>
  <c r="F1082" i="17"/>
  <c r="G1082" i="17"/>
  <c r="H1082" i="17"/>
  <c r="I1082" i="17"/>
  <c r="J1082" i="17"/>
  <c r="K1082" i="17"/>
  <c r="C1083" i="17"/>
  <c r="A1083" i="17" s="1"/>
  <c r="D1083" i="17"/>
  <c r="F1083" i="17"/>
  <c r="G1083" i="17"/>
  <c r="H1083" i="17"/>
  <c r="I1083" i="17"/>
  <c r="J1083" i="17"/>
  <c r="K1083" i="17"/>
  <c r="C1084" i="17"/>
  <c r="A1084" i="17" s="1"/>
  <c r="D1084" i="17"/>
  <c r="F1084" i="17"/>
  <c r="G1084" i="17"/>
  <c r="H1084" i="17"/>
  <c r="I1084" i="17"/>
  <c r="J1084" i="17"/>
  <c r="K1084" i="17"/>
  <c r="C1085" i="17"/>
  <c r="A1085" i="17" s="1"/>
  <c r="D1085" i="17"/>
  <c r="F1085" i="17"/>
  <c r="G1085" i="17"/>
  <c r="H1085" i="17"/>
  <c r="I1085" i="17"/>
  <c r="J1085" i="17"/>
  <c r="K1085" i="17"/>
  <c r="C1086" i="17"/>
  <c r="A1086" i="17" s="1"/>
  <c r="D1086" i="17"/>
  <c r="F1086" i="17"/>
  <c r="G1086" i="17"/>
  <c r="H1086" i="17"/>
  <c r="I1086" i="17"/>
  <c r="J1086" i="17"/>
  <c r="K1086" i="17"/>
  <c r="C1087" i="17"/>
  <c r="A1087" i="17" s="1"/>
  <c r="D1087" i="17"/>
  <c r="F1087" i="17"/>
  <c r="G1087" i="17"/>
  <c r="H1087" i="17"/>
  <c r="I1087" i="17"/>
  <c r="J1087" i="17"/>
  <c r="K1087" i="17"/>
  <c r="C1088" i="17"/>
  <c r="A1088" i="17" s="1"/>
  <c r="D1088" i="17"/>
  <c r="F1088" i="17"/>
  <c r="G1088" i="17"/>
  <c r="H1088" i="17"/>
  <c r="I1088" i="17"/>
  <c r="J1088" i="17"/>
  <c r="K1088" i="17"/>
  <c r="C1089" i="17"/>
  <c r="A1089" i="17" s="1"/>
  <c r="D1089" i="17"/>
  <c r="F1089" i="17"/>
  <c r="G1089" i="17"/>
  <c r="H1089" i="17"/>
  <c r="I1089" i="17"/>
  <c r="J1089" i="17"/>
  <c r="K1089" i="17"/>
  <c r="C1090" i="17"/>
  <c r="A1090" i="17" s="1"/>
  <c r="D1090" i="17"/>
  <c r="F1090" i="17"/>
  <c r="G1090" i="17"/>
  <c r="H1090" i="17"/>
  <c r="I1090" i="17"/>
  <c r="J1090" i="17"/>
  <c r="K1090" i="17"/>
  <c r="C1091" i="17"/>
  <c r="A1091" i="17" s="1"/>
  <c r="D1091" i="17"/>
  <c r="F1091" i="17"/>
  <c r="G1091" i="17"/>
  <c r="H1091" i="17"/>
  <c r="I1091" i="17"/>
  <c r="J1091" i="17"/>
  <c r="K1091" i="17"/>
  <c r="C1092" i="17"/>
  <c r="D1092" i="17"/>
  <c r="F1092" i="17"/>
  <c r="G1092" i="17"/>
  <c r="H1092" i="17"/>
  <c r="I1092" i="17"/>
  <c r="J1092" i="17"/>
  <c r="K1092" i="17"/>
  <c r="C1093" i="17"/>
  <c r="A1093" i="17" s="1"/>
  <c r="D1093" i="17"/>
  <c r="F1093" i="17"/>
  <c r="G1093" i="17"/>
  <c r="H1093" i="17"/>
  <c r="I1093" i="17"/>
  <c r="J1093" i="17"/>
  <c r="K1093" i="17"/>
  <c r="C1094" i="17"/>
  <c r="A1094" i="17" s="1"/>
  <c r="D1094" i="17"/>
  <c r="F1094" i="17"/>
  <c r="G1094" i="17"/>
  <c r="H1094" i="17"/>
  <c r="I1094" i="17"/>
  <c r="J1094" i="17"/>
  <c r="K1094" i="17"/>
  <c r="C1095" i="17"/>
  <c r="A1095" i="17" s="1"/>
  <c r="D1095" i="17"/>
  <c r="F1095" i="17"/>
  <c r="G1095" i="17"/>
  <c r="H1095" i="17"/>
  <c r="I1095" i="17"/>
  <c r="J1095" i="17"/>
  <c r="K1095" i="17"/>
  <c r="C1096" i="17"/>
  <c r="A1096" i="17" s="1"/>
  <c r="D1096" i="17"/>
  <c r="F1096" i="17"/>
  <c r="G1096" i="17"/>
  <c r="H1096" i="17"/>
  <c r="I1096" i="17"/>
  <c r="J1096" i="17"/>
  <c r="K1096" i="17"/>
  <c r="C1097" i="17"/>
  <c r="A1097" i="17" s="1"/>
  <c r="D1097" i="17"/>
  <c r="F1097" i="17"/>
  <c r="G1097" i="17"/>
  <c r="H1097" i="17"/>
  <c r="I1097" i="17"/>
  <c r="J1097" i="17"/>
  <c r="K1097" i="17"/>
  <c r="C1098" i="17"/>
  <c r="A1098" i="17" s="1"/>
  <c r="D1098" i="17"/>
  <c r="F1098" i="17"/>
  <c r="G1098" i="17"/>
  <c r="H1098" i="17"/>
  <c r="I1098" i="17"/>
  <c r="J1098" i="17"/>
  <c r="K1098" i="17"/>
  <c r="C1099" i="17"/>
  <c r="A1099" i="17" s="1"/>
  <c r="D1099" i="17"/>
  <c r="F1099" i="17"/>
  <c r="G1099" i="17"/>
  <c r="H1099" i="17"/>
  <c r="I1099" i="17"/>
  <c r="J1099" i="17"/>
  <c r="K1099" i="17"/>
  <c r="C1100" i="17"/>
  <c r="A1100" i="17" s="1"/>
  <c r="D1100" i="17"/>
  <c r="F1100" i="17"/>
  <c r="G1100" i="17"/>
  <c r="H1100" i="17"/>
  <c r="I1100" i="17"/>
  <c r="J1100" i="17"/>
  <c r="K1100" i="17"/>
  <c r="C1101" i="17"/>
  <c r="A1101" i="17" s="1"/>
  <c r="D1101" i="17"/>
  <c r="F1101" i="17"/>
  <c r="G1101" i="17"/>
  <c r="H1101" i="17"/>
  <c r="I1101" i="17"/>
  <c r="J1101" i="17"/>
  <c r="K1101" i="17"/>
  <c r="C1102" i="17"/>
  <c r="A1102" i="17" s="1"/>
  <c r="D1102" i="17"/>
  <c r="F1102" i="17"/>
  <c r="G1102" i="17"/>
  <c r="H1102" i="17"/>
  <c r="I1102" i="17"/>
  <c r="J1102" i="17"/>
  <c r="K1102" i="17"/>
  <c r="C1103" i="17"/>
  <c r="A1103" i="17" s="1"/>
  <c r="D1103" i="17"/>
  <c r="F1103" i="17"/>
  <c r="G1103" i="17"/>
  <c r="H1103" i="17"/>
  <c r="I1103" i="17"/>
  <c r="J1103" i="17"/>
  <c r="K1103" i="17"/>
  <c r="C1104" i="17"/>
  <c r="D1104" i="17"/>
  <c r="F1104" i="17"/>
  <c r="G1104" i="17"/>
  <c r="H1104" i="17"/>
  <c r="I1104" i="17"/>
  <c r="J1104" i="17"/>
  <c r="K1104" i="17"/>
  <c r="C1105" i="17"/>
  <c r="A1105" i="17" s="1"/>
  <c r="D1105" i="17"/>
  <c r="F1105" i="17"/>
  <c r="G1105" i="17"/>
  <c r="H1105" i="17"/>
  <c r="I1105" i="17"/>
  <c r="J1105" i="17"/>
  <c r="K1105" i="17"/>
  <c r="C1106" i="17"/>
  <c r="A1106" i="17" s="1"/>
  <c r="D1106" i="17"/>
  <c r="F1106" i="17"/>
  <c r="G1106" i="17"/>
  <c r="H1106" i="17"/>
  <c r="I1106" i="17"/>
  <c r="J1106" i="17"/>
  <c r="K1106" i="17"/>
  <c r="C1107" i="17"/>
  <c r="A1107" i="17" s="1"/>
  <c r="D1107" i="17"/>
  <c r="F1107" i="17"/>
  <c r="G1107" i="17"/>
  <c r="H1107" i="17"/>
  <c r="I1107" i="17"/>
  <c r="J1107" i="17"/>
  <c r="K1107" i="17"/>
  <c r="C1108" i="17"/>
  <c r="A1108" i="17" s="1"/>
  <c r="D1108" i="17"/>
  <c r="F1108" i="17"/>
  <c r="G1108" i="17"/>
  <c r="H1108" i="17"/>
  <c r="I1108" i="17"/>
  <c r="J1108" i="17"/>
  <c r="K1108" i="17"/>
  <c r="C1109" i="17"/>
  <c r="A1109" i="17" s="1"/>
  <c r="D1109" i="17"/>
  <c r="F1109" i="17"/>
  <c r="G1109" i="17"/>
  <c r="H1109" i="17"/>
  <c r="I1109" i="17"/>
  <c r="J1109" i="17"/>
  <c r="K1109" i="17"/>
  <c r="C1110" i="17"/>
  <c r="A1110" i="17" s="1"/>
  <c r="D1110" i="17"/>
  <c r="F1110" i="17"/>
  <c r="G1110" i="17"/>
  <c r="H1110" i="17"/>
  <c r="I1110" i="17"/>
  <c r="J1110" i="17"/>
  <c r="K1110" i="17"/>
  <c r="C1111" i="17"/>
  <c r="A1111" i="17" s="1"/>
  <c r="D1111" i="17"/>
  <c r="F1111" i="17"/>
  <c r="G1111" i="17"/>
  <c r="H1111" i="17"/>
  <c r="I1111" i="17"/>
  <c r="J1111" i="17"/>
  <c r="K1111" i="17"/>
  <c r="C1112" i="17"/>
  <c r="A1112" i="17" s="1"/>
  <c r="D1112" i="17"/>
  <c r="F1112" i="17"/>
  <c r="G1112" i="17"/>
  <c r="H1112" i="17"/>
  <c r="I1112" i="17"/>
  <c r="J1112" i="17"/>
  <c r="K1112" i="17"/>
  <c r="C1113" i="17"/>
  <c r="A1113" i="17" s="1"/>
  <c r="D1113" i="17"/>
  <c r="F1113" i="17"/>
  <c r="G1113" i="17"/>
  <c r="H1113" i="17"/>
  <c r="I1113" i="17"/>
  <c r="J1113" i="17"/>
  <c r="K1113" i="17"/>
  <c r="C1114" i="17"/>
  <c r="A1114" i="17" s="1"/>
  <c r="D1114" i="17"/>
  <c r="F1114" i="17"/>
  <c r="G1114" i="17"/>
  <c r="H1114" i="17"/>
  <c r="I1114" i="17"/>
  <c r="J1114" i="17"/>
  <c r="K1114" i="17"/>
  <c r="C1115" i="17"/>
  <c r="A1115" i="17" s="1"/>
  <c r="D1115" i="17"/>
  <c r="F1115" i="17"/>
  <c r="G1115" i="17"/>
  <c r="H1115" i="17"/>
  <c r="I1115" i="17"/>
  <c r="J1115" i="17"/>
  <c r="K1115" i="17"/>
  <c r="C1116" i="17"/>
  <c r="D1116" i="17"/>
  <c r="F1116" i="17"/>
  <c r="G1116" i="17"/>
  <c r="H1116" i="17"/>
  <c r="I1116" i="17"/>
  <c r="J1116" i="17"/>
  <c r="K1116" i="17"/>
  <c r="C1117" i="17"/>
  <c r="A1117" i="17" s="1"/>
  <c r="D1117" i="17"/>
  <c r="F1117" i="17"/>
  <c r="G1117" i="17"/>
  <c r="H1117" i="17"/>
  <c r="I1117" i="17"/>
  <c r="J1117" i="17"/>
  <c r="K1117" i="17"/>
  <c r="C1118" i="17"/>
  <c r="A1118" i="17" s="1"/>
  <c r="D1118" i="17"/>
  <c r="F1118" i="17"/>
  <c r="G1118" i="17"/>
  <c r="H1118" i="17"/>
  <c r="I1118" i="17"/>
  <c r="J1118" i="17"/>
  <c r="K1118" i="17"/>
  <c r="C1119" i="17"/>
  <c r="A1119" i="17" s="1"/>
  <c r="D1119" i="17"/>
  <c r="F1119" i="17"/>
  <c r="G1119" i="17"/>
  <c r="H1119" i="17"/>
  <c r="I1119" i="17"/>
  <c r="J1119" i="17"/>
  <c r="K1119" i="17"/>
  <c r="C1120" i="17"/>
  <c r="A1120" i="17" s="1"/>
  <c r="D1120" i="17"/>
  <c r="F1120" i="17"/>
  <c r="G1120" i="17"/>
  <c r="H1120" i="17"/>
  <c r="I1120" i="17"/>
  <c r="J1120" i="17"/>
  <c r="K1120" i="17"/>
  <c r="C1121" i="17"/>
  <c r="A1121" i="17" s="1"/>
  <c r="D1121" i="17"/>
  <c r="F1121" i="17"/>
  <c r="G1121" i="17"/>
  <c r="H1121" i="17"/>
  <c r="I1121" i="17"/>
  <c r="J1121" i="17"/>
  <c r="K1121" i="17"/>
  <c r="C1122" i="17"/>
  <c r="A1122" i="17" s="1"/>
  <c r="D1122" i="17"/>
  <c r="F1122" i="17"/>
  <c r="G1122" i="17"/>
  <c r="H1122" i="17"/>
  <c r="I1122" i="17"/>
  <c r="J1122" i="17"/>
  <c r="K1122" i="17"/>
  <c r="C1123" i="17"/>
  <c r="A1123" i="17" s="1"/>
  <c r="D1123" i="17"/>
  <c r="F1123" i="17"/>
  <c r="G1123" i="17"/>
  <c r="H1123" i="17"/>
  <c r="I1123" i="17"/>
  <c r="J1123" i="17"/>
  <c r="K1123" i="17"/>
  <c r="C1124" i="17"/>
  <c r="A1124" i="17" s="1"/>
  <c r="D1124" i="17"/>
  <c r="F1124" i="17"/>
  <c r="G1124" i="17"/>
  <c r="H1124" i="17"/>
  <c r="I1124" i="17"/>
  <c r="J1124" i="17"/>
  <c r="K1124" i="17"/>
  <c r="C1125" i="17"/>
  <c r="A1125" i="17" s="1"/>
  <c r="D1125" i="17"/>
  <c r="F1125" i="17"/>
  <c r="G1125" i="17"/>
  <c r="H1125" i="17"/>
  <c r="I1125" i="17"/>
  <c r="J1125" i="17"/>
  <c r="K1125" i="17"/>
  <c r="C1126" i="17"/>
  <c r="A1126" i="17" s="1"/>
  <c r="D1126" i="17"/>
  <c r="F1126" i="17"/>
  <c r="G1126" i="17"/>
  <c r="H1126" i="17"/>
  <c r="I1126" i="17"/>
  <c r="J1126" i="17"/>
  <c r="K1126" i="17"/>
  <c r="C1127" i="17"/>
  <c r="A1127" i="17" s="1"/>
  <c r="D1127" i="17"/>
  <c r="F1127" i="17"/>
  <c r="G1127" i="17"/>
  <c r="H1127" i="17"/>
  <c r="I1127" i="17"/>
  <c r="J1127" i="17"/>
  <c r="K1127" i="17"/>
  <c r="C1128" i="17"/>
  <c r="D1128" i="17"/>
  <c r="F1128" i="17"/>
  <c r="G1128" i="17"/>
  <c r="H1128" i="17"/>
  <c r="I1128" i="17"/>
  <c r="J1128" i="17"/>
  <c r="K1128" i="17"/>
  <c r="C1129" i="17"/>
  <c r="A1129" i="17" s="1"/>
  <c r="D1129" i="17"/>
  <c r="F1129" i="17"/>
  <c r="G1129" i="17"/>
  <c r="H1129" i="17"/>
  <c r="I1129" i="17"/>
  <c r="J1129" i="17"/>
  <c r="K1129" i="17"/>
  <c r="C1130" i="17"/>
  <c r="A1130" i="17" s="1"/>
  <c r="D1130" i="17"/>
  <c r="F1130" i="17"/>
  <c r="G1130" i="17"/>
  <c r="H1130" i="17"/>
  <c r="I1130" i="17"/>
  <c r="J1130" i="17"/>
  <c r="K1130" i="17"/>
  <c r="C1131" i="17"/>
  <c r="A1131" i="17" s="1"/>
  <c r="D1131" i="17"/>
  <c r="F1131" i="17"/>
  <c r="G1131" i="17"/>
  <c r="H1131" i="17"/>
  <c r="I1131" i="17"/>
  <c r="J1131" i="17"/>
  <c r="K1131" i="17"/>
  <c r="C1132" i="17"/>
  <c r="A1132" i="17" s="1"/>
  <c r="D1132" i="17"/>
  <c r="F1132" i="17"/>
  <c r="G1132" i="17"/>
  <c r="H1132" i="17"/>
  <c r="I1132" i="17"/>
  <c r="J1132" i="17"/>
  <c r="K1132" i="17"/>
  <c r="C1133" i="17"/>
  <c r="A1133" i="17" s="1"/>
  <c r="D1133" i="17"/>
  <c r="F1133" i="17"/>
  <c r="G1133" i="17"/>
  <c r="H1133" i="17"/>
  <c r="I1133" i="17"/>
  <c r="J1133" i="17"/>
  <c r="K1133" i="17"/>
  <c r="C1134" i="17"/>
  <c r="A1134" i="17" s="1"/>
  <c r="D1134" i="17"/>
  <c r="F1134" i="17"/>
  <c r="G1134" i="17"/>
  <c r="H1134" i="17"/>
  <c r="I1134" i="17"/>
  <c r="J1134" i="17"/>
  <c r="K1134" i="17"/>
  <c r="C1135" i="17"/>
  <c r="A1135" i="17" s="1"/>
  <c r="D1135" i="17"/>
  <c r="F1135" i="17"/>
  <c r="G1135" i="17"/>
  <c r="H1135" i="17"/>
  <c r="I1135" i="17"/>
  <c r="J1135" i="17"/>
  <c r="K1135" i="17"/>
  <c r="C1136" i="17"/>
  <c r="A1136" i="17" s="1"/>
  <c r="D1136" i="17"/>
  <c r="F1136" i="17"/>
  <c r="G1136" i="17"/>
  <c r="H1136" i="17"/>
  <c r="I1136" i="17"/>
  <c r="J1136" i="17"/>
  <c r="K1136" i="17"/>
  <c r="C1137" i="17"/>
  <c r="A1137" i="17" s="1"/>
  <c r="D1137" i="17"/>
  <c r="F1137" i="17"/>
  <c r="G1137" i="17"/>
  <c r="H1137" i="17"/>
  <c r="I1137" i="17"/>
  <c r="J1137" i="17"/>
  <c r="K1137" i="17"/>
  <c r="C1138" i="17"/>
  <c r="A1138" i="17" s="1"/>
  <c r="D1138" i="17"/>
  <c r="F1138" i="17"/>
  <c r="G1138" i="17"/>
  <c r="H1138" i="17"/>
  <c r="I1138" i="17"/>
  <c r="J1138" i="17"/>
  <c r="K1138" i="17"/>
  <c r="C1139" i="17"/>
  <c r="A1139" i="17" s="1"/>
  <c r="D1139" i="17"/>
  <c r="F1139" i="17"/>
  <c r="G1139" i="17"/>
  <c r="H1139" i="17"/>
  <c r="I1139" i="17"/>
  <c r="J1139" i="17"/>
  <c r="K1139" i="17"/>
  <c r="C1140" i="17"/>
  <c r="D1140" i="17"/>
  <c r="F1140" i="17"/>
  <c r="G1140" i="17"/>
  <c r="H1140" i="17"/>
  <c r="I1140" i="17"/>
  <c r="J1140" i="17"/>
  <c r="K1140" i="17"/>
  <c r="C1141" i="17"/>
  <c r="A1141" i="17" s="1"/>
  <c r="D1141" i="17"/>
  <c r="F1141" i="17"/>
  <c r="G1141" i="17"/>
  <c r="H1141" i="17"/>
  <c r="I1141" i="17"/>
  <c r="J1141" i="17"/>
  <c r="K1141" i="17"/>
  <c r="C1142" i="17"/>
  <c r="A1142" i="17" s="1"/>
  <c r="D1142" i="17"/>
  <c r="F1142" i="17"/>
  <c r="G1142" i="17"/>
  <c r="H1142" i="17"/>
  <c r="I1142" i="17"/>
  <c r="J1142" i="17"/>
  <c r="K1142" i="17"/>
  <c r="C1143" i="17"/>
  <c r="A1143" i="17" s="1"/>
  <c r="D1143" i="17"/>
  <c r="F1143" i="17"/>
  <c r="G1143" i="17"/>
  <c r="H1143" i="17"/>
  <c r="I1143" i="17"/>
  <c r="J1143" i="17"/>
  <c r="K1143" i="17"/>
  <c r="C1144" i="17"/>
  <c r="A1144" i="17" s="1"/>
  <c r="D1144" i="17"/>
  <c r="F1144" i="17"/>
  <c r="G1144" i="17"/>
  <c r="H1144" i="17"/>
  <c r="I1144" i="17"/>
  <c r="J1144" i="17"/>
  <c r="K1144" i="17"/>
  <c r="C1145" i="17"/>
  <c r="A1145" i="17" s="1"/>
  <c r="D1145" i="17"/>
  <c r="F1145" i="17"/>
  <c r="G1145" i="17"/>
  <c r="H1145" i="17"/>
  <c r="I1145" i="17"/>
  <c r="J1145" i="17"/>
  <c r="K1145" i="17"/>
  <c r="C1146" i="17"/>
  <c r="A1146" i="17" s="1"/>
  <c r="D1146" i="17"/>
  <c r="F1146" i="17"/>
  <c r="G1146" i="17"/>
  <c r="H1146" i="17"/>
  <c r="I1146" i="17"/>
  <c r="J1146" i="17"/>
  <c r="K1146" i="17"/>
  <c r="C1147" i="17"/>
  <c r="A1147" i="17" s="1"/>
  <c r="D1147" i="17"/>
  <c r="F1147" i="17"/>
  <c r="G1147" i="17"/>
  <c r="H1147" i="17"/>
  <c r="I1147" i="17"/>
  <c r="J1147" i="17"/>
  <c r="K1147" i="17"/>
  <c r="C1148" i="17"/>
  <c r="A1148" i="17" s="1"/>
  <c r="D1148" i="17"/>
  <c r="F1148" i="17"/>
  <c r="G1148" i="17"/>
  <c r="H1148" i="17"/>
  <c r="I1148" i="17"/>
  <c r="J1148" i="17"/>
  <c r="K1148" i="17"/>
  <c r="C1149" i="17"/>
  <c r="A1149" i="17" s="1"/>
  <c r="D1149" i="17"/>
  <c r="F1149" i="17"/>
  <c r="G1149" i="17"/>
  <c r="H1149" i="17"/>
  <c r="I1149" i="17"/>
  <c r="J1149" i="17"/>
  <c r="K1149" i="17"/>
  <c r="C1150" i="17"/>
  <c r="A1150" i="17" s="1"/>
  <c r="D1150" i="17"/>
  <c r="F1150" i="17"/>
  <c r="G1150" i="17"/>
  <c r="H1150" i="17"/>
  <c r="I1150" i="17"/>
  <c r="J1150" i="17"/>
  <c r="K1150" i="17"/>
  <c r="C1151" i="17"/>
  <c r="A1151" i="17" s="1"/>
  <c r="D1151" i="17"/>
  <c r="F1151" i="17"/>
  <c r="G1151" i="17"/>
  <c r="H1151" i="17"/>
  <c r="I1151" i="17"/>
  <c r="J1151" i="17"/>
  <c r="K1151" i="17"/>
  <c r="C1152" i="17"/>
  <c r="D1152" i="17"/>
  <c r="F1152" i="17"/>
  <c r="G1152" i="17"/>
  <c r="H1152" i="17"/>
  <c r="I1152" i="17"/>
  <c r="J1152" i="17"/>
  <c r="K1152" i="17"/>
  <c r="C1153" i="17"/>
  <c r="A1153" i="17" s="1"/>
  <c r="D1153" i="17"/>
  <c r="F1153" i="17"/>
  <c r="G1153" i="17"/>
  <c r="H1153" i="17"/>
  <c r="I1153" i="17"/>
  <c r="J1153" i="17"/>
  <c r="K1153" i="17"/>
  <c r="C1154" i="17"/>
  <c r="A1154" i="17" s="1"/>
  <c r="D1154" i="17"/>
  <c r="F1154" i="17"/>
  <c r="G1154" i="17"/>
  <c r="H1154" i="17"/>
  <c r="I1154" i="17"/>
  <c r="J1154" i="17"/>
  <c r="K1154" i="17"/>
  <c r="C1155" i="17"/>
  <c r="A1155" i="17" s="1"/>
  <c r="D1155" i="17"/>
  <c r="F1155" i="17"/>
  <c r="G1155" i="17"/>
  <c r="H1155" i="17"/>
  <c r="I1155" i="17"/>
  <c r="J1155" i="17"/>
  <c r="K1155" i="17"/>
  <c r="C1156" i="17"/>
  <c r="A1156" i="17" s="1"/>
  <c r="D1156" i="17"/>
  <c r="F1156" i="17"/>
  <c r="G1156" i="17"/>
  <c r="H1156" i="17"/>
  <c r="I1156" i="17"/>
  <c r="J1156" i="17"/>
  <c r="K1156" i="17"/>
  <c r="C1157" i="17"/>
  <c r="A1157" i="17" s="1"/>
  <c r="D1157" i="17"/>
  <c r="F1157" i="17"/>
  <c r="G1157" i="17"/>
  <c r="H1157" i="17"/>
  <c r="I1157" i="17"/>
  <c r="J1157" i="17"/>
  <c r="K1157" i="17"/>
  <c r="C1158" i="17"/>
  <c r="A1158" i="17" s="1"/>
  <c r="D1158" i="17"/>
  <c r="F1158" i="17"/>
  <c r="G1158" i="17"/>
  <c r="H1158" i="17"/>
  <c r="I1158" i="17"/>
  <c r="J1158" i="17"/>
  <c r="K1158" i="17"/>
  <c r="C1159" i="17"/>
  <c r="A1159" i="17" s="1"/>
  <c r="D1159" i="17"/>
  <c r="F1159" i="17"/>
  <c r="G1159" i="17"/>
  <c r="H1159" i="17"/>
  <c r="I1159" i="17"/>
  <c r="J1159" i="17"/>
  <c r="K1159" i="17"/>
  <c r="C1160" i="17"/>
  <c r="A1160" i="17" s="1"/>
  <c r="D1160" i="17"/>
  <c r="F1160" i="17"/>
  <c r="G1160" i="17"/>
  <c r="H1160" i="17"/>
  <c r="I1160" i="17"/>
  <c r="J1160" i="17"/>
  <c r="K1160" i="17"/>
  <c r="C1161" i="17"/>
  <c r="A1161" i="17" s="1"/>
  <c r="D1161" i="17"/>
  <c r="F1161" i="17"/>
  <c r="G1161" i="17"/>
  <c r="H1161" i="17"/>
  <c r="I1161" i="17"/>
  <c r="J1161" i="17"/>
  <c r="K1161" i="17"/>
  <c r="C1162" i="17"/>
  <c r="A1162" i="17" s="1"/>
  <c r="D1162" i="17"/>
  <c r="F1162" i="17"/>
  <c r="G1162" i="17"/>
  <c r="H1162" i="17"/>
  <c r="I1162" i="17"/>
  <c r="J1162" i="17"/>
  <c r="K1162" i="17"/>
  <c r="C1163" i="17"/>
  <c r="A1163" i="17" s="1"/>
  <c r="D1163" i="17"/>
  <c r="F1163" i="17"/>
  <c r="G1163" i="17"/>
  <c r="H1163" i="17"/>
  <c r="I1163" i="17"/>
  <c r="J1163" i="17"/>
  <c r="K1163" i="17"/>
  <c r="C1164" i="17"/>
  <c r="D1164" i="17"/>
  <c r="F1164" i="17"/>
  <c r="G1164" i="17"/>
  <c r="H1164" i="17"/>
  <c r="I1164" i="17"/>
  <c r="J1164" i="17"/>
  <c r="K1164" i="17"/>
  <c r="C1165" i="17"/>
  <c r="A1165" i="17" s="1"/>
  <c r="D1165" i="17"/>
  <c r="F1165" i="17"/>
  <c r="G1165" i="17"/>
  <c r="H1165" i="17"/>
  <c r="I1165" i="17"/>
  <c r="J1165" i="17"/>
  <c r="K1165" i="17"/>
  <c r="C1166" i="17"/>
  <c r="A1166" i="17" s="1"/>
  <c r="D1166" i="17"/>
  <c r="F1166" i="17"/>
  <c r="G1166" i="17"/>
  <c r="H1166" i="17"/>
  <c r="I1166" i="17"/>
  <c r="J1166" i="17"/>
  <c r="K1166" i="17"/>
  <c r="C1167" i="17"/>
  <c r="A1167" i="17" s="1"/>
  <c r="D1167" i="17"/>
  <c r="F1167" i="17"/>
  <c r="G1167" i="17"/>
  <c r="H1167" i="17"/>
  <c r="I1167" i="17"/>
  <c r="J1167" i="17"/>
  <c r="K1167" i="17"/>
  <c r="C1168" i="17"/>
  <c r="A1168" i="17" s="1"/>
  <c r="D1168" i="17"/>
  <c r="F1168" i="17"/>
  <c r="G1168" i="17"/>
  <c r="H1168" i="17"/>
  <c r="I1168" i="17"/>
  <c r="J1168" i="17"/>
  <c r="K1168" i="17"/>
  <c r="C1169" i="17"/>
  <c r="A1169" i="17" s="1"/>
  <c r="D1169" i="17"/>
  <c r="F1169" i="17"/>
  <c r="G1169" i="17"/>
  <c r="H1169" i="17"/>
  <c r="I1169" i="17"/>
  <c r="J1169" i="17"/>
  <c r="K1169" i="17"/>
  <c r="C1170" i="17"/>
  <c r="A1170" i="17" s="1"/>
  <c r="D1170" i="17"/>
  <c r="F1170" i="17"/>
  <c r="G1170" i="17"/>
  <c r="H1170" i="17"/>
  <c r="I1170" i="17"/>
  <c r="J1170" i="17"/>
  <c r="K1170" i="17"/>
  <c r="C1171" i="17"/>
  <c r="A1171" i="17" s="1"/>
  <c r="D1171" i="17"/>
  <c r="F1171" i="17"/>
  <c r="G1171" i="17"/>
  <c r="H1171" i="17"/>
  <c r="I1171" i="17"/>
  <c r="J1171" i="17"/>
  <c r="K1171" i="17"/>
  <c r="C1172" i="17"/>
  <c r="A1172" i="17" s="1"/>
  <c r="D1172" i="17"/>
  <c r="F1172" i="17"/>
  <c r="G1172" i="17"/>
  <c r="H1172" i="17"/>
  <c r="I1172" i="17"/>
  <c r="J1172" i="17"/>
  <c r="K1172" i="17"/>
  <c r="C1173" i="17"/>
  <c r="A1173" i="17" s="1"/>
  <c r="D1173" i="17"/>
  <c r="F1173" i="17"/>
  <c r="G1173" i="17"/>
  <c r="H1173" i="17"/>
  <c r="I1173" i="17"/>
  <c r="J1173" i="17"/>
  <c r="K1173" i="17"/>
  <c r="C1174" i="17"/>
  <c r="A1174" i="17" s="1"/>
  <c r="D1174" i="17"/>
  <c r="F1174" i="17"/>
  <c r="G1174" i="17"/>
  <c r="H1174" i="17"/>
  <c r="I1174" i="17"/>
  <c r="J1174" i="17"/>
  <c r="K1174" i="17"/>
  <c r="C1175" i="17"/>
  <c r="A1175" i="17" s="1"/>
  <c r="D1175" i="17"/>
  <c r="F1175" i="17"/>
  <c r="G1175" i="17"/>
  <c r="H1175" i="17"/>
  <c r="I1175" i="17"/>
  <c r="J1175" i="17"/>
  <c r="K1175" i="17"/>
  <c r="C1176" i="17"/>
  <c r="D1176" i="17"/>
  <c r="F1176" i="17"/>
  <c r="G1176" i="17"/>
  <c r="H1176" i="17"/>
  <c r="I1176" i="17"/>
  <c r="J1176" i="17"/>
  <c r="K1176" i="17"/>
  <c r="C1177" i="17"/>
  <c r="A1177" i="17" s="1"/>
  <c r="D1177" i="17"/>
  <c r="F1177" i="17"/>
  <c r="G1177" i="17"/>
  <c r="H1177" i="17"/>
  <c r="I1177" i="17"/>
  <c r="J1177" i="17"/>
  <c r="K1177" i="17"/>
  <c r="C1178" i="17"/>
  <c r="A1178" i="17" s="1"/>
  <c r="D1178" i="17"/>
  <c r="F1178" i="17"/>
  <c r="G1178" i="17"/>
  <c r="H1178" i="17"/>
  <c r="I1178" i="17"/>
  <c r="J1178" i="17"/>
  <c r="K1178" i="17"/>
  <c r="C1179" i="17"/>
  <c r="A1179" i="17" s="1"/>
  <c r="D1179" i="17"/>
  <c r="F1179" i="17"/>
  <c r="G1179" i="17"/>
  <c r="H1179" i="17"/>
  <c r="I1179" i="17"/>
  <c r="J1179" i="17"/>
  <c r="K1179" i="17"/>
  <c r="C1180" i="17"/>
  <c r="A1180" i="17" s="1"/>
  <c r="D1180" i="17"/>
  <c r="F1180" i="17"/>
  <c r="G1180" i="17"/>
  <c r="H1180" i="17"/>
  <c r="I1180" i="17"/>
  <c r="J1180" i="17"/>
  <c r="K1180" i="17"/>
  <c r="C1181" i="17"/>
  <c r="A1181" i="17" s="1"/>
  <c r="D1181" i="17"/>
  <c r="F1181" i="17"/>
  <c r="G1181" i="17"/>
  <c r="H1181" i="17"/>
  <c r="I1181" i="17"/>
  <c r="J1181" i="17"/>
  <c r="K1181" i="17"/>
  <c r="C1182" i="17"/>
  <c r="A1182" i="17" s="1"/>
  <c r="D1182" i="17"/>
  <c r="F1182" i="17"/>
  <c r="G1182" i="17"/>
  <c r="H1182" i="17"/>
  <c r="I1182" i="17"/>
  <c r="J1182" i="17"/>
  <c r="K1182" i="17"/>
  <c r="C1183" i="17"/>
  <c r="A1183" i="17" s="1"/>
  <c r="D1183" i="17"/>
  <c r="F1183" i="17"/>
  <c r="G1183" i="17"/>
  <c r="H1183" i="17"/>
  <c r="I1183" i="17"/>
  <c r="J1183" i="17"/>
  <c r="K1183" i="17"/>
  <c r="C1184" i="17"/>
  <c r="A1184" i="17" s="1"/>
  <c r="D1184" i="17"/>
  <c r="F1184" i="17"/>
  <c r="G1184" i="17"/>
  <c r="H1184" i="17"/>
  <c r="I1184" i="17"/>
  <c r="J1184" i="17"/>
  <c r="K1184" i="17"/>
  <c r="C1185" i="17"/>
  <c r="A1185" i="17" s="1"/>
  <c r="D1185" i="17"/>
  <c r="F1185" i="17"/>
  <c r="G1185" i="17"/>
  <c r="H1185" i="17"/>
  <c r="I1185" i="17"/>
  <c r="J1185" i="17"/>
  <c r="K1185" i="17"/>
  <c r="C1186" i="17"/>
  <c r="A1186" i="17" s="1"/>
  <c r="D1186" i="17"/>
  <c r="F1186" i="17"/>
  <c r="G1186" i="17"/>
  <c r="H1186" i="17"/>
  <c r="I1186" i="17"/>
  <c r="J1186" i="17"/>
  <c r="K1186" i="17"/>
  <c r="C1187" i="17"/>
  <c r="A1187" i="17" s="1"/>
  <c r="D1187" i="17"/>
  <c r="F1187" i="17"/>
  <c r="G1187" i="17"/>
  <c r="H1187" i="17"/>
  <c r="I1187" i="17"/>
  <c r="J1187" i="17"/>
  <c r="K1187" i="17"/>
  <c r="C1188" i="17"/>
  <c r="D1188" i="17"/>
  <c r="F1188" i="17"/>
  <c r="G1188" i="17"/>
  <c r="H1188" i="17"/>
  <c r="I1188" i="17"/>
  <c r="J1188" i="17"/>
  <c r="K1188" i="17"/>
  <c r="C1189" i="17"/>
  <c r="A1189" i="17" s="1"/>
  <c r="D1189" i="17"/>
  <c r="F1189" i="17"/>
  <c r="G1189" i="17"/>
  <c r="H1189" i="17"/>
  <c r="I1189" i="17"/>
  <c r="J1189" i="17"/>
  <c r="K1189" i="17"/>
  <c r="C1190" i="17"/>
  <c r="A1190" i="17" s="1"/>
  <c r="D1190" i="17"/>
  <c r="F1190" i="17"/>
  <c r="G1190" i="17"/>
  <c r="H1190" i="17"/>
  <c r="I1190" i="17"/>
  <c r="J1190" i="17"/>
  <c r="K1190" i="17"/>
  <c r="C1191" i="17"/>
  <c r="A1191" i="17" s="1"/>
  <c r="D1191" i="17"/>
  <c r="F1191" i="17"/>
  <c r="G1191" i="17"/>
  <c r="H1191" i="17"/>
  <c r="I1191" i="17"/>
  <c r="J1191" i="17"/>
  <c r="K1191" i="17"/>
  <c r="C1192" i="17"/>
  <c r="A1192" i="17" s="1"/>
  <c r="D1192" i="17"/>
  <c r="F1192" i="17"/>
  <c r="G1192" i="17"/>
  <c r="H1192" i="17"/>
  <c r="I1192" i="17"/>
  <c r="J1192" i="17"/>
  <c r="K1192" i="17"/>
  <c r="C1193" i="17"/>
  <c r="A1193" i="17" s="1"/>
  <c r="D1193" i="17"/>
  <c r="F1193" i="17"/>
  <c r="G1193" i="17"/>
  <c r="H1193" i="17"/>
  <c r="I1193" i="17"/>
  <c r="J1193" i="17"/>
  <c r="K1193" i="17"/>
  <c r="C1194" i="17"/>
  <c r="A1194" i="17" s="1"/>
  <c r="D1194" i="17"/>
  <c r="F1194" i="17"/>
  <c r="G1194" i="17"/>
  <c r="H1194" i="17"/>
  <c r="I1194" i="17"/>
  <c r="J1194" i="17"/>
  <c r="K1194" i="17"/>
  <c r="C1195" i="17"/>
  <c r="A1195" i="17" s="1"/>
  <c r="D1195" i="17"/>
  <c r="F1195" i="17"/>
  <c r="G1195" i="17"/>
  <c r="H1195" i="17"/>
  <c r="I1195" i="17"/>
  <c r="J1195" i="17"/>
  <c r="K1195" i="17"/>
  <c r="C1196" i="17"/>
  <c r="A1196" i="17" s="1"/>
  <c r="D1196" i="17"/>
  <c r="F1196" i="17"/>
  <c r="G1196" i="17"/>
  <c r="H1196" i="17"/>
  <c r="I1196" i="17"/>
  <c r="J1196" i="17"/>
  <c r="K1196" i="17"/>
  <c r="C1197" i="17"/>
  <c r="A1197" i="17" s="1"/>
  <c r="D1197" i="17"/>
  <c r="F1197" i="17"/>
  <c r="G1197" i="17"/>
  <c r="H1197" i="17"/>
  <c r="I1197" i="17"/>
  <c r="J1197" i="17"/>
  <c r="K1197" i="17"/>
  <c r="C1198" i="17"/>
  <c r="A1198" i="17" s="1"/>
  <c r="D1198" i="17"/>
  <c r="F1198" i="17"/>
  <c r="G1198" i="17"/>
  <c r="H1198" i="17"/>
  <c r="I1198" i="17"/>
  <c r="J1198" i="17"/>
  <c r="K1198" i="17"/>
  <c r="C1199" i="17"/>
  <c r="A1199" i="17" s="1"/>
  <c r="D1199" i="17"/>
  <c r="F1199" i="17"/>
  <c r="G1199" i="17"/>
  <c r="H1199" i="17"/>
  <c r="I1199" i="17"/>
  <c r="J1199" i="17"/>
  <c r="K1199" i="17"/>
  <c r="C1200" i="17"/>
  <c r="D1200" i="17"/>
  <c r="F1200" i="17"/>
  <c r="G1200" i="17"/>
  <c r="H1200" i="17"/>
  <c r="I1200" i="17"/>
  <c r="J1200" i="17"/>
  <c r="K1200" i="17"/>
  <c r="C1201" i="17"/>
  <c r="A1201" i="17" s="1"/>
  <c r="D1201" i="17"/>
  <c r="F1201" i="17"/>
  <c r="G1201" i="17"/>
  <c r="H1201" i="17"/>
  <c r="I1201" i="17"/>
  <c r="J1201" i="17"/>
  <c r="K1201" i="17"/>
  <c r="C1202" i="17"/>
  <c r="A1202" i="17" s="1"/>
  <c r="D1202" i="17"/>
  <c r="F1202" i="17"/>
  <c r="G1202" i="17"/>
  <c r="H1202" i="17"/>
  <c r="I1202" i="17"/>
  <c r="J1202" i="17"/>
  <c r="K1202" i="17"/>
  <c r="C1203" i="17"/>
  <c r="A1203" i="17" s="1"/>
  <c r="D1203" i="17"/>
  <c r="F1203" i="17"/>
  <c r="G1203" i="17"/>
  <c r="H1203" i="17"/>
  <c r="I1203" i="17"/>
  <c r="J1203" i="17"/>
  <c r="K1203" i="17"/>
  <c r="C1204" i="17"/>
  <c r="A1204" i="17" s="1"/>
  <c r="D1204" i="17"/>
  <c r="F1204" i="17"/>
  <c r="G1204" i="17"/>
  <c r="H1204" i="17"/>
  <c r="I1204" i="17"/>
  <c r="J1204" i="17"/>
  <c r="K1204" i="17"/>
  <c r="C1205" i="17"/>
  <c r="A1205" i="17" s="1"/>
  <c r="D1205" i="17"/>
  <c r="F1205" i="17"/>
  <c r="G1205" i="17"/>
  <c r="H1205" i="17"/>
  <c r="I1205" i="17"/>
  <c r="J1205" i="17"/>
  <c r="K1205" i="17"/>
  <c r="C1206" i="17"/>
  <c r="A1206" i="17" s="1"/>
  <c r="D1206" i="17"/>
  <c r="F1206" i="17"/>
  <c r="G1206" i="17"/>
  <c r="H1206" i="17"/>
  <c r="I1206" i="17"/>
  <c r="J1206" i="17"/>
  <c r="K1206" i="17"/>
  <c r="C1207" i="17"/>
  <c r="A1207" i="17" s="1"/>
  <c r="D1207" i="17"/>
  <c r="F1207" i="17"/>
  <c r="G1207" i="17"/>
  <c r="H1207" i="17"/>
  <c r="I1207" i="17"/>
  <c r="J1207" i="17"/>
  <c r="K1207" i="17"/>
  <c r="C1208" i="17"/>
  <c r="A1208" i="17" s="1"/>
  <c r="D1208" i="17"/>
  <c r="F1208" i="17"/>
  <c r="G1208" i="17"/>
  <c r="H1208" i="17"/>
  <c r="I1208" i="17"/>
  <c r="J1208" i="17"/>
  <c r="K1208" i="17"/>
  <c r="C1209" i="17"/>
  <c r="A1209" i="17" s="1"/>
  <c r="D1209" i="17"/>
  <c r="F1209" i="17"/>
  <c r="G1209" i="17"/>
  <c r="H1209" i="17"/>
  <c r="I1209" i="17"/>
  <c r="J1209" i="17"/>
  <c r="K1209" i="17"/>
  <c r="C1210" i="17"/>
  <c r="A1210" i="17" s="1"/>
  <c r="D1210" i="17"/>
  <c r="F1210" i="17"/>
  <c r="G1210" i="17"/>
  <c r="H1210" i="17"/>
  <c r="I1210" i="17"/>
  <c r="J1210" i="17"/>
  <c r="K1210" i="17"/>
  <c r="C1211" i="17"/>
  <c r="A1211" i="17" s="1"/>
  <c r="D1211" i="17"/>
  <c r="F1211" i="17"/>
  <c r="G1211" i="17"/>
  <c r="H1211" i="17"/>
  <c r="I1211" i="17"/>
  <c r="J1211" i="17"/>
  <c r="K1211" i="17"/>
  <c r="C1212" i="17"/>
  <c r="D1212" i="17"/>
  <c r="F1212" i="17"/>
  <c r="G1212" i="17"/>
  <c r="H1212" i="17"/>
  <c r="I1212" i="17"/>
  <c r="J1212" i="17"/>
  <c r="K1212" i="17"/>
  <c r="C1213" i="17"/>
  <c r="A1213" i="17" s="1"/>
  <c r="D1213" i="17"/>
  <c r="F1213" i="17"/>
  <c r="G1213" i="17"/>
  <c r="H1213" i="17"/>
  <c r="I1213" i="17"/>
  <c r="J1213" i="17"/>
  <c r="K1213" i="17"/>
  <c r="C1214" i="17"/>
  <c r="A1214" i="17" s="1"/>
  <c r="D1214" i="17"/>
  <c r="F1214" i="17"/>
  <c r="G1214" i="17"/>
  <c r="H1214" i="17"/>
  <c r="I1214" i="17"/>
  <c r="J1214" i="17"/>
  <c r="K1214" i="17"/>
  <c r="C1215" i="17"/>
  <c r="A1215" i="17" s="1"/>
  <c r="D1215" i="17"/>
  <c r="F1215" i="17"/>
  <c r="G1215" i="17"/>
  <c r="H1215" i="17"/>
  <c r="I1215" i="17"/>
  <c r="J1215" i="17"/>
  <c r="K1215" i="17"/>
  <c r="C1216" i="17"/>
  <c r="A1216" i="17" s="1"/>
  <c r="D1216" i="17"/>
  <c r="F1216" i="17"/>
  <c r="G1216" i="17"/>
  <c r="H1216" i="17"/>
  <c r="I1216" i="17"/>
  <c r="J1216" i="17"/>
  <c r="K1216" i="17"/>
  <c r="C1217" i="17"/>
  <c r="A1217" i="17" s="1"/>
  <c r="D1217" i="17"/>
  <c r="F1217" i="17"/>
  <c r="G1217" i="17"/>
  <c r="H1217" i="17"/>
  <c r="I1217" i="17"/>
  <c r="J1217" i="17"/>
  <c r="K1217" i="17"/>
  <c r="C1218" i="17"/>
  <c r="A1218" i="17" s="1"/>
  <c r="D1218" i="17"/>
  <c r="F1218" i="17"/>
  <c r="G1218" i="17"/>
  <c r="H1218" i="17"/>
  <c r="I1218" i="17"/>
  <c r="J1218" i="17"/>
  <c r="K1218" i="17"/>
  <c r="C1219" i="17"/>
  <c r="A1219" i="17" s="1"/>
  <c r="D1219" i="17"/>
  <c r="F1219" i="17"/>
  <c r="G1219" i="17"/>
  <c r="H1219" i="17"/>
  <c r="I1219" i="17"/>
  <c r="J1219" i="17"/>
  <c r="K1219" i="17"/>
  <c r="C1220" i="17"/>
  <c r="A1220" i="17" s="1"/>
  <c r="D1220" i="17"/>
  <c r="F1220" i="17"/>
  <c r="G1220" i="17"/>
  <c r="H1220" i="17"/>
  <c r="I1220" i="17"/>
  <c r="J1220" i="17"/>
  <c r="K1220" i="17"/>
  <c r="C1221" i="17"/>
  <c r="A1221" i="17" s="1"/>
  <c r="D1221" i="17"/>
  <c r="F1221" i="17"/>
  <c r="G1221" i="17"/>
  <c r="H1221" i="17"/>
  <c r="I1221" i="17"/>
  <c r="J1221" i="17"/>
  <c r="K1221" i="17"/>
  <c r="C1222" i="17"/>
  <c r="A1222" i="17" s="1"/>
  <c r="D1222" i="17"/>
  <c r="F1222" i="17"/>
  <c r="G1222" i="17"/>
  <c r="H1222" i="17"/>
  <c r="I1222" i="17"/>
  <c r="J1222" i="17"/>
  <c r="K1222" i="17"/>
  <c r="C1223" i="17"/>
  <c r="A1223" i="17" s="1"/>
  <c r="D1223" i="17"/>
  <c r="F1223" i="17"/>
  <c r="G1223" i="17"/>
  <c r="H1223" i="17"/>
  <c r="I1223" i="17"/>
  <c r="J1223" i="17"/>
  <c r="K1223" i="17"/>
  <c r="C1224" i="17"/>
  <c r="D1224" i="17"/>
  <c r="F1224" i="17"/>
  <c r="G1224" i="17"/>
  <c r="H1224" i="17"/>
  <c r="I1224" i="17"/>
  <c r="J1224" i="17"/>
  <c r="K1224" i="17"/>
  <c r="C1225" i="17"/>
  <c r="A1225" i="17" s="1"/>
  <c r="D1225" i="17"/>
  <c r="F1225" i="17"/>
  <c r="G1225" i="17"/>
  <c r="H1225" i="17"/>
  <c r="I1225" i="17"/>
  <c r="J1225" i="17"/>
  <c r="K1225" i="17"/>
  <c r="C1226" i="17"/>
  <c r="A1226" i="17" s="1"/>
  <c r="D1226" i="17"/>
  <c r="F1226" i="17"/>
  <c r="G1226" i="17"/>
  <c r="H1226" i="17"/>
  <c r="I1226" i="17"/>
  <c r="J1226" i="17"/>
  <c r="K1226" i="17"/>
  <c r="C1227" i="17"/>
  <c r="A1227" i="17" s="1"/>
  <c r="D1227" i="17"/>
  <c r="F1227" i="17"/>
  <c r="G1227" i="17"/>
  <c r="H1227" i="17"/>
  <c r="I1227" i="17"/>
  <c r="J1227" i="17"/>
  <c r="K1227" i="17"/>
  <c r="C1228" i="17"/>
  <c r="A1228" i="17" s="1"/>
  <c r="D1228" i="17"/>
  <c r="F1228" i="17"/>
  <c r="G1228" i="17"/>
  <c r="H1228" i="17"/>
  <c r="I1228" i="17"/>
  <c r="J1228" i="17"/>
  <c r="K1228" i="17"/>
  <c r="C1229" i="17"/>
  <c r="A1229" i="17" s="1"/>
  <c r="D1229" i="17"/>
  <c r="F1229" i="17"/>
  <c r="G1229" i="17"/>
  <c r="H1229" i="17"/>
  <c r="I1229" i="17"/>
  <c r="J1229" i="17"/>
  <c r="K1229" i="17"/>
  <c r="C1230" i="17"/>
  <c r="A1230" i="17" s="1"/>
  <c r="D1230" i="17"/>
  <c r="F1230" i="17"/>
  <c r="G1230" i="17"/>
  <c r="H1230" i="17"/>
  <c r="I1230" i="17"/>
  <c r="J1230" i="17"/>
  <c r="K1230" i="17"/>
  <c r="C1231" i="17"/>
  <c r="A1231" i="17" s="1"/>
  <c r="D1231" i="17"/>
  <c r="F1231" i="17"/>
  <c r="G1231" i="17"/>
  <c r="H1231" i="17"/>
  <c r="I1231" i="17"/>
  <c r="J1231" i="17"/>
  <c r="K1231" i="17"/>
  <c r="C1232" i="17"/>
  <c r="A1232" i="17" s="1"/>
  <c r="D1232" i="17"/>
  <c r="F1232" i="17"/>
  <c r="G1232" i="17"/>
  <c r="H1232" i="17"/>
  <c r="I1232" i="17"/>
  <c r="J1232" i="17"/>
  <c r="K1232" i="17"/>
  <c r="C1233" i="17"/>
  <c r="A1233" i="17" s="1"/>
  <c r="D1233" i="17"/>
  <c r="F1233" i="17"/>
  <c r="G1233" i="17"/>
  <c r="H1233" i="17"/>
  <c r="I1233" i="17"/>
  <c r="J1233" i="17"/>
  <c r="K1233" i="17"/>
  <c r="C1234" i="17"/>
  <c r="A1234" i="17" s="1"/>
  <c r="D1234" i="17"/>
  <c r="F1234" i="17"/>
  <c r="G1234" i="17"/>
  <c r="H1234" i="17"/>
  <c r="I1234" i="17"/>
  <c r="J1234" i="17"/>
  <c r="K1234" i="17"/>
  <c r="C1235" i="17"/>
  <c r="A1235" i="17" s="1"/>
  <c r="D1235" i="17"/>
  <c r="F1235" i="17"/>
  <c r="G1235" i="17"/>
  <c r="H1235" i="17"/>
  <c r="I1235" i="17"/>
  <c r="J1235" i="17"/>
  <c r="K1235" i="17"/>
  <c r="C1236" i="17"/>
  <c r="D1236" i="17"/>
  <c r="F1236" i="17"/>
  <c r="G1236" i="17"/>
  <c r="H1236" i="17"/>
  <c r="I1236" i="17"/>
  <c r="J1236" i="17"/>
  <c r="K1236" i="17"/>
  <c r="C1237" i="17"/>
  <c r="A1237" i="17" s="1"/>
  <c r="D1237" i="17"/>
  <c r="F1237" i="17"/>
  <c r="G1237" i="17"/>
  <c r="H1237" i="17"/>
  <c r="I1237" i="17"/>
  <c r="J1237" i="17"/>
  <c r="K1237" i="17"/>
  <c r="C1238" i="17"/>
  <c r="A1238" i="17" s="1"/>
  <c r="D1238" i="17"/>
  <c r="F1238" i="17"/>
  <c r="G1238" i="17"/>
  <c r="H1238" i="17"/>
  <c r="I1238" i="17"/>
  <c r="J1238" i="17"/>
  <c r="K1238" i="17"/>
  <c r="C1239" i="17"/>
  <c r="A1239" i="17" s="1"/>
  <c r="D1239" i="17"/>
  <c r="F1239" i="17"/>
  <c r="G1239" i="17"/>
  <c r="H1239" i="17"/>
  <c r="I1239" i="17"/>
  <c r="J1239" i="17"/>
  <c r="K1239" i="17"/>
  <c r="C1240" i="17"/>
  <c r="A1240" i="17" s="1"/>
  <c r="D1240" i="17"/>
  <c r="F1240" i="17"/>
  <c r="G1240" i="17"/>
  <c r="H1240" i="17"/>
  <c r="I1240" i="17"/>
  <c r="J1240" i="17"/>
  <c r="K1240" i="17"/>
  <c r="C1241" i="17"/>
  <c r="A1241" i="17" s="1"/>
  <c r="D1241" i="17"/>
  <c r="F1241" i="17"/>
  <c r="G1241" i="17"/>
  <c r="H1241" i="17"/>
  <c r="I1241" i="17"/>
  <c r="J1241" i="17"/>
  <c r="K1241" i="17"/>
  <c r="C1242" i="17"/>
  <c r="A1242" i="17" s="1"/>
  <c r="D1242" i="17"/>
  <c r="F1242" i="17"/>
  <c r="G1242" i="17"/>
  <c r="H1242" i="17"/>
  <c r="I1242" i="17"/>
  <c r="J1242" i="17"/>
  <c r="K1242" i="17"/>
  <c r="C1243" i="17"/>
  <c r="A1243" i="17" s="1"/>
  <c r="D1243" i="17"/>
  <c r="F1243" i="17"/>
  <c r="G1243" i="17"/>
  <c r="H1243" i="17"/>
  <c r="I1243" i="17"/>
  <c r="J1243" i="17"/>
  <c r="K1243" i="17"/>
  <c r="C1244" i="17"/>
  <c r="A1244" i="17" s="1"/>
  <c r="D1244" i="17"/>
  <c r="F1244" i="17"/>
  <c r="G1244" i="17"/>
  <c r="H1244" i="17"/>
  <c r="I1244" i="17"/>
  <c r="J1244" i="17"/>
  <c r="K1244" i="17"/>
  <c r="C1245" i="17"/>
  <c r="A1245" i="17" s="1"/>
  <c r="D1245" i="17"/>
  <c r="F1245" i="17"/>
  <c r="G1245" i="17"/>
  <c r="H1245" i="17"/>
  <c r="I1245" i="17"/>
  <c r="J1245" i="17"/>
  <c r="K1245" i="17"/>
  <c r="C1246" i="17"/>
  <c r="A1246" i="17" s="1"/>
  <c r="D1246" i="17"/>
  <c r="F1246" i="17"/>
  <c r="G1246" i="17"/>
  <c r="H1246" i="17"/>
  <c r="I1246" i="17"/>
  <c r="J1246" i="17"/>
  <c r="K1246" i="17"/>
  <c r="C1247" i="17"/>
  <c r="A1247" i="17" s="1"/>
  <c r="D1247" i="17"/>
  <c r="F1247" i="17"/>
  <c r="G1247" i="17"/>
  <c r="H1247" i="17"/>
  <c r="I1247" i="17"/>
  <c r="J1247" i="17"/>
  <c r="K1247" i="17"/>
  <c r="C1248" i="17"/>
  <c r="D1248" i="17"/>
  <c r="F1248" i="17"/>
  <c r="G1248" i="17"/>
  <c r="H1248" i="17"/>
  <c r="I1248" i="17"/>
  <c r="J1248" i="17"/>
  <c r="K1248" i="17"/>
  <c r="C1249" i="17"/>
  <c r="A1249" i="17" s="1"/>
  <c r="D1249" i="17"/>
  <c r="F1249" i="17"/>
  <c r="G1249" i="17"/>
  <c r="H1249" i="17"/>
  <c r="I1249" i="17"/>
  <c r="J1249" i="17"/>
  <c r="K1249" i="17"/>
  <c r="C1250" i="17"/>
  <c r="A1250" i="17" s="1"/>
  <c r="D1250" i="17"/>
  <c r="F1250" i="17"/>
  <c r="G1250" i="17"/>
  <c r="H1250" i="17"/>
  <c r="I1250" i="17"/>
  <c r="J1250" i="17"/>
  <c r="K1250" i="17"/>
  <c r="C1251" i="17"/>
  <c r="A1251" i="17" s="1"/>
  <c r="D1251" i="17"/>
  <c r="F1251" i="17"/>
  <c r="G1251" i="17"/>
  <c r="H1251" i="17"/>
  <c r="I1251" i="17"/>
  <c r="J1251" i="17"/>
  <c r="K1251" i="17"/>
  <c r="C1252" i="17"/>
  <c r="A1252" i="17" s="1"/>
  <c r="D1252" i="17"/>
  <c r="F1252" i="17"/>
  <c r="G1252" i="17"/>
  <c r="H1252" i="17"/>
  <c r="I1252" i="17"/>
  <c r="J1252" i="17"/>
  <c r="K1252" i="17"/>
  <c r="C1253" i="17"/>
  <c r="A1253" i="17" s="1"/>
  <c r="D1253" i="17"/>
  <c r="F1253" i="17"/>
  <c r="G1253" i="17"/>
  <c r="H1253" i="17"/>
  <c r="I1253" i="17"/>
  <c r="J1253" i="17"/>
  <c r="K1253" i="17"/>
  <c r="C1254" i="17"/>
  <c r="A1254" i="17" s="1"/>
  <c r="D1254" i="17"/>
  <c r="F1254" i="17"/>
  <c r="G1254" i="17"/>
  <c r="H1254" i="17"/>
  <c r="I1254" i="17"/>
  <c r="J1254" i="17"/>
  <c r="K1254" i="17"/>
  <c r="C1255" i="17"/>
  <c r="A1255" i="17" s="1"/>
  <c r="D1255" i="17"/>
  <c r="F1255" i="17"/>
  <c r="G1255" i="17"/>
  <c r="H1255" i="17"/>
  <c r="I1255" i="17"/>
  <c r="J1255" i="17"/>
  <c r="K1255" i="17"/>
  <c r="C1256" i="17"/>
  <c r="A1256" i="17" s="1"/>
  <c r="D1256" i="17"/>
  <c r="F1256" i="17"/>
  <c r="G1256" i="17"/>
  <c r="H1256" i="17"/>
  <c r="I1256" i="17"/>
  <c r="J1256" i="17"/>
  <c r="K1256" i="17"/>
  <c r="C1257" i="17"/>
  <c r="A1257" i="17" s="1"/>
  <c r="D1257" i="17"/>
  <c r="F1257" i="17"/>
  <c r="G1257" i="17"/>
  <c r="H1257" i="17"/>
  <c r="I1257" i="17"/>
  <c r="J1257" i="17"/>
  <c r="K1257" i="17"/>
  <c r="C1258" i="17"/>
  <c r="A1258" i="17" s="1"/>
  <c r="D1258" i="17"/>
  <c r="F1258" i="17"/>
  <c r="G1258" i="17"/>
  <c r="H1258" i="17"/>
  <c r="I1258" i="17"/>
  <c r="J1258" i="17"/>
  <c r="K1258" i="17"/>
  <c r="C1259" i="17"/>
  <c r="A1259" i="17" s="1"/>
  <c r="D1259" i="17"/>
  <c r="F1259" i="17"/>
  <c r="G1259" i="17"/>
  <c r="H1259" i="17"/>
  <c r="I1259" i="17"/>
  <c r="J1259" i="17"/>
  <c r="K1259" i="17"/>
  <c r="C1260" i="17"/>
  <c r="D1260" i="17"/>
  <c r="F1260" i="17"/>
  <c r="G1260" i="17"/>
  <c r="H1260" i="17"/>
  <c r="I1260" i="17"/>
  <c r="J1260" i="17"/>
  <c r="K1260" i="17"/>
  <c r="C1261" i="17"/>
  <c r="A1261" i="17" s="1"/>
  <c r="D1261" i="17"/>
  <c r="F1261" i="17"/>
  <c r="G1261" i="17"/>
  <c r="H1261" i="17"/>
  <c r="I1261" i="17"/>
  <c r="J1261" i="17"/>
  <c r="K1261" i="17"/>
  <c r="C1262" i="17"/>
  <c r="A1262" i="17" s="1"/>
  <c r="D1262" i="17"/>
  <c r="F1262" i="17"/>
  <c r="G1262" i="17"/>
  <c r="H1262" i="17"/>
  <c r="I1262" i="17"/>
  <c r="J1262" i="17"/>
  <c r="K1262" i="17"/>
  <c r="C1263" i="17"/>
  <c r="A1263" i="17" s="1"/>
  <c r="D1263" i="17"/>
  <c r="F1263" i="17"/>
  <c r="G1263" i="17"/>
  <c r="H1263" i="17"/>
  <c r="I1263" i="17"/>
  <c r="J1263" i="17"/>
  <c r="K1263" i="17"/>
  <c r="C1264" i="17"/>
  <c r="A1264" i="17" s="1"/>
  <c r="D1264" i="17"/>
  <c r="F1264" i="17"/>
  <c r="G1264" i="17"/>
  <c r="H1264" i="17"/>
  <c r="I1264" i="17"/>
  <c r="J1264" i="17"/>
  <c r="K1264" i="17"/>
  <c r="C1265" i="17"/>
  <c r="A1265" i="17" s="1"/>
  <c r="D1265" i="17"/>
  <c r="F1265" i="17"/>
  <c r="G1265" i="17"/>
  <c r="H1265" i="17"/>
  <c r="I1265" i="17"/>
  <c r="J1265" i="17"/>
  <c r="K1265" i="17"/>
  <c r="C1266" i="17"/>
  <c r="A1266" i="17" s="1"/>
  <c r="D1266" i="17"/>
  <c r="F1266" i="17"/>
  <c r="G1266" i="17"/>
  <c r="H1266" i="17"/>
  <c r="I1266" i="17"/>
  <c r="J1266" i="17"/>
  <c r="K1266" i="17"/>
  <c r="C1267" i="17"/>
  <c r="A1267" i="17" s="1"/>
  <c r="D1267" i="17"/>
  <c r="F1267" i="17"/>
  <c r="G1267" i="17"/>
  <c r="H1267" i="17"/>
  <c r="I1267" i="17"/>
  <c r="J1267" i="17"/>
  <c r="K1267" i="17"/>
  <c r="C1268" i="17"/>
  <c r="A1268" i="17" s="1"/>
  <c r="D1268" i="17"/>
  <c r="F1268" i="17"/>
  <c r="G1268" i="17"/>
  <c r="H1268" i="17"/>
  <c r="I1268" i="17"/>
  <c r="J1268" i="17"/>
  <c r="K1268" i="17"/>
  <c r="C1269" i="17"/>
  <c r="A1269" i="17" s="1"/>
  <c r="D1269" i="17"/>
  <c r="F1269" i="17"/>
  <c r="G1269" i="17"/>
  <c r="H1269" i="17"/>
  <c r="I1269" i="17"/>
  <c r="J1269" i="17"/>
  <c r="K1269" i="17"/>
  <c r="C1270" i="17"/>
  <c r="A1270" i="17" s="1"/>
  <c r="D1270" i="17"/>
  <c r="F1270" i="17"/>
  <c r="G1270" i="17"/>
  <c r="H1270" i="17"/>
  <c r="I1270" i="17"/>
  <c r="J1270" i="17"/>
  <c r="K1270" i="17"/>
  <c r="C1271" i="17"/>
  <c r="A1271" i="17" s="1"/>
  <c r="D1271" i="17"/>
  <c r="F1271" i="17"/>
  <c r="G1271" i="17"/>
  <c r="H1271" i="17"/>
  <c r="I1271" i="17"/>
  <c r="J1271" i="17"/>
  <c r="K1271" i="17"/>
  <c r="C1272" i="17"/>
  <c r="D1272" i="17"/>
  <c r="F1272" i="17"/>
  <c r="G1272" i="17"/>
  <c r="H1272" i="17"/>
  <c r="I1272" i="17"/>
  <c r="J1272" i="17"/>
  <c r="K1272" i="17"/>
  <c r="C1273" i="17"/>
  <c r="A1273" i="17" s="1"/>
  <c r="D1273" i="17"/>
  <c r="F1273" i="17"/>
  <c r="G1273" i="17"/>
  <c r="H1273" i="17"/>
  <c r="I1273" i="17"/>
  <c r="J1273" i="17"/>
  <c r="K1273" i="17"/>
  <c r="C1274" i="17"/>
  <c r="A1274" i="17" s="1"/>
  <c r="D1274" i="17"/>
  <c r="F1274" i="17"/>
  <c r="G1274" i="17"/>
  <c r="H1274" i="17"/>
  <c r="I1274" i="17"/>
  <c r="J1274" i="17"/>
  <c r="K1274" i="17"/>
  <c r="C1275" i="17"/>
  <c r="A1275" i="17" s="1"/>
  <c r="D1275" i="17"/>
  <c r="F1275" i="17"/>
  <c r="G1275" i="17"/>
  <c r="H1275" i="17"/>
  <c r="I1275" i="17"/>
  <c r="J1275" i="17"/>
  <c r="K1275" i="17"/>
  <c r="C1276" i="17"/>
  <c r="A1276" i="17" s="1"/>
  <c r="D1276" i="17"/>
  <c r="F1276" i="17"/>
  <c r="G1276" i="17"/>
  <c r="H1276" i="17"/>
  <c r="I1276" i="17"/>
  <c r="J1276" i="17"/>
  <c r="K1276" i="17"/>
  <c r="C1277" i="17"/>
  <c r="A1277" i="17" s="1"/>
  <c r="D1277" i="17"/>
  <c r="F1277" i="17"/>
  <c r="G1277" i="17"/>
  <c r="H1277" i="17"/>
  <c r="I1277" i="17"/>
  <c r="J1277" i="17"/>
  <c r="K1277" i="17"/>
  <c r="C1278" i="17"/>
  <c r="A1278" i="17" s="1"/>
  <c r="D1278" i="17"/>
  <c r="F1278" i="17"/>
  <c r="G1278" i="17"/>
  <c r="H1278" i="17"/>
  <c r="I1278" i="17"/>
  <c r="J1278" i="17"/>
  <c r="K1278" i="17"/>
  <c r="C1279" i="17"/>
  <c r="A1279" i="17" s="1"/>
  <c r="D1279" i="17"/>
  <c r="F1279" i="17"/>
  <c r="G1279" i="17"/>
  <c r="H1279" i="17"/>
  <c r="I1279" i="17"/>
  <c r="J1279" i="17"/>
  <c r="K1279" i="17"/>
  <c r="C1280" i="17"/>
  <c r="A1280" i="17" s="1"/>
  <c r="D1280" i="17"/>
  <c r="F1280" i="17"/>
  <c r="G1280" i="17"/>
  <c r="H1280" i="17"/>
  <c r="I1280" i="17"/>
  <c r="J1280" i="17"/>
  <c r="K1280" i="17"/>
  <c r="C1281" i="17"/>
  <c r="A1281" i="17" s="1"/>
  <c r="D1281" i="17"/>
  <c r="F1281" i="17"/>
  <c r="G1281" i="17"/>
  <c r="H1281" i="17"/>
  <c r="I1281" i="17"/>
  <c r="J1281" i="17"/>
  <c r="K1281" i="17"/>
  <c r="C1282" i="17"/>
  <c r="A1282" i="17" s="1"/>
  <c r="D1282" i="17"/>
  <c r="F1282" i="17"/>
  <c r="G1282" i="17"/>
  <c r="H1282" i="17"/>
  <c r="I1282" i="17"/>
  <c r="J1282" i="17"/>
  <c r="K1282" i="17"/>
  <c r="C1283" i="17"/>
  <c r="A1283" i="17" s="1"/>
  <c r="D1283" i="17"/>
  <c r="F1283" i="17"/>
  <c r="G1283" i="17"/>
  <c r="H1283" i="17"/>
  <c r="I1283" i="17"/>
  <c r="J1283" i="17"/>
  <c r="K1283" i="17"/>
  <c r="C1284" i="17"/>
  <c r="D1284" i="17"/>
  <c r="F1284" i="17"/>
  <c r="G1284" i="17"/>
  <c r="H1284" i="17"/>
  <c r="I1284" i="17"/>
  <c r="J1284" i="17"/>
  <c r="K1284" i="17"/>
  <c r="C1285" i="17"/>
  <c r="A1285" i="17" s="1"/>
  <c r="D1285" i="17"/>
  <c r="F1285" i="17"/>
  <c r="G1285" i="17"/>
  <c r="H1285" i="17"/>
  <c r="I1285" i="17"/>
  <c r="J1285" i="17"/>
  <c r="K1285" i="17"/>
  <c r="C1286" i="17"/>
  <c r="A1286" i="17" s="1"/>
  <c r="D1286" i="17"/>
  <c r="F1286" i="17"/>
  <c r="G1286" i="17"/>
  <c r="H1286" i="17"/>
  <c r="I1286" i="17"/>
  <c r="J1286" i="17"/>
  <c r="K1286" i="17"/>
  <c r="C1287" i="17"/>
  <c r="A1287" i="17" s="1"/>
  <c r="D1287" i="17"/>
  <c r="F1287" i="17"/>
  <c r="G1287" i="17"/>
  <c r="H1287" i="17"/>
  <c r="I1287" i="17"/>
  <c r="J1287" i="17"/>
  <c r="K1287" i="17"/>
  <c r="C1288" i="17"/>
  <c r="A1288" i="17" s="1"/>
  <c r="D1288" i="17"/>
  <c r="F1288" i="17"/>
  <c r="G1288" i="17"/>
  <c r="H1288" i="17"/>
  <c r="I1288" i="17"/>
  <c r="J1288" i="17"/>
  <c r="K1288" i="17"/>
  <c r="C1289" i="17"/>
  <c r="A1289" i="17" s="1"/>
  <c r="D1289" i="17"/>
  <c r="F1289" i="17"/>
  <c r="G1289" i="17"/>
  <c r="H1289" i="17"/>
  <c r="I1289" i="17"/>
  <c r="J1289" i="17"/>
  <c r="K1289" i="17"/>
  <c r="C1290" i="17"/>
  <c r="A1290" i="17" s="1"/>
  <c r="D1290" i="17"/>
  <c r="F1290" i="17"/>
  <c r="G1290" i="17"/>
  <c r="H1290" i="17"/>
  <c r="I1290" i="17"/>
  <c r="J1290" i="17"/>
  <c r="K1290" i="17"/>
  <c r="C1291" i="17"/>
  <c r="A1291" i="17" s="1"/>
  <c r="D1291" i="17"/>
  <c r="F1291" i="17"/>
  <c r="G1291" i="17"/>
  <c r="H1291" i="17"/>
  <c r="I1291" i="17"/>
  <c r="J1291" i="17"/>
  <c r="K1291" i="17"/>
  <c r="C1292" i="17"/>
  <c r="A1292" i="17" s="1"/>
  <c r="D1292" i="17"/>
  <c r="F1292" i="17"/>
  <c r="G1292" i="17"/>
  <c r="H1292" i="17"/>
  <c r="I1292" i="17"/>
  <c r="J1292" i="17"/>
  <c r="K1292" i="17"/>
  <c r="C1293" i="17"/>
  <c r="A1293" i="17" s="1"/>
  <c r="D1293" i="17"/>
  <c r="F1293" i="17"/>
  <c r="G1293" i="17"/>
  <c r="H1293" i="17"/>
  <c r="I1293" i="17"/>
  <c r="J1293" i="17"/>
  <c r="K1293" i="17"/>
  <c r="C1294" i="17"/>
  <c r="A1294" i="17" s="1"/>
  <c r="D1294" i="17"/>
  <c r="F1294" i="17"/>
  <c r="G1294" i="17"/>
  <c r="H1294" i="17"/>
  <c r="I1294" i="17"/>
  <c r="J1294" i="17"/>
  <c r="K1294" i="17"/>
  <c r="C1295" i="17"/>
  <c r="A1295" i="17" s="1"/>
  <c r="D1295" i="17"/>
  <c r="F1295" i="17"/>
  <c r="G1295" i="17"/>
  <c r="H1295" i="17"/>
  <c r="I1295" i="17"/>
  <c r="J1295" i="17"/>
  <c r="K1295" i="17"/>
  <c r="C1296" i="17"/>
  <c r="D1296" i="17"/>
  <c r="F1296" i="17"/>
  <c r="G1296" i="17"/>
  <c r="H1296" i="17"/>
  <c r="I1296" i="17"/>
  <c r="J1296" i="17"/>
  <c r="K1296" i="17"/>
  <c r="C1297" i="17"/>
  <c r="A1297" i="17" s="1"/>
  <c r="D1297" i="17"/>
  <c r="F1297" i="17"/>
  <c r="G1297" i="17"/>
  <c r="H1297" i="17"/>
  <c r="I1297" i="17"/>
  <c r="J1297" i="17"/>
  <c r="K1297" i="17"/>
  <c r="C1298" i="17"/>
  <c r="A1298" i="17" s="1"/>
  <c r="D1298" i="17"/>
  <c r="F1298" i="17"/>
  <c r="G1298" i="17"/>
  <c r="H1298" i="17"/>
  <c r="I1298" i="17"/>
  <c r="J1298" i="17"/>
  <c r="K1298" i="17"/>
  <c r="C1299" i="17"/>
  <c r="A1299" i="17" s="1"/>
  <c r="D1299" i="17"/>
  <c r="F1299" i="17"/>
  <c r="G1299" i="17"/>
  <c r="H1299" i="17"/>
  <c r="I1299" i="17"/>
  <c r="J1299" i="17"/>
  <c r="K1299" i="17"/>
  <c r="C1300" i="17"/>
  <c r="A1300" i="17" s="1"/>
  <c r="D1300" i="17"/>
  <c r="F1300" i="17"/>
  <c r="G1300" i="17"/>
  <c r="H1300" i="17"/>
  <c r="I1300" i="17"/>
  <c r="J1300" i="17"/>
  <c r="K1300" i="17"/>
  <c r="C1301" i="17"/>
  <c r="A1301" i="17" s="1"/>
  <c r="D1301" i="17"/>
  <c r="F1301" i="17"/>
  <c r="G1301" i="17"/>
  <c r="H1301" i="17"/>
  <c r="I1301" i="17"/>
  <c r="J1301" i="17"/>
  <c r="K1301" i="17"/>
  <c r="C1302" i="17"/>
  <c r="A1302" i="17" s="1"/>
  <c r="D1302" i="17"/>
  <c r="F1302" i="17"/>
  <c r="G1302" i="17"/>
  <c r="H1302" i="17"/>
  <c r="I1302" i="17"/>
  <c r="J1302" i="17"/>
  <c r="K1302" i="17"/>
  <c r="C1303" i="17"/>
  <c r="A1303" i="17" s="1"/>
  <c r="D1303" i="17"/>
  <c r="F1303" i="17"/>
  <c r="G1303" i="17"/>
  <c r="H1303" i="17"/>
  <c r="I1303" i="17"/>
  <c r="J1303" i="17"/>
  <c r="K1303" i="17"/>
  <c r="C1304" i="17"/>
  <c r="A1304" i="17" s="1"/>
  <c r="D1304" i="17"/>
  <c r="F1304" i="17"/>
  <c r="G1304" i="17"/>
  <c r="H1304" i="17"/>
  <c r="I1304" i="17"/>
  <c r="J1304" i="17"/>
  <c r="K1304" i="17"/>
  <c r="C1305" i="17"/>
  <c r="A1305" i="17" s="1"/>
  <c r="D1305" i="17"/>
  <c r="F1305" i="17"/>
  <c r="G1305" i="17"/>
  <c r="H1305" i="17"/>
  <c r="I1305" i="17"/>
  <c r="J1305" i="17"/>
  <c r="K1305" i="17"/>
  <c r="C1306" i="17"/>
  <c r="A1306" i="17" s="1"/>
  <c r="D1306" i="17"/>
  <c r="F1306" i="17"/>
  <c r="G1306" i="17"/>
  <c r="H1306" i="17"/>
  <c r="I1306" i="17"/>
  <c r="J1306" i="17"/>
  <c r="K1306" i="17"/>
  <c r="C1307" i="17"/>
  <c r="A1307" i="17" s="1"/>
  <c r="D1307" i="17"/>
  <c r="F1307" i="17"/>
  <c r="G1307" i="17"/>
  <c r="H1307" i="17"/>
  <c r="I1307" i="17"/>
  <c r="J1307" i="17"/>
  <c r="K1307" i="17"/>
  <c r="C1308" i="17"/>
  <c r="D1308" i="17"/>
  <c r="F1308" i="17"/>
  <c r="G1308" i="17"/>
  <c r="H1308" i="17"/>
  <c r="I1308" i="17"/>
  <c r="J1308" i="17"/>
  <c r="K1308" i="17"/>
  <c r="C1309" i="17"/>
  <c r="A1309" i="17" s="1"/>
  <c r="D1309" i="17"/>
  <c r="F1309" i="17"/>
  <c r="G1309" i="17"/>
  <c r="H1309" i="17"/>
  <c r="I1309" i="17"/>
  <c r="J1309" i="17"/>
  <c r="K1309" i="17"/>
  <c r="C1310" i="17"/>
  <c r="A1310" i="17" s="1"/>
  <c r="D1310" i="17"/>
  <c r="F1310" i="17"/>
  <c r="G1310" i="17"/>
  <c r="H1310" i="17"/>
  <c r="I1310" i="17"/>
  <c r="J1310" i="17"/>
  <c r="K1310" i="17"/>
  <c r="C1311" i="17"/>
  <c r="A1311" i="17" s="1"/>
  <c r="D1311" i="17"/>
  <c r="F1311" i="17"/>
  <c r="G1311" i="17"/>
  <c r="H1311" i="17"/>
  <c r="I1311" i="17"/>
  <c r="J1311" i="17"/>
  <c r="K1311" i="17"/>
  <c r="C1312" i="17"/>
  <c r="A1312" i="17" s="1"/>
  <c r="D1312" i="17"/>
  <c r="F1312" i="17"/>
  <c r="G1312" i="17"/>
  <c r="H1312" i="17"/>
  <c r="I1312" i="17"/>
  <c r="J1312" i="17"/>
  <c r="K1312" i="17"/>
  <c r="C1313" i="17"/>
  <c r="A1313" i="17" s="1"/>
  <c r="D1313" i="17"/>
  <c r="F1313" i="17"/>
  <c r="G1313" i="17"/>
  <c r="H1313" i="17"/>
  <c r="I1313" i="17"/>
  <c r="J1313" i="17"/>
  <c r="K1313" i="17"/>
  <c r="C1314" i="17"/>
  <c r="A1314" i="17" s="1"/>
  <c r="D1314" i="17"/>
  <c r="F1314" i="17"/>
  <c r="G1314" i="17"/>
  <c r="H1314" i="17"/>
  <c r="I1314" i="17"/>
  <c r="J1314" i="17"/>
  <c r="K1314" i="17"/>
  <c r="C1315" i="17"/>
  <c r="A1315" i="17" s="1"/>
  <c r="D1315" i="17"/>
  <c r="F1315" i="17"/>
  <c r="G1315" i="17"/>
  <c r="H1315" i="17"/>
  <c r="I1315" i="17"/>
  <c r="J1315" i="17"/>
  <c r="K1315" i="17"/>
  <c r="C1316" i="17"/>
  <c r="A1316" i="17" s="1"/>
  <c r="D1316" i="17"/>
  <c r="F1316" i="17"/>
  <c r="G1316" i="17"/>
  <c r="H1316" i="17"/>
  <c r="I1316" i="17"/>
  <c r="J1316" i="17"/>
  <c r="K1316" i="17"/>
  <c r="C1317" i="17"/>
  <c r="A1317" i="17" s="1"/>
  <c r="D1317" i="17"/>
  <c r="F1317" i="17"/>
  <c r="G1317" i="17"/>
  <c r="H1317" i="17"/>
  <c r="I1317" i="17"/>
  <c r="J1317" i="17"/>
  <c r="K1317" i="17"/>
  <c r="C1318" i="17"/>
  <c r="A1318" i="17" s="1"/>
  <c r="D1318" i="17"/>
  <c r="F1318" i="17"/>
  <c r="G1318" i="17"/>
  <c r="H1318" i="17"/>
  <c r="I1318" i="17"/>
  <c r="J1318" i="17"/>
  <c r="K1318" i="17"/>
  <c r="C1319" i="17"/>
  <c r="A1319" i="17" s="1"/>
  <c r="D1319" i="17"/>
  <c r="F1319" i="17"/>
  <c r="G1319" i="17"/>
  <c r="H1319" i="17"/>
  <c r="I1319" i="17"/>
  <c r="J1319" i="17"/>
  <c r="K1319" i="17"/>
  <c r="C1320" i="17"/>
  <c r="D1320" i="17"/>
  <c r="F1320" i="17"/>
  <c r="G1320" i="17"/>
  <c r="H1320" i="17"/>
  <c r="I1320" i="17"/>
  <c r="J1320" i="17"/>
  <c r="K1320" i="17"/>
  <c r="C1321" i="17"/>
  <c r="A1321" i="17" s="1"/>
  <c r="D1321" i="17"/>
  <c r="F1321" i="17"/>
  <c r="G1321" i="17"/>
  <c r="H1321" i="17"/>
  <c r="I1321" i="17"/>
  <c r="J1321" i="17"/>
  <c r="K1321" i="17"/>
  <c r="C1322" i="17"/>
  <c r="A1322" i="17" s="1"/>
  <c r="D1322" i="17"/>
  <c r="F1322" i="17"/>
  <c r="G1322" i="17"/>
  <c r="H1322" i="17"/>
  <c r="I1322" i="17"/>
  <c r="J1322" i="17"/>
  <c r="K1322" i="17"/>
  <c r="C1323" i="17"/>
  <c r="A1323" i="17" s="1"/>
  <c r="D1323" i="17"/>
  <c r="F1323" i="17"/>
  <c r="G1323" i="17"/>
  <c r="H1323" i="17"/>
  <c r="I1323" i="17"/>
  <c r="J1323" i="17"/>
  <c r="K1323" i="17"/>
  <c r="C1324" i="17"/>
  <c r="A1324" i="17" s="1"/>
  <c r="D1324" i="17"/>
  <c r="F1324" i="17"/>
  <c r="G1324" i="17"/>
  <c r="H1324" i="17"/>
  <c r="I1324" i="17"/>
  <c r="J1324" i="17"/>
  <c r="K1324" i="17"/>
  <c r="C1325" i="17"/>
  <c r="A1325" i="17" s="1"/>
  <c r="D1325" i="17"/>
  <c r="F1325" i="17"/>
  <c r="G1325" i="17"/>
  <c r="H1325" i="17"/>
  <c r="I1325" i="17"/>
  <c r="J1325" i="17"/>
  <c r="K1325" i="17"/>
  <c r="C1326" i="17"/>
  <c r="A1326" i="17" s="1"/>
  <c r="D1326" i="17"/>
  <c r="F1326" i="17"/>
  <c r="G1326" i="17"/>
  <c r="H1326" i="17"/>
  <c r="I1326" i="17"/>
  <c r="J1326" i="17"/>
  <c r="K1326" i="17"/>
  <c r="C1327" i="17"/>
  <c r="A1327" i="17" s="1"/>
  <c r="D1327" i="17"/>
  <c r="F1327" i="17"/>
  <c r="G1327" i="17"/>
  <c r="H1327" i="17"/>
  <c r="I1327" i="17"/>
  <c r="J1327" i="17"/>
  <c r="K1327" i="17"/>
  <c r="C1328" i="17"/>
  <c r="A1328" i="17" s="1"/>
  <c r="D1328" i="17"/>
  <c r="F1328" i="17"/>
  <c r="G1328" i="17"/>
  <c r="H1328" i="17"/>
  <c r="I1328" i="17"/>
  <c r="J1328" i="17"/>
  <c r="K1328" i="17"/>
  <c r="C1329" i="17"/>
  <c r="A1329" i="17" s="1"/>
  <c r="D1329" i="17"/>
  <c r="F1329" i="17"/>
  <c r="G1329" i="17"/>
  <c r="H1329" i="17"/>
  <c r="I1329" i="17"/>
  <c r="J1329" i="17"/>
  <c r="K1329" i="17"/>
  <c r="C1330" i="17"/>
  <c r="A1330" i="17" s="1"/>
  <c r="D1330" i="17"/>
  <c r="F1330" i="17"/>
  <c r="G1330" i="17"/>
  <c r="H1330" i="17"/>
  <c r="I1330" i="17"/>
  <c r="J1330" i="17"/>
  <c r="K1330" i="17"/>
  <c r="C1331" i="17"/>
  <c r="A1331" i="17" s="1"/>
  <c r="D1331" i="17"/>
  <c r="F1331" i="17"/>
  <c r="G1331" i="17"/>
  <c r="H1331" i="17"/>
  <c r="I1331" i="17"/>
  <c r="J1331" i="17"/>
  <c r="K1331" i="17"/>
  <c r="C1332" i="17"/>
  <c r="D1332" i="17"/>
  <c r="F1332" i="17"/>
  <c r="G1332" i="17"/>
  <c r="H1332" i="17"/>
  <c r="I1332" i="17"/>
  <c r="J1332" i="17"/>
  <c r="K1332" i="17"/>
  <c r="C1333" i="17"/>
  <c r="A1333" i="17" s="1"/>
  <c r="D1333" i="17"/>
  <c r="F1333" i="17"/>
  <c r="G1333" i="17"/>
  <c r="H1333" i="17"/>
  <c r="I1333" i="17"/>
  <c r="J1333" i="17"/>
  <c r="K1333" i="17"/>
  <c r="C1334" i="17"/>
  <c r="A1334" i="17" s="1"/>
  <c r="D1334" i="17"/>
  <c r="F1334" i="17"/>
  <c r="G1334" i="17"/>
  <c r="H1334" i="17"/>
  <c r="I1334" i="17"/>
  <c r="J1334" i="17"/>
  <c r="K1334" i="17"/>
  <c r="C1335" i="17"/>
  <c r="A1335" i="17" s="1"/>
  <c r="D1335" i="17"/>
  <c r="F1335" i="17"/>
  <c r="G1335" i="17"/>
  <c r="H1335" i="17"/>
  <c r="I1335" i="17"/>
  <c r="J1335" i="17"/>
  <c r="K1335" i="17"/>
  <c r="C1336" i="17"/>
  <c r="A1336" i="17" s="1"/>
  <c r="D1336" i="17"/>
  <c r="F1336" i="17"/>
  <c r="G1336" i="17"/>
  <c r="H1336" i="17"/>
  <c r="I1336" i="17"/>
  <c r="J1336" i="17"/>
  <c r="K1336" i="17"/>
  <c r="C1337" i="17"/>
  <c r="A1337" i="17" s="1"/>
  <c r="D1337" i="17"/>
  <c r="F1337" i="17"/>
  <c r="G1337" i="17"/>
  <c r="H1337" i="17"/>
  <c r="I1337" i="17"/>
  <c r="J1337" i="17"/>
  <c r="K1337" i="17"/>
  <c r="C1338" i="17"/>
  <c r="A1338" i="17" s="1"/>
  <c r="D1338" i="17"/>
  <c r="F1338" i="17"/>
  <c r="G1338" i="17"/>
  <c r="H1338" i="17"/>
  <c r="I1338" i="17"/>
  <c r="J1338" i="17"/>
  <c r="K1338" i="17"/>
  <c r="C1339" i="17"/>
  <c r="A1339" i="17" s="1"/>
  <c r="D1339" i="17"/>
  <c r="F1339" i="17"/>
  <c r="G1339" i="17"/>
  <c r="H1339" i="17"/>
  <c r="I1339" i="17"/>
  <c r="J1339" i="17"/>
  <c r="K1339" i="17"/>
  <c r="C1340" i="17"/>
  <c r="A1340" i="17" s="1"/>
  <c r="D1340" i="17"/>
  <c r="F1340" i="17"/>
  <c r="G1340" i="17"/>
  <c r="H1340" i="17"/>
  <c r="I1340" i="17"/>
  <c r="J1340" i="17"/>
  <c r="K1340" i="17"/>
  <c r="C1341" i="17"/>
  <c r="A1341" i="17" s="1"/>
  <c r="D1341" i="17"/>
  <c r="F1341" i="17"/>
  <c r="G1341" i="17"/>
  <c r="H1341" i="17"/>
  <c r="I1341" i="17"/>
  <c r="J1341" i="17"/>
  <c r="K1341" i="17"/>
  <c r="C1342" i="17"/>
  <c r="A1342" i="17" s="1"/>
  <c r="D1342" i="17"/>
  <c r="F1342" i="17"/>
  <c r="G1342" i="17"/>
  <c r="H1342" i="17"/>
  <c r="I1342" i="17"/>
  <c r="J1342" i="17"/>
  <c r="K1342" i="17"/>
  <c r="C1343" i="17"/>
  <c r="A1343" i="17" s="1"/>
  <c r="D1343" i="17"/>
  <c r="F1343" i="17"/>
  <c r="G1343" i="17"/>
  <c r="H1343" i="17"/>
  <c r="I1343" i="17"/>
  <c r="J1343" i="17"/>
  <c r="K1343" i="17"/>
  <c r="C1344" i="17"/>
  <c r="D1344" i="17"/>
  <c r="F1344" i="17"/>
  <c r="G1344" i="17"/>
  <c r="H1344" i="17"/>
  <c r="I1344" i="17"/>
  <c r="J1344" i="17"/>
  <c r="K1344" i="17"/>
  <c r="C1345" i="17"/>
  <c r="A1345" i="17" s="1"/>
  <c r="D1345" i="17"/>
  <c r="F1345" i="17"/>
  <c r="G1345" i="17"/>
  <c r="H1345" i="17"/>
  <c r="I1345" i="17"/>
  <c r="J1345" i="17"/>
  <c r="K1345" i="17"/>
  <c r="C1346" i="17"/>
  <c r="A1346" i="17" s="1"/>
  <c r="D1346" i="17"/>
  <c r="F1346" i="17"/>
  <c r="G1346" i="17"/>
  <c r="H1346" i="17"/>
  <c r="I1346" i="17"/>
  <c r="J1346" i="17"/>
  <c r="K1346" i="17"/>
  <c r="C1347" i="17"/>
  <c r="A1347" i="17" s="1"/>
  <c r="D1347" i="17"/>
  <c r="F1347" i="17"/>
  <c r="G1347" i="17"/>
  <c r="H1347" i="17"/>
  <c r="I1347" i="17"/>
  <c r="J1347" i="17"/>
  <c r="K1347" i="17"/>
  <c r="C1348" i="17"/>
  <c r="A1348" i="17" s="1"/>
  <c r="D1348" i="17"/>
  <c r="F1348" i="17"/>
  <c r="G1348" i="17"/>
  <c r="H1348" i="17"/>
  <c r="I1348" i="17"/>
  <c r="J1348" i="17"/>
  <c r="K1348" i="17"/>
  <c r="C1349" i="17"/>
  <c r="A1349" i="17" s="1"/>
  <c r="D1349" i="17"/>
  <c r="F1349" i="17"/>
  <c r="G1349" i="17"/>
  <c r="H1349" i="17"/>
  <c r="I1349" i="17"/>
  <c r="J1349" i="17"/>
  <c r="K1349" i="17"/>
  <c r="C1350" i="17"/>
  <c r="A1350" i="17" s="1"/>
  <c r="D1350" i="17"/>
  <c r="F1350" i="17"/>
  <c r="G1350" i="17"/>
  <c r="H1350" i="17"/>
  <c r="I1350" i="17"/>
  <c r="J1350" i="17"/>
  <c r="K1350" i="17"/>
  <c r="C1351" i="17"/>
  <c r="A1351" i="17" s="1"/>
  <c r="D1351" i="17"/>
  <c r="F1351" i="17"/>
  <c r="G1351" i="17"/>
  <c r="H1351" i="17"/>
  <c r="I1351" i="17"/>
  <c r="J1351" i="17"/>
  <c r="K1351" i="17"/>
  <c r="C1352" i="17"/>
  <c r="A1352" i="17" s="1"/>
  <c r="D1352" i="17"/>
  <c r="F1352" i="17"/>
  <c r="G1352" i="17"/>
  <c r="H1352" i="17"/>
  <c r="I1352" i="17"/>
  <c r="J1352" i="17"/>
  <c r="K1352" i="17"/>
  <c r="C1353" i="17"/>
  <c r="A1353" i="17" s="1"/>
  <c r="D1353" i="17"/>
  <c r="F1353" i="17"/>
  <c r="G1353" i="17"/>
  <c r="H1353" i="17"/>
  <c r="I1353" i="17"/>
  <c r="J1353" i="17"/>
  <c r="K1353" i="17"/>
  <c r="C1354" i="17"/>
  <c r="A1354" i="17" s="1"/>
  <c r="D1354" i="17"/>
  <c r="F1354" i="17"/>
  <c r="G1354" i="17"/>
  <c r="H1354" i="17"/>
  <c r="I1354" i="17"/>
  <c r="J1354" i="17"/>
  <c r="K1354" i="17"/>
  <c r="C1355" i="17"/>
  <c r="A1355" i="17" s="1"/>
  <c r="D1355" i="17"/>
  <c r="F1355" i="17"/>
  <c r="G1355" i="17"/>
  <c r="H1355" i="17"/>
  <c r="I1355" i="17"/>
  <c r="J1355" i="17"/>
  <c r="K1355" i="17"/>
  <c r="C1356" i="17"/>
  <c r="D1356" i="17"/>
  <c r="F1356" i="17"/>
  <c r="G1356" i="17"/>
  <c r="H1356" i="17"/>
  <c r="I1356" i="17"/>
  <c r="J1356" i="17"/>
  <c r="K1356" i="17"/>
  <c r="C1357" i="17"/>
  <c r="A1357" i="17" s="1"/>
  <c r="D1357" i="17"/>
  <c r="F1357" i="17"/>
  <c r="G1357" i="17"/>
  <c r="H1357" i="17"/>
  <c r="I1357" i="17"/>
  <c r="J1357" i="17"/>
  <c r="K1357" i="17"/>
  <c r="C1358" i="17"/>
  <c r="A1358" i="17" s="1"/>
  <c r="D1358" i="17"/>
  <c r="F1358" i="17"/>
  <c r="G1358" i="17"/>
  <c r="H1358" i="17"/>
  <c r="I1358" i="17"/>
  <c r="J1358" i="17"/>
  <c r="K1358" i="17"/>
  <c r="C1359" i="17"/>
  <c r="A1359" i="17" s="1"/>
  <c r="D1359" i="17"/>
  <c r="F1359" i="17"/>
  <c r="G1359" i="17"/>
  <c r="H1359" i="17"/>
  <c r="I1359" i="17"/>
  <c r="J1359" i="17"/>
  <c r="K1359" i="17"/>
  <c r="C1360" i="17"/>
  <c r="A1360" i="17" s="1"/>
  <c r="D1360" i="17"/>
  <c r="F1360" i="17"/>
  <c r="G1360" i="17"/>
  <c r="H1360" i="17"/>
  <c r="I1360" i="17"/>
  <c r="J1360" i="17"/>
  <c r="K1360" i="17"/>
  <c r="C1361" i="17"/>
  <c r="A1361" i="17" s="1"/>
  <c r="D1361" i="17"/>
  <c r="F1361" i="17"/>
  <c r="G1361" i="17"/>
  <c r="H1361" i="17"/>
  <c r="I1361" i="17"/>
  <c r="J1361" i="17"/>
  <c r="K1361" i="17"/>
  <c r="C1362" i="17"/>
  <c r="A1362" i="17" s="1"/>
  <c r="D1362" i="17"/>
  <c r="F1362" i="17"/>
  <c r="G1362" i="17"/>
  <c r="H1362" i="17"/>
  <c r="I1362" i="17"/>
  <c r="J1362" i="17"/>
  <c r="K1362" i="17"/>
  <c r="C1363" i="17"/>
  <c r="A1363" i="17" s="1"/>
  <c r="D1363" i="17"/>
  <c r="F1363" i="17"/>
  <c r="G1363" i="17"/>
  <c r="H1363" i="17"/>
  <c r="I1363" i="17"/>
  <c r="J1363" i="17"/>
  <c r="K1363" i="17"/>
  <c r="C1364" i="17"/>
  <c r="A1364" i="17" s="1"/>
  <c r="D1364" i="17"/>
  <c r="F1364" i="17"/>
  <c r="G1364" i="17"/>
  <c r="H1364" i="17"/>
  <c r="I1364" i="17"/>
  <c r="J1364" i="17"/>
  <c r="K1364" i="17"/>
  <c r="C1365" i="17"/>
  <c r="A1365" i="17" s="1"/>
  <c r="D1365" i="17"/>
  <c r="F1365" i="17"/>
  <c r="G1365" i="17"/>
  <c r="H1365" i="17"/>
  <c r="I1365" i="17"/>
  <c r="J1365" i="17"/>
  <c r="K1365" i="17"/>
  <c r="C1366" i="17"/>
  <c r="A1366" i="17" s="1"/>
  <c r="D1366" i="17"/>
  <c r="F1366" i="17"/>
  <c r="G1366" i="17"/>
  <c r="H1366" i="17"/>
  <c r="I1366" i="17"/>
  <c r="J1366" i="17"/>
  <c r="K1366" i="17"/>
  <c r="C1367" i="17"/>
  <c r="A1367" i="17" s="1"/>
  <c r="D1367" i="17"/>
  <c r="F1367" i="17"/>
  <c r="G1367" i="17"/>
  <c r="H1367" i="17"/>
  <c r="I1367" i="17"/>
  <c r="J1367" i="17"/>
  <c r="K1367" i="17"/>
  <c r="C1368" i="17"/>
  <c r="D1368" i="17"/>
  <c r="F1368" i="17"/>
  <c r="G1368" i="17"/>
  <c r="H1368" i="17"/>
  <c r="I1368" i="17"/>
  <c r="J1368" i="17"/>
  <c r="K1368" i="17"/>
  <c r="C1369" i="17"/>
  <c r="A1369" i="17" s="1"/>
  <c r="D1369" i="17"/>
  <c r="F1369" i="17"/>
  <c r="G1369" i="17"/>
  <c r="H1369" i="17"/>
  <c r="I1369" i="17"/>
  <c r="J1369" i="17"/>
  <c r="K1369" i="17"/>
  <c r="C1370" i="17"/>
  <c r="A1370" i="17" s="1"/>
  <c r="D1370" i="17"/>
  <c r="F1370" i="17"/>
  <c r="G1370" i="17"/>
  <c r="H1370" i="17"/>
  <c r="I1370" i="17"/>
  <c r="J1370" i="17"/>
  <c r="K1370" i="17"/>
  <c r="C1371" i="17"/>
  <c r="A1371" i="17" s="1"/>
  <c r="D1371" i="17"/>
  <c r="F1371" i="17"/>
  <c r="G1371" i="17"/>
  <c r="H1371" i="17"/>
  <c r="I1371" i="17"/>
  <c r="J1371" i="17"/>
  <c r="K1371" i="17"/>
  <c r="C1372" i="17"/>
  <c r="A1372" i="17" s="1"/>
  <c r="D1372" i="17"/>
  <c r="F1372" i="17"/>
  <c r="G1372" i="17"/>
  <c r="H1372" i="17"/>
  <c r="I1372" i="17"/>
  <c r="J1372" i="17"/>
  <c r="K1372" i="17"/>
  <c r="C1373" i="17"/>
  <c r="A1373" i="17" s="1"/>
  <c r="D1373" i="17"/>
  <c r="F1373" i="17"/>
  <c r="G1373" i="17"/>
  <c r="H1373" i="17"/>
  <c r="I1373" i="17"/>
  <c r="J1373" i="17"/>
  <c r="K1373" i="17"/>
  <c r="C1374" i="17"/>
  <c r="A1374" i="17" s="1"/>
  <c r="D1374" i="17"/>
  <c r="F1374" i="17"/>
  <c r="G1374" i="17"/>
  <c r="H1374" i="17"/>
  <c r="I1374" i="17"/>
  <c r="J1374" i="17"/>
  <c r="K1374" i="17"/>
  <c r="C1375" i="17"/>
  <c r="A1375" i="17" s="1"/>
  <c r="D1375" i="17"/>
  <c r="F1375" i="17"/>
  <c r="G1375" i="17"/>
  <c r="H1375" i="17"/>
  <c r="I1375" i="17"/>
  <c r="J1375" i="17"/>
  <c r="K1375" i="17"/>
  <c r="C1376" i="17"/>
  <c r="A1376" i="17" s="1"/>
  <c r="D1376" i="17"/>
  <c r="F1376" i="17"/>
  <c r="G1376" i="17"/>
  <c r="H1376" i="17"/>
  <c r="I1376" i="17"/>
  <c r="J1376" i="17"/>
  <c r="K1376" i="17"/>
  <c r="C1377" i="17"/>
  <c r="A1377" i="17" s="1"/>
  <c r="D1377" i="17"/>
  <c r="F1377" i="17"/>
  <c r="G1377" i="17"/>
  <c r="H1377" i="17"/>
  <c r="I1377" i="17"/>
  <c r="J1377" i="17"/>
  <c r="K1377" i="17"/>
  <c r="C1378" i="17"/>
  <c r="A1378" i="17" s="1"/>
  <c r="D1378" i="17"/>
  <c r="F1378" i="17"/>
  <c r="G1378" i="17"/>
  <c r="H1378" i="17"/>
  <c r="I1378" i="17"/>
  <c r="J1378" i="17"/>
  <c r="K1378" i="17"/>
  <c r="C1379" i="17"/>
  <c r="A1379" i="17" s="1"/>
  <c r="D1379" i="17"/>
  <c r="F1379" i="17"/>
  <c r="G1379" i="17"/>
  <c r="H1379" i="17"/>
  <c r="I1379" i="17"/>
  <c r="J1379" i="17"/>
  <c r="K1379" i="17"/>
  <c r="C1380" i="17"/>
  <c r="D1380" i="17"/>
  <c r="F1380" i="17"/>
  <c r="G1380" i="17"/>
  <c r="H1380" i="17"/>
  <c r="I1380" i="17"/>
  <c r="J1380" i="17"/>
  <c r="K1380" i="17"/>
  <c r="C1381" i="17"/>
  <c r="A1381" i="17" s="1"/>
  <c r="D1381" i="17"/>
  <c r="F1381" i="17"/>
  <c r="G1381" i="17"/>
  <c r="H1381" i="17"/>
  <c r="I1381" i="17"/>
  <c r="J1381" i="17"/>
  <c r="K1381" i="17"/>
  <c r="C1382" i="17"/>
  <c r="A1382" i="17" s="1"/>
  <c r="D1382" i="17"/>
  <c r="F1382" i="17"/>
  <c r="G1382" i="17"/>
  <c r="H1382" i="17"/>
  <c r="I1382" i="17"/>
  <c r="J1382" i="17"/>
  <c r="K1382" i="17"/>
  <c r="C1383" i="17"/>
  <c r="A1383" i="17" s="1"/>
  <c r="D1383" i="17"/>
  <c r="F1383" i="17"/>
  <c r="G1383" i="17"/>
  <c r="H1383" i="17"/>
  <c r="I1383" i="17"/>
  <c r="J1383" i="17"/>
  <c r="K1383" i="17"/>
  <c r="C1384" i="17"/>
  <c r="A1384" i="17" s="1"/>
  <c r="D1384" i="17"/>
  <c r="F1384" i="17"/>
  <c r="G1384" i="17"/>
  <c r="H1384" i="17"/>
  <c r="I1384" i="17"/>
  <c r="J1384" i="17"/>
  <c r="K1384" i="17"/>
  <c r="C1385" i="17"/>
  <c r="A1385" i="17" s="1"/>
  <c r="D1385" i="17"/>
  <c r="F1385" i="17"/>
  <c r="G1385" i="17"/>
  <c r="H1385" i="17"/>
  <c r="I1385" i="17"/>
  <c r="J1385" i="17"/>
  <c r="K1385" i="17"/>
  <c r="C1386" i="17"/>
  <c r="A1386" i="17" s="1"/>
  <c r="D1386" i="17"/>
  <c r="F1386" i="17"/>
  <c r="G1386" i="17"/>
  <c r="H1386" i="17"/>
  <c r="I1386" i="17"/>
  <c r="J1386" i="17"/>
  <c r="K1386" i="17"/>
  <c r="C1387" i="17"/>
  <c r="A1387" i="17" s="1"/>
  <c r="D1387" i="17"/>
  <c r="F1387" i="17"/>
  <c r="G1387" i="17"/>
  <c r="H1387" i="17"/>
  <c r="I1387" i="17"/>
  <c r="J1387" i="17"/>
  <c r="K1387" i="17"/>
  <c r="C1388" i="17"/>
  <c r="A1388" i="17" s="1"/>
  <c r="D1388" i="17"/>
  <c r="F1388" i="17"/>
  <c r="G1388" i="17"/>
  <c r="H1388" i="17"/>
  <c r="I1388" i="17"/>
  <c r="J1388" i="17"/>
  <c r="K1388" i="17"/>
  <c r="C1389" i="17"/>
  <c r="A1389" i="17" s="1"/>
  <c r="D1389" i="17"/>
  <c r="F1389" i="17"/>
  <c r="G1389" i="17"/>
  <c r="H1389" i="17"/>
  <c r="I1389" i="17"/>
  <c r="J1389" i="17"/>
  <c r="K1389" i="17"/>
  <c r="C1390" i="17"/>
  <c r="A1390" i="17" s="1"/>
  <c r="D1390" i="17"/>
  <c r="F1390" i="17"/>
  <c r="G1390" i="17"/>
  <c r="H1390" i="17"/>
  <c r="I1390" i="17"/>
  <c r="J1390" i="17"/>
  <c r="K1390" i="17"/>
  <c r="C1391" i="17"/>
  <c r="A1391" i="17" s="1"/>
  <c r="D1391" i="17"/>
  <c r="F1391" i="17"/>
  <c r="G1391" i="17"/>
  <c r="H1391" i="17"/>
  <c r="I1391" i="17"/>
  <c r="J1391" i="17"/>
  <c r="K1391" i="17"/>
  <c r="C1392" i="17"/>
  <c r="D1392" i="17"/>
  <c r="F1392" i="17"/>
  <c r="G1392" i="17"/>
  <c r="H1392" i="17"/>
  <c r="I1392" i="17"/>
  <c r="J1392" i="17"/>
  <c r="K1392" i="17"/>
  <c r="C1393" i="17"/>
  <c r="A1393" i="17" s="1"/>
  <c r="D1393" i="17"/>
  <c r="F1393" i="17"/>
  <c r="G1393" i="17"/>
  <c r="H1393" i="17"/>
  <c r="I1393" i="17"/>
  <c r="J1393" i="17"/>
  <c r="K1393" i="17"/>
  <c r="C1394" i="17"/>
  <c r="A1394" i="17" s="1"/>
  <c r="D1394" i="17"/>
  <c r="F1394" i="17"/>
  <c r="G1394" i="17"/>
  <c r="H1394" i="17"/>
  <c r="I1394" i="17"/>
  <c r="J1394" i="17"/>
  <c r="K1394" i="17"/>
  <c r="C1395" i="17"/>
  <c r="A1395" i="17" s="1"/>
  <c r="D1395" i="17"/>
  <c r="F1395" i="17"/>
  <c r="G1395" i="17"/>
  <c r="H1395" i="17"/>
  <c r="I1395" i="17"/>
  <c r="J1395" i="17"/>
  <c r="K1395" i="17"/>
  <c r="C1396" i="17"/>
  <c r="A1396" i="17" s="1"/>
  <c r="D1396" i="17"/>
  <c r="F1396" i="17"/>
  <c r="G1396" i="17"/>
  <c r="H1396" i="17"/>
  <c r="I1396" i="17"/>
  <c r="J1396" i="17"/>
  <c r="K1396" i="17"/>
  <c r="C1397" i="17"/>
  <c r="A1397" i="17" s="1"/>
  <c r="D1397" i="17"/>
  <c r="F1397" i="17"/>
  <c r="G1397" i="17"/>
  <c r="H1397" i="17"/>
  <c r="I1397" i="17"/>
  <c r="J1397" i="17"/>
  <c r="K1397" i="17"/>
  <c r="C1398" i="17"/>
  <c r="A1398" i="17" s="1"/>
  <c r="D1398" i="17"/>
  <c r="F1398" i="17"/>
  <c r="G1398" i="17"/>
  <c r="H1398" i="17"/>
  <c r="I1398" i="17"/>
  <c r="J1398" i="17"/>
  <c r="K1398" i="17"/>
  <c r="C1399" i="17"/>
  <c r="A1399" i="17" s="1"/>
  <c r="D1399" i="17"/>
  <c r="F1399" i="17"/>
  <c r="G1399" i="17"/>
  <c r="H1399" i="17"/>
  <c r="I1399" i="17"/>
  <c r="J1399" i="17"/>
  <c r="K1399" i="17"/>
  <c r="C1400" i="17"/>
  <c r="A1400" i="17" s="1"/>
  <c r="D1400" i="17"/>
  <c r="F1400" i="17"/>
  <c r="G1400" i="17"/>
  <c r="H1400" i="17"/>
  <c r="I1400" i="17"/>
  <c r="J1400" i="17"/>
  <c r="K1400" i="17"/>
  <c r="C1401" i="17"/>
  <c r="A1401" i="17" s="1"/>
  <c r="D1401" i="17"/>
  <c r="F1401" i="17"/>
  <c r="G1401" i="17"/>
  <c r="H1401" i="17"/>
  <c r="I1401" i="17"/>
  <c r="J1401" i="17"/>
  <c r="K1401" i="17"/>
  <c r="C1402" i="17"/>
  <c r="A1402" i="17" s="1"/>
  <c r="D1402" i="17"/>
  <c r="F1402" i="17"/>
  <c r="G1402" i="17"/>
  <c r="H1402" i="17"/>
  <c r="I1402" i="17"/>
  <c r="J1402" i="17"/>
  <c r="K1402" i="17"/>
  <c r="C1403" i="17"/>
  <c r="A1403" i="17" s="1"/>
  <c r="D1403" i="17"/>
  <c r="F1403" i="17"/>
  <c r="G1403" i="17"/>
  <c r="H1403" i="17"/>
  <c r="I1403" i="17"/>
  <c r="J1403" i="17"/>
  <c r="K1403" i="17"/>
  <c r="C1404" i="17"/>
  <c r="D1404" i="17"/>
  <c r="F1404" i="17"/>
  <c r="G1404" i="17"/>
  <c r="H1404" i="17"/>
  <c r="I1404" i="17"/>
  <c r="J1404" i="17"/>
  <c r="K1404" i="17"/>
  <c r="C1405" i="17"/>
  <c r="A1405" i="17" s="1"/>
  <c r="D1405" i="17"/>
  <c r="F1405" i="17"/>
  <c r="G1405" i="17"/>
  <c r="H1405" i="17"/>
  <c r="I1405" i="17"/>
  <c r="J1405" i="17"/>
  <c r="K1405" i="17"/>
  <c r="C1406" i="17"/>
  <c r="A1406" i="17" s="1"/>
  <c r="D1406" i="17"/>
  <c r="F1406" i="17"/>
  <c r="G1406" i="17"/>
  <c r="H1406" i="17"/>
  <c r="I1406" i="17"/>
  <c r="J1406" i="17"/>
  <c r="K1406" i="17"/>
  <c r="C1407" i="17"/>
  <c r="A1407" i="17" s="1"/>
  <c r="D1407" i="17"/>
  <c r="F1407" i="17"/>
  <c r="G1407" i="17"/>
  <c r="H1407" i="17"/>
  <c r="I1407" i="17"/>
  <c r="J1407" i="17"/>
  <c r="K1407" i="17"/>
  <c r="C1408" i="17"/>
  <c r="A1408" i="17" s="1"/>
  <c r="D1408" i="17"/>
  <c r="F1408" i="17"/>
  <c r="G1408" i="17"/>
  <c r="H1408" i="17"/>
  <c r="I1408" i="17"/>
  <c r="J1408" i="17"/>
  <c r="K1408" i="17"/>
  <c r="C1409" i="17"/>
  <c r="A1409" i="17" s="1"/>
  <c r="D1409" i="17"/>
  <c r="F1409" i="17"/>
  <c r="G1409" i="17"/>
  <c r="H1409" i="17"/>
  <c r="I1409" i="17"/>
  <c r="J1409" i="17"/>
  <c r="K1409" i="17"/>
  <c r="C1410" i="17"/>
  <c r="A1410" i="17" s="1"/>
  <c r="D1410" i="17"/>
  <c r="F1410" i="17"/>
  <c r="G1410" i="17"/>
  <c r="H1410" i="17"/>
  <c r="I1410" i="17"/>
  <c r="J1410" i="17"/>
  <c r="K1410" i="17"/>
  <c r="C1411" i="17"/>
  <c r="A1411" i="17" s="1"/>
  <c r="D1411" i="17"/>
  <c r="F1411" i="17"/>
  <c r="G1411" i="17"/>
  <c r="H1411" i="17"/>
  <c r="I1411" i="17"/>
  <c r="J1411" i="17"/>
  <c r="K1411" i="17"/>
  <c r="C1412" i="17"/>
  <c r="A1412" i="17" s="1"/>
  <c r="D1412" i="17"/>
  <c r="F1412" i="17"/>
  <c r="G1412" i="17"/>
  <c r="H1412" i="17"/>
  <c r="I1412" i="17"/>
  <c r="J1412" i="17"/>
  <c r="K1412" i="17"/>
  <c r="C1413" i="17"/>
  <c r="A1413" i="17" s="1"/>
  <c r="D1413" i="17"/>
  <c r="F1413" i="17"/>
  <c r="G1413" i="17"/>
  <c r="H1413" i="17"/>
  <c r="I1413" i="17"/>
  <c r="J1413" i="17"/>
  <c r="K1413" i="17"/>
  <c r="C1414" i="17"/>
  <c r="A1414" i="17" s="1"/>
  <c r="D1414" i="17"/>
  <c r="F1414" i="17"/>
  <c r="G1414" i="17"/>
  <c r="H1414" i="17"/>
  <c r="I1414" i="17"/>
  <c r="J1414" i="17"/>
  <c r="K1414" i="17"/>
  <c r="C1415" i="17"/>
  <c r="A1415" i="17" s="1"/>
  <c r="D1415" i="17"/>
  <c r="F1415" i="17"/>
  <c r="G1415" i="17"/>
  <c r="H1415" i="17"/>
  <c r="I1415" i="17"/>
  <c r="J1415" i="17"/>
  <c r="K1415" i="17"/>
  <c r="C1416" i="17"/>
  <c r="D1416" i="17"/>
  <c r="F1416" i="17"/>
  <c r="G1416" i="17"/>
  <c r="H1416" i="17"/>
  <c r="I1416" i="17"/>
  <c r="J1416" i="17"/>
  <c r="K1416" i="17"/>
  <c r="C1417" i="17"/>
  <c r="A1417" i="17" s="1"/>
  <c r="D1417" i="17"/>
  <c r="F1417" i="17"/>
  <c r="G1417" i="17"/>
  <c r="H1417" i="17"/>
  <c r="I1417" i="17"/>
  <c r="J1417" i="17"/>
  <c r="K1417" i="17"/>
  <c r="C1418" i="17"/>
  <c r="A1418" i="17" s="1"/>
  <c r="D1418" i="17"/>
  <c r="F1418" i="17"/>
  <c r="G1418" i="17"/>
  <c r="H1418" i="17"/>
  <c r="I1418" i="17"/>
  <c r="J1418" i="17"/>
  <c r="K1418" i="17"/>
  <c r="C1419" i="17"/>
  <c r="A1419" i="17" s="1"/>
  <c r="D1419" i="17"/>
  <c r="F1419" i="17"/>
  <c r="G1419" i="17"/>
  <c r="H1419" i="17"/>
  <c r="I1419" i="17"/>
  <c r="J1419" i="17"/>
  <c r="K1419" i="17"/>
  <c r="C1420" i="17"/>
  <c r="A1420" i="17" s="1"/>
  <c r="D1420" i="17"/>
  <c r="F1420" i="17"/>
  <c r="G1420" i="17"/>
  <c r="H1420" i="17"/>
  <c r="I1420" i="17"/>
  <c r="J1420" i="17"/>
  <c r="K1420" i="17"/>
  <c r="C1421" i="17"/>
  <c r="A1421" i="17" s="1"/>
  <c r="D1421" i="17"/>
  <c r="F1421" i="17"/>
  <c r="G1421" i="17"/>
  <c r="H1421" i="17"/>
  <c r="I1421" i="17"/>
  <c r="J1421" i="17"/>
  <c r="K1421" i="17"/>
  <c r="C1422" i="17"/>
  <c r="A1422" i="17" s="1"/>
  <c r="D1422" i="17"/>
  <c r="F1422" i="17"/>
  <c r="G1422" i="17"/>
  <c r="H1422" i="17"/>
  <c r="I1422" i="17"/>
  <c r="J1422" i="17"/>
  <c r="K1422" i="17"/>
  <c r="C1423" i="17"/>
  <c r="A1423" i="17" s="1"/>
  <c r="D1423" i="17"/>
  <c r="F1423" i="17"/>
  <c r="G1423" i="17"/>
  <c r="H1423" i="17"/>
  <c r="I1423" i="17"/>
  <c r="J1423" i="17"/>
  <c r="K1423" i="17"/>
  <c r="C1424" i="17"/>
  <c r="A1424" i="17" s="1"/>
  <c r="D1424" i="17"/>
  <c r="F1424" i="17"/>
  <c r="G1424" i="17"/>
  <c r="H1424" i="17"/>
  <c r="I1424" i="17"/>
  <c r="J1424" i="17"/>
  <c r="K1424" i="17"/>
  <c r="C1425" i="17"/>
  <c r="A1425" i="17" s="1"/>
  <c r="D1425" i="17"/>
  <c r="F1425" i="17"/>
  <c r="G1425" i="17"/>
  <c r="H1425" i="17"/>
  <c r="I1425" i="17"/>
  <c r="J1425" i="17"/>
  <c r="K1425" i="17"/>
  <c r="C1426" i="17"/>
  <c r="A1426" i="17" s="1"/>
  <c r="D1426" i="17"/>
  <c r="F1426" i="17"/>
  <c r="G1426" i="17"/>
  <c r="H1426" i="17"/>
  <c r="I1426" i="17"/>
  <c r="J1426" i="17"/>
  <c r="K1426" i="17"/>
  <c r="C1427" i="17"/>
  <c r="A1427" i="17" s="1"/>
  <c r="D1427" i="17"/>
  <c r="F1427" i="17"/>
  <c r="G1427" i="17"/>
  <c r="H1427" i="17"/>
  <c r="I1427" i="17"/>
  <c r="J1427" i="17"/>
  <c r="K1427" i="17"/>
  <c r="C1428" i="17"/>
  <c r="D1428" i="17"/>
  <c r="F1428" i="17"/>
  <c r="G1428" i="17"/>
  <c r="H1428" i="17"/>
  <c r="I1428" i="17"/>
  <c r="J1428" i="17"/>
  <c r="K1428" i="17"/>
  <c r="C1429" i="17"/>
  <c r="A1429" i="17" s="1"/>
  <c r="D1429" i="17"/>
  <c r="F1429" i="17"/>
  <c r="G1429" i="17"/>
  <c r="H1429" i="17"/>
  <c r="I1429" i="17"/>
  <c r="J1429" i="17"/>
  <c r="K1429" i="17"/>
  <c r="C1430" i="17"/>
  <c r="A1430" i="17" s="1"/>
  <c r="D1430" i="17"/>
  <c r="F1430" i="17"/>
  <c r="G1430" i="17"/>
  <c r="H1430" i="17"/>
  <c r="I1430" i="17"/>
  <c r="J1430" i="17"/>
  <c r="K1430" i="17"/>
  <c r="C1431" i="17"/>
  <c r="A1431" i="17" s="1"/>
  <c r="D1431" i="17"/>
  <c r="F1431" i="17"/>
  <c r="G1431" i="17"/>
  <c r="H1431" i="17"/>
  <c r="I1431" i="17"/>
  <c r="J1431" i="17"/>
  <c r="K1431" i="17"/>
  <c r="C1432" i="17"/>
  <c r="A1432" i="17" s="1"/>
  <c r="D1432" i="17"/>
  <c r="F1432" i="17"/>
  <c r="G1432" i="17"/>
  <c r="H1432" i="17"/>
  <c r="I1432" i="17"/>
  <c r="J1432" i="17"/>
  <c r="K1432" i="17"/>
  <c r="C1433" i="17"/>
  <c r="A1433" i="17" s="1"/>
  <c r="D1433" i="17"/>
  <c r="F1433" i="17"/>
  <c r="G1433" i="17"/>
  <c r="H1433" i="17"/>
  <c r="I1433" i="17"/>
  <c r="J1433" i="17"/>
  <c r="K1433" i="17"/>
  <c r="C1434" i="17"/>
  <c r="A1434" i="17" s="1"/>
  <c r="D1434" i="17"/>
  <c r="F1434" i="17"/>
  <c r="G1434" i="17"/>
  <c r="H1434" i="17"/>
  <c r="I1434" i="17"/>
  <c r="J1434" i="17"/>
  <c r="K1434" i="17"/>
  <c r="C1435" i="17"/>
  <c r="A1435" i="17" s="1"/>
  <c r="D1435" i="17"/>
  <c r="F1435" i="17"/>
  <c r="G1435" i="17"/>
  <c r="H1435" i="17"/>
  <c r="I1435" i="17"/>
  <c r="J1435" i="17"/>
  <c r="K1435" i="17"/>
  <c r="C1436" i="17"/>
  <c r="A1436" i="17" s="1"/>
  <c r="D1436" i="17"/>
  <c r="F1436" i="17"/>
  <c r="G1436" i="17"/>
  <c r="H1436" i="17"/>
  <c r="I1436" i="17"/>
  <c r="J1436" i="17"/>
  <c r="K1436" i="17"/>
  <c r="C1437" i="17"/>
  <c r="A1437" i="17" s="1"/>
  <c r="D1437" i="17"/>
  <c r="F1437" i="17"/>
  <c r="G1437" i="17"/>
  <c r="H1437" i="17"/>
  <c r="I1437" i="17"/>
  <c r="J1437" i="17"/>
  <c r="K1437" i="17"/>
  <c r="C1438" i="17"/>
  <c r="A1438" i="17" s="1"/>
  <c r="D1438" i="17"/>
  <c r="F1438" i="17"/>
  <c r="G1438" i="17"/>
  <c r="H1438" i="17"/>
  <c r="I1438" i="17"/>
  <c r="J1438" i="17"/>
  <c r="K1438" i="17"/>
  <c r="C1439" i="17"/>
  <c r="A1439" i="17" s="1"/>
  <c r="D1439" i="17"/>
  <c r="F1439" i="17"/>
  <c r="G1439" i="17"/>
  <c r="H1439" i="17"/>
  <c r="I1439" i="17"/>
  <c r="J1439" i="17"/>
  <c r="K1439" i="17"/>
  <c r="C1440" i="17"/>
  <c r="D1440" i="17"/>
  <c r="F1440" i="17"/>
  <c r="G1440" i="17"/>
  <c r="H1440" i="17"/>
  <c r="I1440" i="17"/>
  <c r="J1440" i="17"/>
  <c r="K1440" i="17"/>
  <c r="C1441" i="17"/>
  <c r="A1441" i="17" s="1"/>
  <c r="D1441" i="17"/>
  <c r="F1441" i="17"/>
  <c r="G1441" i="17"/>
  <c r="H1441" i="17"/>
  <c r="I1441" i="17"/>
  <c r="J1441" i="17"/>
  <c r="K1441" i="17"/>
  <c r="C1442" i="17"/>
  <c r="A1442" i="17" s="1"/>
  <c r="D1442" i="17"/>
  <c r="F1442" i="17"/>
  <c r="G1442" i="17"/>
  <c r="H1442" i="17"/>
  <c r="I1442" i="17"/>
  <c r="J1442" i="17"/>
  <c r="K1442" i="17"/>
  <c r="C1443" i="17"/>
  <c r="A1443" i="17" s="1"/>
  <c r="D1443" i="17"/>
  <c r="F1443" i="17"/>
  <c r="G1443" i="17"/>
  <c r="H1443" i="17"/>
  <c r="I1443" i="17"/>
  <c r="J1443" i="17"/>
  <c r="K1443" i="17"/>
  <c r="C1444" i="17"/>
  <c r="A1444" i="17" s="1"/>
  <c r="D1444" i="17"/>
  <c r="F1444" i="17"/>
  <c r="G1444" i="17"/>
  <c r="H1444" i="17"/>
  <c r="I1444" i="17"/>
  <c r="J1444" i="17"/>
  <c r="K1444" i="17"/>
  <c r="C1445" i="17"/>
  <c r="A1445" i="17" s="1"/>
  <c r="D1445" i="17"/>
  <c r="F1445" i="17"/>
  <c r="G1445" i="17"/>
  <c r="H1445" i="17"/>
  <c r="I1445" i="17"/>
  <c r="J1445" i="17"/>
  <c r="K1445" i="17"/>
  <c r="C1446" i="17"/>
  <c r="A1446" i="17" s="1"/>
  <c r="D1446" i="17"/>
  <c r="F1446" i="17"/>
  <c r="G1446" i="17"/>
  <c r="H1446" i="17"/>
  <c r="I1446" i="17"/>
  <c r="J1446" i="17"/>
  <c r="K1446" i="17"/>
  <c r="C1447" i="17"/>
  <c r="A1447" i="17" s="1"/>
  <c r="D1447" i="17"/>
  <c r="F1447" i="17"/>
  <c r="G1447" i="17"/>
  <c r="H1447" i="17"/>
  <c r="I1447" i="17"/>
  <c r="J1447" i="17"/>
  <c r="K1447" i="17"/>
  <c r="C1448" i="17"/>
  <c r="A1448" i="17" s="1"/>
  <c r="D1448" i="17"/>
  <c r="F1448" i="17"/>
  <c r="G1448" i="17"/>
  <c r="H1448" i="17"/>
  <c r="I1448" i="17"/>
  <c r="J1448" i="17"/>
  <c r="K1448" i="17"/>
  <c r="C1449" i="17"/>
  <c r="A1449" i="17" s="1"/>
  <c r="D1449" i="17"/>
  <c r="F1449" i="17"/>
  <c r="G1449" i="17"/>
  <c r="H1449" i="17"/>
  <c r="I1449" i="17"/>
  <c r="J1449" i="17"/>
  <c r="K1449" i="17"/>
  <c r="C1450" i="17"/>
  <c r="A1450" i="17" s="1"/>
  <c r="D1450" i="17"/>
  <c r="F1450" i="17"/>
  <c r="G1450" i="17"/>
  <c r="H1450" i="17"/>
  <c r="I1450" i="17"/>
  <c r="J1450" i="17"/>
  <c r="K1450" i="17"/>
  <c r="C1451" i="17"/>
  <c r="A1451" i="17" s="1"/>
  <c r="D1451" i="17"/>
  <c r="F1451" i="17"/>
  <c r="G1451" i="17"/>
  <c r="H1451" i="17"/>
  <c r="I1451" i="17"/>
  <c r="J1451" i="17"/>
  <c r="K1451" i="17"/>
  <c r="C1452" i="17"/>
  <c r="D1452" i="17"/>
  <c r="F1452" i="17"/>
  <c r="G1452" i="17"/>
  <c r="H1452" i="17"/>
  <c r="I1452" i="17"/>
  <c r="J1452" i="17"/>
  <c r="K1452" i="17"/>
  <c r="C1453" i="17"/>
  <c r="A1453" i="17" s="1"/>
  <c r="D1453" i="17"/>
  <c r="F1453" i="17"/>
  <c r="G1453" i="17"/>
  <c r="H1453" i="17"/>
  <c r="I1453" i="17"/>
  <c r="J1453" i="17"/>
  <c r="K1453" i="17"/>
  <c r="C1454" i="17"/>
  <c r="A1454" i="17" s="1"/>
  <c r="D1454" i="17"/>
  <c r="F1454" i="17"/>
  <c r="G1454" i="17"/>
  <c r="H1454" i="17"/>
  <c r="I1454" i="17"/>
  <c r="J1454" i="17"/>
  <c r="K1454" i="17"/>
  <c r="C1455" i="17"/>
  <c r="A1455" i="17" s="1"/>
  <c r="D1455" i="17"/>
  <c r="F1455" i="17"/>
  <c r="G1455" i="17"/>
  <c r="H1455" i="17"/>
  <c r="I1455" i="17"/>
  <c r="J1455" i="17"/>
  <c r="K1455" i="17"/>
  <c r="C1456" i="17"/>
  <c r="A1456" i="17" s="1"/>
  <c r="D1456" i="17"/>
  <c r="F1456" i="17"/>
  <c r="G1456" i="17"/>
  <c r="H1456" i="17"/>
  <c r="I1456" i="17"/>
  <c r="J1456" i="17"/>
  <c r="K1456" i="17"/>
  <c r="C1457" i="17"/>
  <c r="A1457" i="17" s="1"/>
  <c r="D1457" i="17"/>
  <c r="F1457" i="17"/>
  <c r="G1457" i="17"/>
  <c r="H1457" i="17"/>
  <c r="I1457" i="17"/>
  <c r="J1457" i="17"/>
  <c r="K1457" i="17"/>
  <c r="C1458" i="17"/>
  <c r="A1458" i="17" s="1"/>
  <c r="D1458" i="17"/>
  <c r="F1458" i="17"/>
  <c r="G1458" i="17"/>
  <c r="H1458" i="17"/>
  <c r="I1458" i="17"/>
  <c r="J1458" i="17"/>
  <c r="K1458" i="17"/>
  <c r="C1459" i="17"/>
  <c r="A1459" i="17" s="1"/>
  <c r="D1459" i="17"/>
  <c r="F1459" i="17"/>
  <c r="G1459" i="17"/>
  <c r="H1459" i="17"/>
  <c r="I1459" i="17"/>
  <c r="J1459" i="17"/>
  <c r="K1459" i="17"/>
  <c r="C1460" i="17"/>
  <c r="A1460" i="17" s="1"/>
  <c r="D1460" i="17"/>
  <c r="F1460" i="17"/>
  <c r="G1460" i="17"/>
  <c r="H1460" i="17"/>
  <c r="I1460" i="17"/>
  <c r="J1460" i="17"/>
  <c r="K1460" i="17"/>
  <c r="C1461" i="17"/>
  <c r="A1461" i="17" s="1"/>
  <c r="D1461" i="17"/>
  <c r="F1461" i="17"/>
  <c r="G1461" i="17"/>
  <c r="H1461" i="17"/>
  <c r="I1461" i="17"/>
  <c r="J1461" i="17"/>
  <c r="K1461" i="17"/>
  <c r="C1462" i="17"/>
  <c r="A1462" i="17" s="1"/>
  <c r="D1462" i="17"/>
  <c r="F1462" i="17"/>
  <c r="G1462" i="17"/>
  <c r="H1462" i="17"/>
  <c r="I1462" i="17"/>
  <c r="J1462" i="17"/>
  <c r="K1462" i="17"/>
  <c r="C1463" i="17"/>
  <c r="A1463" i="17" s="1"/>
  <c r="D1463" i="17"/>
  <c r="F1463" i="17"/>
  <c r="G1463" i="17"/>
  <c r="H1463" i="17"/>
  <c r="I1463" i="17"/>
  <c r="J1463" i="17"/>
  <c r="K1463" i="17"/>
  <c r="C1464" i="17"/>
  <c r="D1464" i="17"/>
  <c r="F1464" i="17"/>
  <c r="G1464" i="17"/>
  <c r="H1464" i="17"/>
  <c r="I1464" i="17"/>
  <c r="J1464" i="17"/>
  <c r="K1464" i="17"/>
  <c r="C1465" i="17"/>
  <c r="A1465" i="17" s="1"/>
  <c r="D1465" i="17"/>
  <c r="F1465" i="17"/>
  <c r="G1465" i="17"/>
  <c r="H1465" i="17"/>
  <c r="I1465" i="17"/>
  <c r="J1465" i="17"/>
  <c r="K1465" i="17"/>
  <c r="C1466" i="17"/>
  <c r="A1466" i="17" s="1"/>
  <c r="D1466" i="17"/>
  <c r="F1466" i="17"/>
  <c r="G1466" i="17"/>
  <c r="H1466" i="17"/>
  <c r="I1466" i="17"/>
  <c r="J1466" i="17"/>
  <c r="K1466" i="17"/>
  <c r="C1467" i="17"/>
  <c r="A1467" i="17" s="1"/>
  <c r="D1467" i="17"/>
  <c r="F1467" i="17"/>
  <c r="G1467" i="17"/>
  <c r="H1467" i="17"/>
  <c r="I1467" i="17"/>
  <c r="J1467" i="17"/>
  <c r="K1467" i="17"/>
  <c r="C1468" i="17"/>
  <c r="A1468" i="17" s="1"/>
  <c r="D1468" i="17"/>
  <c r="F1468" i="17"/>
  <c r="G1468" i="17"/>
  <c r="H1468" i="17"/>
  <c r="I1468" i="17"/>
  <c r="J1468" i="17"/>
  <c r="K1468" i="17"/>
  <c r="C1469" i="17"/>
  <c r="A1469" i="17" s="1"/>
  <c r="D1469" i="17"/>
  <c r="F1469" i="17"/>
  <c r="G1469" i="17"/>
  <c r="H1469" i="17"/>
  <c r="I1469" i="17"/>
  <c r="J1469" i="17"/>
  <c r="K1469" i="17"/>
  <c r="C1470" i="17"/>
  <c r="A1470" i="17" s="1"/>
  <c r="D1470" i="17"/>
  <c r="F1470" i="17"/>
  <c r="G1470" i="17"/>
  <c r="H1470" i="17"/>
  <c r="I1470" i="17"/>
  <c r="J1470" i="17"/>
  <c r="K1470" i="17"/>
  <c r="C1471" i="17"/>
  <c r="A1471" i="17" s="1"/>
  <c r="D1471" i="17"/>
  <c r="F1471" i="17"/>
  <c r="G1471" i="17"/>
  <c r="H1471" i="17"/>
  <c r="I1471" i="17"/>
  <c r="J1471" i="17"/>
  <c r="K1471" i="17"/>
  <c r="C1472" i="17"/>
  <c r="A1472" i="17" s="1"/>
  <c r="D1472" i="17"/>
  <c r="F1472" i="17"/>
  <c r="G1472" i="17"/>
  <c r="H1472" i="17"/>
  <c r="I1472" i="17"/>
  <c r="J1472" i="17"/>
  <c r="K1472" i="17"/>
  <c r="C1473" i="17"/>
  <c r="A1473" i="17" s="1"/>
  <c r="D1473" i="17"/>
  <c r="F1473" i="17"/>
  <c r="G1473" i="17"/>
  <c r="H1473" i="17"/>
  <c r="I1473" i="17"/>
  <c r="J1473" i="17"/>
  <c r="K1473" i="17"/>
  <c r="C1474" i="17"/>
  <c r="A1474" i="17" s="1"/>
  <c r="D1474" i="17"/>
  <c r="F1474" i="17"/>
  <c r="G1474" i="17"/>
  <c r="H1474" i="17"/>
  <c r="I1474" i="17"/>
  <c r="J1474" i="17"/>
  <c r="K1474" i="17"/>
  <c r="C1475" i="17"/>
  <c r="A1475" i="17" s="1"/>
  <c r="D1475" i="17"/>
  <c r="F1475" i="17"/>
  <c r="G1475" i="17"/>
  <c r="H1475" i="17"/>
  <c r="I1475" i="17"/>
  <c r="J1475" i="17"/>
  <c r="K1475" i="17"/>
  <c r="C1476" i="17"/>
  <c r="D1476" i="17"/>
  <c r="F1476" i="17"/>
  <c r="G1476" i="17"/>
  <c r="H1476" i="17"/>
  <c r="I1476" i="17"/>
  <c r="J1476" i="17"/>
  <c r="K1476" i="17"/>
  <c r="C1477" i="17"/>
  <c r="A1477" i="17" s="1"/>
  <c r="D1477" i="17"/>
  <c r="F1477" i="17"/>
  <c r="G1477" i="17"/>
  <c r="H1477" i="17"/>
  <c r="I1477" i="17"/>
  <c r="J1477" i="17"/>
  <c r="K1477" i="17"/>
  <c r="C1478" i="17"/>
  <c r="A1478" i="17" s="1"/>
  <c r="D1478" i="17"/>
  <c r="F1478" i="17"/>
  <c r="G1478" i="17"/>
  <c r="H1478" i="17"/>
  <c r="I1478" i="17"/>
  <c r="J1478" i="17"/>
  <c r="K1478" i="17"/>
  <c r="C1479" i="17"/>
  <c r="A1479" i="17" s="1"/>
  <c r="D1479" i="17"/>
  <c r="F1479" i="17"/>
  <c r="G1479" i="17"/>
  <c r="H1479" i="17"/>
  <c r="I1479" i="17"/>
  <c r="J1479" i="17"/>
  <c r="K1479" i="17"/>
  <c r="C1480" i="17"/>
  <c r="A1480" i="17" s="1"/>
  <c r="D1480" i="17"/>
  <c r="F1480" i="17"/>
  <c r="G1480" i="17"/>
  <c r="H1480" i="17"/>
  <c r="I1480" i="17"/>
  <c r="J1480" i="17"/>
  <c r="K1480" i="17"/>
  <c r="C1481" i="17"/>
  <c r="A1481" i="17" s="1"/>
  <c r="D1481" i="17"/>
  <c r="F1481" i="17"/>
  <c r="G1481" i="17"/>
  <c r="H1481" i="17"/>
  <c r="I1481" i="17"/>
  <c r="J1481" i="17"/>
  <c r="K1481" i="17"/>
  <c r="C1482" i="17"/>
  <c r="A1482" i="17" s="1"/>
  <c r="D1482" i="17"/>
  <c r="F1482" i="17"/>
  <c r="G1482" i="17"/>
  <c r="H1482" i="17"/>
  <c r="I1482" i="17"/>
  <c r="J1482" i="17"/>
  <c r="K1482" i="17"/>
  <c r="C1483" i="17"/>
  <c r="A1483" i="17" s="1"/>
  <c r="D1483" i="17"/>
  <c r="F1483" i="17"/>
  <c r="G1483" i="17"/>
  <c r="H1483" i="17"/>
  <c r="I1483" i="17"/>
  <c r="J1483" i="17"/>
  <c r="K1483" i="17"/>
  <c r="C1484" i="17"/>
  <c r="A1484" i="17" s="1"/>
  <c r="D1484" i="17"/>
  <c r="F1484" i="17"/>
  <c r="G1484" i="17"/>
  <c r="H1484" i="17"/>
  <c r="I1484" i="17"/>
  <c r="J1484" i="17"/>
  <c r="K1484" i="17"/>
  <c r="C1485" i="17"/>
  <c r="A1485" i="17" s="1"/>
  <c r="D1485" i="17"/>
  <c r="F1485" i="17"/>
  <c r="G1485" i="17"/>
  <c r="H1485" i="17"/>
  <c r="I1485" i="17"/>
  <c r="J1485" i="17"/>
  <c r="K1485" i="17"/>
  <c r="C1486" i="17"/>
  <c r="A1486" i="17" s="1"/>
  <c r="D1486" i="17"/>
  <c r="F1486" i="17"/>
  <c r="G1486" i="17"/>
  <c r="H1486" i="17"/>
  <c r="I1486" i="17"/>
  <c r="J1486" i="17"/>
  <c r="K1486" i="17"/>
  <c r="C1487" i="17"/>
  <c r="A1487" i="17" s="1"/>
  <c r="D1487" i="17"/>
  <c r="F1487" i="17"/>
  <c r="G1487" i="17"/>
  <c r="H1487" i="17"/>
  <c r="I1487" i="17"/>
  <c r="J1487" i="17"/>
  <c r="K1487" i="17"/>
  <c r="C1488" i="17"/>
  <c r="D1488" i="17"/>
  <c r="F1488" i="17"/>
  <c r="G1488" i="17"/>
  <c r="H1488" i="17"/>
  <c r="I1488" i="17"/>
  <c r="J1488" i="17"/>
  <c r="K1488" i="17"/>
  <c r="C1489" i="17"/>
  <c r="A1489" i="17" s="1"/>
  <c r="D1489" i="17"/>
  <c r="F1489" i="17"/>
  <c r="G1489" i="17"/>
  <c r="H1489" i="17"/>
  <c r="I1489" i="17"/>
  <c r="J1489" i="17"/>
  <c r="K1489" i="17"/>
  <c r="C1490" i="17"/>
  <c r="A1490" i="17" s="1"/>
  <c r="D1490" i="17"/>
  <c r="F1490" i="17"/>
  <c r="G1490" i="17"/>
  <c r="H1490" i="17"/>
  <c r="I1490" i="17"/>
  <c r="J1490" i="17"/>
  <c r="K1490" i="17"/>
  <c r="C1491" i="17"/>
  <c r="A1491" i="17" s="1"/>
  <c r="D1491" i="17"/>
  <c r="F1491" i="17"/>
  <c r="G1491" i="17"/>
  <c r="H1491" i="17"/>
  <c r="I1491" i="17"/>
  <c r="J1491" i="17"/>
  <c r="K1491" i="17"/>
  <c r="C1492" i="17"/>
  <c r="A1492" i="17" s="1"/>
  <c r="D1492" i="17"/>
  <c r="F1492" i="17"/>
  <c r="G1492" i="17"/>
  <c r="H1492" i="17"/>
  <c r="I1492" i="17"/>
  <c r="J1492" i="17"/>
  <c r="K1492" i="17"/>
  <c r="C1493" i="17"/>
  <c r="A1493" i="17" s="1"/>
  <c r="D1493" i="17"/>
  <c r="F1493" i="17"/>
  <c r="G1493" i="17"/>
  <c r="H1493" i="17"/>
  <c r="I1493" i="17"/>
  <c r="J1493" i="17"/>
  <c r="K1493" i="17"/>
  <c r="C1494" i="17"/>
  <c r="A1494" i="17" s="1"/>
  <c r="D1494" i="17"/>
  <c r="F1494" i="17"/>
  <c r="G1494" i="17"/>
  <c r="H1494" i="17"/>
  <c r="I1494" i="17"/>
  <c r="J1494" i="17"/>
  <c r="K1494" i="17"/>
  <c r="C1495" i="17"/>
  <c r="A1495" i="17" s="1"/>
  <c r="D1495" i="17"/>
  <c r="F1495" i="17"/>
  <c r="G1495" i="17"/>
  <c r="H1495" i="17"/>
  <c r="I1495" i="17"/>
  <c r="J1495" i="17"/>
  <c r="K1495" i="17"/>
  <c r="C1496" i="17"/>
  <c r="A1496" i="17" s="1"/>
  <c r="D1496" i="17"/>
  <c r="F1496" i="17"/>
  <c r="G1496" i="17"/>
  <c r="H1496" i="17"/>
  <c r="I1496" i="17"/>
  <c r="J1496" i="17"/>
  <c r="K1496" i="17"/>
  <c r="C1497" i="17"/>
  <c r="A1497" i="17" s="1"/>
  <c r="D1497" i="17"/>
  <c r="F1497" i="17"/>
  <c r="G1497" i="17"/>
  <c r="H1497" i="17"/>
  <c r="I1497" i="17"/>
  <c r="J1497" i="17"/>
  <c r="K1497" i="17"/>
  <c r="C1498" i="17"/>
  <c r="A1498" i="17" s="1"/>
  <c r="D1498" i="17"/>
  <c r="F1498" i="17"/>
  <c r="G1498" i="17"/>
  <c r="H1498" i="17"/>
  <c r="I1498" i="17"/>
  <c r="J1498" i="17"/>
  <c r="K1498" i="17"/>
  <c r="C1499" i="17"/>
  <c r="A1499" i="17" s="1"/>
  <c r="D1499" i="17"/>
  <c r="F1499" i="17"/>
  <c r="G1499" i="17"/>
  <c r="H1499" i="17"/>
  <c r="I1499" i="17"/>
  <c r="J1499" i="17"/>
  <c r="K1499" i="17"/>
  <c r="C1500" i="17"/>
  <c r="D1500" i="17"/>
  <c r="F1500" i="17"/>
  <c r="G1500" i="17"/>
  <c r="H1500" i="17"/>
  <c r="I1500" i="17"/>
  <c r="J1500" i="17"/>
  <c r="K1500" i="17"/>
  <c r="C3" i="17"/>
  <c r="D3" i="17"/>
  <c r="F3" i="17"/>
  <c r="G3" i="17"/>
  <c r="H3" i="17"/>
  <c r="I3" i="17"/>
  <c r="J3" i="17"/>
  <c r="K3" i="17"/>
  <c r="C4" i="17"/>
  <c r="D4" i="17"/>
  <c r="F4" i="17"/>
  <c r="G4" i="17"/>
  <c r="H4" i="17"/>
  <c r="I4" i="17"/>
  <c r="J4" i="17"/>
  <c r="K4" i="17"/>
  <c r="C5" i="17"/>
  <c r="D5" i="17"/>
  <c r="F5" i="17"/>
  <c r="G5" i="17"/>
  <c r="H5" i="17"/>
  <c r="I5" i="17"/>
  <c r="J5" i="17"/>
  <c r="K5" i="17"/>
  <c r="C6" i="17"/>
  <c r="D6" i="17"/>
  <c r="F6" i="17"/>
  <c r="G6" i="17"/>
  <c r="H6" i="17"/>
  <c r="I6" i="17"/>
  <c r="J6" i="17"/>
  <c r="K6" i="17"/>
  <c r="C7" i="17"/>
  <c r="D7" i="17"/>
  <c r="F7" i="17"/>
  <c r="G7" i="17"/>
  <c r="H7" i="17"/>
  <c r="I7" i="17"/>
  <c r="J7" i="17"/>
  <c r="K7" i="17"/>
  <c r="C8" i="17"/>
  <c r="D8" i="17"/>
  <c r="F8" i="17"/>
  <c r="G8" i="17"/>
  <c r="H8" i="17"/>
  <c r="I8" i="17"/>
  <c r="J8" i="17"/>
  <c r="K8" i="17"/>
  <c r="C9" i="17"/>
  <c r="D9" i="17"/>
  <c r="F9" i="17"/>
  <c r="G9" i="17"/>
  <c r="H9" i="17"/>
  <c r="I9" i="17"/>
  <c r="J9" i="17"/>
  <c r="K9" i="17"/>
  <c r="C10" i="17"/>
  <c r="D10" i="17"/>
  <c r="F10" i="17"/>
  <c r="G10" i="17"/>
  <c r="H10" i="17"/>
  <c r="I10" i="17"/>
  <c r="J10" i="17"/>
  <c r="K10" i="17"/>
  <c r="C11" i="17"/>
  <c r="D11" i="17"/>
  <c r="F11" i="17"/>
  <c r="G11" i="17"/>
  <c r="H11" i="17"/>
  <c r="I11" i="17"/>
  <c r="J11" i="17"/>
  <c r="K11" i="17"/>
  <c r="C12" i="17"/>
  <c r="D12" i="17"/>
  <c r="F12" i="17"/>
  <c r="G12" i="17"/>
  <c r="H12" i="17"/>
  <c r="I12" i="17"/>
  <c r="J12" i="17"/>
  <c r="K12" i="17"/>
  <c r="C13" i="17"/>
  <c r="D13" i="17"/>
  <c r="F13" i="17"/>
  <c r="G13" i="17"/>
  <c r="H13" i="17"/>
  <c r="I13" i="17"/>
  <c r="J13" i="17"/>
  <c r="K13" i="17"/>
  <c r="C14" i="17"/>
  <c r="D14" i="17"/>
  <c r="F14" i="17"/>
  <c r="G14" i="17"/>
  <c r="H14" i="17"/>
  <c r="I14" i="17"/>
  <c r="J14" i="17"/>
  <c r="K14" i="17"/>
  <c r="C15" i="17"/>
  <c r="D15" i="17"/>
  <c r="F15" i="17"/>
  <c r="G15" i="17"/>
  <c r="H15" i="17"/>
  <c r="I15" i="17"/>
  <c r="J15" i="17"/>
  <c r="K15" i="17"/>
  <c r="C16" i="17"/>
  <c r="D16" i="17"/>
  <c r="F16" i="17"/>
  <c r="G16" i="17"/>
  <c r="H16" i="17"/>
  <c r="I16" i="17"/>
  <c r="J16" i="17"/>
  <c r="K16" i="17"/>
  <c r="C17" i="17"/>
  <c r="D17" i="17"/>
  <c r="F17" i="17"/>
  <c r="G17" i="17"/>
  <c r="H17" i="17"/>
  <c r="I17" i="17"/>
  <c r="J17" i="17"/>
  <c r="K17" i="17"/>
  <c r="C18" i="17"/>
  <c r="D18" i="17"/>
  <c r="F18" i="17"/>
  <c r="G18" i="17"/>
  <c r="H18" i="17"/>
  <c r="I18" i="17"/>
  <c r="J18" i="17"/>
  <c r="K18" i="17"/>
  <c r="C19" i="17"/>
  <c r="D19" i="17"/>
  <c r="F19" i="17"/>
  <c r="G19" i="17"/>
  <c r="H19" i="17"/>
  <c r="I19" i="17"/>
  <c r="J19" i="17"/>
  <c r="K19" i="17"/>
  <c r="C20" i="17"/>
  <c r="D20" i="17"/>
  <c r="F20" i="17"/>
  <c r="G20" i="17"/>
  <c r="H20" i="17"/>
  <c r="I20" i="17"/>
  <c r="J20" i="17"/>
  <c r="K20" i="17"/>
  <c r="C21" i="17"/>
  <c r="D21" i="17"/>
  <c r="F21" i="17"/>
  <c r="G21" i="17"/>
  <c r="H21" i="17"/>
  <c r="I21" i="17"/>
  <c r="J21" i="17"/>
  <c r="K21" i="17"/>
  <c r="C22" i="17"/>
  <c r="D22" i="17"/>
  <c r="F22" i="17"/>
  <c r="G22" i="17"/>
  <c r="H22" i="17"/>
  <c r="I22" i="17"/>
  <c r="J22" i="17"/>
  <c r="K22" i="17"/>
  <c r="C23" i="17"/>
  <c r="D23" i="17"/>
  <c r="F23" i="17"/>
  <c r="G23" i="17"/>
  <c r="H23" i="17"/>
  <c r="I23" i="17"/>
  <c r="J23" i="17"/>
  <c r="K23" i="17"/>
  <c r="C24" i="17"/>
  <c r="D24" i="17"/>
  <c r="F24" i="17"/>
  <c r="G24" i="17"/>
  <c r="H24" i="17"/>
  <c r="I24" i="17"/>
  <c r="J24" i="17"/>
  <c r="K24" i="17"/>
  <c r="C25" i="17"/>
  <c r="D25" i="17"/>
  <c r="F25" i="17"/>
  <c r="G25" i="17"/>
  <c r="H25" i="17"/>
  <c r="I25" i="17"/>
  <c r="J25" i="17"/>
  <c r="K25" i="17"/>
  <c r="C26" i="17"/>
  <c r="D26" i="17"/>
  <c r="F26" i="17"/>
  <c r="G26" i="17"/>
  <c r="H26" i="17"/>
  <c r="I26" i="17"/>
  <c r="J26" i="17"/>
  <c r="K26" i="17"/>
  <c r="C27" i="17"/>
  <c r="D27" i="17"/>
  <c r="F27" i="17"/>
  <c r="G27" i="17"/>
  <c r="H27" i="17"/>
  <c r="I27" i="17"/>
  <c r="J27" i="17"/>
  <c r="K27" i="17"/>
  <c r="C28" i="17"/>
  <c r="D28" i="17"/>
  <c r="F28" i="17"/>
  <c r="G28" i="17"/>
  <c r="H28" i="17"/>
  <c r="I28" i="17"/>
  <c r="J28" i="17"/>
  <c r="K28" i="17"/>
  <c r="C29" i="17"/>
  <c r="D29" i="17"/>
  <c r="F29" i="17"/>
  <c r="G29" i="17"/>
  <c r="H29" i="17"/>
  <c r="I29" i="17"/>
  <c r="J29" i="17"/>
  <c r="K29" i="17"/>
  <c r="C30" i="17"/>
  <c r="D30" i="17"/>
  <c r="F30" i="17"/>
  <c r="G30" i="17"/>
  <c r="H30" i="17"/>
  <c r="I30" i="17"/>
  <c r="J30" i="17"/>
  <c r="K30" i="17"/>
  <c r="C31" i="17"/>
  <c r="D31" i="17"/>
  <c r="F31" i="17"/>
  <c r="G31" i="17"/>
  <c r="H31" i="17"/>
  <c r="I31" i="17"/>
  <c r="J31" i="17"/>
  <c r="K31" i="17"/>
  <c r="C32" i="17"/>
  <c r="D32" i="17"/>
  <c r="F32" i="17"/>
  <c r="G32" i="17"/>
  <c r="H32" i="17"/>
  <c r="I32" i="17"/>
  <c r="J32" i="17"/>
  <c r="K32" i="17"/>
  <c r="C33" i="17"/>
  <c r="D33" i="17"/>
  <c r="F33" i="17"/>
  <c r="G33" i="17"/>
  <c r="H33" i="17"/>
  <c r="I33" i="17"/>
  <c r="J33" i="17"/>
  <c r="K33" i="17"/>
  <c r="C34" i="17"/>
  <c r="D34" i="17"/>
  <c r="F34" i="17"/>
  <c r="G34" i="17"/>
  <c r="H34" i="17"/>
  <c r="I34" i="17"/>
  <c r="J34" i="17"/>
  <c r="K34" i="17"/>
  <c r="C35" i="17"/>
  <c r="D35" i="17"/>
  <c r="F35" i="17"/>
  <c r="G35" i="17"/>
  <c r="H35" i="17"/>
  <c r="I35" i="17"/>
  <c r="J35" i="17"/>
  <c r="K35" i="17"/>
  <c r="C36" i="17"/>
  <c r="D36" i="17"/>
  <c r="F36" i="17"/>
  <c r="G36" i="17"/>
  <c r="H36" i="17"/>
  <c r="I36" i="17"/>
  <c r="J36" i="17"/>
  <c r="K36" i="17"/>
  <c r="C37" i="17"/>
  <c r="D37" i="17"/>
  <c r="F37" i="17"/>
  <c r="G37" i="17"/>
  <c r="H37" i="17"/>
  <c r="I37" i="17"/>
  <c r="J37" i="17"/>
  <c r="K37" i="17"/>
  <c r="C38" i="17"/>
  <c r="D38" i="17"/>
  <c r="F38" i="17"/>
  <c r="G38" i="17"/>
  <c r="H38" i="17"/>
  <c r="I38" i="17"/>
  <c r="J38" i="17"/>
  <c r="K38" i="17"/>
  <c r="C39" i="17"/>
  <c r="D39" i="17"/>
  <c r="F39" i="17"/>
  <c r="G39" i="17"/>
  <c r="H39" i="17"/>
  <c r="I39" i="17"/>
  <c r="J39" i="17"/>
  <c r="K39" i="17"/>
  <c r="C40" i="17"/>
  <c r="D40" i="17"/>
  <c r="F40" i="17"/>
  <c r="G40" i="17"/>
  <c r="H40" i="17"/>
  <c r="I40" i="17"/>
  <c r="J40" i="17"/>
  <c r="K40" i="17"/>
  <c r="C41" i="17"/>
  <c r="D41" i="17"/>
  <c r="F41" i="17"/>
  <c r="G41" i="17"/>
  <c r="H41" i="17"/>
  <c r="I41" i="17"/>
  <c r="J41" i="17"/>
  <c r="K41" i="17"/>
  <c r="C42" i="17"/>
  <c r="D42" i="17"/>
  <c r="F42" i="17"/>
  <c r="G42" i="17"/>
  <c r="H42" i="17"/>
  <c r="I42" i="17"/>
  <c r="J42" i="17"/>
  <c r="K42" i="17"/>
  <c r="C43" i="17"/>
  <c r="D43" i="17"/>
  <c r="F43" i="17"/>
  <c r="G43" i="17"/>
  <c r="H43" i="17"/>
  <c r="I43" i="17"/>
  <c r="J43" i="17"/>
  <c r="K43" i="17"/>
  <c r="C44" i="17"/>
  <c r="D44" i="17"/>
  <c r="F44" i="17"/>
  <c r="G44" i="17"/>
  <c r="H44" i="17"/>
  <c r="I44" i="17"/>
  <c r="J44" i="17"/>
  <c r="K44" i="17"/>
  <c r="C45" i="17"/>
  <c r="D45" i="17"/>
  <c r="F45" i="17"/>
  <c r="G45" i="17"/>
  <c r="H45" i="17"/>
  <c r="I45" i="17"/>
  <c r="J45" i="17"/>
  <c r="K45" i="17"/>
  <c r="C46" i="17"/>
  <c r="D46" i="17"/>
  <c r="F46" i="17"/>
  <c r="G46" i="17"/>
  <c r="H46" i="17"/>
  <c r="I46" i="17"/>
  <c r="J46" i="17"/>
  <c r="K46" i="17"/>
  <c r="C47" i="17"/>
  <c r="D47" i="17"/>
  <c r="F47" i="17"/>
  <c r="G47" i="17"/>
  <c r="H47" i="17"/>
  <c r="I47" i="17"/>
  <c r="J47" i="17"/>
  <c r="K47" i="17"/>
  <c r="C48" i="17"/>
  <c r="D48" i="17"/>
  <c r="F48" i="17"/>
  <c r="G48" i="17"/>
  <c r="H48" i="17"/>
  <c r="I48" i="17"/>
  <c r="J48" i="17"/>
  <c r="K48" i="17"/>
  <c r="C49" i="17"/>
  <c r="D49" i="17"/>
  <c r="F49" i="17"/>
  <c r="G49" i="17"/>
  <c r="H49" i="17"/>
  <c r="I49" i="17"/>
  <c r="J49" i="17"/>
  <c r="K49" i="17"/>
  <c r="C50" i="17"/>
  <c r="D50" i="17"/>
  <c r="F50" i="17"/>
  <c r="G50" i="17"/>
  <c r="H50" i="17"/>
  <c r="I50" i="17"/>
  <c r="J50" i="17"/>
  <c r="K50" i="17"/>
  <c r="C51" i="17"/>
  <c r="D51" i="17"/>
  <c r="F51" i="17"/>
  <c r="G51" i="17"/>
  <c r="H51" i="17"/>
  <c r="I51" i="17"/>
  <c r="J51" i="17"/>
  <c r="K51" i="17"/>
  <c r="C52" i="17"/>
  <c r="D52" i="17"/>
  <c r="F52" i="17"/>
  <c r="G52" i="17"/>
  <c r="H52" i="17"/>
  <c r="I52" i="17"/>
  <c r="J52" i="17"/>
  <c r="K52" i="17"/>
  <c r="C53" i="17"/>
  <c r="D53" i="17"/>
  <c r="F53" i="17"/>
  <c r="G53" i="17"/>
  <c r="H53" i="17"/>
  <c r="I53" i="17"/>
  <c r="J53" i="17"/>
  <c r="K53" i="17"/>
  <c r="C54" i="17"/>
  <c r="D54" i="17"/>
  <c r="F54" i="17"/>
  <c r="G54" i="17"/>
  <c r="H54" i="17"/>
  <c r="I54" i="17"/>
  <c r="J54" i="17"/>
  <c r="K54" i="17"/>
  <c r="C55" i="17"/>
  <c r="D55" i="17"/>
  <c r="F55" i="17"/>
  <c r="G55" i="17"/>
  <c r="H55" i="17"/>
  <c r="I55" i="17"/>
  <c r="J55" i="17"/>
  <c r="K55" i="17"/>
  <c r="C56" i="17"/>
  <c r="D56" i="17"/>
  <c r="F56" i="17"/>
  <c r="G56" i="17"/>
  <c r="H56" i="17"/>
  <c r="I56" i="17"/>
  <c r="J56" i="17"/>
  <c r="K56" i="17"/>
  <c r="C57" i="17"/>
  <c r="D57" i="17"/>
  <c r="F57" i="17"/>
  <c r="G57" i="17"/>
  <c r="H57" i="17"/>
  <c r="I57" i="17"/>
  <c r="J57" i="17"/>
  <c r="K57" i="17"/>
  <c r="C58" i="17"/>
  <c r="D58" i="17"/>
  <c r="F58" i="17"/>
  <c r="G58" i="17"/>
  <c r="H58" i="17"/>
  <c r="I58" i="17"/>
  <c r="J58" i="17"/>
  <c r="K58" i="17"/>
  <c r="C59" i="17"/>
  <c r="D59" i="17"/>
  <c r="F59" i="17"/>
  <c r="G59" i="17"/>
  <c r="H59" i="17"/>
  <c r="I59" i="17"/>
  <c r="J59" i="17"/>
  <c r="K59" i="17"/>
  <c r="C60" i="17"/>
  <c r="D60" i="17"/>
  <c r="F60" i="17"/>
  <c r="G60" i="17"/>
  <c r="H60" i="17"/>
  <c r="I60" i="17"/>
  <c r="J60" i="17"/>
  <c r="K60" i="17"/>
  <c r="C61" i="17"/>
  <c r="D61" i="17"/>
  <c r="F61" i="17"/>
  <c r="G61" i="17"/>
  <c r="H61" i="17"/>
  <c r="I61" i="17"/>
  <c r="J61" i="17"/>
  <c r="K61" i="17"/>
  <c r="C62" i="17"/>
  <c r="D62" i="17"/>
  <c r="F62" i="17"/>
  <c r="G62" i="17"/>
  <c r="H62" i="17"/>
  <c r="I62" i="17"/>
  <c r="J62" i="17"/>
  <c r="K62" i="17"/>
  <c r="C63" i="17"/>
  <c r="D63" i="17"/>
  <c r="F63" i="17"/>
  <c r="G63" i="17"/>
  <c r="H63" i="17"/>
  <c r="I63" i="17"/>
  <c r="J63" i="17"/>
  <c r="K63" i="17"/>
  <c r="C64" i="17"/>
  <c r="D64" i="17"/>
  <c r="F64" i="17"/>
  <c r="G64" i="17"/>
  <c r="H64" i="17"/>
  <c r="I64" i="17"/>
  <c r="J64" i="17"/>
  <c r="K64" i="17"/>
  <c r="C65" i="17"/>
  <c r="D65" i="17"/>
  <c r="F65" i="17"/>
  <c r="G65" i="17"/>
  <c r="H65" i="17"/>
  <c r="I65" i="17"/>
  <c r="J65" i="17"/>
  <c r="K65" i="17"/>
  <c r="C66" i="17"/>
  <c r="D66" i="17"/>
  <c r="F66" i="17"/>
  <c r="G66" i="17"/>
  <c r="H66" i="17"/>
  <c r="I66" i="17"/>
  <c r="J66" i="17"/>
  <c r="K66" i="17"/>
  <c r="C67" i="17"/>
  <c r="D67" i="17"/>
  <c r="F67" i="17"/>
  <c r="G67" i="17"/>
  <c r="H67" i="17"/>
  <c r="I67" i="17"/>
  <c r="J67" i="17"/>
  <c r="K67" i="17"/>
  <c r="C68" i="17"/>
  <c r="D68" i="17"/>
  <c r="F68" i="17"/>
  <c r="G68" i="17"/>
  <c r="H68" i="17"/>
  <c r="I68" i="17"/>
  <c r="J68" i="17"/>
  <c r="K68" i="17"/>
  <c r="C69" i="17"/>
  <c r="D69" i="17"/>
  <c r="F69" i="17"/>
  <c r="G69" i="17"/>
  <c r="H69" i="17"/>
  <c r="I69" i="17"/>
  <c r="J69" i="17"/>
  <c r="K69" i="17"/>
  <c r="C70" i="17"/>
  <c r="D70" i="17"/>
  <c r="F70" i="17"/>
  <c r="G70" i="17"/>
  <c r="H70" i="17"/>
  <c r="I70" i="17"/>
  <c r="J70" i="17"/>
  <c r="K70" i="17"/>
  <c r="C71" i="17"/>
  <c r="D71" i="17"/>
  <c r="F71" i="17"/>
  <c r="G71" i="17"/>
  <c r="H71" i="17"/>
  <c r="I71" i="17"/>
  <c r="J71" i="17"/>
  <c r="K71" i="17"/>
  <c r="C72" i="17"/>
  <c r="D72" i="17"/>
  <c r="F72" i="17"/>
  <c r="G72" i="17"/>
  <c r="H72" i="17"/>
  <c r="I72" i="17"/>
  <c r="J72" i="17"/>
  <c r="K72" i="17"/>
  <c r="C73" i="17"/>
  <c r="D73" i="17"/>
  <c r="F73" i="17"/>
  <c r="G73" i="17"/>
  <c r="H73" i="17"/>
  <c r="I73" i="17"/>
  <c r="J73" i="17"/>
  <c r="K73" i="17"/>
  <c r="C74" i="17"/>
  <c r="D74" i="17"/>
  <c r="F74" i="17"/>
  <c r="G74" i="17"/>
  <c r="H74" i="17"/>
  <c r="I74" i="17"/>
  <c r="J74" i="17"/>
  <c r="K74" i="17"/>
  <c r="C75" i="17"/>
  <c r="D75" i="17"/>
  <c r="F75" i="17"/>
  <c r="G75" i="17"/>
  <c r="H75" i="17"/>
  <c r="I75" i="17"/>
  <c r="J75" i="17"/>
  <c r="K75" i="17"/>
  <c r="C76" i="17"/>
  <c r="D76" i="17"/>
  <c r="F76" i="17"/>
  <c r="G76" i="17"/>
  <c r="H76" i="17"/>
  <c r="I76" i="17"/>
  <c r="J76" i="17"/>
  <c r="K76" i="17"/>
  <c r="C77" i="17"/>
  <c r="D77" i="17"/>
  <c r="F77" i="17"/>
  <c r="G77" i="17"/>
  <c r="H77" i="17"/>
  <c r="I77" i="17"/>
  <c r="J77" i="17"/>
  <c r="K77" i="17"/>
  <c r="C78" i="17"/>
  <c r="D78" i="17"/>
  <c r="F78" i="17"/>
  <c r="G78" i="17"/>
  <c r="H78" i="17"/>
  <c r="I78" i="17"/>
  <c r="J78" i="17"/>
  <c r="K78" i="17"/>
  <c r="C79" i="17"/>
  <c r="D79" i="17"/>
  <c r="F79" i="17"/>
  <c r="G79" i="17"/>
  <c r="H79" i="17"/>
  <c r="I79" i="17"/>
  <c r="J79" i="17"/>
  <c r="K79" i="17"/>
  <c r="C80" i="17"/>
  <c r="D80" i="17"/>
  <c r="F80" i="17"/>
  <c r="G80" i="17"/>
  <c r="H80" i="17"/>
  <c r="I80" i="17"/>
  <c r="J80" i="17"/>
  <c r="K80" i="17"/>
  <c r="C81" i="17"/>
  <c r="D81" i="17"/>
  <c r="F81" i="17"/>
  <c r="G81" i="17"/>
  <c r="H81" i="17"/>
  <c r="I81" i="17"/>
  <c r="J81" i="17"/>
  <c r="K81" i="17"/>
  <c r="C82" i="17"/>
  <c r="D82" i="17"/>
  <c r="F82" i="17"/>
  <c r="G82" i="17"/>
  <c r="H82" i="17"/>
  <c r="I82" i="17"/>
  <c r="J82" i="17"/>
  <c r="K82" i="17"/>
  <c r="C83" i="17"/>
  <c r="D83" i="17"/>
  <c r="F83" i="17"/>
  <c r="G83" i="17"/>
  <c r="H83" i="17"/>
  <c r="I83" i="17"/>
  <c r="J83" i="17"/>
  <c r="K83" i="17"/>
  <c r="C84" i="17"/>
  <c r="D84" i="17"/>
  <c r="F84" i="17"/>
  <c r="G84" i="17"/>
  <c r="H84" i="17"/>
  <c r="I84" i="17"/>
  <c r="J84" i="17"/>
  <c r="K84" i="17"/>
  <c r="C85" i="17"/>
  <c r="D85" i="17"/>
  <c r="F85" i="17"/>
  <c r="G85" i="17"/>
  <c r="H85" i="17"/>
  <c r="I85" i="17"/>
  <c r="J85" i="17"/>
  <c r="K85" i="17"/>
  <c r="C86" i="17"/>
  <c r="D86" i="17"/>
  <c r="F86" i="17"/>
  <c r="G86" i="17"/>
  <c r="H86" i="17"/>
  <c r="I86" i="17"/>
  <c r="J86" i="17"/>
  <c r="K86" i="17"/>
  <c r="C87" i="17"/>
  <c r="D87" i="17"/>
  <c r="F87" i="17"/>
  <c r="G87" i="17"/>
  <c r="H87" i="17"/>
  <c r="I87" i="17"/>
  <c r="J87" i="17"/>
  <c r="K87" i="17"/>
  <c r="C88" i="17"/>
  <c r="D88" i="17"/>
  <c r="F88" i="17"/>
  <c r="G88" i="17"/>
  <c r="H88" i="17"/>
  <c r="I88" i="17"/>
  <c r="J88" i="17"/>
  <c r="K88" i="17"/>
  <c r="C89" i="17"/>
  <c r="D89" i="17"/>
  <c r="F89" i="17"/>
  <c r="G89" i="17"/>
  <c r="H89" i="17"/>
  <c r="I89" i="17"/>
  <c r="J89" i="17"/>
  <c r="K89" i="17"/>
  <c r="C90" i="17"/>
  <c r="D90" i="17"/>
  <c r="F90" i="17"/>
  <c r="G90" i="17"/>
  <c r="H90" i="17"/>
  <c r="I90" i="17"/>
  <c r="J90" i="17"/>
  <c r="K90" i="17"/>
  <c r="C91" i="17"/>
  <c r="D91" i="17"/>
  <c r="F91" i="17"/>
  <c r="G91" i="17"/>
  <c r="H91" i="17"/>
  <c r="I91" i="17"/>
  <c r="J91" i="17"/>
  <c r="K91" i="17"/>
  <c r="C92" i="17"/>
  <c r="D92" i="17"/>
  <c r="F92" i="17"/>
  <c r="G92" i="17"/>
  <c r="H92" i="17"/>
  <c r="I92" i="17"/>
  <c r="J92" i="17"/>
  <c r="K92" i="17"/>
  <c r="C93" i="17"/>
  <c r="D93" i="17"/>
  <c r="F93" i="17"/>
  <c r="G93" i="17"/>
  <c r="H93" i="17"/>
  <c r="I93" i="17"/>
  <c r="J93" i="17"/>
  <c r="K93" i="17"/>
  <c r="C94" i="17"/>
  <c r="D94" i="17"/>
  <c r="F94" i="17"/>
  <c r="G94" i="17"/>
  <c r="H94" i="17"/>
  <c r="I94" i="17"/>
  <c r="J94" i="17"/>
  <c r="K94" i="17"/>
  <c r="C95" i="17"/>
  <c r="D95" i="17"/>
  <c r="F95" i="17"/>
  <c r="G95" i="17"/>
  <c r="H95" i="17"/>
  <c r="I95" i="17"/>
  <c r="J95" i="17"/>
  <c r="K95" i="17"/>
  <c r="C96" i="17"/>
  <c r="D96" i="17"/>
  <c r="F96" i="17"/>
  <c r="G96" i="17"/>
  <c r="H96" i="17"/>
  <c r="I96" i="17"/>
  <c r="J96" i="17"/>
  <c r="K96" i="17"/>
  <c r="C97" i="17"/>
  <c r="D97" i="17"/>
  <c r="F97" i="17"/>
  <c r="G97" i="17"/>
  <c r="H97" i="17"/>
  <c r="I97" i="17"/>
  <c r="J97" i="17"/>
  <c r="K97" i="17"/>
  <c r="C98" i="17"/>
  <c r="D98" i="17"/>
  <c r="F98" i="17"/>
  <c r="G98" i="17"/>
  <c r="H98" i="17"/>
  <c r="I98" i="17"/>
  <c r="J98" i="17"/>
  <c r="K98" i="17"/>
  <c r="C99" i="17"/>
  <c r="D99" i="17"/>
  <c r="F99" i="17"/>
  <c r="G99" i="17"/>
  <c r="H99" i="17"/>
  <c r="I99" i="17"/>
  <c r="J99" i="17"/>
  <c r="K99" i="17"/>
  <c r="C100" i="17"/>
  <c r="D100" i="17"/>
  <c r="F100" i="17"/>
  <c r="G100" i="17"/>
  <c r="H100" i="17"/>
  <c r="I100" i="17"/>
  <c r="J100" i="17"/>
  <c r="K100" i="17"/>
  <c r="C101" i="17"/>
  <c r="D101" i="17"/>
  <c r="F101" i="17"/>
  <c r="G101" i="17"/>
  <c r="H101" i="17"/>
  <c r="I101" i="17"/>
  <c r="J101" i="17"/>
  <c r="K101" i="17"/>
  <c r="C102" i="17"/>
  <c r="D102" i="17"/>
  <c r="F102" i="17"/>
  <c r="G102" i="17"/>
  <c r="H102" i="17"/>
  <c r="I102" i="17"/>
  <c r="J102" i="17"/>
  <c r="K102" i="17"/>
  <c r="C103" i="17"/>
  <c r="D103" i="17"/>
  <c r="F103" i="17"/>
  <c r="G103" i="17"/>
  <c r="H103" i="17"/>
  <c r="I103" i="17"/>
  <c r="J103" i="17"/>
  <c r="K103" i="17"/>
  <c r="C104" i="17"/>
  <c r="D104" i="17"/>
  <c r="F104" i="17"/>
  <c r="G104" i="17"/>
  <c r="H104" i="17"/>
  <c r="I104" i="17"/>
  <c r="J104" i="17"/>
  <c r="K104" i="17"/>
  <c r="C105" i="17"/>
  <c r="D105" i="17"/>
  <c r="F105" i="17"/>
  <c r="G105" i="17"/>
  <c r="H105" i="17"/>
  <c r="I105" i="17"/>
  <c r="J105" i="17"/>
  <c r="K105" i="17"/>
  <c r="C106" i="17"/>
  <c r="D106" i="17"/>
  <c r="F106" i="17"/>
  <c r="G106" i="17"/>
  <c r="H106" i="17"/>
  <c r="I106" i="17"/>
  <c r="J106" i="17"/>
  <c r="K106" i="17"/>
  <c r="C107" i="17"/>
  <c r="D107" i="17"/>
  <c r="F107" i="17"/>
  <c r="G107" i="17"/>
  <c r="H107" i="17"/>
  <c r="I107" i="17"/>
  <c r="J107" i="17"/>
  <c r="K107" i="17"/>
  <c r="C108" i="17"/>
  <c r="D108" i="17"/>
  <c r="F108" i="17"/>
  <c r="G108" i="17"/>
  <c r="H108" i="17"/>
  <c r="I108" i="17"/>
  <c r="J108" i="17"/>
  <c r="K108" i="17"/>
  <c r="C109" i="17"/>
  <c r="D109" i="17"/>
  <c r="F109" i="17"/>
  <c r="G109" i="17"/>
  <c r="H109" i="17"/>
  <c r="I109" i="17"/>
  <c r="J109" i="17"/>
  <c r="K109" i="17"/>
  <c r="C110" i="17"/>
  <c r="D110" i="17"/>
  <c r="F110" i="17"/>
  <c r="G110" i="17"/>
  <c r="H110" i="17"/>
  <c r="I110" i="17"/>
  <c r="J110" i="17"/>
  <c r="K110" i="17"/>
  <c r="C111" i="17"/>
  <c r="D111" i="17"/>
  <c r="F111" i="17"/>
  <c r="G111" i="17"/>
  <c r="H111" i="17"/>
  <c r="I111" i="17"/>
  <c r="J111" i="17"/>
  <c r="K111" i="17"/>
  <c r="C112" i="17"/>
  <c r="D112" i="17"/>
  <c r="F112" i="17"/>
  <c r="G112" i="17"/>
  <c r="H112" i="17"/>
  <c r="I112" i="17"/>
  <c r="J112" i="17"/>
  <c r="K112" i="17"/>
  <c r="C113" i="17"/>
  <c r="D113" i="17"/>
  <c r="F113" i="17"/>
  <c r="G113" i="17"/>
  <c r="H113" i="17"/>
  <c r="I113" i="17"/>
  <c r="J113" i="17"/>
  <c r="K113" i="17"/>
  <c r="C114" i="17"/>
  <c r="D114" i="17"/>
  <c r="F114" i="17"/>
  <c r="G114" i="17"/>
  <c r="H114" i="17"/>
  <c r="I114" i="17"/>
  <c r="J114" i="17"/>
  <c r="K114" i="17"/>
  <c r="C115" i="17"/>
  <c r="D115" i="17"/>
  <c r="F115" i="17"/>
  <c r="G115" i="17"/>
  <c r="H115" i="17"/>
  <c r="I115" i="17"/>
  <c r="J115" i="17"/>
  <c r="K115" i="17"/>
  <c r="C116" i="17"/>
  <c r="D116" i="17"/>
  <c r="F116" i="17"/>
  <c r="G116" i="17"/>
  <c r="H116" i="17"/>
  <c r="I116" i="17"/>
  <c r="J116" i="17"/>
  <c r="K116" i="17"/>
  <c r="C117" i="17"/>
  <c r="D117" i="17"/>
  <c r="F117" i="17"/>
  <c r="G117" i="17"/>
  <c r="H117" i="17"/>
  <c r="I117" i="17"/>
  <c r="J117" i="17"/>
  <c r="K117" i="17"/>
  <c r="C118" i="17"/>
  <c r="D118" i="17"/>
  <c r="F118" i="17"/>
  <c r="G118" i="17"/>
  <c r="H118" i="17"/>
  <c r="I118" i="17"/>
  <c r="J118" i="17"/>
  <c r="K118" i="17"/>
  <c r="C119" i="17"/>
  <c r="D119" i="17"/>
  <c r="F119" i="17"/>
  <c r="G119" i="17"/>
  <c r="H119" i="17"/>
  <c r="I119" i="17"/>
  <c r="J119" i="17"/>
  <c r="K119" i="17"/>
  <c r="C120" i="17"/>
  <c r="D120" i="17"/>
  <c r="F120" i="17"/>
  <c r="G120" i="17"/>
  <c r="H120" i="17"/>
  <c r="I120" i="17"/>
  <c r="J120" i="17"/>
  <c r="K120" i="17"/>
  <c r="C121" i="17"/>
  <c r="D121" i="17"/>
  <c r="F121" i="17"/>
  <c r="G121" i="17"/>
  <c r="H121" i="17"/>
  <c r="I121" i="17"/>
  <c r="J121" i="17"/>
  <c r="K121" i="17"/>
  <c r="C122" i="17"/>
  <c r="D122" i="17"/>
  <c r="F122" i="17"/>
  <c r="G122" i="17"/>
  <c r="H122" i="17"/>
  <c r="I122" i="17"/>
  <c r="J122" i="17"/>
  <c r="K122" i="17"/>
  <c r="C123" i="17"/>
  <c r="D123" i="17"/>
  <c r="F123" i="17"/>
  <c r="G123" i="17"/>
  <c r="H123" i="17"/>
  <c r="I123" i="17"/>
  <c r="J123" i="17"/>
  <c r="K123" i="17"/>
  <c r="C124" i="17"/>
  <c r="D124" i="17"/>
  <c r="F124" i="17"/>
  <c r="G124" i="17"/>
  <c r="H124" i="17"/>
  <c r="I124" i="17"/>
  <c r="J124" i="17"/>
  <c r="K124" i="17"/>
  <c r="C125" i="17"/>
  <c r="D125" i="17"/>
  <c r="F125" i="17"/>
  <c r="G125" i="17"/>
  <c r="H125" i="17"/>
  <c r="I125" i="17"/>
  <c r="J125" i="17"/>
  <c r="K125" i="17"/>
  <c r="C126" i="17"/>
  <c r="D126" i="17"/>
  <c r="F126" i="17"/>
  <c r="G126" i="17"/>
  <c r="H126" i="17"/>
  <c r="I126" i="17"/>
  <c r="J126" i="17"/>
  <c r="K126" i="17"/>
  <c r="C127" i="17"/>
  <c r="D127" i="17"/>
  <c r="F127" i="17"/>
  <c r="G127" i="17"/>
  <c r="H127" i="17"/>
  <c r="I127" i="17"/>
  <c r="J127" i="17"/>
  <c r="K127" i="17"/>
  <c r="C128" i="17"/>
  <c r="D128" i="17"/>
  <c r="F128" i="17"/>
  <c r="G128" i="17"/>
  <c r="H128" i="17"/>
  <c r="I128" i="17"/>
  <c r="J128" i="17"/>
  <c r="K128" i="17"/>
  <c r="C129" i="17"/>
  <c r="D129" i="17"/>
  <c r="F129" i="17"/>
  <c r="G129" i="17"/>
  <c r="H129" i="17"/>
  <c r="I129" i="17"/>
  <c r="J129" i="17"/>
  <c r="K129" i="17"/>
  <c r="C130" i="17"/>
  <c r="D130" i="17"/>
  <c r="F130" i="17"/>
  <c r="G130" i="17"/>
  <c r="H130" i="17"/>
  <c r="I130" i="17"/>
  <c r="J130" i="17"/>
  <c r="K130" i="17"/>
  <c r="C131" i="17"/>
  <c r="D131" i="17"/>
  <c r="F131" i="17"/>
  <c r="G131" i="17"/>
  <c r="H131" i="17"/>
  <c r="I131" i="17"/>
  <c r="J131" i="17"/>
  <c r="K131" i="17"/>
  <c r="C132" i="17"/>
  <c r="D132" i="17"/>
  <c r="F132" i="17"/>
  <c r="G132" i="17"/>
  <c r="H132" i="17"/>
  <c r="I132" i="17"/>
  <c r="J132" i="17"/>
  <c r="K132" i="17"/>
  <c r="C133" i="17"/>
  <c r="D133" i="17"/>
  <c r="F133" i="17"/>
  <c r="G133" i="17"/>
  <c r="H133" i="17"/>
  <c r="I133" i="17"/>
  <c r="J133" i="17"/>
  <c r="K133" i="17"/>
  <c r="C134" i="17"/>
  <c r="D134" i="17"/>
  <c r="F134" i="17"/>
  <c r="G134" i="17"/>
  <c r="H134" i="17"/>
  <c r="I134" i="17"/>
  <c r="J134" i="17"/>
  <c r="K134" i="17"/>
  <c r="C135" i="17"/>
  <c r="D135" i="17"/>
  <c r="F135" i="17"/>
  <c r="G135" i="17"/>
  <c r="H135" i="17"/>
  <c r="I135" i="17"/>
  <c r="J135" i="17"/>
  <c r="K135" i="17"/>
  <c r="C136" i="17"/>
  <c r="D136" i="17"/>
  <c r="F136" i="17"/>
  <c r="G136" i="17"/>
  <c r="H136" i="17"/>
  <c r="I136" i="17"/>
  <c r="J136" i="17"/>
  <c r="K136" i="17"/>
  <c r="C137" i="17"/>
  <c r="D137" i="17"/>
  <c r="F137" i="17"/>
  <c r="G137" i="17"/>
  <c r="H137" i="17"/>
  <c r="I137" i="17"/>
  <c r="J137" i="17"/>
  <c r="K137" i="17"/>
  <c r="C138" i="17"/>
  <c r="D138" i="17"/>
  <c r="F138" i="17"/>
  <c r="G138" i="17"/>
  <c r="H138" i="17"/>
  <c r="I138" i="17"/>
  <c r="J138" i="17"/>
  <c r="K138" i="17"/>
  <c r="C139" i="17"/>
  <c r="D139" i="17"/>
  <c r="F139" i="17"/>
  <c r="G139" i="17"/>
  <c r="H139" i="17"/>
  <c r="I139" i="17"/>
  <c r="J139" i="17"/>
  <c r="K139" i="17"/>
  <c r="C140" i="17"/>
  <c r="D140" i="17"/>
  <c r="F140" i="17"/>
  <c r="G140" i="17"/>
  <c r="H140" i="17"/>
  <c r="I140" i="17"/>
  <c r="J140" i="17"/>
  <c r="K140" i="17"/>
  <c r="C141" i="17"/>
  <c r="D141" i="17"/>
  <c r="F141" i="17"/>
  <c r="G141" i="17"/>
  <c r="H141" i="17"/>
  <c r="I141" i="17"/>
  <c r="J141" i="17"/>
  <c r="K141" i="17"/>
  <c r="C142" i="17"/>
  <c r="D142" i="17"/>
  <c r="F142" i="17"/>
  <c r="G142" i="17"/>
  <c r="H142" i="17"/>
  <c r="I142" i="17"/>
  <c r="J142" i="17"/>
  <c r="K142" i="17"/>
  <c r="C143" i="17"/>
  <c r="D143" i="17"/>
  <c r="F143" i="17"/>
  <c r="G143" i="17"/>
  <c r="H143" i="17"/>
  <c r="I143" i="17"/>
  <c r="J143" i="17"/>
  <c r="K143" i="17"/>
  <c r="C144" i="17"/>
  <c r="D144" i="17"/>
  <c r="F144" i="17"/>
  <c r="G144" i="17"/>
  <c r="H144" i="17"/>
  <c r="I144" i="17"/>
  <c r="J144" i="17"/>
  <c r="K144" i="17"/>
  <c r="C145" i="17"/>
  <c r="D145" i="17"/>
  <c r="F145" i="17"/>
  <c r="G145" i="17"/>
  <c r="H145" i="17"/>
  <c r="I145" i="17"/>
  <c r="J145" i="17"/>
  <c r="K145" i="17"/>
  <c r="C146" i="17"/>
  <c r="D146" i="17"/>
  <c r="F146" i="17"/>
  <c r="G146" i="17"/>
  <c r="H146" i="17"/>
  <c r="I146" i="17"/>
  <c r="J146" i="17"/>
  <c r="K146" i="17"/>
  <c r="C147" i="17"/>
  <c r="D147" i="17"/>
  <c r="F147" i="17"/>
  <c r="G147" i="17"/>
  <c r="H147" i="17"/>
  <c r="I147" i="17"/>
  <c r="J147" i="17"/>
  <c r="K147" i="17"/>
  <c r="C148" i="17"/>
  <c r="D148" i="17"/>
  <c r="F148" i="17"/>
  <c r="G148" i="17"/>
  <c r="H148" i="17"/>
  <c r="I148" i="17"/>
  <c r="J148" i="17"/>
  <c r="K148" i="17"/>
  <c r="C149" i="17"/>
  <c r="D149" i="17"/>
  <c r="F149" i="17"/>
  <c r="G149" i="17"/>
  <c r="H149" i="17"/>
  <c r="I149" i="17"/>
  <c r="J149" i="17"/>
  <c r="K149" i="17"/>
  <c r="C150" i="17"/>
  <c r="D150" i="17"/>
  <c r="F150" i="17"/>
  <c r="G150" i="17"/>
  <c r="H150" i="17"/>
  <c r="I150" i="17"/>
  <c r="J150" i="17"/>
  <c r="K150" i="17"/>
  <c r="C151" i="17"/>
  <c r="D151" i="17"/>
  <c r="F151" i="17"/>
  <c r="G151" i="17"/>
  <c r="H151" i="17"/>
  <c r="I151" i="17"/>
  <c r="J151" i="17"/>
  <c r="K151" i="17"/>
  <c r="C152" i="17"/>
  <c r="D152" i="17"/>
  <c r="F152" i="17"/>
  <c r="G152" i="17"/>
  <c r="H152" i="17"/>
  <c r="I152" i="17"/>
  <c r="J152" i="17"/>
  <c r="K152" i="17"/>
  <c r="C153" i="17"/>
  <c r="D153" i="17"/>
  <c r="F153" i="17"/>
  <c r="G153" i="17"/>
  <c r="H153" i="17"/>
  <c r="I153" i="17"/>
  <c r="J153" i="17"/>
  <c r="K153" i="17"/>
  <c r="C154" i="17"/>
  <c r="D154" i="17"/>
  <c r="F154" i="17"/>
  <c r="G154" i="17"/>
  <c r="H154" i="17"/>
  <c r="I154" i="17"/>
  <c r="J154" i="17"/>
  <c r="K154" i="17"/>
  <c r="C155" i="17"/>
  <c r="D155" i="17"/>
  <c r="F155" i="17"/>
  <c r="G155" i="17"/>
  <c r="H155" i="17"/>
  <c r="I155" i="17"/>
  <c r="J155" i="17"/>
  <c r="K155" i="17"/>
  <c r="C156" i="17"/>
  <c r="D156" i="17"/>
  <c r="F156" i="17"/>
  <c r="G156" i="17"/>
  <c r="H156" i="17"/>
  <c r="I156" i="17"/>
  <c r="J156" i="17"/>
  <c r="K156" i="17"/>
  <c r="C157" i="17"/>
  <c r="D157" i="17"/>
  <c r="F157" i="17"/>
  <c r="G157" i="17"/>
  <c r="H157" i="17"/>
  <c r="I157" i="17"/>
  <c r="J157" i="17"/>
  <c r="K157" i="17"/>
  <c r="C158" i="17"/>
  <c r="D158" i="17"/>
  <c r="F158" i="17"/>
  <c r="G158" i="17"/>
  <c r="H158" i="17"/>
  <c r="I158" i="17"/>
  <c r="J158" i="17"/>
  <c r="K158" i="17"/>
  <c r="C159" i="17"/>
  <c r="D159" i="17"/>
  <c r="F159" i="17"/>
  <c r="G159" i="17"/>
  <c r="H159" i="17"/>
  <c r="I159" i="17"/>
  <c r="J159" i="17"/>
  <c r="K159" i="17"/>
  <c r="C160" i="17"/>
  <c r="D160" i="17"/>
  <c r="F160" i="17"/>
  <c r="G160" i="17"/>
  <c r="H160" i="17"/>
  <c r="I160" i="17"/>
  <c r="J160" i="17"/>
  <c r="K160" i="17"/>
  <c r="C161" i="17"/>
  <c r="D161" i="17"/>
  <c r="F161" i="17"/>
  <c r="G161" i="17"/>
  <c r="H161" i="17"/>
  <c r="I161" i="17"/>
  <c r="J161" i="17"/>
  <c r="K161" i="17"/>
  <c r="C162" i="17"/>
  <c r="D162" i="17"/>
  <c r="F162" i="17"/>
  <c r="G162" i="17"/>
  <c r="H162" i="17"/>
  <c r="I162" i="17"/>
  <c r="J162" i="17"/>
  <c r="K162" i="17"/>
  <c r="C163" i="17"/>
  <c r="D163" i="17"/>
  <c r="F163" i="17"/>
  <c r="G163" i="17"/>
  <c r="H163" i="17"/>
  <c r="I163" i="17"/>
  <c r="J163" i="17"/>
  <c r="K163" i="17"/>
  <c r="C164" i="17"/>
  <c r="D164" i="17"/>
  <c r="F164" i="17"/>
  <c r="G164" i="17"/>
  <c r="H164" i="17"/>
  <c r="I164" i="17"/>
  <c r="J164" i="17"/>
  <c r="K164" i="17"/>
  <c r="C165" i="17"/>
  <c r="D165" i="17"/>
  <c r="F165" i="17"/>
  <c r="G165" i="17"/>
  <c r="H165" i="17"/>
  <c r="I165" i="17"/>
  <c r="J165" i="17"/>
  <c r="K165" i="17"/>
  <c r="C166" i="17"/>
  <c r="D166" i="17"/>
  <c r="F166" i="17"/>
  <c r="G166" i="17"/>
  <c r="H166" i="17"/>
  <c r="I166" i="17"/>
  <c r="J166" i="17"/>
  <c r="K166" i="17"/>
  <c r="C167" i="17"/>
  <c r="D167" i="17"/>
  <c r="F167" i="17"/>
  <c r="G167" i="17"/>
  <c r="H167" i="17"/>
  <c r="I167" i="17"/>
  <c r="J167" i="17"/>
  <c r="K167" i="17"/>
  <c r="C168" i="17"/>
  <c r="D168" i="17"/>
  <c r="F168" i="17"/>
  <c r="G168" i="17"/>
  <c r="H168" i="17"/>
  <c r="I168" i="17"/>
  <c r="J168" i="17"/>
  <c r="K168" i="17"/>
  <c r="C169" i="17"/>
  <c r="D169" i="17"/>
  <c r="F169" i="17"/>
  <c r="G169" i="17"/>
  <c r="H169" i="17"/>
  <c r="I169" i="17"/>
  <c r="J169" i="17"/>
  <c r="K169" i="17"/>
  <c r="C170" i="17"/>
  <c r="D170" i="17"/>
  <c r="F170" i="17"/>
  <c r="G170" i="17"/>
  <c r="H170" i="17"/>
  <c r="I170" i="17"/>
  <c r="J170" i="17"/>
  <c r="K170" i="17"/>
  <c r="C171" i="17"/>
  <c r="D171" i="17"/>
  <c r="F171" i="17"/>
  <c r="G171" i="17"/>
  <c r="H171" i="17"/>
  <c r="I171" i="17"/>
  <c r="J171" i="17"/>
  <c r="K171" i="17"/>
  <c r="C172" i="17"/>
  <c r="D172" i="17"/>
  <c r="F172" i="17"/>
  <c r="G172" i="17"/>
  <c r="H172" i="17"/>
  <c r="I172" i="17"/>
  <c r="J172" i="17"/>
  <c r="K172" i="17"/>
  <c r="C173" i="17"/>
  <c r="D173" i="17"/>
  <c r="F173" i="17"/>
  <c r="G173" i="17"/>
  <c r="H173" i="17"/>
  <c r="I173" i="17"/>
  <c r="J173" i="17"/>
  <c r="K173" i="17"/>
  <c r="C174" i="17"/>
  <c r="D174" i="17"/>
  <c r="F174" i="17"/>
  <c r="G174" i="17"/>
  <c r="H174" i="17"/>
  <c r="I174" i="17"/>
  <c r="J174" i="17"/>
  <c r="K174" i="17"/>
  <c r="C175" i="17"/>
  <c r="D175" i="17"/>
  <c r="F175" i="17"/>
  <c r="G175" i="17"/>
  <c r="H175" i="17"/>
  <c r="I175" i="17"/>
  <c r="J175" i="17"/>
  <c r="K175" i="17"/>
  <c r="C176" i="17"/>
  <c r="D176" i="17"/>
  <c r="F176" i="17"/>
  <c r="G176" i="17"/>
  <c r="H176" i="17"/>
  <c r="I176" i="17"/>
  <c r="J176" i="17"/>
  <c r="K176" i="17"/>
  <c r="C177" i="17"/>
  <c r="D177" i="17"/>
  <c r="F177" i="17"/>
  <c r="G177" i="17"/>
  <c r="H177" i="17"/>
  <c r="I177" i="17"/>
  <c r="J177" i="17"/>
  <c r="K177" i="17"/>
  <c r="C178" i="17"/>
  <c r="D178" i="17"/>
  <c r="F178" i="17"/>
  <c r="G178" i="17"/>
  <c r="H178" i="17"/>
  <c r="I178" i="17"/>
  <c r="J178" i="17"/>
  <c r="K178" i="17"/>
  <c r="C179" i="17"/>
  <c r="D179" i="17"/>
  <c r="F179" i="17"/>
  <c r="G179" i="17"/>
  <c r="H179" i="17"/>
  <c r="I179" i="17"/>
  <c r="J179" i="17"/>
  <c r="K179" i="17"/>
  <c r="C180" i="17"/>
  <c r="D180" i="17"/>
  <c r="F180" i="17"/>
  <c r="G180" i="17"/>
  <c r="H180" i="17"/>
  <c r="I180" i="17"/>
  <c r="J180" i="17"/>
  <c r="K180" i="17"/>
  <c r="C181" i="17"/>
  <c r="D181" i="17"/>
  <c r="F181" i="17"/>
  <c r="G181" i="17"/>
  <c r="H181" i="17"/>
  <c r="I181" i="17"/>
  <c r="J181" i="17"/>
  <c r="K181" i="17"/>
  <c r="C182" i="17"/>
  <c r="D182" i="17"/>
  <c r="F182" i="17"/>
  <c r="G182" i="17"/>
  <c r="H182" i="17"/>
  <c r="I182" i="17"/>
  <c r="J182" i="17"/>
  <c r="K182" i="17"/>
  <c r="C183" i="17"/>
  <c r="D183" i="17"/>
  <c r="F183" i="17"/>
  <c r="G183" i="17"/>
  <c r="H183" i="17"/>
  <c r="I183" i="17"/>
  <c r="J183" i="17"/>
  <c r="K183" i="17"/>
  <c r="C184" i="17"/>
  <c r="D184" i="17"/>
  <c r="F184" i="17"/>
  <c r="G184" i="17"/>
  <c r="H184" i="17"/>
  <c r="I184" i="17"/>
  <c r="J184" i="17"/>
  <c r="K184" i="17"/>
  <c r="C185" i="17"/>
  <c r="D185" i="17"/>
  <c r="F185" i="17"/>
  <c r="G185" i="17"/>
  <c r="H185" i="17"/>
  <c r="I185" i="17"/>
  <c r="J185" i="17"/>
  <c r="K185" i="17"/>
  <c r="C186" i="17"/>
  <c r="D186" i="17"/>
  <c r="F186" i="17"/>
  <c r="G186" i="17"/>
  <c r="H186" i="17"/>
  <c r="I186" i="17"/>
  <c r="J186" i="17"/>
  <c r="K186" i="17"/>
  <c r="C187" i="17"/>
  <c r="D187" i="17"/>
  <c r="F187" i="17"/>
  <c r="G187" i="17"/>
  <c r="H187" i="17"/>
  <c r="I187" i="17"/>
  <c r="J187" i="17"/>
  <c r="K187" i="17"/>
  <c r="C188" i="17"/>
  <c r="D188" i="17"/>
  <c r="F188" i="17"/>
  <c r="G188" i="17"/>
  <c r="H188" i="17"/>
  <c r="I188" i="17"/>
  <c r="J188" i="17"/>
  <c r="K188" i="17"/>
  <c r="C189" i="17"/>
  <c r="D189" i="17"/>
  <c r="F189" i="17"/>
  <c r="G189" i="17"/>
  <c r="H189" i="17"/>
  <c r="I189" i="17"/>
  <c r="J189" i="17"/>
  <c r="K189" i="17"/>
  <c r="C190" i="17"/>
  <c r="D190" i="17"/>
  <c r="F190" i="17"/>
  <c r="G190" i="17"/>
  <c r="H190" i="17"/>
  <c r="I190" i="17"/>
  <c r="J190" i="17"/>
  <c r="K190" i="17"/>
  <c r="C191" i="17"/>
  <c r="D191" i="17"/>
  <c r="F191" i="17"/>
  <c r="G191" i="17"/>
  <c r="H191" i="17"/>
  <c r="I191" i="17"/>
  <c r="J191" i="17"/>
  <c r="K191" i="17"/>
  <c r="C192" i="17"/>
  <c r="D192" i="17"/>
  <c r="F192" i="17"/>
  <c r="G192" i="17"/>
  <c r="H192" i="17"/>
  <c r="I192" i="17"/>
  <c r="J192" i="17"/>
  <c r="K192" i="17"/>
  <c r="C193" i="17"/>
  <c r="D193" i="17"/>
  <c r="F193" i="17"/>
  <c r="G193" i="17"/>
  <c r="H193" i="17"/>
  <c r="I193" i="17"/>
  <c r="J193" i="17"/>
  <c r="K193" i="17"/>
  <c r="C194" i="17"/>
  <c r="D194" i="17"/>
  <c r="F194" i="17"/>
  <c r="G194" i="17"/>
  <c r="H194" i="17"/>
  <c r="I194" i="17"/>
  <c r="J194" i="17"/>
  <c r="K194" i="17"/>
  <c r="C195" i="17"/>
  <c r="D195" i="17"/>
  <c r="F195" i="17"/>
  <c r="G195" i="17"/>
  <c r="H195" i="17"/>
  <c r="I195" i="17"/>
  <c r="J195" i="17"/>
  <c r="K195" i="17"/>
  <c r="C196" i="17"/>
  <c r="D196" i="17"/>
  <c r="F196" i="17"/>
  <c r="G196" i="17"/>
  <c r="H196" i="17"/>
  <c r="I196" i="17"/>
  <c r="J196" i="17"/>
  <c r="K196" i="17"/>
  <c r="C197" i="17"/>
  <c r="D197" i="17"/>
  <c r="F197" i="17"/>
  <c r="G197" i="17"/>
  <c r="H197" i="17"/>
  <c r="I197" i="17"/>
  <c r="J197" i="17"/>
  <c r="K197" i="17"/>
  <c r="C198" i="17"/>
  <c r="D198" i="17"/>
  <c r="F198" i="17"/>
  <c r="G198" i="17"/>
  <c r="H198" i="17"/>
  <c r="I198" i="17"/>
  <c r="J198" i="17"/>
  <c r="K198" i="17"/>
  <c r="C199" i="17"/>
  <c r="D199" i="17"/>
  <c r="F199" i="17"/>
  <c r="G199" i="17"/>
  <c r="H199" i="17"/>
  <c r="I199" i="17"/>
  <c r="J199" i="17"/>
  <c r="K199" i="17"/>
  <c r="C200" i="17"/>
  <c r="D200" i="17"/>
  <c r="F200" i="17"/>
  <c r="G200" i="17"/>
  <c r="H200" i="17"/>
  <c r="I200" i="17"/>
  <c r="J200" i="17"/>
  <c r="K200" i="17"/>
  <c r="C201" i="17"/>
  <c r="D201" i="17"/>
  <c r="F201" i="17"/>
  <c r="G201" i="17"/>
  <c r="H201" i="17"/>
  <c r="I201" i="17"/>
  <c r="J201" i="17"/>
  <c r="K201" i="17"/>
  <c r="C202" i="17"/>
  <c r="D202" i="17"/>
  <c r="F202" i="17"/>
  <c r="G202" i="17"/>
  <c r="H202" i="17"/>
  <c r="I202" i="17"/>
  <c r="J202" i="17"/>
  <c r="K202" i="17"/>
  <c r="C203" i="17"/>
  <c r="D203" i="17"/>
  <c r="F203" i="17"/>
  <c r="G203" i="17"/>
  <c r="H203" i="17"/>
  <c r="I203" i="17"/>
  <c r="J203" i="17"/>
  <c r="K203" i="17"/>
  <c r="C204" i="17"/>
  <c r="D204" i="17"/>
  <c r="F204" i="17"/>
  <c r="G204" i="17"/>
  <c r="H204" i="17"/>
  <c r="I204" i="17"/>
  <c r="J204" i="17"/>
  <c r="K204" i="17"/>
  <c r="C205" i="17"/>
  <c r="D205" i="17"/>
  <c r="F205" i="17"/>
  <c r="G205" i="17"/>
  <c r="H205" i="17"/>
  <c r="I205" i="17"/>
  <c r="J205" i="17"/>
  <c r="K205" i="17"/>
  <c r="C206" i="17"/>
  <c r="D206" i="17"/>
  <c r="F206" i="17"/>
  <c r="G206" i="17"/>
  <c r="H206" i="17"/>
  <c r="I206" i="17"/>
  <c r="J206" i="17"/>
  <c r="K206" i="17"/>
  <c r="C207" i="17"/>
  <c r="D207" i="17"/>
  <c r="F207" i="17"/>
  <c r="G207" i="17"/>
  <c r="H207" i="17"/>
  <c r="I207" i="17"/>
  <c r="J207" i="17"/>
  <c r="K207" i="17"/>
  <c r="C208" i="17"/>
  <c r="D208" i="17"/>
  <c r="F208" i="17"/>
  <c r="G208" i="17"/>
  <c r="H208" i="17"/>
  <c r="I208" i="17"/>
  <c r="J208" i="17"/>
  <c r="K208" i="17"/>
  <c r="C209" i="17"/>
  <c r="D209" i="17"/>
  <c r="F209" i="17"/>
  <c r="G209" i="17"/>
  <c r="H209" i="17"/>
  <c r="I209" i="17"/>
  <c r="J209" i="17"/>
  <c r="K209" i="17"/>
  <c r="C210" i="17"/>
  <c r="D210" i="17"/>
  <c r="F210" i="17"/>
  <c r="G210" i="17"/>
  <c r="H210" i="17"/>
  <c r="I210" i="17"/>
  <c r="J210" i="17"/>
  <c r="K210" i="17"/>
  <c r="C211" i="17"/>
  <c r="D211" i="17"/>
  <c r="F211" i="17"/>
  <c r="G211" i="17"/>
  <c r="H211" i="17"/>
  <c r="I211" i="17"/>
  <c r="J211" i="17"/>
  <c r="K211" i="17"/>
  <c r="C212" i="17"/>
  <c r="D212" i="17"/>
  <c r="F212" i="17"/>
  <c r="G212" i="17"/>
  <c r="H212" i="17"/>
  <c r="I212" i="17"/>
  <c r="J212" i="17"/>
  <c r="K212" i="17"/>
  <c r="C213" i="17"/>
  <c r="D213" i="17"/>
  <c r="F213" i="17"/>
  <c r="G213" i="17"/>
  <c r="H213" i="17"/>
  <c r="I213" i="17"/>
  <c r="J213" i="17"/>
  <c r="K213" i="17"/>
  <c r="C214" i="17"/>
  <c r="D214" i="17"/>
  <c r="F214" i="17"/>
  <c r="G214" i="17"/>
  <c r="H214" i="17"/>
  <c r="I214" i="17"/>
  <c r="J214" i="17"/>
  <c r="K214" i="17"/>
  <c r="C215" i="17"/>
  <c r="D215" i="17"/>
  <c r="F215" i="17"/>
  <c r="G215" i="17"/>
  <c r="H215" i="17"/>
  <c r="I215" i="17"/>
  <c r="J215" i="17"/>
  <c r="K215" i="17"/>
  <c r="C216" i="17"/>
  <c r="D216" i="17"/>
  <c r="F216" i="17"/>
  <c r="G216" i="17"/>
  <c r="H216" i="17"/>
  <c r="I216" i="17"/>
  <c r="J216" i="17"/>
  <c r="K216" i="17"/>
  <c r="C217" i="17"/>
  <c r="D217" i="17"/>
  <c r="F217" i="17"/>
  <c r="G217" i="17"/>
  <c r="H217" i="17"/>
  <c r="I217" i="17"/>
  <c r="J217" i="17"/>
  <c r="K217" i="17"/>
  <c r="C218" i="17"/>
  <c r="D218" i="17"/>
  <c r="F218" i="17"/>
  <c r="G218" i="17"/>
  <c r="H218" i="17"/>
  <c r="I218" i="17"/>
  <c r="J218" i="17"/>
  <c r="K218" i="17"/>
  <c r="C219" i="17"/>
  <c r="D219" i="17"/>
  <c r="F219" i="17"/>
  <c r="G219" i="17"/>
  <c r="H219" i="17"/>
  <c r="I219" i="17"/>
  <c r="J219" i="17"/>
  <c r="K219" i="17"/>
  <c r="C220" i="17"/>
  <c r="D220" i="17"/>
  <c r="F220" i="17"/>
  <c r="G220" i="17"/>
  <c r="H220" i="17"/>
  <c r="I220" i="17"/>
  <c r="J220" i="17"/>
  <c r="K220" i="17"/>
  <c r="C221" i="17"/>
  <c r="D221" i="17"/>
  <c r="F221" i="17"/>
  <c r="G221" i="17"/>
  <c r="H221" i="17"/>
  <c r="I221" i="17"/>
  <c r="J221" i="17"/>
  <c r="K221" i="17"/>
  <c r="C222" i="17"/>
  <c r="D222" i="17"/>
  <c r="F222" i="17"/>
  <c r="G222" i="17"/>
  <c r="H222" i="17"/>
  <c r="I222" i="17"/>
  <c r="J222" i="17"/>
  <c r="K222" i="17"/>
  <c r="C223" i="17"/>
  <c r="D223" i="17"/>
  <c r="F223" i="17"/>
  <c r="G223" i="17"/>
  <c r="H223" i="17"/>
  <c r="I223" i="17"/>
  <c r="J223" i="17"/>
  <c r="K223" i="17"/>
  <c r="C224" i="17"/>
  <c r="D224" i="17"/>
  <c r="F224" i="17"/>
  <c r="G224" i="17"/>
  <c r="H224" i="17"/>
  <c r="I224" i="17"/>
  <c r="J224" i="17"/>
  <c r="K224" i="17"/>
  <c r="C225" i="17"/>
  <c r="D225" i="17"/>
  <c r="F225" i="17"/>
  <c r="G225" i="17"/>
  <c r="H225" i="17"/>
  <c r="I225" i="17"/>
  <c r="J225" i="17"/>
  <c r="K225" i="17"/>
  <c r="C226" i="17"/>
  <c r="D226" i="17"/>
  <c r="F226" i="17"/>
  <c r="G226" i="17"/>
  <c r="H226" i="17"/>
  <c r="I226" i="17"/>
  <c r="J226" i="17"/>
  <c r="K226" i="17"/>
  <c r="C227" i="17"/>
  <c r="D227" i="17"/>
  <c r="F227" i="17"/>
  <c r="G227" i="17"/>
  <c r="H227" i="17"/>
  <c r="I227" i="17"/>
  <c r="J227" i="17"/>
  <c r="K227" i="17"/>
  <c r="C228" i="17"/>
  <c r="D228" i="17"/>
  <c r="F228" i="17"/>
  <c r="G228" i="17"/>
  <c r="H228" i="17"/>
  <c r="I228" i="17"/>
  <c r="J228" i="17"/>
  <c r="K228" i="17"/>
  <c r="C229" i="17"/>
  <c r="D229" i="17"/>
  <c r="F229" i="17"/>
  <c r="G229" i="17"/>
  <c r="H229" i="17"/>
  <c r="I229" i="17"/>
  <c r="J229" i="17"/>
  <c r="K229" i="17"/>
  <c r="C230" i="17"/>
  <c r="D230" i="17"/>
  <c r="F230" i="17"/>
  <c r="G230" i="17"/>
  <c r="H230" i="17"/>
  <c r="I230" i="17"/>
  <c r="J230" i="17"/>
  <c r="K230" i="17"/>
  <c r="C231" i="17"/>
  <c r="D231" i="17"/>
  <c r="F231" i="17"/>
  <c r="G231" i="17"/>
  <c r="H231" i="17"/>
  <c r="I231" i="17"/>
  <c r="J231" i="17"/>
  <c r="K231" i="17"/>
  <c r="C232" i="17"/>
  <c r="D232" i="17"/>
  <c r="F232" i="17"/>
  <c r="G232" i="17"/>
  <c r="H232" i="17"/>
  <c r="I232" i="17"/>
  <c r="J232" i="17"/>
  <c r="K232" i="17"/>
  <c r="C233" i="17"/>
  <c r="D233" i="17"/>
  <c r="F233" i="17"/>
  <c r="G233" i="17"/>
  <c r="H233" i="17"/>
  <c r="I233" i="17"/>
  <c r="J233" i="17"/>
  <c r="K233" i="17"/>
  <c r="C234" i="17"/>
  <c r="D234" i="17"/>
  <c r="F234" i="17"/>
  <c r="G234" i="17"/>
  <c r="H234" i="17"/>
  <c r="I234" i="17"/>
  <c r="J234" i="17"/>
  <c r="K234" i="17"/>
  <c r="C235" i="17"/>
  <c r="D235" i="17"/>
  <c r="F235" i="17"/>
  <c r="G235" i="17"/>
  <c r="H235" i="17"/>
  <c r="I235" i="17"/>
  <c r="J235" i="17"/>
  <c r="K235" i="17"/>
  <c r="C236" i="17"/>
  <c r="D236" i="17"/>
  <c r="F236" i="17"/>
  <c r="G236" i="17"/>
  <c r="H236" i="17"/>
  <c r="I236" i="17"/>
  <c r="J236" i="17"/>
  <c r="K236" i="17"/>
  <c r="C237" i="17"/>
  <c r="D237" i="17"/>
  <c r="F237" i="17"/>
  <c r="G237" i="17"/>
  <c r="H237" i="17"/>
  <c r="I237" i="17"/>
  <c r="J237" i="17"/>
  <c r="K237" i="17"/>
  <c r="C238" i="17"/>
  <c r="D238" i="17"/>
  <c r="F238" i="17"/>
  <c r="G238" i="17"/>
  <c r="H238" i="17"/>
  <c r="I238" i="17"/>
  <c r="J238" i="17"/>
  <c r="K238" i="17"/>
  <c r="C239" i="17"/>
  <c r="D239" i="17"/>
  <c r="F239" i="17"/>
  <c r="G239" i="17"/>
  <c r="H239" i="17"/>
  <c r="I239" i="17"/>
  <c r="J239" i="17"/>
  <c r="K239" i="17"/>
  <c r="C240" i="17"/>
  <c r="D240" i="17"/>
  <c r="F240" i="17"/>
  <c r="G240" i="17"/>
  <c r="H240" i="17"/>
  <c r="I240" i="17"/>
  <c r="J240" i="17"/>
  <c r="K240" i="17"/>
  <c r="C241" i="17"/>
  <c r="D241" i="17"/>
  <c r="F241" i="17"/>
  <c r="G241" i="17"/>
  <c r="H241" i="17"/>
  <c r="I241" i="17"/>
  <c r="J241" i="17"/>
  <c r="K241" i="17"/>
  <c r="C242" i="17"/>
  <c r="D242" i="17"/>
  <c r="F242" i="17"/>
  <c r="G242" i="17"/>
  <c r="H242" i="17"/>
  <c r="I242" i="17"/>
  <c r="J242" i="17"/>
  <c r="K242" i="17"/>
  <c r="C243" i="17"/>
  <c r="D243" i="17"/>
  <c r="F243" i="17"/>
  <c r="G243" i="17"/>
  <c r="H243" i="17"/>
  <c r="I243" i="17"/>
  <c r="J243" i="17"/>
  <c r="K243" i="17"/>
  <c r="C244" i="17"/>
  <c r="D244" i="17"/>
  <c r="F244" i="17"/>
  <c r="G244" i="17"/>
  <c r="H244" i="17"/>
  <c r="I244" i="17"/>
  <c r="J244" i="17"/>
  <c r="K244" i="17"/>
  <c r="C245" i="17"/>
  <c r="D245" i="17"/>
  <c r="F245" i="17"/>
  <c r="G245" i="17"/>
  <c r="H245" i="17"/>
  <c r="I245" i="17"/>
  <c r="J245" i="17"/>
  <c r="K245" i="17"/>
  <c r="C246" i="17"/>
  <c r="D246" i="17"/>
  <c r="F246" i="17"/>
  <c r="G246" i="17"/>
  <c r="H246" i="17"/>
  <c r="I246" i="17"/>
  <c r="J246" i="17"/>
  <c r="K246" i="17"/>
  <c r="C247" i="17"/>
  <c r="D247" i="17"/>
  <c r="F247" i="17"/>
  <c r="G247" i="17"/>
  <c r="H247" i="17"/>
  <c r="I247" i="17"/>
  <c r="J247" i="17"/>
  <c r="K247" i="17"/>
  <c r="C248" i="17"/>
  <c r="D248" i="17"/>
  <c r="F248" i="17"/>
  <c r="G248" i="17"/>
  <c r="H248" i="17"/>
  <c r="I248" i="17"/>
  <c r="J248" i="17"/>
  <c r="K248" i="17"/>
  <c r="C249" i="17"/>
  <c r="D249" i="17"/>
  <c r="F249" i="17"/>
  <c r="G249" i="17"/>
  <c r="H249" i="17"/>
  <c r="I249" i="17"/>
  <c r="J249" i="17"/>
  <c r="K249" i="17"/>
  <c r="C250" i="17"/>
  <c r="D250" i="17"/>
  <c r="F250" i="17"/>
  <c r="G250" i="17"/>
  <c r="H250" i="17"/>
  <c r="I250" i="17"/>
  <c r="J250" i="17"/>
  <c r="K250" i="17"/>
  <c r="C251" i="17"/>
  <c r="D251" i="17"/>
  <c r="F251" i="17"/>
  <c r="G251" i="17"/>
  <c r="H251" i="17"/>
  <c r="I251" i="17"/>
  <c r="J251" i="17"/>
  <c r="K251" i="17"/>
  <c r="C252" i="17"/>
  <c r="D252" i="17"/>
  <c r="F252" i="17"/>
  <c r="G252" i="17"/>
  <c r="H252" i="17"/>
  <c r="I252" i="17"/>
  <c r="J252" i="17"/>
  <c r="K252" i="17"/>
  <c r="C253" i="17"/>
  <c r="D253" i="17"/>
  <c r="F253" i="17"/>
  <c r="G253" i="17"/>
  <c r="H253" i="17"/>
  <c r="I253" i="17"/>
  <c r="J253" i="17"/>
  <c r="K253" i="17"/>
  <c r="C254" i="17"/>
  <c r="D254" i="17"/>
  <c r="F254" i="17"/>
  <c r="G254" i="17"/>
  <c r="H254" i="17"/>
  <c r="I254" i="17"/>
  <c r="J254" i="17"/>
  <c r="K254" i="17"/>
  <c r="C255" i="17"/>
  <c r="D255" i="17"/>
  <c r="F255" i="17"/>
  <c r="G255" i="17"/>
  <c r="H255" i="17"/>
  <c r="I255" i="17"/>
  <c r="J255" i="17"/>
  <c r="K255" i="17"/>
  <c r="C256" i="17"/>
  <c r="D256" i="17"/>
  <c r="F256" i="17"/>
  <c r="G256" i="17"/>
  <c r="H256" i="17"/>
  <c r="I256" i="17"/>
  <c r="J256" i="17"/>
  <c r="K256" i="17"/>
  <c r="C257" i="17"/>
  <c r="D257" i="17"/>
  <c r="F257" i="17"/>
  <c r="G257" i="17"/>
  <c r="H257" i="17"/>
  <c r="I257" i="17"/>
  <c r="J257" i="17"/>
  <c r="K257" i="17"/>
  <c r="C258" i="17"/>
  <c r="D258" i="17"/>
  <c r="F258" i="17"/>
  <c r="G258" i="17"/>
  <c r="H258" i="17"/>
  <c r="I258" i="17"/>
  <c r="J258" i="17"/>
  <c r="K258" i="17"/>
  <c r="C259" i="17"/>
  <c r="D259" i="17"/>
  <c r="F259" i="17"/>
  <c r="G259" i="17"/>
  <c r="H259" i="17"/>
  <c r="I259" i="17"/>
  <c r="J259" i="17"/>
  <c r="K259" i="17"/>
  <c r="C260" i="17"/>
  <c r="D260" i="17"/>
  <c r="F260" i="17"/>
  <c r="G260" i="17"/>
  <c r="H260" i="17"/>
  <c r="I260" i="17"/>
  <c r="J260" i="17"/>
  <c r="K260" i="17"/>
  <c r="C261" i="17"/>
  <c r="D261" i="17"/>
  <c r="F261" i="17"/>
  <c r="G261" i="17"/>
  <c r="H261" i="17"/>
  <c r="I261" i="17"/>
  <c r="J261" i="17"/>
  <c r="K261" i="17"/>
  <c r="C262" i="17"/>
  <c r="D262" i="17"/>
  <c r="F262" i="17"/>
  <c r="G262" i="17"/>
  <c r="H262" i="17"/>
  <c r="I262" i="17"/>
  <c r="J262" i="17"/>
  <c r="K262" i="17"/>
  <c r="C263" i="17"/>
  <c r="D263" i="17"/>
  <c r="F263" i="17"/>
  <c r="G263" i="17"/>
  <c r="H263" i="17"/>
  <c r="I263" i="17"/>
  <c r="J263" i="17"/>
  <c r="K263" i="17"/>
  <c r="C264" i="17"/>
  <c r="D264" i="17"/>
  <c r="F264" i="17"/>
  <c r="G264" i="17"/>
  <c r="H264" i="17"/>
  <c r="I264" i="17"/>
  <c r="J264" i="17"/>
  <c r="K264" i="17"/>
  <c r="C265" i="17"/>
  <c r="D265" i="17"/>
  <c r="F265" i="17"/>
  <c r="G265" i="17"/>
  <c r="H265" i="17"/>
  <c r="I265" i="17"/>
  <c r="J265" i="17"/>
  <c r="K265" i="17"/>
  <c r="C266" i="17"/>
  <c r="D266" i="17"/>
  <c r="F266" i="17"/>
  <c r="G266" i="17"/>
  <c r="H266" i="17"/>
  <c r="I266" i="17"/>
  <c r="J266" i="17"/>
  <c r="K266" i="17"/>
  <c r="C267" i="17"/>
  <c r="D267" i="17"/>
  <c r="F267" i="17"/>
  <c r="G267" i="17"/>
  <c r="H267" i="17"/>
  <c r="I267" i="17"/>
  <c r="J267" i="17"/>
  <c r="K267" i="17"/>
  <c r="C268" i="17"/>
  <c r="D268" i="17"/>
  <c r="F268" i="17"/>
  <c r="G268" i="17"/>
  <c r="H268" i="17"/>
  <c r="I268" i="17"/>
  <c r="J268" i="17"/>
  <c r="K268" i="17"/>
  <c r="C269" i="17"/>
  <c r="D269" i="17"/>
  <c r="F269" i="17"/>
  <c r="G269" i="17"/>
  <c r="H269" i="17"/>
  <c r="I269" i="17"/>
  <c r="J269" i="17"/>
  <c r="K269" i="17"/>
  <c r="C270" i="17"/>
  <c r="D270" i="17"/>
  <c r="F270" i="17"/>
  <c r="G270" i="17"/>
  <c r="H270" i="17"/>
  <c r="I270" i="17"/>
  <c r="J270" i="17"/>
  <c r="K270" i="17"/>
  <c r="C271" i="17"/>
  <c r="D271" i="17"/>
  <c r="F271" i="17"/>
  <c r="G271" i="17"/>
  <c r="H271" i="17"/>
  <c r="I271" i="17"/>
  <c r="J271" i="17"/>
  <c r="K271" i="17"/>
  <c r="C272" i="17"/>
  <c r="D272" i="17"/>
  <c r="F272" i="17"/>
  <c r="G272" i="17"/>
  <c r="H272" i="17"/>
  <c r="I272" i="17"/>
  <c r="J272" i="17"/>
  <c r="K272" i="17"/>
  <c r="C273" i="17"/>
  <c r="D273" i="17"/>
  <c r="F273" i="17"/>
  <c r="G273" i="17"/>
  <c r="H273" i="17"/>
  <c r="I273" i="17"/>
  <c r="J273" i="17"/>
  <c r="K273" i="17"/>
  <c r="C274" i="17"/>
  <c r="D274" i="17"/>
  <c r="F274" i="17"/>
  <c r="G274" i="17"/>
  <c r="H274" i="17"/>
  <c r="I274" i="17"/>
  <c r="J274" i="17"/>
  <c r="K274" i="17"/>
  <c r="C275" i="17"/>
  <c r="D275" i="17"/>
  <c r="F275" i="17"/>
  <c r="G275" i="17"/>
  <c r="H275" i="17"/>
  <c r="I275" i="17"/>
  <c r="J275" i="17"/>
  <c r="K275" i="17"/>
  <c r="C276" i="17"/>
  <c r="D276" i="17"/>
  <c r="F276" i="17"/>
  <c r="G276" i="17"/>
  <c r="H276" i="17"/>
  <c r="I276" i="17"/>
  <c r="J276" i="17"/>
  <c r="K276" i="17"/>
  <c r="C277" i="17"/>
  <c r="D277" i="17"/>
  <c r="F277" i="17"/>
  <c r="G277" i="17"/>
  <c r="H277" i="17"/>
  <c r="I277" i="17"/>
  <c r="J277" i="17"/>
  <c r="K277" i="17"/>
  <c r="C278" i="17"/>
  <c r="D278" i="17"/>
  <c r="F278" i="17"/>
  <c r="G278" i="17"/>
  <c r="H278" i="17"/>
  <c r="I278" i="17"/>
  <c r="J278" i="17"/>
  <c r="K278" i="17"/>
  <c r="C279" i="17"/>
  <c r="D279" i="17"/>
  <c r="F279" i="17"/>
  <c r="G279" i="17"/>
  <c r="H279" i="17"/>
  <c r="I279" i="17"/>
  <c r="J279" i="17"/>
  <c r="K279" i="17"/>
  <c r="C280" i="17"/>
  <c r="D280" i="17"/>
  <c r="F280" i="17"/>
  <c r="G280" i="17"/>
  <c r="H280" i="17"/>
  <c r="I280" i="17"/>
  <c r="J280" i="17"/>
  <c r="K280" i="17"/>
  <c r="C281" i="17"/>
  <c r="D281" i="17"/>
  <c r="F281" i="17"/>
  <c r="G281" i="17"/>
  <c r="H281" i="17"/>
  <c r="I281" i="17"/>
  <c r="J281" i="17"/>
  <c r="K281" i="17"/>
  <c r="C282" i="17"/>
  <c r="D282" i="17"/>
  <c r="F282" i="17"/>
  <c r="G282" i="17"/>
  <c r="H282" i="17"/>
  <c r="I282" i="17"/>
  <c r="J282" i="17"/>
  <c r="K282" i="17"/>
  <c r="C283" i="17"/>
  <c r="D283" i="17"/>
  <c r="F283" i="17"/>
  <c r="G283" i="17"/>
  <c r="H283" i="17"/>
  <c r="I283" i="17"/>
  <c r="J283" i="17"/>
  <c r="K283" i="17"/>
  <c r="C284" i="17"/>
  <c r="D284" i="17"/>
  <c r="F284" i="17"/>
  <c r="G284" i="17"/>
  <c r="H284" i="17"/>
  <c r="I284" i="17"/>
  <c r="J284" i="17"/>
  <c r="K284" i="17"/>
  <c r="C285" i="17"/>
  <c r="D285" i="17"/>
  <c r="F285" i="17"/>
  <c r="G285" i="17"/>
  <c r="H285" i="17"/>
  <c r="I285" i="17"/>
  <c r="J285" i="17"/>
  <c r="K285" i="17"/>
  <c r="C286" i="17"/>
  <c r="D286" i="17"/>
  <c r="F286" i="17"/>
  <c r="G286" i="17"/>
  <c r="H286" i="17"/>
  <c r="I286" i="17"/>
  <c r="J286" i="17"/>
  <c r="K286" i="17"/>
  <c r="C287" i="17"/>
  <c r="D287" i="17"/>
  <c r="F287" i="17"/>
  <c r="G287" i="17"/>
  <c r="H287" i="17"/>
  <c r="I287" i="17"/>
  <c r="J287" i="17"/>
  <c r="K287" i="17"/>
  <c r="C288" i="17"/>
  <c r="D288" i="17"/>
  <c r="F288" i="17"/>
  <c r="G288" i="17"/>
  <c r="H288" i="17"/>
  <c r="I288" i="17"/>
  <c r="J288" i="17"/>
  <c r="K288" i="17"/>
  <c r="C289" i="17"/>
  <c r="D289" i="17"/>
  <c r="F289" i="17"/>
  <c r="G289" i="17"/>
  <c r="H289" i="17"/>
  <c r="I289" i="17"/>
  <c r="J289" i="17"/>
  <c r="K289" i="17"/>
  <c r="C290" i="17"/>
  <c r="D290" i="17"/>
  <c r="F290" i="17"/>
  <c r="G290" i="17"/>
  <c r="H290" i="17"/>
  <c r="I290" i="17"/>
  <c r="J290" i="17"/>
  <c r="K290" i="17"/>
  <c r="C291" i="17"/>
  <c r="D291" i="17"/>
  <c r="F291" i="17"/>
  <c r="G291" i="17"/>
  <c r="H291" i="17"/>
  <c r="I291" i="17"/>
  <c r="J291" i="17"/>
  <c r="K291" i="17"/>
  <c r="C292" i="17"/>
  <c r="D292" i="17"/>
  <c r="F292" i="17"/>
  <c r="G292" i="17"/>
  <c r="H292" i="17"/>
  <c r="I292" i="17"/>
  <c r="J292" i="17"/>
  <c r="K292" i="17"/>
  <c r="C293" i="17"/>
  <c r="D293" i="17"/>
  <c r="F293" i="17"/>
  <c r="G293" i="17"/>
  <c r="H293" i="17"/>
  <c r="I293" i="17"/>
  <c r="J293" i="17"/>
  <c r="K293" i="17"/>
  <c r="C294" i="17"/>
  <c r="D294" i="17"/>
  <c r="F294" i="17"/>
  <c r="G294" i="17"/>
  <c r="H294" i="17"/>
  <c r="I294" i="17"/>
  <c r="J294" i="17"/>
  <c r="K294" i="17"/>
  <c r="C295" i="17"/>
  <c r="D295" i="17"/>
  <c r="F295" i="17"/>
  <c r="G295" i="17"/>
  <c r="H295" i="17"/>
  <c r="I295" i="17"/>
  <c r="J295" i="17"/>
  <c r="K295" i="17"/>
  <c r="C296" i="17"/>
  <c r="D296" i="17"/>
  <c r="F296" i="17"/>
  <c r="G296" i="17"/>
  <c r="H296" i="17"/>
  <c r="I296" i="17"/>
  <c r="J296" i="17"/>
  <c r="K296" i="17"/>
  <c r="C297" i="17"/>
  <c r="D297" i="17"/>
  <c r="F297" i="17"/>
  <c r="G297" i="17"/>
  <c r="H297" i="17"/>
  <c r="I297" i="17"/>
  <c r="J297" i="17"/>
  <c r="K297" i="17"/>
  <c r="C298" i="17"/>
  <c r="D298" i="17"/>
  <c r="F298" i="17"/>
  <c r="G298" i="17"/>
  <c r="H298" i="17"/>
  <c r="I298" i="17"/>
  <c r="J298" i="17"/>
  <c r="K298" i="17"/>
  <c r="C299" i="17"/>
  <c r="D299" i="17"/>
  <c r="F299" i="17"/>
  <c r="G299" i="17"/>
  <c r="H299" i="17"/>
  <c r="I299" i="17"/>
  <c r="J299" i="17"/>
  <c r="K299" i="17"/>
  <c r="C300" i="17"/>
  <c r="D300" i="17"/>
  <c r="F300" i="17"/>
  <c r="G300" i="17"/>
  <c r="H300" i="17"/>
  <c r="I300" i="17"/>
  <c r="J300" i="17"/>
  <c r="K300" i="17"/>
  <c r="C301" i="17"/>
  <c r="D301" i="17"/>
  <c r="F301" i="17"/>
  <c r="G301" i="17"/>
  <c r="H301" i="17"/>
  <c r="I301" i="17"/>
  <c r="J301" i="17"/>
  <c r="K301" i="17"/>
  <c r="C302" i="17"/>
  <c r="D302" i="17"/>
  <c r="F302" i="17"/>
  <c r="G302" i="17"/>
  <c r="H302" i="17"/>
  <c r="I302" i="17"/>
  <c r="J302" i="17"/>
  <c r="K302" i="17"/>
  <c r="C303" i="17"/>
  <c r="D303" i="17"/>
  <c r="F303" i="17"/>
  <c r="G303" i="17"/>
  <c r="H303" i="17"/>
  <c r="I303" i="17"/>
  <c r="J303" i="17"/>
  <c r="K303" i="17"/>
  <c r="C304" i="17"/>
  <c r="D304" i="17"/>
  <c r="F304" i="17"/>
  <c r="G304" i="17"/>
  <c r="H304" i="17"/>
  <c r="I304" i="17"/>
  <c r="J304" i="17"/>
  <c r="K304" i="17"/>
  <c r="C305" i="17"/>
  <c r="D305" i="17"/>
  <c r="F305" i="17"/>
  <c r="G305" i="17"/>
  <c r="H305" i="17"/>
  <c r="I305" i="17"/>
  <c r="J305" i="17"/>
  <c r="K305" i="17"/>
  <c r="C306" i="17"/>
  <c r="D306" i="17"/>
  <c r="F306" i="17"/>
  <c r="G306" i="17"/>
  <c r="H306" i="17"/>
  <c r="I306" i="17"/>
  <c r="J306" i="17"/>
  <c r="K306" i="17"/>
  <c r="C307" i="17"/>
  <c r="D307" i="17"/>
  <c r="F307" i="17"/>
  <c r="G307" i="17"/>
  <c r="H307" i="17"/>
  <c r="I307" i="17"/>
  <c r="J307" i="17"/>
  <c r="K307" i="17"/>
  <c r="C308" i="17"/>
  <c r="D308" i="17"/>
  <c r="F308" i="17"/>
  <c r="G308" i="17"/>
  <c r="H308" i="17"/>
  <c r="I308" i="17"/>
  <c r="J308" i="17"/>
  <c r="K308" i="17"/>
  <c r="C309" i="17"/>
  <c r="D309" i="17"/>
  <c r="F309" i="17"/>
  <c r="G309" i="17"/>
  <c r="H309" i="17"/>
  <c r="I309" i="17"/>
  <c r="J309" i="17"/>
  <c r="K309" i="17"/>
  <c r="C310" i="17"/>
  <c r="D310" i="17"/>
  <c r="F310" i="17"/>
  <c r="G310" i="17"/>
  <c r="H310" i="17"/>
  <c r="I310" i="17"/>
  <c r="J310" i="17"/>
  <c r="K310" i="17"/>
  <c r="C311" i="17"/>
  <c r="D311" i="17"/>
  <c r="F311" i="17"/>
  <c r="G311" i="17"/>
  <c r="H311" i="17"/>
  <c r="I311" i="17"/>
  <c r="J311" i="17"/>
  <c r="K311" i="17"/>
  <c r="C312" i="17"/>
  <c r="D312" i="17"/>
  <c r="F312" i="17"/>
  <c r="G312" i="17"/>
  <c r="H312" i="17"/>
  <c r="I312" i="17"/>
  <c r="J312" i="17"/>
  <c r="K312" i="17"/>
  <c r="C313" i="17"/>
  <c r="D313" i="17"/>
  <c r="F313" i="17"/>
  <c r="G313" i="17"/>
  <c r="H313" i="17"/>
  <c r="I313" i="17"/>
  <c r="J313" i="17"/>
  <c r="K313" i="17"/>
  <c r="C314" i="17"/>
  <c r="D314" i="17"/>
  <c r="F314" i="17"/>
  <c r="G314" i="17"/>
  <c r="H314" i="17"/>
  <c r="I314" i="17"/>
  <c r="J314" i="17"/>
  <c r="K314" i="17"/>
  <c r="C315" i="17"/>
  <c r="D315" i="17"/>
  <c r="F315" i="17"/>
  <c r="G315" i="17"/>
  <c r="H315" i="17"/>
  <c r="I315" i="17"/>
  <c r="J315" i="17"/>
  <c r="K315" i="17"/>
  <c r="C316" i="17"/>
  <c r="D316" i="17"/>
  <c r="F316" i="17"/>
  <c r="G316" i="17"/>
  <c r="H316" i="17"/>
  <c r="I316" i="17"/>
  <c r="J316" i="17"/>
  <c r="K316" i="17"/>
  <c r="C317" i="17"/>
  <c r="D317" i="17"/>
  <c r="F317" i="17"/>
  <c r="G317" i="17"/>
  <c r="H317" i="17"/>
  <c r="I317" i="17"/>
  <c r="J317" i="17"/>
  <c r="K317" i="17"/>
  <c r="C318" i="17"/>
  <c r="D318" i="17"/>
  <c r="F318" i="17"/>
  <c r="G318" i="17"/>
  <c r="H318" i="17"/>
  <c r="I318" i="17"/>
  <c r="J318" i="17"/>
  <c r="K318" i="17"/>
  <c r="C319" i="17"/>
  <c r="D319" i="17"/>
  <c r="F319" i="17"/>
  <c r="G319" i="17"/>
  <c r="H319" i="17"/>
  <c r="I319" i="17"/>
  <c r="J319" i="17"/>
  <c r="K319" i="17"/>
  <c r="C320" i="17"/>
  <c r="D320" i="17"/>
  <c r="F320" i="17"/>
  <c r="G320" i="17"/>
  <c r="H320" i="17"/>
  <c r="I320" i="17"/>
  <c r="J320" i="17"/>
  <c r="K320" i="17"/>
  <c r="C321" i="17"/>
  <c r="D321" i="17"/>
  <c r="F321" i="17"/>
  <c r="G321" i="17"/>
  <c r="H321" i="17"/>
  <c r="I321" i="17"/>
  <c r="J321" i="17"/>
  <c r="K321" i="17"/>
  <c r="C322" i="17"/>
  <c r="D322" i="17"/>
  <c r="F322" i="17"/>
  <c r="G322" i="17"/>
  <c r="H322" i="17"/>
  <c r="I322" i="17"/>
  <c r="J322" i="17"/>
  <c r="K322" i="17"/>
  <c r="C323" i="17"/>
  <c r="D323" i="17"/>
  <c r="F323" i="17"/>
  <c r="G323" i="17"/>
  <c r="H323" i="17"/>
  <c r="I323" i="17"/>
  <c r="J323" i="17"/>
  <c r="K323" i="17"/>
  <c r="C324" i="17"/>
  <c r="D324" i="17"/>
  <c r="F324" i="17"/>
  <c r="G324" i="17"/>
  <c r="H324" i="17"/>
  <c r="I324" i="17"/>
  <c r="J324" i="17"/>
  <c r="K324" i="17"/>
  <c r="C325" i="17"/>
  <c r="D325" i="17"/>
  <c r="F325" i="17"/>
  <c r="G325" i="17"/>
  <c r="H325" i="17"/>
  <c r="I325" i="17"/>
  <c r="J325" i="17"/>
  <c r="K325" i="17"/>
  <c r="C326" i="17"/>
  <c r="D326" i="17"/>
  <c r="F326" i="17"/>
  <c r="G326" i="17"/>
  <c r="H326" i="17"/>
  <c r="I326" i="17"/>
  <c r="J326" i="17"/>
  <c r="K326" i="17"/>
  <c r="C327" i="17"/>
  <c r="D327" i="17"/>
  <c r="F327" i="17"/>
  <c r="G327" i="17"/>
  <c r="H327" i="17"/>
  <c r="I327" i="17"/>
  <c r="J327" i="17"/>
  <c r="K327" i="17"/>
  <c r="C328" i="17"/>
  <c r="D328" i="17"/>
  <c r="F328" i="17"/>
  <c r="G328" i="17"/>
  <c r="H328" i="17"/>
  <c r="I328" i="17"/>
  <c r="J328" i="17"/>
  <c r="K328" i="17"/>
  <c r="C329" i="17"/>
  <c r="D329" i="17"/>
  <c r="F329" i="17"/>
  <c r="G329" i="17"/>
  <c r="H329" i="17"/>
  <c r="I329" i="17"/>
  <c r="J329" i="17"/>
  <c r="K329" i="17"/>
  <c r="C330" i="17"/>
  <c r="D330" i="17"/>
  <c r="F330" i="17"/>
  <c r="G330" i="17"/>
  <c r="H330" i="17"/>
  <c r="I330" i="17"/>
  <c r="J330" i="17"/>
  <c r="K330" i="17"/>
  <c r="C331" i="17"/>
  <c r="D331" i="17"/>
  <c r="F331" i="17"/>
  <c r="G331" i="17"/>
  <c r="H331" i="17"/>
  <c r="I331" i="17"/>
  <c r="J331" i="17"/>
  <c r="K331" i="17"/>
  <c r="C332" i="17"/>
  <c r="D332" i="17"/>
  <c r="F332" i="17"/>
  <c r="G332" i="17"/>
  <c r="H332" i="17"/>
  <c r="I332" i="17"/>
  <c r="J332" i="17"/>
  <c r="K332" i="17"/>
  <c r="C333" i="17"/>
  <c r="D333" i="17"/>
  <c r="F333" i="17"/>
  <c r="G333" i="17"/>
  <c r="H333" i="17"/>
  <c r="I333" i="17"/>
  <c r="J333" i="17"/>
  <c r="K333" i="17"/>
  <c r="C334" i="17"/>
  <c r="D334" i="17"/>
  <c r="F334" i="17"/>
  <c r="G334" i="17"/>
  <c r="H334" i="17"/>
  <c r="I334" i="17"/>
  <c r="J334" i="17"/>
  <c r="K334" i="17"/>
  <c r="C335" i="17"/>
  <c r="D335" i="17"/>
  <c r="F335" i="17"/>
  <c r="G335" i="17"/>
  <c r="H335" i="17"/>
  <c r="I335" i="17"/>
  <c r="J335" i="17"/>
  <c r="K335" i="17"/>
  <c r="C336" i="17"/>
  <c r="D336" i="17"/>
  <c r="F336" i="17"/>
  <c r="G336" i="17"/>
  <c r="H336" i="17"/>
  <c r="I336" i="17"/>
  <c r="J336" i="17"/>
  <c r="K336" i="17"/>
  <c r="C337" i="17"/>
  <c r="D337" i="17"/>
  <c r="F337" i="17"/>
  <c r="G337" i="17"/>
  <c r="H337" i="17"/>
  <c r="I337" i="17"/>
  <c r="J337" i="17"/>
  <c r="K337" i="17"/>
  <c r="C338" i="17"/>
  <c r="D338" i="17"/>
  <c r="F338" i="17"/>
  <c r="G338" i="17"/>
  <c r="H338" i="17"/>
  <c r="I338" i="17"/>
  <c r="J338" i="17"/>
  <c r="K338" i="17"/>
  <c r="C339" i="17"/>
  <c r="D339" i="17"/>
  <c r="F339" i="17"/>
  <c r="G339" i="17"/>
  <c r="H339" i="17"/>
  <c r="I339" i="17"/>
  <c r="J339" i="17"/>
  <c r="K339" i="17"/>
  <c r="C340" i="17"/>
  <c r="D340" i="17"/>
  <c r="F340" i="17"/>
  <c r="G340" i="17"/>
  <c r="H340" i="17"/>
  <c r="I340" i="17"/>
  <c r="J340" i="17"/>
  <c r="K340" i="17"/>
  <c r="C341" i="17"/>
  <c r="D341" i="17"/>
  <c r="F341" i="17"/>
  <c r="G341" i="17"/>
  <c r="H341" i="17"/>
  <c r="I341" i="17"/>
  <c r="J341" i="17"/>
  <c r="K341" i="17"/>
  <c r="C342" i="17"/>
  <c r="D342" i="17"/>
  <c r="F342" i="17"/>
  <c r="G342" i="17"/>
  <c r="H342" i="17"/>
  <c r="I342" i="17"/>
  <c r="J342" i="17"/>
  <c r="K342" i="17"/>
  <c r="C343" i="17"/>
  <c r="D343" i="17"/>
  <c r="F343" i="17"/>
  <c r="G343" i="17"/>
  <c r="H343" i="17"/>
  <c r="I343" i="17"/>
  <c r="J343" i="17"/>
  <c r="K343" i="17"/>
  <c r="C344" i="17"/>
  <c r="D344" i="17"/>
  <c r="F344" i="17"/>
  <c r="G344" i="17"/>
  <c r="H344" i="17"/>
  <c r="I344" i="17"/>
  <c r="J344" i="17"/>
  <c r="K344" i="17"/>
  <c r="C345" i="17"/>
  <c r="D345" i="17"/>
  <c r="F345" i="17"/>
  <c r="G345" i="17"/>
  <c r="H345" i="17"/>
  <c r="I345" i="17"/>
  <c r="J345" i="17"/>
  <c r="K345" i="17"/>
  <c r="C346" i="17"/>
  <c r="D346" i="17"/>
  <c r="F346" i="17"/>
  <c r="G346" i="17"/>
  <c r="H346" i="17"/>
  <c r="I346" i="17"/>
  <c r="J346" i="17"/>
  <c r="K346" i="17"/>
  <c r="C347" i="17"/>
  <c r="D347" i="17"/>
  <c r="F347" i="17"/>
  <c r="G347" i="17"/>
  <c r="H347" i="17"/>
  <c r="I347" i="17"/>
  <c r="J347" i="17"/>
  <c r="K347" i="17"/>
  <c r="C348" i="17"/>
  <c r="D348" i="17"/>
  <c r="F348" i="17"/>
  <c r="G348" i="17"/>
  <c r="H348" i="17"/>
  <c r="I348" i="17"/>
  <c r="J348" i="17"/>
  <c r="K348" i="17"/>
  <c r="C349" i="17"/>
  <c r="D349" i="17"/>
  <c r="F349" i="17"/>
  <c r="G349" i="17"/>
  <c r="H349" i="17"/>
  <c r="I349" i="17"/>
  <c r="J349" i="17"/>
  <c r="K349" i="17"/>
  <c r="C350" i="17"/>
  <c r="D350" i="17"/>
  <c r="F350" i="17"/>
  <c r="G350" i="17"/>
  <c r="H350" i="17"/>
  <c r="I350" i="17"/>
  <c r="J350" i="17"/>
  <c r="K350" i="17"/>
  <c r="C351" i="17"/>
  <c r="D351" i="17"/>
  <c r="F351" i="17"/>
  <c r="G351" i="17"/>
  <c r="H351" i="17"/>
  <c r="I351" i="17"/>
  <c r="J351" i="17"/>
  <c r="K351" i="17"/>
  <c r="C352" i="17"/>
  <c r="D352" i="17"/>
  <c r="F352" i="17"/>
  <c r="G352" i="17"/>
  <c r="H352" i="17"/>
  <c r="I352" i="17"/>
  <c r="J352" i="17"/>
  <c r="K352" i="17"/>
  <c r="C353" i="17"/>
  <c r="D353" i="17"/>
  <c r="F353" i="17"/>
  <c r="G353" i="17"/>
  <c r="H353" i="17"/>
  <c r="I353" i="17"/>
  <c r="J353" i="17"/>
  <c r="K353" i="17"/>
  <c r="C354" i="17"/>
  <c r="D354" i="17"/>
  <c r="F354" i="17"/>
  <c r="G354" i="17"/>
  <c r="H354" i="17"/>
  <c r="I354" i="17"/>
  <c r="J354" i="17"/>
  <c r="K354" i="17"/>
  <c r="C355" i="17"/>
  <c r="D355" i="17"/>
  <c r="F355" i="17"/>
  <c r="G355" i="17"/>
  <c r="H355" i="17"/>
  <c r="I355" i="17"/>
  <c r="J355" i="17"/>
  <c r="K355" i="17"/>
  <c r="C356" i="17"/>
  <c r="D356" i="17"/>
  <c r="F356" i="17"/>
  <c r="G356" i="17"/>
  <c r="H356" i="17"/>
  <c r="I356" i="17"/>
  <c r="J356" i="17"/>
  <c r="K356" i="17"/>
  <c r="C357" i="17"/>
  <c r="D357" i="17"/>
  <c r="F357" i="17"/>
  <c r="G357" i="17"/>
  <c r="H357" i="17"/>
  <c r="I357" i="17"/>
  <c r="J357" i="17"/>
  <c r="K357" i="17"/>
  <c r="C358" i="17"/>
  <c r="D358" i="17"/>
  <c r="F358" i="17"/>
  <c r="G358" i="17"/>
  <c r="H358" i="17"/>
  <c r="I358" i="17"/>
  <c r="J358" i="17"/>
  <c r="K358" i="17"/>
  <c r="C359" i="17"/>
  <c r="D359" i="17"/>
  <c r="F359" i="17"/>
  <c r="G359" i="17"/>
  <c r="H359" i="17"/>
  <c r="I359" i="17"/>
  <c r="J359" i="17"/>
  <c r="K359" i="17"/>
  <c r="C360" i="17"/>
  <c r="D360" i="17"/>
  <c r="F360" i="17"/>
  <c r="G360" i="17"/>
  <c r="H360" i="17"/>
  <c r="I360" i="17"/>
  <c r="J360" i="17"/>
  <c r="K360" i="17"/>
  <c r="C361" i="17"/>
  <c r="D361" i="17"/>
  <c r="F361" i="17"/>
  <c r="G361" i="17"/>
  <c r="H361" i="17"/>
  <c r="I361" i="17"/>
  <c r="J361" i="17"/>
  <c r="K361" i="17"/>
  <c r="C362" i="17"/>
  <c r="D362" i="17"/>
  <c r="F362" i="17"/>
  <c r="G362" i="17"/>
  <c r="H362" i="17"/>
  <c r="I362" i="17"/>
  <c r="J362" i="17"/>
  <c r="K362" i="17"/>
  <c r="C363" i="17"/>
  <c r="D363" i="17"/>
  <c r="F363" i="17"/>
  <c r="G363" i="17"/>
  <c r="H363" i="17"/>
  <c r="I363" i="17"/>
  <c r="J363" i="17"/>
  <c r="K363" i="17"/>
  <c r="C364" i="17"/>
  <c r="D364" i="17"/>
  <c r="F364" i="17"/>
  <c r="G364" i="17"/>
  <c r="H364" i="17"/>
  <c r="I364" i="17"/>
  <c r="J364" i="17"/>
  <c r="K364" i="17"/>
  <c r="C365" i="17"/>
  <c r="D365" i="17"/>
  <c r="F365" i="17"/>
  <c r="G365" i="17"/>
  <c r="H365" i="17"/>
  <c r="I365" i="17"/>
  <c r="J365" i="17"/>
  <c r="K365" i="17"/>
  <c r="C366" i="17"/>
  <c r="D366" i="17"/>
  <c r="F366" i="17"/>
  <c r="G366" i="17"/>
  <c r="H366" i="17"/>
  <c r="I366" i="17"/>
  <c r="J366" i="17"/>
  <c r="K366" i="17"/>
  <c r="C367" i="17"/>
  <c r="D367" i="17"/>
  <c r="F367" i="17"/>
  <c r="G367" i="17"/>
  <c r="H367" i="17"/>
  <c r="I367" i="17"/>
  <c r="J367" i="17"/>
  <c r="K367" i="17"/>
  <c r="C368" i="17"/>
  <c r="D368" i="17"/>
  <c r="F368" i="17"/>
  <c r="G368" i="17"/>
  <c r="H368" i="17"/>
  <c r="I368" i="17"/>
  <c r="J368" i="17"/>
  <c r="K368" i="17"/>
  <c r="C369" i="17"/>
  <c r="D369" i="17"/>
  <c r="F369" i="17"/>
  <c r="G369" i="17"/>
  <c r="H369" i="17"/>
  <c r="I369" i="17"/>
  <c r="J369" i="17"/>
  <c r="K369" i="17"/>
  <c r="C370" i="17"/>
  <c r="D370" i="17"/>
  <c r="F370" i="17"/>
  <c r="G370" i="17"/>
  <c r="H370" i="17"/>
  <c r="I370" i="17"/>
  <c r="J370" i="17"/>
  <c r="K370" i="17"/>
  <c r="C371" i="17"/>
  <c r="D371" i="17"/>
  <c r="F371" i="17"/>
  <c r="G371" i="17"/>
  <c r="H371" i="17"/>
  <c r="I371" i="17"/>
  <c r="J371" i="17"/>
  <c r="K371" i="17"/>
  <c r="C372" i="17"/>
  <c r="D372" i="17"/>
  <c r="F372" i="17"/>
  <c r="G372" i="17"/>
  <c r="H372" i="17"/>
  <c r="I372" i="17"/>
  <c r="J372" i="17"/>
  <c r="K372" i="17"/>
  <c r="C373" i="17"/>
  <c r="D373" i="17"/>
  <c r="F373" i="17"/>
  <c r="G373" i="17"/>
  <c r="H373" i="17"/>
  <c r="I373" i="17"/>
  <c r="J373" i="17"/>
  <c r="K373" i="17"/>
  <c r="C374" i="17"/>
  <c r="D374" i="17"/>
  <c r="F374" i="17"/>
  <c r="G374" i="17"/>
  <c r="H374" i="17"/>
  <c r="I374" i="17"/>
  <c r="J374" i="17"/>
  <c r="K374" i="17"/>
  <c r="C375" i="17"/>
  <c r="D375" i="17"/>
  <c r="F375" i="17"/>
  <c r="G375" i="17"/>
  <c r="H375" i="17"/>
  <c r="I375" i="17"/>
  <c r="J375" i="17"/>
  <c r="K375" i="17"/>
  <c r="C376" i="17"/>
  <c r="D376" i="17"/>
  <c r="F376" i="17"/>
  <c r="G376" i="17"/>
  <c r="H376" i="17"/>
  <c r="I376" i="17"/>
  <c r="J376" i="17"/>
  <c r="K376" i="17"/>
  <c r="C377" i="17"/>
  <c r="D377" i="17"/>
  <c r="F377" i="17"/>
  <c r="G377" i="17"/>
  <c r="H377" i="17"/>
  <c r="I377" i="17"/>
  <c r="J377" i="17"/>
  <c r="K377" i="17"/>
  <c r="C378" i="17"/>
  <c r="D378" i="17"/>
  <c r="F378" i="17"/>
  <c r="G378" i="17"/>
  <c r="H378" i="17"/>
  <c r="I378" i="17"/>
  <c r="J378" i="17"/>
  <c r="K378" i="17"/>
  <c r="C379" i="17"/>
  <c r="D379" i="17"/>
  <c r="F379" i="17"/>
  <c r="G379" i="17"/>
  <c r="H379" i="17"/>
  <c r="I379" i="17"/>
  <c r="J379" i="17"/>
  <c r="K379" i="17"/>
  <c r="C380" i="17"/>
  <c r="D380" i="17"/>
  <c r="F380" i="17"/>
  <c r="G380" i="17"/>
  <c r="H380" i="17"/>
  <c r="I380" i="17"/>
  <c r="J380" i="17"/>
  <c r="K380" i="17"/>
  <c r="C381" i="17"/>
  <c r="D381" i="17"/>
  <c r="F381" i="17"/>
  <c r="G381" i="17"/>
  <c r="H381" i="17"/>
  <c r="I381" i="17"/>
  <c r="J381" i="17"/>
  <c r="K381" i="17"/>
  <c r="C382" i="17"/>
  <c r="D382" i="17"/>
  <c r="F382" i="17"/>
  <c r="G382" i="17"/>
  <c r="H382" i="17"/>
  <c r="I382" i="17"/>
  <c r="J382" i="17"/>
  <c r="K382" i="17"/>
  <c r="C383" i="17"/>
  <c r="D383" i="17"/>
  <c r="F383" i="17"/>
  <c r="G383" i="17"/>
  <c r="H383" i="17"/>
  <c r="I383" i="17"/>
  <c r="J383" i="17"/>
  <c r="K383" i="17"/>
  <c r="C384" i="17"/>
  <c r="D384" i="17"/>
  <c r="F384" i="17"/>
  <c r="G384" i="17"/>
  <c r="H384" i="17"/>
  <c r="I384" i="17"/>
  <c r="J384" i="17"/>
  <c r="K384" i="17"/>
  <c r="C385" i="17"/>
  <c r="D385" i="17"/>
  <c r="F385" i="17"/>
  <c r="G385" i="17"/>
  <c r="H385" i="17"/>
  <c r="I385" i="17"/>
  <c r="J385" i="17"/>
  <c r="K385" i="17"/>
  <c r="C386" i="17"/>
  <c r="D386" i="17"/>
  <c r="F386" i="17"/>
  <c r="G386" i="17"/>
  <c r="H386" i="17"/>
  <c r="I386" i="17"/>
  <c r="J386" i="17"/>
  <c r="K386" i="17"/>
  <c r="C387" i="17"/>
  <c r="D387" i="17"/>
  <c r="F387" i="17"/>
  <c r="G387" i="17"/>
  <c r="H387" i="17"/>
  <c r="I387" i="17"/>
  <c r="J387" i="17"/>
  <c r="K387" i="17"/>
  <c r="C388" i="17"/>
  <c r="D388" i="17"/>
  <c r="F388" i="17"/>
  <c r="G388" i="17"/>
  <c r="H388" i="17"/>
  <c r="I388" i="17"/>
  <c r="J388" i="17"/>
  <c r="K388" i="17"/>
  <c r="C389" i="17"/>
  <c r="D389" i="17"/>
  <c r="F389" i="17"/>
  <c r="G389" i="17"/>
  <c r="H389" i="17"/>
  <c r="I389" i="17"/>
  <c r="J389" i="17"/>
  <c r="K389" i="17"/>
  <c r="C390" i="17"/>
  <c r="D390" i="17"/>
  <c r="F390" i="17"/>
  <c r="G390" i="17"/>
  <c r="H390" i="17"/>
  <c r="I390" i="17"/>
  <c r="J390" i="17"/>
  <c r="K390" i="17"/>
  <c r="C391" i="17"/>
  <c r="D391" i="17"/>
  <c r="F391" i="17"/>
  <c r="G391" i="17"/>
  <c r="H391" i="17"/>
  <c r="I391" i="17"/>
  <c r="J391" i="17"/>
  <c r="K391" i="17"/>
  <c r="C392" i="17"/>
  <c r="D392" i="17"/>
  <c r="F392" i="17"/>
  <c r="G392" i="17"/>
  <c r="H392" i="17"/>
  <c r="I392" i="17"/>
  <c r="J392" i="17"/>
  <c r="K392" i="17"/>
  <c r="C393" i="17"/>
  <c r="D393" i="17"/>
  <c r="F393" i="17"/>
  <c r="G393" i="17"/>
  <c r="H393" i="17"/>
  <c r="I393" i="17"/>
  <c r="J393" i="17"/>
  <c r="K393" i="17"/>
  <c r="C394" i="17"/>
  <c r="D394" i="17"/>
  <c r="F394" i="17"/>
  <c r="G394" i="17"/>
  <c r="H394" i="17"/>
  <c r="I394" i="17"/>
  <c r="J394" i="17"/>
  <c r="K394" i="17"/>
  <c r="C395" i="17"/>
  <c r="D395" i="17"/>
  <c r="F395" i="17"/>
  <c r="G395" i="17"/>
  <c r="H395" i="17"/>
  <c r="I395" i="17"/>
  <c r="J395" i="17"/>
  <c r="K395" i="17"/>
  <c r="C396" i="17"/>
  <c r="D396" i="17"/>
  <c r="F396" i="17"/>
  <c r="G396" i="17"/>
  <c r="H396" i="17"/>
  <c r="I396" i="17"/>
  <c r="J396" i="17"/>
  <c r="K396" i="17"/>
  <c r="C397" i="17"/>
  <c r="D397" i="17"/>
  <c r="F397" i="17"/>
  <c r="G397" i="17"/>
  <c r="H397" i="17"/>
  <c r="I397" i="17"/>
  <c r="J397" i="17"/>
  <c r="K397" i="17"/>
  <c r="C398" i="17"/>
  <c r="D398" i="17"/>
  <c r="F398" i="17"/>
  <c r="G398" i="17"/>
  <c r="H398" i="17"/>
  <c r="I398" i="17"/>
  <c r="J398" i="17"/>
  <c r="K398" i="17"/>
  <c r="C399" i="17"/>
  <c r="D399" i="17"/>
  <c r="F399" i="17"/>
  <c r="G399" i="17"/>
  <c r="H399" i="17"/>
  <c r="I399" i="17"/>
  <c r="J399" i="17"/>
  <c r="K399" i="17"/>
  <c r="C400" i="17"/>
  <c r="D400" i="17"/>
  <c r="F400" i="17"/>
  <c r="G400" i="17"/>
  <c r="H400" i="17"/>
  <c r="I400" i="17"/>
  <c r="J400" i="17"/>
  <c r="K400" i="17"/>
  <c r="C401" i="17"/>
  <c r="D401" i="17"/>
  <c r="F401" i="17"/>
  <c r="G401" i="17"/>
  <c r="H401" i="17"/>
  <c r="I401" i="17"/>
  <c r="J401" i="17"/>
  <c r="K401" i="17"/>
  <c r="C402" i="17"/>
  <c r="D402" i="17"/>
  <c r="F402" i="17"/>
  <c r="G402" i="17"/>
  <c r="H402" i="17"/>
  <c r="I402" i="17"/>
  <c r="J402" i="17"/>
  <c r="K402" i="17"/>
  <c r="C403" i="17"/>
  <c r="D403" i="17"/>
  <c r="F403" i="17"/>
  <c r="G403" i="17"/>
  <c r="H403" i="17"/>
  <c r="I403" i="17"/>
  <c r="J403" i="17"/>
  <c r="K403" i="17"/>
  <c r="C404" i="17"/>
  <c r="D404" i="17"/>
  <c r="F404" i="17"/>
  <c r="G404" i="17"/>
  <c r="H404" i="17"/>
  <c r="I404" i="17"/>
  <c r="J404" i="17"/>
  <c r="K404" i="17"/>
  <c r="C405" i="17"/>
  <c r="D405" i="17"/>
  <c r="F405" i="17"/>
  <c r="G405" i="17"/>
  <c r="H405" i="17"/>
  <c r="I405" i="17"/>
  <c r="J405" i="17"/>
  <c r="K405" i="17"/>
  <c r="C406" i="17"/>
  <c r="D406" i="17"/>
  <c r="F406" i="17"/>
  <c r="G406" i="17"/>
  <c r="H406" i="17"/>
  <c r="I406" i="17"/>
  <c r="J406" i="17"/>
  <c r="K406" i="17"/>
  <c r="C407" i="17"/>
  <c r="D407" i="17"/>
  <c r="F407" i="17"/>
  <c r="G407" i="17"/>
  <c r="H407" i="17"/>
  <c r="I407" i="17"/>
  <c r="J407" i="17"/>
  <c r="K407" i="17"/>
  <c r="C408" i="17"/>
  <c r="D408" i="17"/>
  <c r="F408" i="17"/>
  <c r="G408" i="17"/>
  <c r="H408" i="17"/>
  <c r="I408" i="17"/>
  <c r="J408" i="17"/>
  <c r="K408" i="17"/>
  <c r="C409" i="17"/>
  <c r="D409" i="17"/>
  <c r="F409" i="17"/>
  <c r="G409" i="17"/>
  <c r="H409" i="17"/>
  <c r="I409" i="17"/>
  <c r="J409" i="17"/>
  <c r="K409" i="17"/>
  <c r="C410" i="17"/>
  <c r="D410" i="17"/>
  <c r="F410" i="17"/>
  <c r="G410" i="17"/>
  <c r="H410" i="17"/>
  <c r="I410" i="17"/>
  <c r="J410" i="17"/>
  <c r="K410" i="17"/>
  <c r="C411" i="17"/>
  <c r="D411" i="17"/>
  <c r="F411" i="17"/>
  <c r="G411" i="17"/>
  <c r="H411" i="17"/>
  <c r="I411" i="17"/>
  <c r="J411" i="17"/>
  <c r="K411" i="17"/>
  <c r="C412" i="17"/>
  <c r="D412" i="17"/>
  <c r="F412" i="17"/>
  <c r="G412" i="17"/>
  <c r="H412" i="17"/>
  <c r="I412" i="17"/>
  <c r="J412" i="17"/>
  <c r="K412" i="17"/>
  <c r="C413" i="17"/>
  <c r="D413" i="17"/>
  <c r="F413" i="17"/>
  <c r="G413" i="17"/>
  <c r="H413" i="17"/>
  <c r="I413" i="17"/>
  <c r="J413" i="17"/>
  <c r="K413" i="17"/>
  <c r="C414" i="17"/>
  <c r="D414" i="17"/>
  <c r="F414" i="17"/>
  <c r="G414" i="17"/>
  <c r="H414" i="17"/>
  <c r="I414" i="17"/>
  <c r="J414" i="17"/>
  <c r="K414" i="17"/>
  <c r="C415" i="17"/>
  <c r="D415" i="17"/>
  <c r="F415" i="17"/>
  <c r="G415" i="17"/>
  <c r="H415" i="17"/>
  <c r="I415" i="17"/>
  <c r="J415" i="17"/>
  <c r="K415" i="17"/>
  <c r="C416" i="17"/>
  <c r="D416" i="17"/>
  <c r="F416" i="17"/>
  <c r="G416" i="17"/>
  <c r="H416" i="17"/>
  <c r="I416" i="17"/>
  <c r="J416" i="17"/>
  <c r="K416" i="17"/>
  <c r="C417" i="17"/>
  <c r="D417" i="17"/>
  <c r="F417" i="17"/>
  <c r="G417" i="17"/>
  <c r="H417" i="17"/>
  <c r="I417" i="17"/>
  <c r="J417" i="17"/>
  <c r="K417" i="17"/>
  <c r="C418" i="17"/>
  <c r="D418" i="17"/>
  <c r="F418" i="17"/>
  <c r="G418" i="17"/>
  <c r="H418" i="17"/>
  <c r="I418" i="17"/>
  <c r="J418" i="17"/>
  <c r="K418" i="17"/>
  <c r="C419" i="17"/>
  <c r="D419" i="17"/>
  <c r="F419" i="17"/>
  <c r="G419" i="17"/>
  <c r="H419" i="17"/>
  <c r="I419" i="17"/>
  <c r="J419" i="17"/>
  <c r="K419" i="17"/>
  <c r="C420" i="17"/>
  <c r="D420" i="17"/>
  <c r="F420" i="17"/>
  <c r="G420" i="17"/>
  <c r="H420" i="17"/>
  <c r="I420" i="17"/>
  <c r="J420" i="17"/>
  <c r="K420" i="17"/>
  <c r="C421" i="17"/>
  <c r="D421" i="17"/>
  <c r="F421" i="17"/>
  <c r="G421" i="17"/>
  <c r="H421" i="17"/>
  <c r="I421" i="17"/>
  <c r="J421" i="17"/>
  <c r="K421" i="17"/>
  <c r="C422" i="17"/>
  <c r="D422" i="17"/>
  <c r="F422" i="17"/>
  <c r="G422" i="17"/>
  <c r="H422" i="17"/>
  <c r="I422" i="17"/>
  <c r="J422" i="17"/>
  <c r="K422" i="17"/>
  <c r="C423" i="17"/>
  <c r="D423" i="17"/>
  <c r="F423" i="17"/>
  <c r="G423" i="17"/>
  <c r="H423" i="17"/>
  <c r="I423" i="17"/>
  <c r="J423" i="17"/>
  <c r="K423" i="17"/>
  <c r="C424" i="17"/>
  <c r="D424" i="17"/>
  <c r="F424" i="17"/>
  <c r="G424" i="17"/>
  <c r="H424" i="17"/>
  <c r="I424" i="17"/>
  <c r="J424" i="17"/>
  <c r="K424" i="17"/>
  <c r="C425" i="17"/>
  <c r="D425" i="17"/>
  <c r="F425" i="17"/>
  <c r="G425" i="17"/>
  <c r="H425" i="17"/>
  <c r="I425" i="17"/>
  <c r="J425" i="17"/>
  <c r="K425" i="17"/>
  <c r="C426" i="17"/>
  <c r="D426" i="17"/>
  <c r="F426" i="17"/>
  <c r="G426" i="17"/>
  <c r="H426" i="17"/>
  <c r="I426" i="17"/>
  <c r="J426" i="17"/>
  <c r="K426" i="17"/>
  <c r="C427" i="17"/>
  <c r="D427" i="17"/>
  <c r="F427" i="17"/>
  <c r="G427" i="17"/>
  <c r="H427" i="17"/>
  <c r="I427" i="17"/>
  <c r="J427" i="17"/>
  <c r="K427" i="17"/>
  <c r="C428" i="17"/>
  <c r="D428" i="17"/>
  <c r="F428" i="17"/>
  <c r="G428" i="17"/>
  <c r="H428" i="17"/>
  <c r="I428" i="17"/>
  <c r="J428" i="17"/>
  <c r="K428" i="17"/>
  <c r="C429" i="17"/>
  <c r="D429" i="17"/>
  <c r="F429" i="17"/>
  <c r="G429" i="17"/>
  <c r="H429" i="17"/>
  <c r="I429" i="17"/>
  <c r="J429" i="17"/>
  <c r="K429" i="17"/>
  <c r="C430" i="17"/>
  <c r="D430" i="17"/>
  <c r="F430" i="17"/>
  <c r="G430" i="17"/>
  <c r="H430" i="17"/>
  <c r="I430" i="17"/>
  <c r="J430" i="17"/>
  <c r="K430" i="17"/>
  <c r="C431" i="17"/>
  <c r="D431" i="17"/>
  <c r="F431" i="17"/>
  <c r="G431" i="17"/>
  <c r="H431" i="17"/>
  <c r="I431" i="17"/>
  <c r="J431" i="17"/>
  <c r="K431" i="17"/>
  <c r="C432" i="17"/>
  <c r="D432" i="17"/>
  <c r="F432" i="17"/>
  <c r="G432" i="17"/>
  <c r="H432" i="17"/>
  <c r="I432" i="17"/>
  <c r="J432" i="17"/>
  <c r="K432" i="17"/>
  <c r="C433" i="17"/>
  <c r="D433" i="17"/>
  <c r="F433" i="17"/>
  <c r="G433" i="17"/>
  <c r="H433" i="17"/>
  <c r="I433" i="17"/>
  <c r="J433" i="17"/>
  <c r="K433" i="17"/>
  <c r="C434" i="17"/>
  <c r="D434" i="17"/>
  <c r="F434" i="17"/>
  <c r="G434" i="17"/>
  <c r="H434" i="17"/>
  <c r="I434" i="17"/>
  <c r="J434" i="17"/>
  <c r="K434" i="17"/>
  <c r="C435" i="17"/>
  <c r="D435" i="17"/>
  <c r="F435" i="17"/>
  <c r="G435" i="17"/>
  <c r="H435" i="17"/>
  <c r="I435" i="17"/>
  <c r="J435" i="17"/>
  <c r="K435" i="17"/>
  <c r="C436" i="17"/>
  <c r="D436" i="17"/>
  <c r="F436" i="17"/>
  <c r="G436" i="17"/>
  <c r="H436" i="17"/>
  <c r="I436" i="17"/>
  <c r="J436" i="17"/>
  <c r="K436" i="17"/>
  <c r="C437" i="17"/>
  <c r="D437" i="17"/>
  <c r="F437" i="17"/>
  <c r="G437" i="17"/>
  <c r="H437" i="17"/>
  <c r="I437" i="17"/>
  <c r="J437" i="17"/>
  <c r="K437" i="17"/>
  <c r="C438" i="17"/>
  <c r="D438" i="17"/>
  <c r="F438" i="17"/>
  <c r="G438" i="17"/>
  <c r="H438" i="17"/>
  <c r="I438" i="17"/>
  <c r="J438" i="17"/>
  <c r="K438" i="17"/>
  <c r="C439" i="17"/>
  <c r="D439" i="17"/>
  <c r="F439" i="17"/>
  <c r="G439" i="17"/>
  <c r="H439" i="17"/>
  <c r="I439" i="17"/>
  <c r="J439" i="17"/>
  <c r="K439" i="17"/>
  <c r="C440" i="17"/>
  <c r="D440" i="17"/>
  <c r="F440" i="17"/>
  <c r="G440" i="17"/>
  <c r="H440" i="17"/>
  <c r="I440" i="17"/>
  <c r="J440" i="17"/>
  <c r="K440" i="17"/>
  <c r="C441" i="17"/>
  <c r="D441" i="17"/>
  <c r="F441" i="17"/>
  <c r="G441" i="17"/>
  <c r="H441" i="17"/>
  <c r="I441" i="17"/>
  <c r="J441" i="17"/>
  <c r="K441" i="17"/>
  <c r="C442" i="17"/>
  <c r="D442" i="17"/>
  <c r="F442" i="17"/>
  <c r="G442" i="17"/>
  <c r="H442" i="17"/>
  <c r="I442" i="17"/>
  <c r="J442" i="17"/>
  <c r="K442" i="17"/>
  <c r="C443" i="17"/>
  <c r="D443" i="17"/>
  <c r="F443" i="17"/>
  <c r="G443" i="17"/>
  <c r="H443" i="17"/>
  <c r="I443" i="17"/>
  <c r="J443" i="17"/>
  <c r="K443" i="17"/>
  <c r="C444" i="17"/>
  <c r="D444" i="17"/>
  <c r="F444" i="17"/>
  <c r="G444" i="17"/>
  <c r="H444" i="17"/>
  <c r="I444" i="17"/>
  <c r="J444" i="17"/>
  <c r="K444" i="17"/>
  <c r="C445" i="17"/>
  <c r="D445" i="17"/>
  <c r="F445" i="17"/>
  <c r="G445" i="17"/>
  <c r="H445" i="17"/>
  <c r="I445" i="17"/>
  <c r="J445" i="17"/>
  <c r="K445" i="17"/>
  <c r="C446" i="17"/>
  <c r="D446" i="17"/>
  <c r="F446" i="17"/>
  <c r="G446" i="17"/>
  <c r="H446" i="17"/>
  <c r="I446" i="17"/>
  <c r="J446" i="17"/>
  <c r="K446" i="17"/>
  <c r="C447" i="17"/>
  <c r="D447" i="17"/>
  <c r="F447" i="17"/>
  <c r="G447" i="17"/>
  <c r="H447" i="17"/>
  <c r="I447" i="17"/>
  <c r="J447" i="17"/>
  <c r="K447" i="17"/>
  <c r="C448" i="17"/>
  <c r="D448" i="17"/>
  <c r="F448" i="17"/>
  <c r="G448" i="17"/>
  <c r="H448" i="17"/>
  <c r="I448" i="17"/>
  <c r="J448" i="17"/>
  <c r="K448" i="17"/>
  <c r="C449" i="17"/>
  <c r="D449" i="17"/>
  <c r="F449" i="17"/>
  <c r="G449" i="17"/>
  <c r="H449" i="17"/>
  <c r="I449" i="17"/>
  <c r="J449" i="17"/>
  <c r="K449" i="17"/>
  <c r="C450" i="17"/>
  <c r="D450" i="17"/>
  <c r="F450" i="17"/>
  <c r="G450" i="17"/>
  <c r="H450" i="17"/>
  <c r="I450" i="17"/>
  <c r="J450" i="17"/>
  <c r="K450" i="17"/>
  <c r="C451" i="17"/>
  <c r="D451" i="17"/>
  <c r="F451" i="17"/>
  <c r="G451" i="17"/>
  <c r="H451" i="17"/>
  <c r="I451" i="17"/>
  <c r="J451" i="17"/>
  <c r="K451" i="17"/>
  <c r="C452" i="17"/>
  <c r="D452" i="17"/>
  <c r="F452" i="17"/>
  <c r="G452" i="17"/>
  <c r="H452" i="17"/>
  <c r="I452" i="17"/>
  <c r="J452" i="17"/>
  <c r="K452" i="17"/>
  <c r="C453" i="17"/>
  <c r="D453" i="17"/>
  <c r="F453" i="17"/>
  <c r="G453" i="17"/>
  <c r="H453" i="17"/>
  <c r="I453" i="17"/>
  <c r="J453" i="17"/>
  <c r="K453" i="17"/>
  <c r="C454" i="17"/>
  <c r="D454" i="17"/>
  <c r="F454" i="17"/>
  <c r="G454" i="17"/>
  <c r="H454" i="17"/>
  <c r="I454" i="17"/>
  <c r="J454" i="17"/>
  <c r="K454" i="17"/>
  <c r="C455" i="17"/>
  <c r="D455" i="17"/>
  <c r="F455" i="17"/>
  <c r="G455" i="17"/>
  <c r="H455" i="17"/>
  <c r="I455" i="17"/>
  <c r="J455" i="17"/>
  <c r="K455" i="17"/>
  <c r="C456" i="17"/>
  <c r="D456" i="17"/>
  <c r="F456" i="17"/>
  <c r="G456" i="17"/>
  <c r="H456" i="17"/>
  <c r="I456" i="17"/>
  <c r="J456" i="17"/>
  <c r="K456" i="17"/>
  <c r="C457" i="17"/>
  <c r="D457" i="17"/>
  <c r="F457" i="17"/>
  <c r="G457" i="17"/>
  <c r="H457" i="17"/>
  <c r="I457" i="17"/>
  <c r="J457" i="17"/>
  <c r="K457" i="17"/>
  <c r="C458" i="17"/>
  <c r="D458" i="17"/>
  <c r="F458" i="17"/>
  <c r="G458" i="17"/>
  <c r="H458" i="17"/>
  <c r="I458" i="17"/>
  <c r="J458" i="17"/>
  <c r="K458" i="17"/>
  <c r="C459" i="17"/>
  <c r="D459" i="17"/>
  <c r="F459" i="17"/>
  <c r="G459" i="17"/>
  <c r="H459" i="17"/>
  <c r="I459" i="17"/>
  <c r="J459" i="17"/>
  <c r="K459" i="17"/>
  <c r="C460" i="17"/>
  <c r="D460" i="17"/>
  <c r="F460" i="17"/>
  <c r="G460" i="17"/>
  <c r="H460" i="17"/>
  <c r="I460" i="17"/>
  <c r="J460" i="17"/>
  <c r="K460" i="17"/>
  <c r="C461" i="17"/>
  <c r="D461" i="17"/>
  <c r="F461" i="17"/>
  <c r="G461" i="17"/>
  <c r="H461" i="17"/>
  <c r="I461" i="17"/>
  <c r="J461" i="17"/>
  <c r="K461" i="17"/>
  <c r="C462" i="17"/>
  <c r="D462" i="17"/>
  <c r="F462" i="17"/>
  <c r="G462" i="17"/>
  <c r="H462" i="17"/>
  <c r="I462" i="17"/>
  <c r="J462" i="17"/>
  <c r="K462" i="17"/>
  <c r="C463" i="17"/>
  <c r="D463" i="17"/>
  <c r="F463" i="17"/>
  <c r="G463" i="17"/>
  <c r="H463" i="17"/>
  <c r="I463" i="17"/>
  <c r="J463" i="17"/>
  <c r="K463" i="17"/>
  <c r="C464" i="17"/>
  <c r="D464" i="17"/>
  <c r="F464" i="17"/>
  <c r="G464" i="17"/>
  <c r="H464" i="17"/>
  <c r="I464" i="17"/>
  <c r="J464" i="17"/>
  <c r="K464" i="17"/>
  <c r="C465" i="17"/>
  <c r="D465" i="17"/>
  <c r="F465" i="17"/>
  <c r="G465" i="17"/>
  <c r="H465" i="17"/>
  <c r="I465" i="17"/>
  <c r="J465" i="17"/>
  <c r="K465" i="17"/>
  <c r="C466" i="17"/>
  <c r="D466" i="17"/>
  <c r="F466" i="17"/>
  <c r="G466" i="17"/>
  <c r="H466" i="17"/>
  <c r="I466" i="17"/>
  <c r="J466" i="17"/>
  <c r="K466" i="17"/>
  <c r="C467" i="17"/>
  <c r="D467" i="17"/>
  <c r="F467" i="17"/>
  <c r="G467" i="17"/>
  <c r="H467" i="17"/>
  <c r="I467" i="17"/>
  <c r="J467" i="17"/>
  <c r="K467" i="17"/>
  <c r="C468" i="17"/>
  <c r="D468" i="17"/>
  <c r="F468" i="17"/>
  <c r="G468" i="17"/>
  <c r="H468" i="17"/>
  <c r="I468" i="17"/>
  <c r="J468" i="17"/>
  <c r="K468" i="17"/>
  <c r="C469" i="17"/>
  <c r="D469" i="17"/>
  <c r="F469" i="17"/>
  <c r="G469" i="17"/>
  <c r="H469" i="17"/>
  <c r="I469" i="17"/>
  <c r="J469" i="17"/>
  <c r="K469" i="17"/>
  <c r="C470" i="17"/>
  <c r="D470" i="17"/>
  <c r="F470" i="17"/>
  <c r="G470" i="17"/>
  <c r="H470" i="17"/>
  <c r="I470" i="17"/>
  <c r="J470" i="17"/>
  <c r="K470" i="17"/>
  <c r="C471" i="17"/>
  <c r="D471" i="17"/>
  <c r="F471" i="17"/>
  <c r="G471" i="17"/>
  <c r="H471" i="17"/>
  <c r="I471" i="17"/>
  <c r="J471" i="17"/>
  <c r="K471" i="17"/>
  <c r="C472" i="17"/>
  <c r="D472" i="17"/>
  <c r="F472" i="17"/>
  <c r="G472" i="17"/>
  <c r="H472" i="17"/>
  <c r="I472" i="17"/>
  <c r="J472" i="17"/>
  <c r="K472" i="17"/>
  <c r="C473" i="17"/>
  <c r="D473" i="17"/>
  <c r="F473" i="17"/>
  <c r="G473" i="17"/>
  <c r="H473" i="17"/>
  <c r="I473" i="17"/>
  <c r="J473" i="17"/>
  <c r="K473" i="17"/>
  <c r="C474" i="17"/>
  <c r="D474" i="17"/>
  <c r="F474" i="17"/>
  <c r="G474" i="17"/>
  <c r="H474" i="17"/>
  <c r="I474" i="17"/>
  <c r="J474" i="17"/>
  <c r="K474" i="17"/>
  <c r="C475" i="17"/>
  <c r="D475" i="17"/>
  <c r="F475" i="17"/>
  <c r="G475" i="17"/>
  <c r="H475" i="17"/>
  <c r="I475" i="17"/>
  <c r="J475" i="17"/>
  <c r="K475" i="17"/>
  <c r="C476" i="17"/>
  <c r="D476" i="17"/>
  <c r="F476" i="17"/>
  <c r="G476" i="17"/>
  <c r="H476" i="17"/>
  <c r="I476" i="17"/>
  <c r="J476" i="17"/>
  <c r="K476" i="17"/>
  <c r="C477" i="17"/>
  <c r="D477" i="17"/>
  <c r="F477" i="17"/>
  <c r="G477" i="17"/>
  <c r="H477" i="17"/>
  <c r="I477" i="17"/>
  <c r="J477" i="17"/>
  <c r="K477" i="17"/>
  <c r="C478" i="17"/>
  <c r="D478" i="17"/>
  <c r="F478" i="17"/>
  <c r="G478" i="17"/>
  <c r="H478" i="17"/>
  <c r="I478" i="17"/>
  <c r="J478" i="17"/>
  <c r="K478" i="17"/>
  <c r="C479" i="17"/>
  <c r="D479" i="17"/>
  <c r="F479" i="17"/>
  <c r="G479" i="17"/>
  <c r="H479" i="17"/>
  <c r="I479" i="17"/>
  <c r="J479" i="17"/>
  <c r="K479" i="17"/>
  <c r="C480" i="17"/>
  <c r="D480" i="17"/>
  <c r="F480" i="17"/>
  <c r="G480" i="17"/>
  <c r="H480" i="17"/>
  <c r="I480" i="17"/>
  <c r="J480" i="17"/>
  <c r="K480" i="17"/>
  <c r="C481" i="17"/>
  <c r="D481" i="17"/>
  <c r="F481" i="17"/>
  <c r="G481" i="17"/>
  <c r="H481" i="17"/>
  <c r="I481" i="17"/>
  <c r="J481" i="17"/>
  <c r="K481" i="17"/>
  <c r="C482" i="17"/>
  <c r="D482" i="17"/>
  <c r="F482" i="17"/>
  <c r="G482" i="17"/>
  <c r="H482" i="17"/>
  <c r="I482" i="17"/>
  <c r="J482" i="17"/>
  <c r="K482" i="17"/>
  <c r="C483" i="17"/>
  <c r="D483" i="17"/>
  <c r="F483" i="17"/>
  <c r="G483" i="17"/>
  <c r="H483" i="17"/>
  <c r="I483" i="17"/>
  <c r="J483" i="17"/>
  <c r="K483" i="17"/>
  <c r="C484" i="17"/>
  <c r="D484" i="17"/>
  <c r="F484" i="17"/>
  <c r="G484" i="17"/>
  <c r="H484" i="17"/>
  <c r="I484" i="17"/>
  <c r="J484" i="17"/>
  <c r="K484" i="17"/>
  <c r="C485" i="17"/>
  <c r="D485" i="17"/>
  <c r="F485" i="17"/>
  <c r="G485" i="17"/>
  <c r="H485" i="17"/>
  <c r="I485" i="17"/>
  <c r="J485" i="17"/>
  <c r="K485" i="17"/>
  <c r="C486" i="17"/>
  <c r="D486" i="17"/>
  <c r="F486" i="17"/>
  <c r="G486" i="17"/>
  <c r="H486" i="17"/>
  <c r="I486" i="17"/>
  <c r="J486" i="17"/>
  <c r="K486" i="17"/>
  <c r="C487" i="17"/>
  <c r="D487" i="17"/>
  <c r="F487" i="17"/>
  <c r="G487" i="17"/>
  <c r="H487" i="17"/>
  <c r="I487" i="17"/>
  <c r="J487" i="17"/>
  <c r="K487" i="17"/>
  <c r="C488" i="17"/>
  <c r="D488" i="17"/>
  <c r="F488" i="17"/>
  <c r="G488" i="17"/>
  <c r="H488" i="17"/>
  <c r="I488" i="17"/>
  <c r="J488" i="17"/>
  <c r="K488" i="17"/>
  <c r="C489" i="17"/>
  <c r="D489" i="17"/>
  <c r="F489" i="17"/>
  <c r="G489" i="17"/>
  <c r="H489" i="17"/>
  <c r="I489" i="17"/>
  <c r="J489" i="17"/>
  <c r="K489" i="17"/>
  <c r="C490" i="17"/>
  <c r="D490" i="17"/>
  <c r="F490" i="17"/>
  <c r="G490" i="17"/>
  <c r="H490" i="17"/>
  <c r="I490" i="17"/>
  <c r="J490" i="17"/>
  <c r="K490" i="17"/>
  <c r="C491" i="17"/>
  <c r="D491" i="17"/>
  <c r="F491" i="17"/>
  <c r="G491" i="17"/>
  <c r="H491" i="17"/>
  <c r="I491" i="17"/>
  <c r="J491" i="17"/>
  <c r="K491" i="17"/>
  <c r="C492" i="17"/>
  <c r="D492" i="17"/>
  <c r="F492" i="17"/>
  <c r="G492" i="17"/>
  <c r="H492" i="17"/>
  <c r="I492" i="17"/>
  <c r="J492" i="17"/>
  <c r="K492" i="17"/>
  <c r="C493" i="17"/>
  <c r="D493" i="17"/>
  <c r="F493" i="17"/>
  <c r="G493" i="17"/>
  <c r="H493" i="17"/>
  <c r="I493" i="17"/>
  <c r="J493" i="17"/>
  <c r="K493" i="17"/>
  <c r="C494" i="17"/>
  <c r="D494" i="17"/>
  <c r="F494" i="17"/>
  <c r="G494" i="17"/>
  <c r="H494" i="17"/>
  <c r="I494" i="17"/>
  <c r="J494" i="17"/>
  <c r="K494" i="17"/>
  <c r="C495" i="17"/>
  <c r="D495" i="17"/>
  <c r="F495" i="17"/>
  <c r="G495" i="17"/>
  <c r="H495" i="17"/>
  <c r="I495" i="17"/>
  <c r="J495" i="17"/>
  <c r="K495" i="17"/>
  <c r="C496" i="17"/>
  <c r="D496" i="17"/>
  <c r="F496" i="17"/>
  <c r="G496" i="17"/>
  <c r="H496" i="17"/>
  <c r="I496" i="17"/>
  <c r="J496" i="17"/>
  <c r="K496" i="17"/>
  <c r="C497" i="17"/>
  <c r="D497" i="17"/>
  <c r="F497" i="17"/>
  <c r="G497" i="17"/>
  <c r="H497" i="17"/>
  <c r="I497" i="17"/>
  <c r="J497" i="17"/>
  <c r="K497" i="17"/>
  <c r="C498" i="17"/>
  <c r="D498" i="17"/>
  <c r="F498" i="17"/>
  <c r="G498" i="17"/>
  <c r="H498" i="17"/>
  <c r="I498" i="17"/>
  <c r="J498" i="17"/>
  <c r="K498" i="17"/>
  <c r="C499" i="17"/>
  <c r="D499" i="17"/>
  <c r="F499" i="17"/>
  <c r="G499" i="17"/>
  <c r="H499" i="17"/>
  <c r="I499" i="17"/>
  <c r="J499" i="17"/>
  <c r="K499" i="17"/>
  <c r="C500" i="17"/>
  <c r="D500" i="17"/>
  <c r="F500" i="17"/>
  <c r="G500" i="17"/>
  <c r="H500" i="17"/>
  <c r="I500" i="17"/>
  <c r="J500" i="17"/>
  <c r="K500" i="17"/>
  <c r="C501" i="17"/>
  <c r="D501" i="17"/>
  <c r="F501" i="17"/>
  <c r="G501" i="17"/>
  <c r="H501" i="17"/>
  <c r="I501" i="17"/>
  <c r="J501" i="17"/>
  <c r="K501" i="17"/>
  <c r="C502" i="17"/>
  <c r="D502" i="17"/>
  <c r="F502" i="17"/>
  <c r="G502" i="17"/>
  <c r="H502" i="17"/>
  <c r="I502" i="17"/>
  <c r="J502" i="17"/>
  <c r="K502" i="17"/>
  <c r="C503" i="17"/>
  <c r="D503" i="17"/>
  <c r="F503" i="17"/>
  <c r="G503" i="17"/>
  <c r="H503" i="17"/>
  <c r="I503" i="17"/>
  <c r="J503" i="17"/>
  <c r="K503" i="17"/>
  <c r="C504" i="17"/>
  <c r="D504" i="17"/>
  <c r="F504" i="17"/>
  <c r="G504" i="17"/>
  <c r="H504" i="17"/>
  <c r="I504" i="17"/>
  <c r="J504" i="17"/>
  <c r="K504" i="17"/>
  <c r="C505" i="17"/>
  <c r="D505" i="17"/>
  <c r="F505" i="17"/>
  <c r="G505" i="17"/>
  <c r="H505" i="17"/>
  <c r="I505" i="17"/>
  <c r="J505" i="17"/>
  <c r="K505" i="17"/>
  <c r="C506" i="17"/>
  <c r="D506" i="17"/>
  <c r="F506" i="17"/>
  <c r="G506" i="17"/>
  <c r="H506" i="17"/>
  <c r="I506" i="17"/>
  <c r="J506" i="17"/>
  <c r="K506" i="17"/>
  <c r="C507" i="17"/>
  <c r="D507" i="17"/>
  <c r="F507" i="17"/>
  <c r="G507" i="17"/>
  <c r="H507" i="17"/>
  <c r="I507" i="17"/>
  <c r="J507" i="17"/>
  <c r="K507" i="17"/>
  <c r="C508" i="17"/>
  <c r="D508" i="17"/>
  <c r="F508" i="17"/>
  <c r="G508" i="17"/>
  <c r="H508" i="17"/>
  <c r="I508" i="17"/>
  <c r="J508" i="17"/>
  <c r="K508" i="17"/>
  <c r="C509" i="17"/>
  <c r="D509" i="17"/>
  <c r="F509" i="17"/>
  <c r="G509" i="17"/>
  <c r="H509" i="17"/>
  <c r="I509" i="17"/>
  <c r="J509" i="17"/>
  <c r="K509" i="17"/>
  <c r="C510" i="17"/>
  <c r="D510" i="17"/>
  <c r="F510" i="17"/>
  <c r="G510" i="17"/>
  <c r="H510" i="17"/>
  <c r="I510" i="17"/>
  <c r="J510" i="17"/>
  <c r="K510" i="17"/>
  <c r="C511" i="17"/>
  <c r="D511" i="17"/>
  <c r="F511" i="17"/>
  <c r="G511" i="17"/>
  <c r="H511" i="17"/>
  <c r="I511" i="17"/>
  <c r="J511" i="17"/>
  <c r="K511" i="17"/>
  <c r="C512" i="17"/>
  <c r="D512" i="17"/>
  <c r="F512" i="17"/>
  <c r="G512" i="17"/>
  <c r="H512" i="17"/>
  <c r="I512" i="17"/>
  <c r="J512" i="17"/>
  <c r="K512" i="17"/>
  <c r="C513" i="17"/>
  <c r="D513" i="17"/>
  <c r="F513" i="17"/>
  <c r="G513" i="17"/>
  <c r="H513" i="17"/>
  <c r="I513" i="17"/>
  <c r="J513" i="17"/>
  <c r="K513" i="17"/>
  <c r="C514" i="17"/>
  <c r="D514" i="17"/>
  <c r="F514" i="17"/>
  <c r="G514" i="17"/>
  <c r="H514" i="17"/>
  <c r="I514" i="17"/>
  <c r="J514" i="17"/>
  <c r="K514" i="17"/>
  <c r="C515" i="17"/>
  <c r="D515" i="17"/>
  <c r="F515" i="17"/>
  <c r="G515" i="17"/>
  <c r="H515" i="17"/>
  <c r="I515" i="17"/>
  <c r="J515" i="17"/>
  <c r="K515" i="17"/>
  <c r="C516" i="17"/>
  <c r="D516" i="17"/>
  <c r="F516" i="17"/>
  <c r="G516" i="17"/>
  <c r="H516" i="17"/>
  <c r="I516" i="17"/>
  <c r="J516" i="17"/>
  <c r="K516" i="17"/>
  <c r="C517" i="17"/>
  <c r="D517" i="17"/>
  <c r="F517" i="17"/>
  <c r="G517" i="17"/>
  <c r="H517" i="17"/>
  <c r="I517" i="17"/>
  <c r="J517" i="17"/>
  <c r="K517" i="17"/>
  <c r="C518" i="17"/>
  <c r="D518" i="17"/>
  <c r="F518" i="17"/>
  <c r="G518" i="17"/>
  <c r="H518" i="17"/>
  <c r="I518" i="17"/>
  <c r="J518" i="17"/>
  <c r="K518" i="17"/>
  <c r="C519" i="17"/>
  <c r="D519" i="17"/>
  <c r="F519" i="17"/>
  <c r="G519" i="17"/>
  <c r="H519" i="17"/>
  <c r="I519" i="17"/>
  <c r="J519" i="17"/>
  <c r="K519" i="17"/>
  <c r="C520" i="17"/>
  <c r="D520" i="17"/>
  <c r="F520" i="17"/>
  <c r="G520" i="17"/>
  <c r="H520" i="17"/>
  <c r="I520" i="17"/>
  <c r="J520" i="17"/>
  <c r="K520" i="17"/>
  <c r="C521" i="17"/>
  <c r="D521" i="17"/>
  <c r="F521" i="17"/>
  <c r="G521" i="17"/>
  <c r="H521" i="17"/>
  <c r="I521" i="17"/>
  <c r="J521" i="17"/>
  <c r="K521" i="17"/>
  <c r="C522" i="17"/>
  <c r="D522" i="17"/>
  <c r="F522" i="17"/>
  <c r="G522" i="17"/>
  <c r="H522" i="17"/>
  <c r="I522" i="17"/>
  <c r="J522" i="17"/>
  <c r="K522" i="17"/>
  <c r="C523" i="17"/>
  <c r="D523" i="17"/>
  <c r="F523" i="17"/>
  <c r="G523" i="17"/>
  <c r="H523" i="17"/>
  <c r="I523" i="17"/>
  <c r="J523" i="17"/>
  <c r="K523" i="17"/>
  <c r="C524" i="17"/>
  <c r="D524" i="17"/>
  <c r="F524" i="17"/>
  <c r="G524" i="17"/>
  <c r="H524" i="17"/>
  <c r="I524" i="17"/>
  <c r="J524" i="17"/>
  <c r="K524" i="17"/>
  <c r="C525" i="17"/>
  <c r="D525" i="17"/>
  <c r="F525" i="17"/>
  <c r="G525" i="17"/>
  <c r="H525" i="17"/>
  <c r="I525" i="17"/>
  <c r="J525" i="17"/>
  <c r="K525" i="17"/>
  <c r="C526" i="17"/>
  <c r="D526" i="17"/>
  <c r="F526" i="17"/>
  <c r="G526" i="17"/>
  <c r="H526" i="17"/>
  <c r="I526" i="17"/>
  <c r="J526" i="17"/>
  <c r="K526" i="17"/>
  <c r="C527" i="17"/>
  <c r="D527" i="17"/>
  <c r="F527" i="17"/>
  <c r="G527" i="17"/>
  <c r="H527" i="17"/>
  <c r="I527" i="17"/>
  <c r="J527" i="17"/>
  <c r="K527" i="17"/>
  <c r="C528" i="17"/>
  <c r="D528" i="17"/>
  <c r="F528" i="17"/>
  <c r="G528" i="17"/>
  <c r="H528" i="17"/>
  <c r="I528" i="17"/>
  <c r="J528" i="17"/>
  <c r="K528" i="17"/>
  <c r="C529" i="17"/>
  <c r="D529" i="17"/>
  <c r="F529" i="17"/>
  <c r="G529" i="17"/>
  <c r="H529" i="17"/>
  <c r="I529" i="17"/>
  <c r="J529" i="17"/>
  <c r="K529" i="17"/>
  <c r="C530" i="17"/>
  <c r="D530" i="17"/>
  <c r="F530" i="17"/>
  <c r="G530" i="17"/>
  <c r="H530" i="17"/>
  <c r="I530" i="17"/>
  <c r="J530" i="17"/>
  <c r="K530" i="17"/>
  <c r="C531" i="17"/>
  <c r="D531" i="17"/>
  <c r="F531" i="17"/>
  <c r="G531" i="17"/>
  <c r="H531" i="17"/>
  <c r="I531" i="17"/>
  <c r="J531" i="17"/>
  <c r="K531" i="17"/>
  <c r="C532" i="17"/>
  <c r="D532" i="17"/>
  <c r="F532" i="17"/>
  <c r="G532" i="17"/>
  <c r="H532" i="17"/>
  <c r="I532" i="17"/>
  <c r="J532" i="17"/>
  <c r="K532" i="17"/>
  <c r="C533" i="17"/>
  <c r="D533" i="17"/>
  <c r="F533" i="17"/>
  <c r="G533" i="17"/>
  <c r="H533" i="17"/>
  <c r="I533" i="17"/>
  <c r="J533" i="17"/>
  <c r="K533" i="17"/>
  <c r="C534" i="17"/>
  <c r="D534" i="17"/>
  <c r="F534" i="17"/>
  <c r="G534" i="17"/>
  <c r="H534" i="17"/>
  <c r="I534" i="17"/>
  <c r="J534" i="17"/>
  <c r="K534" i="17"/>
  <c r="C535" i="17"/>
  <c r="D535" i="17"/>
  <c r="F535" i="17"/>
  <c r="G535" i="17"/>
  <c r="H535" i="17"/>
  <c r="I535" i="17"/>
  <c r="J535" i="17"/>
  <c r="K535" i="17"/>
  <c r="C536" i="17"/>
  <c r="D536" i="17"/>
  <c r="F536" i="17"/>
  <c r="G536" i="17"/>
  <c r="H536" i="17"/>
  <c r="I536" i="17"/>
  <c r="J536" i="17"/>
  <c r="K536" i="17"/>
  <c r="C537" i="17"/>
  <c r="D537" i="17"/>
  <c r="F537" i="17"/>
  <c r="G537" i="17"/>
  <c r="H537" i="17"/>
  <c r="I537" i="17"/>
  <c r="J537" i="17"/>
  <c r="K537" i="17"/>
  <c r="C538" i="17"/>
  <c r="D538" i="17"/>
  <c r="F538" i="17"/>
  <c r="G538" i="17"/>
  <c r="H538" i="17"/>
  <c r="I538" i="17"/>
  <c r="J538" i="17"/>
  <c r="K538" i="17"/>
  <c r="C539" i="17"/>
  <c r="D539" i="17"/>
  <c r="F539" i="17"/>
  <c r="G539" i="17"/>
  <c r="H539" i="17"/>
  <c r="I539" i="17"/>
  <c r="J539" i="17"/>
  <c r="K539" i="17"/>
  <c r="C540" i="17"/>
  <c r="D540" i="17"/>
  <c r="F540" i="17"/>
  <c r="G540" i="17"/>
  <c r="H540" i="17"/>
  <c r="I540" i="17"/>
  <c r="J540" i="17"/>
  <c r="K540" i="17"/>
  <c r="C541" i="17"/>
  <c r="D541" i="17"/>
  <c r="F541" i="17"/>
  <c r="G541" i="17"/>
  <c r="H541" i="17"/>
  <c r="I541" i="17"/>
  <c r="J541" i="17"/>
  <c r="K541" i="17"/>
  <c r="C542" i="17"/>
  <c r="D542" i="17"/>
  <c r="F542" i="17"/>
  <c r="G542" i="17"/>
  <c r="H542" i="17"/>
  <c r="I542" i="17"/>
  <c r="J542" i="17"/>
  <c r="K542" i="17"/>
  <c r="C543" i="17"/>
  <c r="D543" i="17"/>
  <c r="F543" i="17"/>
  <c r="G543" i="17"/>
  <c r="H543" i="17"/>
  <c r="I543" i="17"/>
  <c r="J543" i="17"/>
  <c r="K543" i="17"/>
  <c r="C544" i="17"/>
  <c r="D544" i="17"/>
  <c r="F544" i="17"/>
  <c r="G544" i="17"/>
  <c r="H544" i="17"/>
  <c r="I544" i="17"/>
  <c r="J544" i="17"/>
  <c r="K544" i="17"/>
  <c r="C545" i="17"/>
  <c r="D545" i="17"/>
  <c r="F545" i="17"/>
  <c r="G545" i="17"/>
  <c r="H545" i="17"/>
  <c r="I545" i="17"/>
  <c r="J545" i="17"/>
  <c r="K545" i="17"/>
  <c r="C546" i="17"/>
  <c r="D546" i="17"/>
  <c r="F546" i="17"/>
  <c r="G546" i="17"/>
  <c r="H546" i="17"/>
  <c r="I546" i="17"/>
  <c r="J546" i="17"/>
  <c r="K546" i="17"/>
  <c r="C547" i="17"/>
  <c r="D547" i="17"/>
  <c r="F547" i="17"/>
  <c r="G547" i="17"/>
  <c r="H547" i="17"/>
  <c r="I547" i="17"/>
  <c r="J547" i="17"/>
  <c r="K547" i="17"/>
  <c r="C548" i="17"/>
  <c r="D548" i="17"/>
  <c r="F548" i="17"/>
  <c r="G548" i="17"/>
  <c r="H548" i="17"/>
  <c r="I548" i="17"/>
  <c r="J548" i="17"/>
  <c r="K548" i="17"/>
  <c r="C549" i="17"/>
  <c r="D549" i="17"/>
  <c r="F549" i="17"/>
  <c r="G549" i="17"/>
  <c r="H549" i="17"/>
  <c r="I549" i="17"/>
  <c r="J549" i="17"/>
  <c r="K549" i="17"/>
  <c r="C550" i="17"/>
  <c r="D550" i="17"/>
  <c r="F550" i="17"/>
  <c r="G550" i="17"/>
  <c r="H550" i="17"/>
  <c r="I550" i="17"/>
  <c r="J550" i="17"/>
  <c r="K550" i="17"/>
  <c r="C551" i="17"/>
  <c r="D551" i="17"/>
  <c r="F551" i="17"/>
  <c r="G551" i="17"/>
  <c r="H551" i="17"/>
  <c r="I551" i="17"/>
  <c r="J551" i="17"/>
  <c r="K551" i="17"/>
  <c r="C552" i="17"/>
  <c r="D552" i="17"/>
  <c r="F552" i="17"/>
  <c r="G552" i="17"/>
  <c r="H552" i="17"/>
  <c r="I552" i="17"/>
  <c r="J552" i="17"/>
  <c r="K552" i="17"/>
  <c r="C553" i="17"/>
  <c r="D553" i="17"/>
  <c r="F553" i="17"/>
  <c r="G553" i="17"/>
  <c r="H553" i="17"/>
  <c r="I553" i="17"/>
  <c r="J553" i="17"/>
  <c r="K553" i="17"/>
  <c r="C554" i="17"/>
  <c r="D554" i="17"/>
  <c r="F554" i="17"/>
  <c r="G554" i="17"/>
  <c r="H554" i="17"/>
  <c r="I554" i="17"/>
  <c r="J554" i="17"/>
  <c r="K554" i="17"/>
  <c r="C555" i="17"/>
  <c r="D555" i="17"/>
  <c r="F555" i="17"/>
  <c r="G555" i="17"/>
  <c r="H555" i="17"/>
  <c r="I555" i="17"/>
  <c r="J555" i="17"/>
  <c r="K555" i="17"/>
  <c r="C556" i="17"/>
  <c r="D556" i="17"/>
  <c r="F556" i="17"/>
  <c r="G556" i="17"/>
  <c r="H556" i="17"/>
  <c r="I556" i="17"/>
  <c r="J556" i="17"/>
  <c r="K556" i="17"/>
  <c r="C557" i="17"/>
  <c r="D557" i="17"/>
  <c r="F557" i="17"/>
  <c r="G557" i="17"/>
  <c r="H557" i="17"/>
  <c r="I557" i="17"/>
  <c r="J557" i="17"/>
  <c r="K557" i="17"/>
  <c r="C558" i="17"/>
  <c r="D558" i="17"/>
  <c r="F558" i="17"/>
  <c r="G558" i="17"/>
  <c r="H558" i="17"/>
  <c r="I558" i="17"/>
  <c r="J558" i="17"/>
  <c r="K558" i="17"/>
  <c r="C559" i="17"/>
  <c r="D559" i="17"/>
  <c r="F559" i="17"/>
  <c r="G559" i="17"/>
  <c r="H559" i="17"/>
  <c r="I559" i="17"/>
  <c r="J559" i="17"/>
  <c r="K559" i="17"/>
  <c r="C560" i="17"/>
  <c r="D560" i="17"/>
  <c r="F560" i="17"/>
  <c r="G560" i="17"/>
  <c r="H560" i="17"/>
  <c r="I560" i="17"/>
  <c r="J560" i="17"/>
  <c r="K560" i="17"/>
  <c r="C561" i="17"/>
  <c r="D561" i="17"/>
  <c r="F561" i="17"/>
  <c r="G561" i="17"/>
  <c r="H561" i="17"/>
  <c r="I561" i="17"/>
  <c r="J561" i="17"/>
  <c r="K561" i="17"/>
  <c r="C562" i="17"/>
  <c r="D562" i="17"/>
  <c r="F562" i="17"/>
  <c r="G562" i="17"/>
  <c r="H562" i="17"/>
  <c r="I562" i="17"/>
  <c r="J562" i="17"/>
  <c r="K562" i="17"/>
  <c r="C563" i="17"/>
  <c r="D563" i="17"/>
  <c r="F563" i="17"/>
  <c r="G563" i="17"/>
  <c r="H563" i="17"/>
  <c r="I563" i="17"/>
  <c r="J563" i="17"/>
  <c r="K563" i="17"/>
  <c r="C564" i="17"/>
  <c r="D564" i="17"/>
  <c r="F564" i="17"/>
  <c r="G564" i="17"/>
  <c r="H564" i="17"/>
  <c r="I564" i="17"/>
  <c r="J564" i="17"/>
  <c r="K564" i="17"/>
  <c r="C565" i="17"/>
  <c r="D565" i="17"/>
  <c r="F565" i="17"/>
  <c r="G565" i="17"/>
  <c r="H565" i="17"/>
  <c r="I565" i="17"/>
  <c r="J565" i="17"/>
  <c r="K565" i="17"/>
  <c r="C566" i="17"/>
  <c r="D566" i="17"/>
  <c r="F566" i="17"/>
  <c r="G566" i="17"/>
  <c r="H566" i="17"/>
  <c r="I566" i="17"/>
  <c r="J566" i="17"/>
  <c r="K566" i="17"/>
  <c r="C567" i="17"/>
  <c r="D567" i="17"/>
  <c r="F567" i="17"/>
  <c r="G567" i="17"/>
  <c r="H567" i="17"/>
  <c r="I567" i="17"/>
  <c r="J567" i="17"/>
  <c r="K567" i="17"/>
  <c r="C568" i="17"/>
  <c r="D568" i="17"/>
  <c r="F568" i="17"/>
  <c r="G568" i="17"/>
  <c r="H568" i="17"/>
  <c r="I568" i="17"/>
  <c r="J568" i="17"/>
  <c r="K568" i="17"/>
  <c r="C569" i="17"/>
  <c r="D569" i="17"/>
  <c r="F569" i="17"/>
  <c r="G569" i="17"/>
  <c r="H569" i="17"/>
  <c r="I569" i="17"/>
  <c r="J569" i="17"/>
  <c r="K569" i="17"/>
  <c r="C570" i="17"/>
  <c r="D570" i="17"/>
  <c r="F570" i="17"/>
  <c r="G570" i="17"/>
  <c r="H570" i="17"/>
  <c r="I570" i="17"/>
  <c r="J570" i="17"/>
  <c r="K570" i="17"/>
  <c r="C571" i="17"/>
  <c r="D571" i="17"/>
  <c r="F571" i="17"/>
  <c r="G571" i="17"/>
  <c r="H571" i="17"/>
  <c r="I571" i="17"/>
  <c r="J571" i="17"/>
  <c r="K571" i="17"/>
  <c r="C572" i="17"/>
  <c r="D572" i="17"/>
  <c r="F572" i="17"/>
  <c r="G572" i="17"/>
  <c r="H572" i="17"/>
  <c r="I572" i="17"/>
  <c r="J572" i="17"/>
  <c r="K572" i="17"/>
  <c r="C573" i="17"/>
  <c r="D573" i="17"/>
  <c r="F573" i="17"/>
  <c r="G573" i="17"/>
  <c r="H573" i="17"/>
  <c r="I573" i="17"/>
  <c r="J573" i="17"/>
  <c r="K573" i="17"/>
  <c r="C574" i="17"/>
  <c r="D574" i="17"/>
  <c r="F574" i="17"/>
  <c r="G574" i="17"/>
  <c r="H574" i="17"/>
  <c r="I574" i="17"/>
  <c r="J574" i="17"/>
  <c r="K574" i="17"/>
  <c r="C575" i="17"/>
  <c r="D575" i="17"/>
  <c r="F575" i="17"/>
  <c r="G575" i="17"/>
  <c r="H575" i="17"/>
  <c r="I575" i="17"/>
  <c r="J575" i="17"/>
  <c r="K575" i="17"/>
  <c r="C576" i="17"/>
  <c r="D576" i="17"/>
  <c r="F576" i="17"/>
  <c r="G576" i="17"/>
  <c r="H576" i="17"/>
  <c r="I576" i="17"/>
  <c r="J576" i="17"/>
  <c r="K576" i="17"/>
  <c r="C577" i="17"/>
  <c r="D577" i="17"/>
  <c r="F577" i="17"/>
  <c r="G577" i="17"/>
  <c r="H577" i="17"/>
  <c r="I577" i="17"/>
  <c r="J577" i="17"/>
  <c r="K577" i="17"/>
  <c r="C578" i="17"/>
  <c r="D578" i="17"/>
  <c r="F578" i="17"/>
  <c r="G578" i="17"/>
  <c r="H578" i="17"/>
  <c r="I578" i="17"/>
  <c r="J578" i="17"/>
  <c r="K578" i="17"/>
  <c r="C579" i="17"/>
  <c r="D579" i="17"/>
  <c r="F579" i="17"/>
  <c r="G579" i="17"/>
  <c r="H579" i="17"/>
  <c r="I579" i="17"/>
  <c r="J579" i="17"/>
  <c r="K579" i="17"/>
  <c r="C580" i="17"/>
  <c r="D580" i="17"/>
  <c r="F580" i="17"/>
  <c r="G580" i="17"/>
  <c r="H580" i="17"/>
  <c r="I580" i="17"/>
  <c r="J580" i="17"/>
  <c r="K580" i="17"/>
  <c r="C581" i="17"/>
  <c r="D581" i="17"/>
  <c r="F581" i="17"/>
  <c r="G581" i="17"/>
  <c r="H581" i="17"/>
  <c r="I581" i="17"/>
  <c r="J581" i="17"/>
  <c r="K581" i="17"/>
  <c r="C582" i="17"/>
  <c r="D582" i="17"/>
  <c r="F582" i="17"/>
  <c r="G582" i="17"/>
  <c r="H582" i="17"/>
  <c r="I582" i="17"/>
  <c r="J582" i="17"/>
  <c r="K582" i="17"/>
  <c r="C583" i="17"/>
  <c r="D583" i="17"/>
  <c r="F583" i="17"/>
  <c r="G583" i="17"/>
  <c r="H583" i="17"/>
  <c r="I583" i="17"/>
  <c r="J583" i="17"/>
  <c r="K583" i="17"/>
  <c r="C584" i="17"/>
  <c r="D584" i="17"/>
  <c r="F584" i="17"/>
  <c r="G584" i="17"/>
  <c r="H584" i="17"/>
  <c r="I584" i="17"/>
  <c r="J584" i="17"/>
  <c r="K584" i="17"/>
  <c r="C585" i="17"/>
  <c r="D585" i="17"/>
  <c r="F585" i="17"/>
  <c r="G585" i="17"/>
  <c r="H585" i="17"/>
  <c r="I585" i="17"/>
  <c r="J585" i="17"/>
  <c r="K585" i="17"/>
  <c r="C586" i="17"/>
  <c r="D586" i="17"/>
  <c r="F586" i="17"/>
  <c r="G586" i="17"/>
  <c r="H586" i="17"/>
  <c r="I586" i="17"/>
  <c r="J586" i="17"/>
  <c r="K586" i="17"/>
  <c r="C587" i="17"/>
  <c r="D587" i="17"/>
  <c r="F587" i="17"/>
  <c r="G587" i="17"/>
  <c r="H587" i="17"/>
  <c r="I587" i="17"/>
  <c r="J587" i="17"/>
  <c r="K587" i="17"/>
  <c r="C588" i="17"/>
  <c r="D588" i="17"/>
  <c r="F588" i="17"/>
  <c r="G588" i="17"/>
  <c r="H588" i="17"/>
  <c r="I588" i="17"/>
  <c r="J588" i="17"/>
  <c r="K588" i="17"/>
  <c r="C589" i="17"/>
  <c r="D589" i="17"/>
  <c r="F589" i="17"/>
  <c r="G589" i="17"/>
  <c r="H589" i="17"/>
  <c r="I589" i="17"/>
  <c r="J589" i="17"/>
  <c r="K589" i="17"/>
  <c r="C590" i="17"/>
  <c r="D590" i="17"/>
  <c r="F590" i="17"/>
  <c r="G590" i="17"/>
  <c r="H590" i="17"/>
  <c r="I590" i="17"/>
  <c r="J590" i="17"/>
  <c r="K590" i="17"/>
  <c r="C591" i="17"/>
  <c r="D591" i="17"/>
  <c r="F591" i="17"/>
  <c r="G591" i="17"/>
  <c r="H591" i="17"/>
  <c r="I591" i="17"/>
  <c r="J591" i="17"/>
  <c r="K591" i="17"/>
  <c r="C592" i="17"/>
  <c r="D592" i="17"/>
  <c r="F592" i="17"/>
  <c r="G592" i="17"/>
  <c r="H592" i="17"/>
  <c r="I592" i="17"/>
  <c r="J592" i="17"/>
  <c r="K592" i="17"/>
  <c r="C593" i="17"/>
  <c r="D593" i="17"/>
  <c r="F593" i="17"/>
  <c r="G593" i="17"/>
  <c r="H593" i="17"/>
  <c r="I593" i="17"/>
  <c r="J593" i="17"/>
  <c r="K593" i="17"/>
  <c r="C594" i="17"/>
  <c r="D594" i="17"/>
  <c r="F594" i="17"/>
  <c r="G594" i="17"/>
  <c r="H594" i="17"/>
  <c r="I594" i="17"/>
  <c r="J594" i="17"/>
  <c r="K594" i="17"/>
  <c r="C595" i="17"/>
  <c r="D595" i="17"/>
  <c r="F595" i="17"/>
  <c r="G595" i="17"/>
  <c r="H595" i="17"/>
  <c r="I595" i="17"/>
  <c r="J595" i="17"/>
  <c r="K595" i="17"/>
  <c r="C596" i="17"/>
  <c r="D596" i="17"/>
  <c r="F596" i="17"/>
  <c r="G596" i="17"/>
  <c r="H596" i="17"/>
  <c r="I596" i="17"/>
  <c r="J596" i="17"/>
  <c r="K596" i="17"/>
  <c r="C597" i="17"/>
  <c r="D597" i="17"/>
  <c r="F597" i="17"/>
  <c r="G597" i="17"/>
  <c r="H597" i="17"/>
  <c r="I597" i="17"/>
  <c r="J597" i="17"/>
  <c r="K597" i="17"/>
  <c r="C598" i="17"/>
  <c r="D598" i="17"/>
  <c r="F598" i="17"/>
  <c r="G598" i="17"/>
  <c r="H598" i="17"/>
  <c r="I598" i="17"/>
  <c r="J598" i="17"/>
  <c r="K598" i="17"/>
  <c r="C599" i="17"/>
  <c r="D599" i="17"/>
  <c r="F599" i="17"/>
  <c r="G599" i="17"/>
  <c r="H599" i="17"/>
  <c r="I599" i="17"/>
  <c r="J599" i="17"/>
  <c r="K599" i="17"/>
  <c r="C600" i="17"/>
  <c r="D600" i="17"/>
  <c r="F600" i="17"/>
  <c r="G600" i="17"/>
  <c r="H600" i="17"/>
  <c r="I600" i="17"/>
  <c r="J600" i="17"/>
  <c r="K600" i="17"/>
  <c r="C601" i="17"/>
  <c r="D601" i="17"/>
  <c r="F601" i="17"/>
  <c r="G601" i="17"/>
  <c r="H601" i="17"/>
  <c r="I601" i="17"/>
  <c r="J601" i="17"/>
  <c r="K601" i="17"/>
  <c r="C602" i="17"/>
  <c r="D602" i="17"/>
  <c r="F602" i="17"/>
  <c r="G602" i="17"/>
  <c r="H602" i="17"/>
  <c r="I602" i="17"/>
  <c r="J602" i="17"/>
  <c r="K602" i="17"/>
  <c r="C603" i="17"/>
  <c r="D603" i="17"/>
  <c r="F603" i="17"/>
  <c r="G603" i="17"/>
  <c r="H603" i="17"/>
  <c r="I603" i="17"/>
  <c r="J603" i="17"/>
  <c r="K603" i="17"/>
  <c r="C604" i="17"/>
  <c r="D604" i="17"/>
  <c r="F604" i="17"/>
  <c r="G604" i="17"/>
  <c r="H604" i="17"/>
  <c r="I604" i="17"/>
  <c r="J604" i="17"/>
  <c r="K604" i="17"/>
  <c r="C605" i="17"/>
  <c r="D605" i="17"/>
  <c r="F605" i="17"/>
  <c r="G605" i="17"/>
  <c r="H605" i="17"/>
  <c r="I605" i="17"/>
  <c r="J605" i="17"/>
  <c r="K605" i="17"/>
  <c r="C606" i="17"/>
  <c r="D606" i="17"/>
  <c r="F606" i="17"/>
  <c r="G606" i="17"/>
  <c r="H606" i="17"/>
  <c r="I606" i="17"/>
  <c r="J606" i="17"/>
  <c r="K606" i="17"/>
  <c r="C607" i="17"/>
  <c r="D607" i="17"/>
  <c r="F607" i="17"/>
  <c r="G607" i="17"/>
  <c r="H607" i="17"/>
  <c r="I607" i="17"/>
  <c r="J607" i="17"/>
  <c r="K607" i="17"/>
  <c r="C608" i="17"/>
  <c r="D608" i="17"/>
  <c r="F608" i="17"/>
  <c r="G608" i="17"/>
  <c r="H608" i="17"/>
  <c r="I608" i="17"/>
  <c r="J608" i="17"/>
  <c r="K608" i="17"/>
  <c r="C609" i="17"/>
  <c r="D609" i="17"/>
  <c r="F609" i="17"/>
  <c r="G609" i="17"/>
  <c r="H609" i="17"/>
  <c r="I609" i="17"/>
  <c r="J609" i="17"/>
  <c r="K609" i="17"/>
  <c r="C610" i="17"/>
  <c r="D610" i="17"/>
  <c r="F610" i="17"/>
  <c r="G610" i="17"/>
  <c r="H610" i="17"/>
  <c r="I610" i="17"/>
  <c r="J610" i="17"/>
  <c r="K610" i="17"/>
  <c r="C611" i="17"/>
  <c r="D611" i="17"/>
  <c r="F611" i="17"/>
  <c r="G611" i="17"/>
  <c r="H611" i="17"/>
  <c r="I611" i="17"/>
  <c r="J611" i="17"/>
  <c r="K611" i="17"/>
  <c r="C612" i="17"/>
  <c r="D612" i="17"/>
  <c r="F612" i="17"/>
  <c r="G612" i="17"/>
  <c r="H612" i="17"/>
  <c r="I612" i="17"/>
  <c r="J612" i="17"/>
  <c r="K612" i="17"/>
  <c r="C613" i="17"/>
  <c r="D613" i="17"/>
  <c r="F613" i="17"/>
  <c r="G613" i="17"/>
  <c r="H613" i="17"/>
  <c r="I613" i="17"/>
  <c r="J613" i="17"/>
  <c r="K613" i="17"/>
  <c r="C614" i="17"/>
  <c r="D614" i="17"/>
  <c r="F614" i="17"/>
  <c r="G614" i="17"/>
  <c r="H614" i="17"/>
  <c r="I614" i="17"/>
  <c r="J614" i="17"/>
  <c r="K614" i="17"/>
  <c r="C615" i="17"/>
  <c r="D615" i="17"/>
  <c r="F615" i="17"/>
  <c r="G615" i="17"/>
  <c r="H615" i="17"/>
  <c r="I615" i="17"/>
  <c r="J615" i="17"/>
  <c r="K615" i="17"/>
  <c r="C616" i="17"/>
  <c r="D616" i="17"/>
  <c r="F616" i="17"/>
  <c r="G616" i="17"/>
  <c r="H616" i="17"/>
  <c r="I616" i="17"/>
  <c r="J616" i="17"/>
  <c r="K616" i="17"/>
  <c r="C617" i="17"/>
  <c r="D617" i="17"/>
  <c r="F617" i="17"/>
  <c r="G617" i="17"/>
  <c r="H617" i="17"/>
  <c r="I617" i="17"/>
  <c r="J617" i="17"/>
  <c r="K617" i="17"/>
  <c r="C618" i="17"/>
  <c r="D618" i="17"/>
  <c r="F618" i="17"/>
  <c r="G618" i="17"/>
  <c r="H618" i="17"/>
  <c r="I618" i="17"/>
  <c r="J618" i="17"/>
  <c r="K618" i="17"/>
  <c r="C619" i="17"/>
  <c r="D619" i="17"/>
  <c r="F619" i="17"/>
  <c r="G619" i="17"/>
  <c r="H619" i="17"/>
  <c r="I619" i="17"/>
  <c r="J619" i="17"/>
  <c r="K619" i="17"/>
  <c r="C620" i="17"/>
  <c r="D620" i="17"/>
  <c r="F620" i="17"/>
  <c r="G620" i="17"/>
  <c r="H620" i="17"/>
  <c r="I620" i="17"/>
  <c r="J620" i="17"/>
  <c r="K620" i="17"/>
  <c r="C621" i="17"/>
  <c r="D621" i="17"/>
  <c r="F621" i="17"/>
  <c r="G621" i="17"/>
  <c r="H621" i="17"/>
  <c r="I621" i="17"/>
  <c r="J621" i="17"/>
  <c r="K621" i="17"/>
  <c r="C622" i="17"/>
  <c r="D622" i="17"/>
  <c r="F622" i="17"/>
  <c r="G622" i="17"/>
  <c r="H622" i="17"/>
  <c r="I622" i="17"/>
  <c r="J622" i="17"/>
  <c r="K622" i="17"/>
  <c r="C623" i="17"/>
  <c r="D623" i="17"/>
  <c r="F623" i="17"/>
  <c r="G623" i="17"/>
  <c r="H623" i="17"/>
  <c r="I623" i="17"/>
  <c r="J623" i="17"/>
  <c r="K623" i="17"/>
  <c r="C624" i="17"/>
  <c r="D624" i="17"/>
  <c r="F624" i="17"/>
  <c r="G624" i="17"/>
  <c r="H624" i="17"/>
  <c r="I624" i="17"/>
  <c r="J624" i="17"/>
  <c r="K624" i="17"/>
  <c r="C625" i="17"/>
  <c r="D625" i="17"/>
  <c r="F625" i="17"/>
  <c r="G625" i="17"/>
  <c r="H625" i="17"/>
  <c r="I625" i="17"/>
  <c r="J625" i="17"/>
  <c r="K625" i="17"/>
  <c r="C626" i="17"/>
  <c r="D626" i="17"/>
  <c r="F626" i="17"/>
  <c r="G626" i="17"/>
  <c r="H626" i="17"/>
  <c r="I626" i="17"/>
  <c r="J626" i="17"/>
  <c r="K626" i="17"/>
  <c r="C627" i="17"/>
  <c r="D627" i="17"/>
  <c r="F627" i="17"/>
  <c r="G627" i="17"/>
  <c r="H627" i="17"/>
  <c r="I627" i="17"/>
  <c r="J627" i="17"/>
  <c r="K627" i="17"/>
  <c r="C628" i="17"/>
  <c r="D628" i="17"/>
  <c r="F628" i="17"/>
  <c r="G628" i="17"/>
  <c r="H628" i="17"/>
  <c r="I628" i="17"/>
  <c r="J628" i="17"/>
  <c r="K628" i="17"/>
  <c r="C629" i="17"/>
  <c r="D629" i="17"/>
  <c r="F629" i="17"/>
  <c r="G629" i="17"/>
  <c r="H629" i="17"/>
  <c r="I629" i="17"/>
  <c r="J629" i="17"/>
  <c r="K629" i="17"/>
  <c r="C630" i="17"/>
  <c r="D630" i="17"/>
  <c r="F630" i="17"/>
  <c r="G630" i="17"/>
  <c r="H630" i="17"/>
  <c r="I630" i="17"/>
  <c r="J630" i="17"/>
  <c r="K630" i="17"/>
  <c r="C631" i="17"/>
  <c r="D631" i="17"/>
  <c r="F631" i="17"/>
  <c r="G631" i="17"/>
  <c r="H631" i="17"/>
  <c r="I631" i="17"/>
  <c r="J631" i="17"/>
  <c r="K631" i="17"/>
  <c r="C1501" i="17"/>
  <c r="A1501" i="17" s="1"/>
  <c r="D1501" i="17"/>
  <c r="F1501" i="17"/>
  <c r="G1501" i="17"/>
  <c r="H1501" i="17"/>
  <c r="I1501" i="17"/>
  <c r="J1501" i="17"/>
  <c r="K1501" i="17"/>
  <c r="C1502" i="17"/>
  <c r="A1502" i="17" s="1"/>
  <c r="D1502" i="17"/>
  <c r="F1502" i="17"/>
  <c r="G1502" i="17"/>
  <c r="H1502" i="17"/>
  <c r="I1502" i="17"/>
  <c r="J1502" i="17"/>
  <c r="K1502" i="17"/>
  <c r="C1503" i="17"/>
  <c r="A1503" i="17" s="1"/>
  <c r="D1503" i="17"/>
  <c r="F1503" i="17"/>
  <c r="G1503" i="17"/>
  <c r="H1503" i="17"/>
  <c r="I1503" i="17"/>
  <c r="J1503" i="17"/>
  <c r="K1503" i="17"/>
  <c r="C1504" i="17"/>
  <c r="A1504" i="17" s="1"/>
  <c r="D1504" i="17"/>
  <c r="F1504" i="17"/>
  <c r="G1504" i="17"/>
  <c r="H1504" i="17"/>
  <c r="I1504" i="17"/>
  <c r="J1504" i="17"/>
  <c r="K1504" i="17"/>
  <c r="C1505" i="17"/>
  <c r="A1505" i="17" s="1"/>
  <c r="D1505" i="17"/>
  <c r="F1505" i="17"/>
  <c r="G1505" i="17"/>
  <c r="H1505" i="17"/>
  <c r="I1505" i="17"/>
  <c r="J1505" i="17"/>
  <c r="K1505" i="17"/>
  <c r="C1506" i="17"/>
  <c r="A1506" i="17" s="1"/>
  <c r="D1506" i="17"/>
  <c r="F1506" i="17"/>
  <c r="G1506" i="17"/>
  <c r="H1506" i="17"/>
  <c r="I1506" i="17"/>
  <c r="J1506" i="17"/>
  <c r="K1506" i="17"/>
  <c r="C1507" i="17"/>
  <c r="A1507" i="17" s="1"/>
  <c r="D1507" i="17"/>
  <c r="F1507" i="17"/>
  <c r="G1507" i="17"/>
  <c r="H1507" i="17"/>
  <c r="I1507" i="17"/>
  <c r="J1507" i="17"/>
  <c r="K1507" i="17"/>
  <c r="C1508" i="17"/>
  <c r="A1508" i="17" s="1"/>
  <c r="D1508" i="17"/>
  <c r="F1508" i="17"/>
  <c r="G1508" i="17"/>
  <c r="H1508" i="17"/>
  <c r="I1508" i="17"/>
  <c r="J1508" i="17"/>
  <c r="K1508" i="17"/>
  <c r="C1509" i="17"/>
  <c r="A1509" i="17" s="1"/>
  <c r="D1509" i="17"/>
  <c r="F1509" i="17"/>
  <c r="G1509" i="17"/>
  <c r="H1509" i="17"/>
  <c r="I1509" i="17"/>
  <c r="J1509" i="17"/>
  <c r="K1509" i="17"/>
  <c r="C1510" i="17"/>
  <c r="A1510" i="17" s="1"/>
  <c r="D1510" i="17"/>
  <c r="F1510" i="17"/>
  <c r="G1510" i="17"/>
  <c r="H1510" i="17"/>
  <c r="I1510" i="17"/>
  <c r="J1510" i="17"/>
  <c r="K1510" i="17"/>
  <c r="C1511" i="17"/>
  <c r="A1511" i="17" s="1"/>
  <c r="D1511" i="17"/>
  <c r="F1511" i="17"/>
  <c r="G1511" i="17"/>
  <c r="H1511" i="17"/>
  <c r="I1511" i="17"/>
  <c r="J1511" i="17"/>
  <c r="K1511" i="17"/>
  <c r="C1512" i="17"/>
  <c r="D1512" i="17"/>
  <c r="F1512" i="17"/>
  <c r="G1512" i="17"/>
  <c r="H1512" i="17"/>
  <c r="I1512" i="17"/>
  <c r="J1512" i="17"/>
  <c r="K1512" i="17"/>
  <c r="C1513" i="17"/>
  <c r="A1513" i="17" s="1"/>
  <c r="D1513" i="17"/>
  <c r="F1513" i="17"/>
  <c r="G1513" i="17"/>
  <c r="H1513" i="17"/>
  <c r="I1513" i="17"/>
  <c r="J1513" i="17"/>
  <c r="K1513" i="17"/>
  <c r="C1514" i="17"/>
  <c r="A1514" i="17" s="1"/>
  <c r="D1514" i="17"/>
  <c r="F1514" i="17"/>
  <c r="G1514" i="17"/>
  <c r="H1514" i="17"/>
  <c r="I1514" i="17"/>
  <c r="J1514" i="17"/>
  <c r="K1514" i="17"/>
  <c r="C1515" i="17"/>
  <c r="A1515" i="17" s="1"/>
  <c r="D1515" i="17"/>
  <c r="F1515" i="17"/>
  <c r="G1515" i="17"/>
  <c r="H1515" i="17"/>
  <c r="I1515" i="17"/>
  <c r="J1515" i="17"/>
  <c r="K1515" i="17"/>
  <c r="C1516" i="17"/>
  <c r="A1516" i="17" s="1"/>
  <c r="D1516" i="17"/>
  <c r="F1516" i="17"/>
  <c r="G1516" i="17"/>
  <c r="H1516" i="17"/>
  <c r="I1516" i="17"/>
  <c r="J1516" i="17"/>
  <c r="K1516" i="17"/>
  <c r="C1517" i="17"/>
  <c r="A1517" i="17" s="1"/>
  <c r="D1517" i="17"/>
  <c r="F1517" i="17"/>
  <c r="G1517" i="17"/>
  <c r="H1517" i="17"/>
  <c r="I1517" i="17"/>
  <c r="J1517" i="17"/>
  <c r="K1517" i="17"/>
  <c r="C1518" i="17"/>
  <c r="A1518" i="17" s="1"/>
  <c r="D1518" i="17"/>
  <c r="F1518" i="17"/>
  <c r="G1518" i="17"/>
  <c r="H1518" i="17"/>
  <c r="I1518" i="17"/>
  <c r="J1518" i="17"/>
  <c r="K1518" i="17"/>
  <c r="C1519" i="17"/>
  <c r="A1519" i="17" s="1"/>
  <c r="D1519" i="17"/>
  <c r="F1519" i="17"/>
  <c r="G1519" i="17"/>
  <c r="H1519" i="17"/>
  <c r="I1519" i="17"/>
  <c r="J1519" i="17"/>
  <c r="K1519" i="17"/>
  <c r="C1520" i="17"/>
  <c r="A1520" i="17" s="1"/>
  <c r="D1520" i="17"/>
  <c r="F1520" i="17"/>
  <c r="G1520" i="17"/>
  <c r="H1520" i="17"/>
  <c r="I1520" i="17"/>
  <c r="J1520" i="17"/>
  <c r="K1520" i="17"/>
  <c r="C1521" i="17"/>
  <c r="A1521" i="17" s="1"/>
  <c r="D1521" i="17"/>
  <c r="F1521" i="17"/>
  <c r="G1521" i="17"/>
  <c r="H1521" i="17"/>
  <c r="I1521" i="17"/>
  <c r="J1521" i="17"/>
  <c r="K1521" i="17"/>
  <c r="C1522" i="17"/>
  <c r="A1522" i="17" s="1"/>
  <c r="D1522" i="17"/>
  <c r="F1522" i="17"/>
  <c r="G1522" i="17"/>
  <c r="H1522" i="17"/>
  <c r="I1522" i="17"/>
  <c r="J1522" i="17"/>
  <c r="K1522" i="17"/>
  <c r="C1523" i="17"/>
  <c r="A1523" i="17" s="1"/>
  <c r="D1523" i="17"/>
  <c r="F1523" i="17"/>
  <c r="G1523" i="17"/>
  <c r="H1523" i="17"/>
  <c r="I1523" i="17"/>
  <c r="J1523" i="17"/>
  <c r="K1523" i="17"/>
  <c r="C1524" i="17"/>
  <c r="D1524" i="17"/>
  <c r="F1524" i="17"/>
  <c r="G1524" i="17"/>
  <c r="H1524" i="17"/>
  <c r="I1524" i="17"/>
  <c r="J1524" i="17"/>
  <c r="K1524" i="17"/>
  <c r="C1525" i="17"/>
  <c r="A1525" i="17" s="1"/>
  <c r="D1525" i="17"/>
  <c r="F1525" i="17"/>
  <c r="G1525" i="17"/>
  <c r="H1525" i="17"/>
  <c r="I1525" i="17"/>
  <c r="J1525" i="17"/>
  <c r="K1525" i="17"/>
  <c r="C1526" i="17"/>
  <c r="A1526" i="17" s="1"/>
  <c r="D1526" i="17"/>
  <c r="F1526" i="17"/>
  <c r="G1526" i="17"/>
  <c r="H1526" i="17"/>
  <c r="I1526" i="17"/>
  <c r="J1526" i="17"/>
  <c r="K1526" i="17"/>
  <c r="C1527" i="17"/>
  <c r="A1527" i="17" s="1"/>
  <c r="D1527" i="17"/>
  <c r="F1527" i="17"/>
  <c r="G1527" i="17"/>
  <c r="H1527" i="17"/>
  <c r="I1527" i="17"/>
  <c r="J1527" i="17"/>
  <c r="K1527" i="17"/>
  <c r="C1528" i="17"/>
  <c r="A1528" i="17" s="1"/>
  <c r="D1528" i="17"/>
  <c r="F1528" i="17"/>
  <c r="G1528" i="17"/>
  <c r="H1528" i="17"/>
  <c r="I1528" i="17"/>
  <c r="J1528" i="17"/>
  <c r="K1528" i="17"/>
  <c r="C1529" i="17"/>
  <c r="A1529" i="17" s="1"/>
  <c r="D1529" i="17"/>
  <c r="F1529" i="17"/>
  <c r="G1529" i="17"/>
  <c r="H1529" i="17"/>
  <c r="I1529" i="17"/>
  <c r="J1529" i="17"/>
  <c r="K1529" i="17"/>
  <c r="C1530" i="17"/>
  <c r="A1530" i="17" s="1"/>
  <c r="D1530" i="17"/>
  <c r="F1530" i="17"/>
  <c r="G1530" i="17"/>
  <c r="H1530" i="17"/>
  <c r="I1530" i="17"/>
  <c r="J1530" i="17"/>
  <c r="K1530" i="17"/>
  <c r="C1531" i="17"/>
  <c r="A1531" i="17" s="1"/>
  <c r="D1531" i="17"/>
  <c r="F1531" i="17"/>
  <c r="G1531" i="17"/>
  <c r="H1531" i="17"/>
  <c r="I1531" i="17"/>
  <c r="J1531" i="17"/>
  <c r="K1531" i="17"/>
  <c r="C1532" i="17"/>
  <c r="A1532" i="17" s="1"/>
  <c r="D1532" i="17"/>
  <c r="F1532" i="17"/>
  <c r="G1532" i="17"/>
  <c r="H1532" i="17"/>
  <c r="I1532" i="17"/>
  <c r="J1532" i="17"/>
  <c r="K1532" i="17"/>
  <c r="C1533" i="17"/>
  <c r="A1533" i="17" s="1"/>
  <c r="D1533" i="17"/>
  <c r="F1533" i="17"/>
  <c r="G1533" i="17"/>
  <c r="H1533" i="17"/>
  <c r="I1533" i="17"/>
  <c r="J1533" i="17"/>
  <c r="K1533" i="17"/>
  <c r="C1534" i="17"/>
  <c r="A1534" i="17" s="1"/>
  <c r="D1534" i="17"/>
  <c r="F1534" i="17"/>
  <c r="G1534" i="17"/>
  <c r="H1534" i="17"/>
  <c r="I1534" i="17"/>
  <c r="J1534" i="17"/>
  <c r="K1534" i="17"/>
  <c r="C1535" i="17"/>
  <c r="A1535" i="17" s="1"/>
  <c r="D1535" i="17"/>
  <c r="F1535" i="17"/>
  <c r="G1535" i="17"/>
  <c r="H1535" i="17"/>
  <c r="I1535" i="17"/>
  <c r="J1535" i="17"/>
  <c r="K1535" i="17"/>
  <c r="C1536" i="17"/>
  <c r="D1536" i="17"/>
  <c r="F1536" i="17"/>
  <c r="G1536" i="17"/>
  <c r="H1536" i="17"/>
  <c r="I1536" i="17"/>
  <c r="J1536" i="17"/>
  <c r="K1536" i="17"/>
  <c r="C1537" i="17"/>
  <c r="A1537" i="17" s="1"/>
  <c r="D1537" i="17"/>
  <c r="F1537" i="17"/>
  <c r="G1537" i="17"/>
  <c r="H1537" i="17"/>
  <c r="I1537" i="17"/>
  <c r="J1537" i="17"/>
  <c r="K1537" i="17"/>
  <c r="C1538" i="17"/>
  <c r="A1538" i="17" s="1"/>
  <c r="D1538" i="17"/>
  <c r="F1538" i="17"/>
  <c r="G1538" i="17"/>
  <c r="H1538" i="17"/>
  <c r="I1538" i="17"/>
  <c r="J1538" i="17"/>
  <c r="K1538" i="17"/>
  <c r="C1539" i="17"/>
  <c r="A1539" i="17" s="1"/>
  <c r="D1539" i="17"/>
  <c r="F1539" i="17"/>
  <c r="G1539" i="17"/>
  <c r="H1539" i="17"/>
  <c r="I1539" i="17"/>
  <c r="J1539" i="17"/>
  <c r="K1539" i="17"/>
  <c r="C1540" i="17"/>
  <c r="A1540" i="17" s="1"/>
  <c r="D1540" i="17"/>
  <c r="F1540" i="17"/>
  <c r="G1540" i="17"/>
  <c r="H1540" i="17"/>
  <c r="I1540" i="17"/>
  <c r="J1540" i="17"/>
  <c r="K1540" i="17"/>
  <c r="C1541" i="17"/>
  <c r="A1541" i="17" s="1"/>
  <c r="D1541" i="17"/>
  <c r="F1541" i="17"/>
  <c r="G1541" i="17"/>
  <c r="H1541" i="17"/>
  <c r="I1541" i="17"/>
  <c r="J1541" i="17"/>
  <c r="K1541" i="17"/>
  <c r="C1542" i="17"/>
  <c r="A1542" i="17" s="1"/>
  <c r="D1542" i="17"/>
  <c r="F1542" i="17"/>
  <c r="G1542" i="17"/>
  <c r="H1542" i="17"/>
  <c r="I1542" i="17"/>
  <c r="J1542" i="17"/>
  <c r="K1542" i="17"/>
  <c r="C1543" i="17"/>
  <c r="A1543" i="17" s="1"/>
  <c r="D1543" i="17"/>
  <c r="F1543" i="17"/>
  <c r="G1543" i="17"/>
  <c r="H1543" i="17"/>
  <c r="I1543" i="17"/>
  <c r="J1543" i="17"/>
  <c r="K1543" i="17"/>
  <c r="C1544" i="17"/>
  <c r="A1544" i="17" s="1"/>
  <c r="D1544" i="17"/>
  <c r="F1544" i="17"/>
  <c r="G1544" i="17"/>
  <c r="H1544" i="17"/>
  <c r="I1544" i="17"/>
  <c r="J1544" i="17"/>
  <c r="K1544" i="17"/>
  <c r="C1545" i="17"/>
  <c r="A1545" i="17" s="1"/>
  <c r="D1545" i="17"/>
  <c r="F1545" i="17"/>
  <c r="G1545" i="17"/>
  <c r="H1545" i="17"/>
  <c r="I1545" i="17"/>
  <c r="J1545" i="17"/>
  <c r="K1545" i="17"/>
  <c r="C1546" i="17"/>
  <c r="A1546" i="17" s="1"/>
  <c r="D1546" i="17"/>
  <c r="F1546" i="17"/>
  <c r="G1546" i="17"/>
  <c r="H1546" i="17"/>
  <c r="I1546" i="17"/>
  <c r="J1546" i="17"/>
  <c r="K1546" i="17"/>
  <c r="C1547" i="17"/>
  <c r="A1547" i="17" s="1"/>
  <c r="D1547" i="17"/>
  <c r="F1547" i="17"/>
  <c r="G1547" i="17"/>
  <c r="H1547" i="17"/>
  <c r="I1547" i="17"/>
  <c r="J1547" i="17"/>
  <c r="K1547" i="17"/>
  <c r="C1548" i="17"/>
  <c r="D1548" i="17"/>
  <c r="F1548" i="17"/>
  <c r="G1548" i="17"/>
  <c r="H1548" i="17"/>
  <c r="I1548" i="17"/>
  <c r="J1548" i="17"/>
  <c r="K1548" i="17"/>
  <c r="C1549" i="17"/>
  <c r="A1549" i="17" s="1"/>
  <c r="D1549" i="17"/>
  <c r="F1549" i="17"/>
  <c r="G1549" i="17"/>
  <c r="H1549" i="17"/>
  <c r="I1549" i="17"/>
  <c r="J1549" i="17"/>
  <c r="K1549" i="17"/>
  <c r="C1550" i="17"/>
  <c r="A1550" i="17" s="1"/>
  <c r="D1550" i="17"/>
  <c r="F1550" i="17"/>
  <c r="G1550" i="17"/>
  <c r="H1550" i="17"/>
  <c r="I1550" i="17"/>
  <c r="J1550" i="17"/>
  <c r="K1550" i="17"/>
  <c r="C1551" i="17"/>
  <c r="A1551" i="17" s="1"/>
  <c r="D1551" i="17"/>
  <c r="F1551" i="17"/>
  <c r="G1551" i="17"/>
  <c r="H1551" i="17"/>
  <c r="I1551" i="17"/>
  <c r="J1551" i="17"/>
  <c r="K1551" i="17"/>
  <c r="C1552" i="17"/>
  <c r="A1552" i="17" s="1"/>
  <c r="D1552" i="17"/>
  <c r="F1552" i="17"/>
  <c r="G1552" i="17"/>
  <c r="H1552" i="17"/>
  <c r="I1552" i="17"/>
  <c r="J1552" i="17"/>
  <c r="K1552" i="17"/>
  <c r="C1553" i="17"/>
  <c r="A1553" i="17" s="1"/>
  <c r="D1553" i="17"/>
  <c r="F1553" i="17"/>
  <c r="G1553" i="17"/>
  <c r="H1553" i="17"/>
  <c r="I1553" i="17"/>
  <c r="J1553" i="17"/>
  <c r="K1553" i="17"/>
  <c r="C1554" i="17"/>
  <c r="A1554" i="17" s="1"/>
  <c r="D1554" i="17"/>
  <c r="F1554" i="17"/>
  <c r="G1554" i="17"/>
  <c r="H1554" i="17"/>
  <c r="I1554" i="17"/>
  <c r="J1554" i="17"/>
  <c r="K1554" i="17"/>
  <c r="C1555" i="17"/>
  <c r="A1555" i="17" s="1"/>
  <c r="D1555" i="17"/>
  <c r="F1555" i="17"/>
  <c r="G1555" i="17"/>
  <c r="H1555" i="17"/>
  <c r="I1555" i="17"/>
  <c r="J1555" i="17"/>
  <c r="K1555" i="17"/>
  <c r="C1556" i="17"/>
  <c r="A1556" i="17" s="1"/>
  <c r="D1556" i="17"/>
  <c r="F1556" i="17"/>
  <c r="G1556" i="17"/>
  <c r="H1556" i="17"/>
  <c r="I1556" i="17"/>
  <c r="J1556" i="17"/>
  <c r="K1556" i="17"/>
  <c r="C1557" i="17"/>
  <c r="A1557" i="17" s="1"/>
  <c r="D1557" i="17"/>
  <c r="F1557" i="17"/>
  <c r="G1557" i="17"/>
  <c r="H1557" i="17"/>
  <c r="I1557" i="17"/>
  <c r="J1557" i="17"/>
  <c r="K1557" i="17"/>
  <c r="C1558" i="17"/>
  <c r="A1558" i="17" s="1"/>
  <c r="D1558" i="17"/>
  <c r="F1558" i="17"/>
  <c r="G1558" i="17"/>
  <c r="H1558" i="17"/>
  <c r="I1558" i="17"/>
  <c r="J1558" i="17"/>
  <c r="K1558" i="17"/>
  <c r="C1559" i="17"/>
  <c r="A1559" i="17" s="1"/>
  <c r="D1559" i="17"/>
  <c r="F1559" i="17"/>
  <c r="G1559" i="17"/>
  <c r="H1559" i="17"/>
  <c r="I1559" i="17"/>
  <c r="J1559" i="17"/>
  <c r="K1559" i="17"/>
  <c r="C1560" i="17"/>
  <c r="D1560" i="17"/>
  <c r="F1560" i="17"/>
  <c r="G1560" i="17"/>
  <c r="H1560" i="17"/>
  <c r="I1560" i="17"/>
  <c r="J1560" i="17"/>
  <c r="K1560" i="17"/>
  <c r="C1561" i="17"/>
  <c r="A1561" i="17" s="1"/>
  <c r="D1561" i="17"/>
  <c r="F1561" i="17"/>
  <c r="G1561" i="17"/>
  <c r="H1561" i="17"/>
  <c r="I1561" i="17"/>
  <c r="J1561" i="17"/>
  <c r="K1561" i="17"/>
  <c r="C1562" i="17"/>
  <c r="A1562" i="17" s="1"/>
  <c r="D1562" i="17"/>
  <c r="F1562" i="17"/>
  <c r="G1562" i="17"/>
  <c r="H1562" i="17"/>
  <c r="I1562" i="17"/>
  <c r="J1562" i="17"/>
  <c r="K1562" i="17"/>
  <c r="C1563" i="17"/>
  <c r="A1563" i="17" s="1"/>
  <c r="D1563" i="17"/>
  <c r="F1563" i="17"/>
  <c r="G1563" i="17"/>
  <c r="H1563" i="17"/>
  <c r="I1563" i="17"/>
  <c r="J1563" i="17"/>
  <c r="K1563" i="17"/>
  <c r="C1564" i="17"/>
  <c r="A1564" i="17" s="1"/>
  <c r="D1564" i="17"/>
  <c r="F1564" i="17"/>
  <c r="G1564" i="17"/>
  <c r="H1564" i="17"/>
  <c r="I1564" i="17"/>
  <c r="J1564" i="17"/>
  <c r="K1564" i="17"/>
  <c r="C1565" i="17"/>
  <c r="A1565" i="17" s="1"/>
  <c r="D1565" i="17"/>
  <c r="F1565" i="17"/>
  <c r="G1565" i="17"/>
  <c r="H1565" i="17"/>
  <c r="I1565" i="17"/>
  <c r="J1565" i="17"/>
  <c r="K1565" i="17"/>
  <c r="C1566" i="17"/>
  <c r="A1566" i="17" s="1"/>
  <c r="D1566" i="17"/>
  <c r="F1566" i="17"/>
  <c r="G1566" i="17"/>
  <c r="H1566" i="17"/>
  <c r="I1566" i="17"/>
  <c r="J1566" i="17"/>
  <c r="K1566" i="17"/>
  <c r="C1567" i="17"/>
  <c r="A1567" i="17" s="1"/>
  <c r="D1567" i="17"/>
  <c r="F1567" i="17"/>
  <c r="G1567" i="17"/>
  <c r="H1567" i="17"/>
  <c r="I1567" i="17"/>
  <c r="J1567" i="17"/>
  <c r="K1567" i="17"/>
  <c r="C1568" i="17"/>
  <c r="A1568" i="17" s="1"/>
  <c r="D1568" i="17"/>
  <c r="F1568" i="17"/>
  <c r="G1568" i="17"/>
  <c r="H1568" i="17"/>
  <c r="I1568" i="17"/>
  <c r="J1568" i="17"/>
  <c r="K1568" i="17"/>
  <c r="C1569" i="17"/>
  <c r="A1569" i="17" s="1"/>
  <c r="D1569" i="17"/>
  <c r="F1569" i="17"/>
  <c r="G1569" i="17"/>
  <c r="H1569" i="17"/>
  <c r="I1569" i="17"/>
  <c r="J1569" i="17"/>
  <c r="K1569" i="17"/>
  <c r="C1570" i="17"/>
  <c r="A1570" i="17" s="1"/>
  <c r="D1570" i="17"/>
  <c r="F1570" i="17"/>
  <c r="G1570" i="17"/>
  <c r="H1570" i="17"/>
  <c r="I1570" i="17"/>
  <c r="J1570" i="17"/>
  <c r="K1570" i="17"/>
  <c r="C1571" i="17"/>
  <c r="A1571" i="17" s="1"/>
  <c r="D1571" i="17"/>
  <c r="F1571" i="17"/>
  <c r="G1571" i="17"/>
  <c r="H1571" i="17"/>
  <c r="I1571" i="17"/>
  <c r="J1571" i="17"/>
  <c r="K1571" i="17"/>
  <c r="C1572" i="17"/>
  <c r="D1572" i="17"/>
  <c r="F1572" i="17"/>
  <c r="G1572" i="17"/>
  <c r="H1572" i="17"/>
  <c r="I1572" i="17"/>
  <c r="J1572" i="17"/>
  <c r="K1572" i="17"/>
  <c r="C1573" i="17"/>
  <c r="A1573" i="17" s="1"/>
  <c r="D1573" i="17"/>
  <c r="F1573" i="17"/>
  <c r="G1573" i="17"/>
  <c r="H1573" i="17"/>
  <c r="I1573" i="17"/>
  <c r="J1573" i="17"/>
  <c r="K1573" i="17"/>
  <c r="C1574" i="17"/>
  <c r="A1574" i="17" s="1"/>
  <c r="D1574" i="17"/>
  <c r="F1574" i="17"/>
  <c r="G1574" i="17"/>
  <c r="H1574" i="17"/>
  <c r="I1574" i="17"/>
  <c r="J1574" i="17"/>
  <c r="K1574" i="17"/>
  <c r="C1575" i="17"/>
  <c r="A1575" i="17" s="1"/>
  <c r="D1575" i="17"/>
  <c r="F1575" i="17"/>
  <c r="G1575" i="17"/>
  <c r="H1575" i="17"/>
  <c r="I1575" i="17"/>
  <c r="J1575" i="17"/>
  <c r="K1575" i="17"/>
  <c r="C1576" i="17"/>
  <c r="A1576" i="17" s="1"/>
  <c r="D1576" i="17"/>
  <c r="F1576" i="17"/>
  <c r="G1576" i="17"/>
  <c r="H1576" i="17"/>
  <c r="I1576" i="17"/>
  <c r="J1576" i="17"/>
  <c r="K1576" i="17"/>
  <c r="C1577" i="17"/>
  <c r="A1577" i="17" s="1"/>
  <c r="D1577" i="17"/>
  <c r="F1577" i="17"/>
  <c r="G1577" i="17"/>
  <c r="H1577" i="17"/>
  <c r="I1577" i="17"/>
  <c r="J1577" i="17"/>
  <c r="K1577" i="17"/>
  <c r="C1578" i="17"/>
  <c r="A1578" i="17" s="1"/>
  <c r="D1578" i="17"/>
  <c r="F1578" i="17"/>
  <c r="G1578" i="17"/>
  <c r="H1578" i="17"/>
  <c r="I1578" i="17"/>
  <c r="J1578" i="17"/>
  <c r="K1578" i="17"/>
  <c r="C1579" i="17"/>
  <c r="A1579" i="17" s="1"/>
  <c r="D1579" i="17"/>
  <c r="F1579" i="17"/>
  <c r="G1579" i="17"/>
  <c r="H1579" i="17"/>
  <c r="I1579" i="17"/>
  <c r="J1579" i="17"/>
  <c r="K1579" i="17"/>
  <c r="C1580" i="17"/>
  <c r="A1580" i="17" s="1"/>
  <c r="D1580" i="17"/>
  <c r="F1580" i="17"/>
  <c r="G1580" i="17"/>
  <c r="H1580" i="17"/>
  <c r="I1580" i="17"/>
  <c r="J1580" i="17"/>
  <c r="K1580" i="17"/>
  <c r="C1581" i="17"/>
  <c r="A1581" i="17" s="1"/>
  <c r="D1581" i="17"/>
  <c r="F1581" i="17"/>
  <c r="G1581" i="17"/>
  <c r="H1581" i="17"/>
  <c r="I1581" i="17"/>
  <c r="J1581" i="17"/>
  <c r="K1581" i="17"/>
  <c r="C1582" i="17"/>
  <c r="A1582" i="17" s="1"/>
  <c r="D1582" i="17"/>
  <c r="F1582" i="17"/>
  <c r="G1582" i="17"/>
  <c r="H1582" i="17"/>
  <c r="I1582" i="17"/>
  <c r="J1582" i="17"/>
  <c r="K1582" i="17"/>
  <c r="C1583" i="17"/>
  <c r="A1583" i="17" s="1"/>
  <c r="D1583" i="17"/>
  <c r="F1583" i="17"/>
  <c r="G1583" i="17"/>
  <c r="H1583" i="17"/>
  <c r="I1583" i="17"/>
  <c r="J1583" i="17"/>
  <c r="K1583" i="17"/>
  <c r="C1584" i="17"/>
  <c r="D1584" i="17"/>
  <c r="F1584" i="17"/>
  <c r="G1584" i="17"/>
  <c r="H1584" i="17"/>
  <c r="I1584" i="17"/>
  <c r="J1584" i="17"/>
  <c r="K1584" i="17"/>
  <c r="C1585" i="17"/>
  <c r="A1585" i="17" s="1"/>
  <c r="D1585" i="17"/>
  <c r="F1585" i="17"/>
  <c r="G1585" i="17"/>
  <c r="H1585" i="17"/>
  <c r="I1585" i="17"/>
  <c r="J1585" i="17"/>
  <c r="K1585" i="17"/>
  <c r="C1586" i="17"/>
  <c r="A1586" i="17" s="1"/>
  <c r="D1586" i="17"/>
  <c r="F1586" i="17"/>
  <c r="G1586" i="17"/>
  <c r="H1586" i="17"/>
  <c r="I1586" i="17"/>
  <c r="J1586" i="17"/>
  <c r="K1586" i="17"/>
  <c r="C1587" i="17"/>
  <c r="A1587" i="17" s="1"/>
  <c r="D1587" i="17"/>
  <c r="F1587" i="17"/>
  <c r="G1587" i="17"/>
  <c r="H1587" i="17"/>
  <c r="I1587" i="17"/>
  <c r="J1587" i="17"/>
  <c r="K1587" i="17"/>
  <c r="C1588" i="17"/>
  <c r="A1588" i="17" s="1"/>
  <c r="D1588" i="17"/>
  <c r="F1588" i="17"/>
  <c r="G1588" i="17"/>
  <c r="H1588" i="17"/>
  <c r="I1588" i="17"/>
  <c r="J1588" i="17"/>
  <c r="K1588" i="17"/>
  <c r="C1589" i="17"/>
  <c r="A1589" i="17" s="1"/>
  <c r="D1589" i="17"/>
  <c r="F1589" i="17"/>
  <c r="G1589" i="17"/>
  <c r="H1589" i="17"/>
  <c r="I1589" i="17"/>
  <c r="J1589" i="17"/>
  <c r="K1589" i="17"/>
  <c r="C1590" i="17"/>
  <c r="A1590" i="17" s="1"/>
  <c r="D1590" i="17"/>
  <c r="F1590" i="17"/>
  <c r="G1590" i="17"/>
  <c r="H1590" i="17"/>
  <c r="I1590" i="17"/>
  <c r="J1590" i="17"/>
  <c r="K1590" i="17"/>
  <c r="C1591" i="17"/>
  <c r="A1591" i="17" s="1"/>
  <c r="D1591" i="17"/>
  <c r="F1591" i="17"/>
  <c r="G1591" i="17"/>
  <c r="H1591" i="17"/>
  <c r="I1591" i="17"/>
  <c r="J1591" i="17"/>
  <c r="K1591" i="17"/>
  <c r="C1592" i="17"/>
  <c r="A1592" i="17" s="1"/>
  <c r="D1592" i="17"/>
  <c r="F1592" i="17"/>
  <c r="G1592" i="17"/>
  <c r="H1592" i="17"/>
  <c r="I1592" i="17"/>
  <c r="J1592" i="17"/>
  <c r="K1592" i="17"/>
  <c r="C1593" i="17"/>
  <c r="A1593" i="17" s="1"/>
  <c r="D1593" i="17"/>
  <c r="F1593" i="17"/>
  <c r="G1593" i="17"/>
  <c r="H1593" i="17"/>
  <c r="I1593" i="17"/>
  <c r="J1593" i="17"/>
  <c r="K1593" i="17"/>
  <c r="C1594" i="17"/>
  <c r="A1594" i="17" s="1"/>
  <c r="D1594" i="17"/>
  <c r="F1594" i="17"/>
  <c r="G1594" i="17"/>
  <c r="H1594" i="17"/>
  <c r="I1594" i="17"/>
  <c r="J1594" i="17"/>
  <c r="K1594" i="17"/>
  <c r="C1595" i="17"/>
  <c r="A1595" i="17" s="1"/>
  <c r="D1595" i="17"/>
  <c r="F1595" i="17"/>
  <c r="G1595" i="17"/>
  <c r="H1595" i="17"/>
  <c r="I1595" i="17"/>
  <c r="J1595" i="17"/>
  <c r="K1595" i="17"/>
  <c r="C1596" i="17"/>
  <c r="D1596" i="17"/>
  <c r="F1596" i="17"/>
  <c r="G1596" i="17"/>
  <c r="H1596" i="17"/>
  <c r="I1596" i="17"/>
  <c r="J1596" i="17"/>
  <c r="K1596" i="17"/>
  <c r="C1597" i="17"/>
  <c r="A1597" i="17" s="1"/>
  <c r="D1597" i="17"/>
  <c r="F1597" i="17"/>
  <c r="G1597" i="17"/>
  <c r="H1597" i="17"/>
  <c r="I1597" i="17"/>
  <c r="J1597" i="17"/>
  <c r="K1597" i="17"/>
  <c r="C1598" i="17"/>
  <c r="A1598" i="17" s="1"/>
  <c r="D1598" i="17"/>
  <c r="F1598" i="17"/>
  <c r="G1598" i="17"/>
  <c r="H1598" i="17"/>
  <c r="I1598" i="17"/>
  <c r="J1598" i="17"/>
  <c r="K1598" i="17"/>
  <c r="C1599" i="17"/>
  <c r="A1599" i="17" s="1"/>
  <c r="D1599" i="17"/>
  <c r="F1599" i="17"/>
  <c r="G1599" i="17"/>
  <c r="H1599" i="17"/>
  <c r="I1599" i="17"/>
  <c r="J1599" i="17"/>
  <c r="K1599" i="17"/>
  <c r="C1600" i="17"/>
  <c r="A1600" i="17" s="1"/>
  <c r="D1600" i="17"/>
  <c r="F1600" i="17"/>
  <c r="G1600" i="17"/>
  <c r="H1600" i="17"/>
  <c r="I1600" i="17"/>
  <c r="J1600" i="17"/>
  <c r="K1600" i="17"/>
  <c r="C1601" i="17"/>
  <c r="A1601" i="17" s="1"/>
  <c r="D1601" i="17"/>
  <c r="F1601" i="17"/>
  <c r="G1601" i="17"/>
  <c r="H1601" i="17"/>
  <c r="I1601" i="17"/>
  <c r="J1601" i="17"/>
  <c r="K1601" i="17"/>
  <c r="C1602" i="17"/>
  <c r="A1602" i="17" s="1"/>
  <c r="D1602" i="17"/>
  <c r="F1602" i="17"/>
  <c r="G1602" i="17"/>
  <c r="H1602" i="17"/>
  <c r="I1602" i="17"/>
  <c r="J1602" i="17"/>
  <c r="K1602" i="17"/>
  <c r="C1603" i="17"/>
  <c r="A1603" i="17" s="1"/>
  <c r="D1603" i="17"/>
  <c r="F1603" i="17"/>
  <c r="G1603" i="17"/>
  <c r="H1603" i="17"/>
  <c r="I1603" i="17"/>
  <c r="J1603" i="17"/>
  <c r="K1603" i="17"/>
  <c r="C1604" i="17"/>
  <c r="A1604" i="17" s="1"/>
  <c r="D1604" i="17"/>
  <c r="F1604" i="17"/>
  <c r="G1604" i="17"/>
  <c r="H1604" i="17"/>
  <c r="I1604" i="17"/>
  <c r="J1604" i="17"/>
  <c r="K1604" i="17"/>
  <c r="C1605" i="17"/>
  <c r="A1605" i="17" s="1"/>
  <c r="D1605" i="17"/>
  <c r="F1605" i="17"/>
  <c r="G1605" i="17"/>
  <c r="H1605" i="17"/>
  <c r="I1605" i="17"/>
  <c r="J1605" i="17"/>
  <c r="K1605" i="17"/>
  <c r="C1606" i="17"/>
  <c r="A1606" i="17" s="1"/>
  <c r="D1606" i="17"/>
  <c r="F1606" i="17"/>
  <c r="G1606" i="17"/>
  <c r="H1606" i="17"/>
  <c r="I1606" i="17"/>
  <c r="J1606" i="17"/>
  <c r="K1606" i="17"/>
  <c r="C1607" i="17"/>
  <c r="A1607" i="17" s="1"/>
  <c r="D1607" i="17"/>
  <c r="F1607" i="17"/>
  <c r="G1607" i="17"/>
  <c r="H1607" i="17"/>
  <c r="I1607" i="17"/>
  <c r="J1607" i="17"/>
  <c r="K1607" i="17"/>
  <c r="C1608" i="17"/>
  <c r="D1608" i="17"/>
  <c r="F1608" i="17"/>
  <c r="G1608" i="17"/>
  <c r="H1608" i="17"/>
  <c r="I1608" i="17"/>
  <c r="J1608" i="17"/>
  <c r="K1608" i="17"/>
  <c r="C1609" i="17"/>
  <c r="A1609" i="17" s="1"/>
  <c r="D1609" i="17"/>
  <c r="F1609" i="17"/>
  <c r="G1609" i="17"/>
  <c r="H1609" i="17"/>
  <c r="I1609" i="17"/>
  <c r="J1609" i="17"/>
  <c r="K1609" i="17"/>
  <c r="C1610" i="17"/>
  <c r="A1610" i="17" s="1"/>
  <c r="D1610" i="17"/>
  <c r="F1610" i="17"/>
  <c r="G1610" i="17"/>
  <c r="H1610" i="17"/>
  <c r="I1610" i="17"/>
  <c r="J1610" i="17"/>
  <c r="K1610" i="17"/>
  <c r="C1611" i="17"/>
  <c r="A1611" i="17" s="1"/>
  <c r="D1611" i="17"/>
  <c r="F1611" i="17"/>
  <c r="G1611" i="17"/>
  <c r="H1611" i="17"/>
  <c r="I1611" i="17"/>
  <c r="J1611" i="17"/>
  <c r="K1611" i="17"/>
  <c r="C1612" i="17"/>
  <c r="A1612" i="17" s="1"/>
  <c r="D1612" i="17"/>
  <c r="F1612" i="17"/>
  <c r="G1612" i="17"/>
  <c r="H1612" i="17"/>
  <c r="I1612" i="17"/>
  <c r="J1612" i="17"/>
  <c r="K1612" i="17"/>
  <c r="C1613" i="17"/>
  <c r="A1613" i="17" s="1"/>
  <c r="D1613" i="17"/>
  <c r="F1613" i="17"/>
  <c r="G1613" i="17"/>
  <c r="H1613" i="17"/>
  <c r="I1613" i="17"/>
  <c r="J1613" i="17"/>
  <c r="K1613" i="17"/>
  <c r="C1614" i="17"/>
  <c r="A1614" i="17" s="1"/>
  <c r="D1614" i="17"/>
  <c r="F1614" i="17"/>
  <c r="G1614" i="17"/>
  <c r="H1614" i="17"/>
  <c r="I1614" i="17"/>
  <c r="J1614" i="17"/>
  <c r="K1614" i="17"/>
  <c r="C1615" i="17"/>
  <c r="A1615" i="17" s="1"/>
  <c r="D1615" i="17"/>
  <c r="F1615" i="17"/>
  <c r="G1615" i="17"/>
  <c r="H1615" i="17"/>
  <c r="I1615" i="17"/>
  <c r="J1615" i="17"/>
  <c r="K1615" i="17"/>
  <c r="C1616" i="17"/>
  <c r="A1616" i="17" s="1"/>
  <c r="D1616" i="17"/>
  <c r="F1616" i="17"/>
  <c r="G1616" i="17"/>
  <c r="H1616" i="17"/>
  <c r="I1616" i="17"/>
  <c r="J1616" i="17"/>
  <c r="K1616" i="17"/>
  <c r="C1617" i="17"/>
  <c r="A1617" i="17" s="1"/>
  <c r="D1617" i="17"/>
  <c r="F1617" i="17"/>
  <c r="G1617" i="17"/>
  <c r="H1617" i="17"/>
  <c r="I1617" i="17"/>
  <c r="J1617" i="17"/>
  <c r="K1617" i="17"/>
  <c r="C1618" i="17"/>
  <c r="A1618" i="17" s="1"/>
  <c r="D1618" i="17"/>
  <c r="F1618" i="17"/>
  <c r="G1618" i="17"/>
  <c r="H1618" i="17"/>
  <c r="I1618" i="17"/>
  <c r="J1618" i="17"/>
  <c r="K1618" i="17"/>
  <c r="C1619" i="17"/>
  <c r="A1619" i="17" s="1"/>
  <c r="D1619" i="17"/>
  <c r="F1619" i="17"/>
  <c r="G1619" i="17"/>
  <c r="H1619" i="17"/>
  <c r="I1619" i="17"/>
  <c r="J1619" i="17"/>
  <c r="K1619" i="17"/>
  <c r="C1620" i="17"/>
  <c r="D1620" i="17"/>
  <c r="F1620" i="17"/>
  <c r="G1620" i="17"/>
  <c r="H1620" i="17"/>
  <c r="I1620" i="17"/>
  <c r="J1620" i="17"/>
  <c r="K1620" i="17"/>
  <c r="C1621" i="17"/>
  <c r="A1621" i="17" s="1"/>
  <c r="D1621" i="17"/>
  <c r="F1621" i="17"/>
  <c r="G1621" i="17"/>
  <c r="H1621" i="17"/>
  <c r="I1621" i="17"/>
  <c r="J1621" i="17"/>
  <c r="K1621" i="17"/>
  <c r="C1622" i="17"/>
  <c r="A1622" i="17" s="1"/>
  <c r="D1622" i="17"/>
  <c r="F1622" i="17"/>
  <c r="G1622" i="17"/>
  <c r="H1622" i="17"/>
  <c r="I1622" i="17"/>
  <c r="J1622" i="17"/>
  <c r="K1622" i="17"/>
  <c r="C1623" i="17"/>
  <c r="A1623" i="17" s="1"/>
  <c r="D1623" i="17"/>
  <c r="F1623" i="17"/>
  <c r="G1623" i="17"/>
  <c r="H1623" i="17"/>
  <c r="I1623" i="17"/>
  <c r="J1623" i="17"/>
  <c r="K1623" i="17"/>
  <c r="C1624" i="17"/>
  <c r="A1624" i="17" s="1"/>
  <c r="D1624" i="17"/>
  <c r="F1624" i="17"/>
  <c r="G1624" i="17"/>
  <c r="H1624" i="17"/>
  <c r="I1624" i="17"/>
  <c r="J1624" i="17"/>
  <c r="K1624" i="17"/>
  <c r="C1625" i="17"/>
  <c r="A1625" i="17" s="1"/>
  <c r="D1625" i="17"/>
  <c r="F1625" i="17"/>
  <c r="G1625" i="17"/>
  <c r="H1625" i="17"/>
  <c r="I1625" i="17"/>
  <c r="J1625" i="17"/>
  <c r="K1625" i="17"/>
  <c r="C1626" i="17"/>
  <c r="A1626" i="17" s="1"/>
  <c r="D1626" i="17"/>
  <c r="F1626" i="17"/>
  <c r="G1626" i="17"/>
  <c r="H1626" i="17"/>
  <c r="I1626" i="17"/>
  <c r="J1626" i="17"/>
  <c r="K1626" i="17"/>
  <c r="C1627" i="17"/>
  <c r="A1627" i="17" s="1"/>
  <c r="D1627" i="17"/>
  <c r="F1627" i="17"/>
  <c r="G1627" i="17"/>
  <c r="H1627" i="17"/>
  <c r="I1627" i="17"/>
  <c r="J1627" i="17"/>
  <c r="K1627" i="17"/>
  <c r="C1628" i="17"/>
  <c r="A1628" i="17" s="1"/>
  <c r="D1628" i="17"/>
  <c r="F1628" i="17"/>
  <c r="G1628" i="17"/>
  <c r="H1628" i="17"/>
  <c r="I1628" i="17"/>
  <c r="J1628" i="17"/>
  <c r="K1628" i="17"/>
  <c r="C1629" i="17"/>
  <c r="A1629" i="17" s="1"/>
  <c r="D1629" i="17"/>
  <c r="F1629" i="17"/>
  <c r="G1629" i="17"/>
  <c r="H1629" i="17"/>
  <c r="I1629" i="17"/>
  <c r="J1629" i="17"/>
  <c r="K1629" i="17"/>
  <c r="C1630" i="17"/>
  <c r="A1630" i="17" s="1"/>
  <c r="D1630" i="17"/>
  <c r="F1630" i="17"/>
  <c r="G1630" i="17"/>
  <c r="H1630" i="17"/>
  <c r="I1630" i="17"/>
  <c r="J1630" i="17"/>
  <c r="K1630" i="17"/>
  <c r="C1631" i="17"/>
  <c r="A1631" i="17" s="1"/>
  <c r="D1631" i="17"/>
  <c r="F1631" i="17"/>
  <c r="G1631" i="17"/>
  <c r="H1631" i="17"/>
  <c r="I1631" i="17"/>
  <c r="J1631" i="17"/>
  <c r="K1631" i="17"/>
  <c r="C1632" i="17"/>
  <c r="D1632" i="17"/>
  <c r="F1632" i="17"/>
  <c r="G1632" i="17"/>
  <c r="H1632" i="17"/>
  <c r="I1632" i="17"/>
  <c r="J1632" i="17"/>
  <c r="K1632" i="17"/>
  <c r="C1633" i="17"/>
  <c r="A1633" i="17" s="1"/>
  <c r="D1633" i="17"/>
  <c r="F1633" i="17"/>
  <c r="G1633" i="17"/>
  <c r="H1633" i="17"/>
  <c r="I1633" i="17"/>
  <c r="J1633" i="17"/>
  <c r="K1633" i="17"/>
  <c r="C1634" i="17"/>
  <c r="A1634" i="17" s="1"/>
  <c r="D1634" i="17"/>
  <c r="F1634" i="17"/>
  <c r="G1634" i="17"/>
  <c r="H1634" i="17"/>
  <c r="I1634" i="17"/>
  <c r="J1634" i="17"/>
  <c r="K1634" i="17"/>
  <c r="C1635" i="17"/>
  <c r="A1635" i="17" s="1"/>
  <c r="D1635" i="17"/>
  <c r="F1635" i="17"/>
  <c r="G1635" i="17"/>
  <c r="H1635" i="17"/>
  <c r="I1635" i="17"/>
  <c r="J1635" i="17"/>
  <c r="K1635" i="17"/>
  <c r="C1636" i="17"/>
  <c r="A1636" i="17" s="1"/>
  <c r="D1636" i="17"/>
  <c r="F1636" i="17"/>
  <c r="G1636" i="17"/>
  <c r="H1636" i="17"/>
  <c r="I1636" i="17"/>
  <c r="J1636" i="17"/>
  <c r="K1636" i="17"/>
  <c r="C1637" i="17"/>
  <c r="A1637" i="17" s="1"/>
  <c r="D1637" i="17"/>
  <c r="F1637" i="17"/>
  <c r="G1637" i="17"/>
  <c r="H1637" i="17"/>
  <c r="I1637" i="17"/>
  <c r="J1637" i="17"/>
  <c r="K1637" i="17"/>
  <c r="C1638" i="17"/>
  <c r="A1638" i="17" s="1"/>
  <c r="D1638" i="17"/>
  <c r="F1638" i="17"/>
  <c r="G1638" i="17"/>
  <c r="H1638" i="17"/>
  <c r="I1638" i="17"/>
  <c r="J1638" i="17"/>
  <c r="K1638" i="17"/>
  <c r="C1639" i="17"/>
  <c r="A1639" i="17" s="1"/>
  <c r="D1639" i="17"/>
  <c r="F1639" i="17"/>
  <c r="G1639" i="17"/>
  <c r="H1639" i="17"/>
  <c r="I1639" i="17"/>
  <c r="J1639" i="17"/>
  <c r="K1639" i="17"/>
  <c r="C1640" i="17"/>
  <c r="A1640" i="17" s="1"/>
  <c r="D1640" i="17"/>
  <c r="F1640" i="17"/>
  <c r="G1640" i="17"/>
  <c r="H1640" i="17"/>
  <c r="I1640" i="17"/>
  <c r="J1640" i="17"/>
  <c r="K1640" i="17"/>
  <c r="C1641" i="17"/>
  <c r="A1641" i="17" s="1"/>
  <c r="D1641" i="17"/>
  <c r="F1641" i="17"/>
  <c r="G1641" i="17"/>
  <c r="H1641" i="17"/>
  <c r="I1641" i="17"/>
  <c r="J1641" i="17"/>
  <c r="K1641" i="17"/>
  <c r="C1642" i="17"/>
  <c r="A1642" i="17" s="1"/>
  <c r="D1642" i="17"/>
  <c r="F1642" i="17"/>
  <c r="G1642" i="17"/>
  <c r="H1642" i="17"/>
  <c r="I1642" i="17"/>
  <c r="J1642" i="17"/>
  <c r="K1642" i="17"/>
  <c r="C1643" i="17"/>
  <c r="A1643" i="17" s="1"/>
  <c r="D1643" i="17"/>
  <c r="F1643" i="17"/>
  <c r="G1643" i="17"/>
  <c r="H1643" i="17"/>
  <c r="I1643" i="17"/>
  <c r="J1643" i="17"/>
  <c r="K1643" i="17"/>
  <c r="C1644" i="17"/>
  <c r="D1644" i="17"/>
  <c r="F1644" i="17"/>
  <c r="G1644" i="17"/>
  <c r="H1644" i="17"/>
  <c r="I1644" i="17"/>
  <c r="J1644" i="17"/>
  <c r="K1644" i="17"/>
  <c r="C1645" i="17"/>
  <c r="A1645" i="17" s="1"/>
  <c r="D1645" i="17"/>
  <c r="F1645" i="17"/>
  <c r="G1645" i="17"/>
  <c r="H1645" i="17"/>
  <c r="I1645" i="17"/>
  <c r="J1645" i="17"/>
  <c r="K1645" i="17"/>
  <c r="C1646" i="17"/>
  <c r="A1646" i="17" s="1"/>
  <c r="D1646" i="17"/>
  <c r="F1646" i="17"/>
  <c r="G1646" i="17"/>
  <c r="H1646" i="17"/>
  <c r="I1646" i="17"/>
  <c r="J1646" i="17"/>
  <c r="K1646" i="17"/>
  <c r="C1647" i="17"/>
  <c r="A1647" i="17" s="1"/>
  <c r="D1647" i="17"/>
  <c r="F1647" i="17"/>
  <c r="G1647" i="17"/>
  <c r="H1647" i="17"/>
  <c r="I1647" i="17"/>
  <c r="J1647" i="17"/>
  <c r="K1647" i="17"/>
  <c r="C1648" i="17"/>
  <c r="A1648" i="17" s="1"/>
  <c r="D1648" i="17"/>
  <c r="F1648" i="17"/>
  <c r="G1648" i="17"/>
  <c r="H1648" i="17"/>
  <c r="I1648" i="17"/>
  <c r="J1648" i="17"/>
  <c r="K1648" i="17"/>
  <c r="C1649" i="17"/>
  <c r="A1649" i="17" s="1"/>
  <c r="D1649" i="17"/>
  <c r="F1649" i="17"/>
  <c r="G1649" i="17"/>
  <c r="H1649" i="17"/>
  <c r="I1649" i="17"/>
  <c r="J1649" i="17"/>
  <c r="K1649" i="17"/>
  <c r="C1650" i="17"/>
  <c r="A1650" i="17" s="1"/>
  <c r="D1650" i="17"/>
  <c r="F1650" i="17"/>
  <c r="G1650" i="17"/>
  <c r="H1650" i="17"/>
  <c r="I1650" i="17"/>
  <c r="J1650" i="17"/>
  <c r="K1650" i="17"/>
  <c r="C1651" i="17"/>
  <c r="A1651" i="17" s="1"/>
  <c r="D1651" i="17"/>
  <c r="F1651" i="17"/>
  <c r="G1651" i="17"/>
  <c r="H1651" i="17"/>
  <c r="I1651" i="17"/>
  <c r="J1651" i="17"/>
  <c r="K1651" i="17"/>
  <c r="C1652" i="17"/>
  <c r="A1652" i="17" s="1"/>
  <c r="D1652" i="17"/>
  <c r="F1652" i="17"/>
  <c r="G1652" i="17"/>
  <c r="H1652" i="17"/>
  <c r="I1652" i="17"/>
  <c r="J1652" i="17"/>
  <c r="K1652" i="17"/>
  <c r="C1653" i="17"/>
  <c r="A1653" i="17" s="1"/>
  <c r="D1653" i="17"/>
  <c r="F1653" i="17"/>
  <c r="G1653" i="17"/>
  <c r="H1653" i="17"/>
  <c r="I1653" i="17"/>
  <c r="J1653" i="17"/>
  <c r="K1653" i="17"/>
  <c r="C1654" i="17"/>
  <c r="A1654" i="17" s="1"/>
  <c r="D1654" i="17"/>
  <c r="F1654" i="17"/>
  <c r="G1654" i="17"/>
  <c r="H1654" i="17"/>
  <c r="I1654" i="17"/>
  <c r="J1654" i="17"/>
  <c r="K1654" i="17"/>
  <c r="C1655" i="17"/>
  <c r="A1655" i="17" s="1"/>
  <c r="D1655" i="17"/>
  <c r="F1655" i="17"/>
  <c r="G1655" i="17"/>
  <c r="H1655" i="17"/>
  <c r="I1655" i="17"/>
  <c r="J1655" i="17"/>
  <c r="K1655" i="17"/>
  <c r="C1656" i="17"/>
  <c r="D1656" i="17"/>
  <c r="F1656" i="17"/>
  <c r="G1656" i="17"/>
  <c r="H1656" i="17"/>
  <c r="I1656" i="17"/>
  <c r="J1656" i="17"/>
  <c r="K1656" i="17"/>
  <c r="C1657" i="17"/>
  <c r="A1657" i="17" s="1"/>
  <c r="D1657" i="17"/>
  <c r="F1657" i="17"/>
  <c r="G1657" i="17"/>
  <c r="H1657" i="17"/>
  <c r="I1657" i="17"/>
  <c r="J1657" i="17"/>
  <c r="K1657" i="17"/>
  <c r="C1658" i="17"/>
  <c r="A1658" i="17" s="1"/>
  <c r="D1658" i="17"/>
  <c r="F1658" i="17"/>
  <c r="G1658" i="17"/>
  <c r="H1658" i="17"/>
  <c r="I1658" i="17"/>
  <c r="J1658" i="17"/>
  <c r="K1658" i="17"/>
  <c r="C1659" i="17"/>
  <c r="A1659" i="17" s="1"/>
  <c r="D1659" i="17"/>
  <c r="F1659" i="17"/>
  <c r="G1659" i="17"/>
  <c r="H1659" i="17"/>
  <c r="I1659" i="17"/>
  <c r="J1659" i="17"/>
  <c r="K1659" i="17"/>
  <c r="C1660" i="17"/>
  <c r="A1660" i="17" s="1"/>
  <c r="D1660" i="17"/>
  <c r="F1660" i="17"/>
  <c r="G1660" i="17"/>
  <c r="H1660" i="17"/>
  <c r="I1660" i="17"/>
  <c r="J1660" i="17"/>
  <c r="K1660" i="17"/>
  <c r="C1661" i="17"/>
  <c r="A1661" i="17" s="1"/>
  <c r="D1661" i="17"/>
  <c r="F1661" i="17"/>
  <c r="G1661" i="17"/>
  <c r="H1661" i="17"/>
  <c r="I1661" i="17"/>
  <c r="J1661" i="17"/>
  <c r="K1661" i="17"/>
  <c r="C1662" i="17"/>
  <c r="A1662" i="17" s="1"/>
  <c r="D1662" i="17"/>
  <c r="F1662" i="17"/>
  <c r="G1662" i="17"/>
  <c r="H1662" i="17"/>
  <c r="I1662" i="17"/>
  <c r="J1662" i="17"/>
  <c r="K1662" i="17"/>
  <c r="C1663" i="17"/>
  <c r="A1663" i="17" s="1"/>
  <c r="D1663" i="17"/>
  <c r="F1663" i="17"/>
  <c r="G1663" i="17"/>
  <c r="H1663" i="17"/>
  <c r="I1663" i="17"/>
  <c r="J1663" i="17"/>
  <c r="K1663" i="17"/>
  <c r="C1664" i="17"/>
  <c r="A1664" i="17" s="1"/>
  <c r="D1664" i="17"/>
  <c r="F1664" i="17"/>
  <c r="G1664" i="17"/>
  <c r="H1664" i="17"/>
  <c r="I1664" i="17"/>
  <c r="J1664" i="17"/>
  <c r="K1664" i="17"/>
  <c r="C1665" i="17"/>
  <c r="A1665" i="17" s="1"/>
  <c r="D1665" i="17"/>
  <c r="F1665" i="17"/>
  <c r="G1665" i="17"/>
  <c r="H1665" i="17"/>
  <c r="I1665" i="17"/>
  <c r="J1665" i="17"/>
  <c r="K1665" i="17"/>
  <c r="C1666" i="17"/>
  <c r="A1666" i="17" s="1"/>
  <c r="D1666" i="17"/>
  <c r="F1666" i="17"/>
  <c r="G1666" i="17"/>
  <c r="H1666" i="17"/>
  <c r="I1666" i="17"/>
  <c r="J1666" i="17"/>
  <c r="K1666" i="17"/>
  <c r="C1667" i="17"/>
  <c r="A1667" i="17" s="1"/>
  <c r="D1667" i="17"/>
  <c r="F1667" i="17"/>
  <c r="G1667" i="17"/>
  <c r="H1667" i="17"/>
  <c r="I1667" i="17"/>
  <c r="J1667" i="17"/>
  <c r="K1667" i="17"/>
  <c r="C1668" i="17"/>
  <c r="D1668" i="17"/>
  <c r="F1668" i="17"/>
  <c r="G1668" i="17"/>
  <c r="H1668" i="17"/>
  <c r="I1668" i="17"/>
  <c r="J1668" i="17"/>
  <c r="K1668" i="17"/>
  <c r="C1669" i="17"/>
  <c r="A1669" i="17" s="1"/>
  <c r="D1669" i="17"/>
  <c r="F1669" i="17"/>
  <c r="G1669" i="17"/>
  <c r="H1669" i="17"/>
  <c r="I1669" i="17"/>
  <c r="J1669" i="17"/>
  <c r="K1669" i="17"/>
  <c r="C1670" i="17"/>
  <c r="A1670" i="17" s="1"/>
  <c r="D1670" i="17"/>
  <c r="F1670" i="17"/>
  <c r="G1670" i="17"/>
  <c r="H1670" i="17"/>
  <c r="I1670" i="17"/>
  <c r="J1670" i="17"/>
  <c r="K1670" i="17"/>
  <c r="C1671" i="17"/>
  <c r="A1671" i="17" s="1"/>
  <c r="D1671" i="17"/>
  <c r="F1671" i="17"/>
  <c r="G1671" i="17"/>
  <c r="H1671" i="17"/>
  <c r="I1671" i="17"/>
  <c r="J1671" i="17"/>
  <c r="K1671" i="17"/>
  <c r="C1672" i="17"/>
  <c r="A1672" i="17" s="1"/>
  <c r="D1672" i="17"/>
  <c r="F1672" i="17"/>
  <c r="G1672" i="17"/>
  <c r="H1672" i="17"/>
  <c r="I1672" i="17"/>
  <c r="J1672" i="17"/>
  <c r="K1672" i="17"/>
  <c r="C1673" i="17"/>
  <c r="A1673" i="17" s="1"/>
  <c r="D1673" i="17"/>
  <c r="F1673" i="17"/>
  <c r="G1673" i="17"/>
  <c r="H1673" i="17"/>
  <c r="I1673" i="17"/>
  <c r="J1673" i="17"/>
  <c r="K1673" i="17"/>
  <c r="C1674" i="17"/>
  <c r="A1674" i="17" s="1"/>
  <c r="D1674" i="17"/>
  <c r="F1674" i="17"/>
  <c r="G1674" i="17"/>
  <c r="H1674" i="17"/>
  <c r="I1674" i="17"/>
  <c r="J1674" i="17"/>
  <c r="K1674" i="17"/>
  <c r="C1675" i="17"/>
  <c r="A1675" i="17" s="1"/>
  <c r="D1675" i="17"/>
  <c r="F1675" i="17"/>
  <c r="G1675" i="17"/>
  <c r="H1675" i="17"/>
  <c r="I1675" i="17"/>
  <c r="J1675" i="17"/>
  <c r="K1675" i="17"/>
  <c r="C1676" i="17"/>
  <c r="A1676" i="17" s="1"/>
  <c r="D1676" i="17"/>
  <c r="F1676" i="17"/>
  <c r="G1676" i="17"/>
  <c r="H1676" i="17"/>
  <c r="I1676" i="17"/>
  <c r="J1676" i="17"/>
  <c r="K1676" i="17"/>
  <c r="C1677" i="17"/>
  <c r="A1677" i="17" s="1"/>
  <c r="D1677" i="17"/>
  <c r="F1677" i="17"/>
  <c r="G1677" i="17"/>
  <c r="H1677" i="17"/>
  <c r="I1677" i="17"/>
  <c r="J1677" i="17"/>
  <c r="K1677" i="17"/>
  <c r="C1678" i="17"/>
  <c r="A1678" i="17" s="1"/>
  <c r="D1678" i="17"/>
  <c r="F1678" i="17"/>
  <c r="G1678" i="17"/>
  <c r="H1678" i="17"/>
  <c r="I1678" i="17"/>
  <c r="J1678" i="17"/>
  <c r="K1678" i="17"/>
  <c r="C1679" i="17"/>
  <c r="A1679" i="17" s="1"/>
  <c r="D1679" i="17"/>
  <c r="F1679" i="17"/>
  <c r="G1679" i="17"/>
  <c r="H1679" i="17"/>
  <c r="I1679" i="17"/>
  <c r="J1679" i="17"/>
  <c r="K1679" i="17"/>
  <c r="C1680" i="17"/>
  <c r="D1680" i="17"/>
  <c r="F1680" i="17"/>
  <c r="G1680" i="17"/>
  <c r="H1680" i="17"/>
  <c r="I1680" i="17"/>
  <c r="J1680" i="17"/>
  <c r="K1680" i="17"/>
  <c r="C1681" i="17"/>
  <c r="A1681" i="17" s="1"/>
  <c r="D1681" i="17"/>
  <c r="F1681" i="17"/>
  <c r="G1681" i="17"/>
  <c r="H1681" i="17"/>
  <c r="I1681" i="17"/>
  <c r="J1681" i="17"/>
  <c r="K1681" i="17"/>
  <c r="C1682" i="17"/>
  <c r="A1682" i="17" s="1"/>
  <c r="D1682" i="17"/>
  <c r="F1682" i="17"/>
  <c r="G1682" i="17"/>
  <c r="H1682" i="17"/>
  <c r="I1682" i="17"/>
  <c r="J1682" i="17"/>
  <c r="K1682" i="17"/>
  <c r="C1683" i="17"/>
  <c r="A1683" i="17" s="1"/>
  <c r="D1683" i="17"/>
  <c r="F1683" i="17"/>
  <c r="G1683" i="17"/>
  <c r="H1683" i="17"/>
  <c r="I1683" i="17"/>
  <c r="J1683" i="17"/>
  <c r="K1683" i="17"/>
  <c r="C1684" i="17"/>
  <c r="A1684" i="17" s="1"/>
  <c r="D1684" i="17"/>
  <c r="F1684" i="17"/>
  <c r="G1684" i="17"/>
  <c r="H1684" i="17"/>
  <c r="I1684" i="17"/>
  <c r="J1684" i="17"/>
  <c r="K1684" i="17"/>
  <c r="C1685" i="17"/>
  <c r="A1685" i="17" s="1"/>
  <c r="D1685" i="17"/>
  <c r="F1685" i="17"/>
  <c r="G1685" i="17"/>
  <c r="H1685" i="17"/>
  <c r="I1685" i="17"/>
  <c r="J1685" i="17"/>
  <c r="K1685" i="17"/>
  <c r="C1686" i="17"/>
  <c r="A1686" i="17" s="1"/>
  <c r="D1686" i="17"/>
  <c r="F1686" i="17"/>
  <c r="G1686" i="17"/>
  <c r="H1686" i="17"/>
  <c r="I1686" i="17"/>
  <c r="J1686" i="17"/>
  <c r="K1686" i="17"/>
  <c r="C1687" i="17"/>
  <c r="A1687" i="17" s="1"/>
  <c r="D1687" i="17"/>
  <c r="F1687" i="17"/>
  <c r="G1687" i="17"/>
  <c r="H1687" i="17"/>
  <c r="I1687" i="17"/>
  <c r="J1687" i="17"/>
  <c r="K1687" i="17"/>
  <c r="C1688" i="17"/>
  <c r="A1688" i="17" s="1"/>
  <c r="D1688" i="17"/>
  <c r="F1688" i="17"/>
  <c r="G1688" i="17"/>
  <c r="H1688" i="17"/>
  <c r="I1688" i="17"/>
  <c r="J1688" i="17"/>
  <c r="K1688" i="17"/>
  <c r="C1689" i="17"/>
  <c r="A1689" i="17" s="1"/>
  <c r="D1689" i="17"/>
  <c r="F1689" i="17"/>
  <c r="G1689" i="17"/>
  <c r="H1689" i="17"/>
  <c r="I1689" i="17"/>
  <c r="J1689" i="17"/>
  <c r="K1689" i="17"/>
  <c r="C1690" i="17"/>
  <c r="A1690" i="17" s="1"/>
  <c r="D1690" i="17"/>
  <c r="F1690" i="17"/>
  <c r="G1690" i="17"/>
  <c r="H1690" i="17"/>
  <c r="I1690" i="17"/>
  <c r="J1690" i="17"/>
  <c r="K1690" i="17"/>
  <c r="C1691" i="17"/>
  <c r="A1691" i="17" s="1"/>
  <c r="D1691" i="17"/>
  <c r="F1691" i="17"/>
  <c r="G1691" i="17"/>
  <c r="H1691" i="17"/>
  <c r="I1691" i="17"/>
  <c r="J1691" i="17"/>
  <c r="K1691" i="17"/>
  <c r="C1692" i="17"/>
  <c r="D1692" i="17"/>
  <c r="F1692" i="17"/>
  <c r="G1692" i="17"/>
  <c r="H1692" i="17"/>
  <c r="I1692" i="17"/>
  <c r="J1692" i="17"/>
  <c r="K1692" i="17"/>
  <c r="C1693" i="17"/>
  <c r="A1693" i="17" s="1"/>
  <c r="D1693" i="17"/>
  <c r="F1693" i="17"/>
  <c r="G1693" i="17"/>
  <c r="H1693" i="17"/>
  <c r="I1693" i="17"/>
  <c r="J1693" i="17"/>
  <c r="K1693" i="17"/>
  <c r="C1694" i="17"/>
  <c r="A1694" i="17" s="1"/>
  <c r="D1694" i="17"/>
  <c r="F1694" i="17"/>
  <c r="G1694" i="17"/>
  <c r="H1694" i="17"/>
  <c r="I1694" i="17"/>
  <c r="J1694" i="17"/>
  <c r="K1694" i="17"/>
  <c r="C1695" i="17"/>
  <c r="A1695" i="17" s="1"/>
  <c r="D1695" i="17"/>
  <c r="F1695" i="17"/>
  <c r="G1695" i="17"/>
  <c r="H1695" i="17"/>
  <c r="I1695" i="17"/>
  <c r="J1695" i="17"/>
  <c r="K1695" i="17"/>
  <c r="C1696" i="17"/>
  <c r="A1696" i="17" s="1"/>
  <c r="D1696" i="17"/>
  <c r="F1696" i="17"/>
  <c r="G1696" i="17"/>
  <c r="H1696" i="17"/>
  <c r="I1696" i="17"/>
  <c r="J1696" i="17"/>
  <c r="K1696" i="17"/>
  <c r="C1697" i="17"/>
  <c r="A1697" i="17" s="1"/>
  <c r="D1697" i="17"/>
  <c r="F1697" i="17"/>
  <c r="G1697" i="17"/>
  <c r="H1697" i="17"/>
  <c r="I1697" i="17"/>
  <c r="J1697" i="17"/>
  <c r="K1697" i="17"/>
  <c r="C1698" i="17"/>
  <c r="A1698" i="17" s="1"/>
  <c r="D1698" i="17"/>
  <c r="F1698" i="17"/>
  <c r="G1698" i="17"/>
  <c r="H1698" i="17"/>
  <c r="I1698" i="17"/>
  <c r="J1698" i="17"/>
  <c r="K1698" i="17"/>
  <c r="C1699" i="17"/>
  <c r="A1699" i="17" s="1"/>
  <c r="D1699" i="17"/>
  <c r="F1699" i="17"/>
  <c r="G1699" i="17"/>
  <c r="H1699" i="17"/>
  <c r="I1699" i="17"/>
  <c r="J1699" i="17"/>
  <c r="K1699" i="17"/>
  <c r="C1700" i="17"/>
  <c r="A1700" i="17" s="1"/>
  <c r="D1700" i="17"/>
  <c r="F1700" i="17"/>
  <c r="G1700" i="17"/>
  <c r="H1700" i="17"/>
  <c r="I1700" i="17"/>
  <c r="J1700" i="17"/>
  <c r="K1700" i="17"/>
  <c r="C1701" i="17"/>
  <c r="A1701" i="17" s="1"/>
  <c r="D1701" i="17"/>
  <c r="F1701" i="17"/>
  <c r="G1701" i="17"/>
  <c r="H1701" i="17"/>
  <c r="I1701" i="17"/>
  <c r="J1701" i="17"/>
  <c r="K1701" i="17"/>
  <c r="C1702" i="17"/>
  <c r="A1702" i="17" s="1"/>
  <c r="D1702" i="17"/>
  <c r="F1702" i="17"/>
  <c r="G1702" i="17"/>
  <c r="H1702" i="17"/>
  <c r="I1702" i="17"/>
  <c r="J1702" i="17"/>
  <c r="K1702" i="17"/>
  <c r="C1703" i="17"/>
  <c r="A1703" i="17" s="1"/>
  <c r="D1703" i="17"/>
  <c r="F1703" i="17"/>
  <c r="G1703" i="17"/>
  <c r="H1703" i="17"/>
  <c r="I1703" i="17"/>
  <c r="J1703" i="17"/>
  <c r="K1703" i="17"/>
  <c r="C1704" i="17"/>
  <c r="D1704" i="17"/>
  <c r="F1704" i="17"/>
  <c r="G1704" i="17"/>
  <c r="H1704" i="17"/>
  <c r="I1704" i="17"/>
  <c r="J1704" i="17"/>
  <c r="K1704" i="17"/>
  <c r="C1705" i="17"/>
  <c r="A1705" i="17" s="1"/>
  <c r="D1705" i="17"/>
  <c r="F1705" i="17"/>
  <c r="G1705" i="17"/>
  <c r="H1705" i="17"/>
  <c r="I1705" i="17"/>
  <c r="J1705" i="17"/>
  <c r="K1705" i="17"/>
  <c r="C1706" i="17"/>
  <c r="A1706" i="17" s="1"/>
  <c r="D1706" i="17"/>
  <c r="F1706" i="17"/>
  <c r="G1706" i="17"/>
  <c r="H1706" i="17"/>
  <c r="I1706" i="17"/>
  <c r="J1706" i="17"/>
  <c r="K1706" i="17"/>
  <c r="C1707" i="17"/>
  <c r="A1707" i="17" s="1"/>
  <c r="D1707" i="17"/>
  <c r="F1707" i="17"/>
  <c r="G1707" i="17"/>
  <c r="H1707" i="17"/>
  <c r="I1707" i="17"/>
  <c r="J1707" i="17"/>
  <c r="K1707" i="17"/>
  <c r="C1708" i="17"/>
  <c r="A1708" i="17" s="1"/>
  <c r="D1708" i="17"/>
  <c r="F1708" i="17"/>
  <c r="G1708" i="17"/>
  <c r="H1708" i="17"/>
  <c r="I1708" i="17"/>
  <c r="J1708" i="17"/>
  <c r="K1708" i="17"/>
  <c r="C1709" i="17"/>
  <c r="A1709" i="17" s="1"/>
  <c r="D1709" i="17"/>
  <c r="F1709" i="17"/>
  <c r="G1709" i="17"/>
  <c r="H1709" i="17"/>
  <c r="I1709" i="17"/>
  <c r="J1709" i="17"/>
  <c r="K1709" i="17"/>
  <c r="C1710" i="17"/>
  <c r="A1710" i="17" s="1"/>
  <c r="D1710" i="17"/>
  <c r="F1710" i="17"/>
  <c r="G1710" i="17"/>
  <c r="H1710" i="17"/>
  <c r="I1710" i="17"/>
  <c r="J1710" i="17"/>
  <c r="K1710" i="17"/>
  <c r="C1711" i="17"/>
  <c r="A1711" i="17" s="1"/>
  <c r="D1711" i="17"/>
  <c r="F1711" i="17"/>
  <c r="G1711" i="17"/>
  <c r="H1711" i="17"/>
  <c r="I1711" i="17"/>
  <c r="J1711" i="17"/>
  <c r="K1711" i="17"/>
  <c r="C1712" i="17"/>
  <c r="A1712" i="17" s="1"/>
  <c r="D1712" i="17"/>
  <c r="F1712" i="17"/>
  <c r="G1712" i="17"/>
  <c r="H1712" i="17"/>
  <c r="I1712" i="17"/>
  <c r="J1712" i="17"/>
  <c r="K1712" i="17"/>
  <c r="C1713" i="17"/>
  <c r="A1713" i="17" s="1"/>
  <c r="D1713" i="17"/>
  <c r="F1713" i="17"/>
  <c r="G1713" i="17"/>
  <c r="H1713" i="17"/>
  <c r="I1713" i="17"/>
  <c r="J1713" i="17"/>
  <c r="K1713" i="17"/>
  <c r="C1714" i="17"/>
  <c r="A1714" i="17" s="1"/>
  <c r="D1714" i="17"/>
  <c r="F1714" i="17"/>
  <c r="G1714" i="17"/>
  <c r="H1714" i="17"/>
  <c r="I1714" i="17"/>
  <c r="J1714" i="17"/>
  <c r="K1714" i="17"/>
  <c r="C1715" i="17"/>
  <c r="A1715" i="17" s="1"/>
  <c r="D1715" i="17"/>
  <c r="F1715" i="17"/>
  <c r="G1715" i="17"/>
  <c r="H1715" i="17"/>
  <c r="I1715" i="17"/>
  <c r="J1715" i="17"/>
  <c r="K1715" i="17"/>
  <c r="C1716" i="17"/>
  <c r="D1716" i="17"/>
  <c r="F1716" i="17"/>
  <c r="G1716" i="17"/>
  <c r="H1716" i="17"/>
  <c r="I1716" i="17"/>
  <c r="J1716" i="17"/>
  <c r="K1716" i="17"/>
  <c r="C1717" i="17"/>
  <c r="A1717" i="17" s="1"/>
  <c r="D1717" i="17"/>
  <c r="F1717" i="17"/>
  <c r="G1717" i="17"/>
  <c r="H1717" i="17"/>
  <c r="I1717" i="17"/>
  <c r="J1717" i="17"/>
  <c r="K1717" i="17"/>
  <c r="C1718" i="17"/>
  <c r="A1718" i="17" s="1"/>
  <c r="D1718" i="17"/>
  <c r="F1718" i="17"/>
  <c r="G1718" i="17"/>
  <c r="H1718" i="17"/>
  <c r="I1718" i="17"/>
  <c r="J1718" i="17"/>
  <c r="K1718" i="17"/>
  <c r="C1719" i="17"/>
  <c r="A1719" i="17" s="1"/>
  <c r="D1719" i="17"/>
  <c r="F1719" i="17"/>
  <c r="G1719" i="17"/>
  <c r="H1719" i="17"/>
  <c r="I1719" i="17"/>
  <c r="J1719" i="17"/>
  <c r="K1719" i="17"/>
  <c r="C1720" i="17"/>
  <c r="A1720" i="17" s="1"/>
  <c r="D1720" i="17"/>
  <c r="F1720" i="17"/>
  <c r="G1720" i="17"/>
  <c r="H1720" i="17"/>
  <c r="I1720" i="17"/>
  <c r="J1720" i="17"/>
  <c r="K1720" i="17"/>
  <c r="C1721" i="17"/>
  <c r="A1721" i="17" s="1"/>
  <c r="D1721" i="17"/>
  <c r="F1721" i="17"/>
  <c r="G1721" i="17"/>
  <c r="H1721" i="17"/>
  <c r="I1721" i="17"/>
  <c r="J1721" i="17"/>
  <c r="K1721" i="17"/>
  <c r="C1722" i="17"/>
  <c r="A1722" i="17" s="1"/>
  <c r="D1722" i="17"/>
  <c r="F1722" i="17"/>
  <c r="G1722" i="17"/>
  <c r="H1722" i="17"/>
  <c r="I1722" i="17"/>
  <c r="J1722" i="17"/>
  <c r="K1722" i="17"/>
  <c r="C1723" i="17"/>
  <c r="A1723" i="17" s="1"/>
  <c r="D1723" i="17"/>
  <c r="F1723" i="17"/>
  <c r="G1723" i="17"/>
  <c r="H1723" i="17"/>
  <c r="I1723" i="17"/>
  <c r="J1723" i="17"/>
  <c r="K1723" i="17"/>
  <c r="C1724" i="17"/>
  <c r="A1724" i="17" s="1"/>
  <c r="D1724" i="17"/>
  <c r="F1724" i="17"/>
  <c r="G1724" i="17"/>
  <c r="H1724" i="17"/>
  <c r="I1724" i="17"/>
  <c r="J1724" i="17"/>
  <c r="K1724" i="17"/>
  <c r="C1725" i="17"/>
  <c r="A1725" i="17" s="1"/>
  <c r="D1725" i="17"/>
  <c r="F1725" i="17"/>
  <c r="G1725" i="17"/>
  <c r="H1725" i="17"/>
  <c r="I1725" i="17"/>
  <c r="J1725" i="17"/>
  <c r="K1725" i="17"/>
  <c r="C1726" i="17"/>
  <c r="A1726" i="17" s="1"/>
  <c r="D1726" i="17"/>
  <c r="F1726" i="17"/>
  <c r="G1726" i="17"/>
  <c r="H1726" i="17"/>
  <c r="I1726" i="17"/>
  <c r="J1726" i="17"/>
  <c r="K1726" i="17"/>
  <c r="C1727" i="17"/>
  <c r="A1727" i="17" s="1"/>
  <c r="D1727" i="17"/>
  <c r="F1727" i="17"/>
  <c r="G1727" i="17"/>
  <c r="H1727" i="17"/>
  <c r="I1727" i="17"/>
  <c r="J1727" i="17"/>
  <c r="K1727" i="17"/>
  <c r="C1728" i="17"/>
  <c r="D1728" i="17"/>
  <c r="F1728" i="17"/>
  <c r="G1728" i="17"/>
  <c r="H1728" i="17"/>
  <c r="I1728" i="17"/>
  <c r="J1728" i="17"/>
  <c r="K1728" i="17"/>
  <c r="C1729" i="17"/>
  <c r="A1729" i="17" s="1"/>
  <c r="D1729" i="17"/>
  <c r="F1729" i="17"/>
  <c r="G1729" i="17"/>
  <c r="H1729" i="17"/>
  <c r="I1729" i="17"/>
  <c r="J1729" i="17"/>
  <c r="K1729" i="17"/>
  <c r="C1730" i="17"/>
  <c r="A1730" i="17" s="1"/>
  <c r="D1730" i="17"/>
  <c r="F1730" i="17"/>
  <c r="G1730" i="17"/>
  <c r="H1730" i="17"/>
  <c r="I1730" i="17"/>
  <c r="J1730" i="17"/>
  <c r="K1730" i="17"/>
  <c r="C1731" i="17"/>
  <c r="A1731" i="17" s="1"/>
  <c r="D1731" i="17"/>
  <c r="F1731" i="17"/>
  <c r="G1731" i="17"/>
  <c r="H1731" i="17"/>
  <c r="I1731" i="17"/>
  <c r="J1731" i="17"/>
  <c r="K1731" i="17"/>
  <c r="C1732" i="17"/>
  <c r="A1732" i="17" s="1"/>
  <c r="D1732" i="17"/>
  <c r="F1732" i="17"/>
  <c r="G1732" i="17"/>
  <c r="H1732" i="17"/>
  <c r="I1732" i="17"/>
  <c r="J1732" i="17"/>
  <c r="K1732" i="17"/>
  <c r="C1733" i="17"/>
  <c r="A1733" i="17" s="1"/>
  <c r="D1733" i="17"/>
  <c r="F1733" i="17"/>
  <c r="G1733" i="17"/>
  <c r="H1733" i="17"/>
  <c r="I1733" i="17"/>
  <c r="J1733" i="17"/>
  <c r="K1733" i="17"/>
  <c r="C1734" i="17"/>
  <c r="A1734" i="17" s="1"/>
  <c r="D1734" i="17"/>
  <c r="F1734" i="17"/>
  <c r="G1734" i="17"/>
  <c r="H1734" i="17"/>
  <c r="I1734" i="17"/>
  <c r="J1734" i="17"/>
  <c r="K1734" i="17"/>
  <c r="C1735" i="17"/>
  <c r="A1735" i="17" s="1"/>
  <c r="D1735" i="17"/>
  <c r="F1735" i="17"/>
  <c r="G1735" i="17"/>
  <c r="H1735" i="17"/>
  <c r="I1735" i="17"/>
  <c r="J1735" i="17"/>
  <c r="K1735" i="17"/>
  <c r="J2" i="17"/>
  <c r="I2" i="17"/>
  <c r="H2" i="17"/>
  <c r="K2" i="17"/>
  <c r="F2" i="17"/>
  <c r="G2" i="17"/>
  <c r="D2" i="17"/>
  <c r="C2" i="17"/>
  <c r="A3" i="16"/>
  <c r="B3" i="16"/>
  <c r="C3" i="16"/>
  <c r="D3" i="16"/>
  <c r="A4" i="16"/>
  <c r="B4" i="16"/>
  <c r="C4" i="16"/>
  <c r="D4" i="16"/>
  <c r="A5" i="16"/>
  <c r="B5" i="16"/>
  <c r="C5" i="16"/>
  <c r="D5" i="16"/>
  <c r="A6" i="16"/>
  <c r="B6" i="16"/>
  <c r="C6" i="16"/>
  <c r="D6" i="16"/>
  <c r="A7" i="16"/>
  <c r="B7" i="16"/>
  <c r="C7" i="16"/>
  <c r="D7" i="16"/>
  <c r="A8" i="16"/>
  <c r="B8" i="16"/>
  <c r="C8" i="16"/>
  <c r="D8" i="16"/>
  <c r="A9" i="16"/>
  <c r="B9" i="16"/>
  <c r="C9" i="16"/>
  <c r="D9" i="16"/>
  <c r="A10" i="16"/>
  <c r="B10" i="16"/>
  <c r="C10" i="16"/>
  <c r="D10" i="16"/>
  <c r="A11" i="16"/>
  <c r="B11" i="16"/>
  <c r="C11" i="16"/>
  <c r="D11" i="16"/>
  <c r="A12" i="16"/>
  <c r="B12" i="16"/>
  <c r="C12" i="16"/>
  <c r="D12" i="16"/>
  <c r="A13" i="16"/>
  <c r="B13" i="16"/>
  <c r="C13" i="16"/>
  <c r="D13" i="16"/>
  <c r="A14" i="16"/>
  <c r="B14" i="16"/>
  <c r="C14" i="16"/>
  <c r="D14" i="16"/>
  <c r="A15" i="16"/>
  <c r="B15" i="16"/>
  <c r="C15" i="16"/>
  <c r="D15" i="16"/>
  <c r="A16" i="16"/>
  <c r="B16" i="16"/>
  <c r="C16" i="16"/>
  <c r="D16" i="16"/>
  <c r="A17" i="16"/>
  <c r="B17" i="16"/>
  <c r="C17" i="16"/>
  <c r="D17" i="16"/>
  <c r="A18" i="16"/>
  <c r="B18" i="16"/>
  <c r="C18" i="16"/>
  <c r="D18" i="16"/>
  <c r="A19" i="16"/>
  <c r="B19" i="16"/>
  <c r="C19" i="16"/>
  <c r="D19" i="16"/>
  <c r="A20" i="16"/>
  <c r="B20" i="16"/>
  <c r="C20" i="16"/>
  <c r="D20" i="16"/>
  <c r="A21" i="16"/>
  <c r="B21" i="16"/>
  <c r="C21" i="16"/>
  <c r="D21" i="16"/>
  <c r="A22" i="16"/>
  <c r="B22" i="16"/>
  <c r="C22" i="16"/>
  <c r="D22" i="16"/>
  <c r="A23" i="16"/>
  <c r="B23" i="16"/>
  <c r="C23" i="16"/>
  <c r="D23" i="16"/>
  <c r="A24" i="16"/>
  <c r="B24" i="16"/>
  <c r="C24" i="16"/>
  <c r="D24" i="16"/>
  <c r="A25" i="16"/>
  <c r="B25" i="16"/>
  <c r="C25" i="16"/>
  <c r="D25" i="16"/>
  <c r="A26" i="16"/>
  <c r="B26" i="16"/>
  <c r="C26" i="16"/>
  <c r="D26" i="16"/>
  <c r="A27" i="16"/>
  <c r="B27" i="16"/>
  <c r="C27" i="16"/>
  <c r="D27" i="16"/>
  <c r="A28" i="16"/>
  <c r="B28" i="16"/>
  <c r="C28" i="16"/>
  <c r="D28" i="16"/>
  <c r="A29" i="16"/>
  <c r="B29" i="16"/>
  <c r="C29" i="16"/>
  <c r="D29" i="16"/>
  <c r="A30" i="16"/>
  <c r="B30" i="16"/>
  <c r="C30" i="16"/>
  <c r="D30" i="16"/>
  <c r="A31" i="16"/>
  <c r="B31" i="16"/>
  <c r="C31" i="16"/>
  <c r="D31" i="16"/>
  <c r="A32" i="16"/>
  <c r="B32" i="16"/>
  <c r="C32" i="16"/>
  <c r="D32" i="16"/>
  <c r="A33" i="16"/>
  <c r="B33" i="16"/>
  <c r="C33" i="16"/>
  <c r="D33" i="16"/>
  <c r="A34" i="16"/>
  <c r="B34" i="16"/>
  <c r="C34" i="16"/>
  <c r="D34" i="16"/>
  <c r="A35" i="16"/>
  <c r="B35" i="16"/>
  <c r="C35" i="16"/>
  <c r="D35" i="16"/>
  <c r="A36" i="16"/>
  <c r="B36" i="16"/>
  <c r="C36" i="16"/>
  <c r="D36" i="16"/>
  <c r="A37" i="16"/>
  <c r="B37" i="16"/>
  <c r="C37" i="16"/>
  <c r="D37" i="16"/>
  <c r="A38" i="16"/>
  <c r="B38" i="16"/>
  <c r="C38" i="16"/>
  <c r="D38" i="16"/>
  <c r="A39" i="16"/>
  <c r="B39" i="16"/>
  <c r="C39" i="16"/>
  <c r="D39" i="16"/>
  <c r="A40" i="16"/>
  <c r="B40" i="16"/>
  <c r="C40" i="16"/>
  <c r="D40" i="16"/>
  <c r="A41" i="16"/>
  <c r="B41" i="16"/>
  <c r="C41" i="16"/>
  <c r="D41" i="16"/>
  <c r="A42" i="16"/>
  <c r="B42" i="16"/>
  <c r="C42" i="16"/>
  <c r="D42" i="16"/>
  <c r="A44" i="16"/>
  <c r="B44" i="16"/>
  <c r="C44" i="16"/>
  <c r="D44" i="16"/>
  <c r="A45" i="16"/>
  <c r="B45" i="16"/>
  <c r="C45" i="16"/>
  <c r="D45" i="16"/>
  <c r="A46" i="16"/>
  <c r="B46" i="16"/>
  <c r="C46" i="16"/>
  <c r="D46" i="16"/>
  <c r="A47" i="16"/>
  <c r="B47" i="16"/>
  <c r="C47" i="16"/>
  <c r="D47" i="16"/>
  <c r="A48" i="16"/>
  <c r="B48" i="16"/>
  <c r="C48" i="16"/>
  <c r="D48" i="16"/>
  <c r="A49" i="16"/>
  <c r="B49" i="16"/>
  <c r="C49" i="16"/>
  <c r="D49" i="16"/>
  <c r="A50" i="16"/>
  <c r="B50" i="16"/>
  <c r="C50" i="16"/>
  <c r="D50" i="16"/>
  <c r="A51" i="16"/>
  <c r="B51" i="16"/>
  <c r="C51" i="16"/>
  <c r="D51" i="16"/>
  <c r="A52" i="16"/>
  <c r="B52" i="16"/>
  <c r="C52" i="16"/>
  <c r="D52" i="16"/>
  <c r="A53" i="16"/>
  <c r="B53" i="16"/>
  <c r="C53" i="16"/>
  <c r="D53" i="16"/>
  <c r="A54" i="16"/>
  <c r="B54" i="16"/>
  <c r="C54" i="16"/>
  <c r="D54" i="16"/>
  <c r="A55" i="16"/>
  <c r="B55" i="16"/>
  <c r="C55" i="16"/>
  <c r="D55" i="16"/>
  <c r="A56" i="16"/>
  <c r="B56" i="16"/>
  <c r="C56" i="16"/>
  <c r="D56" i="16"/>
  <c r="A57" i="16"/>
  <c r="B57" i="16"/>
  <c r="C57" i="16"/>
  <c r="D57" i="16"/>
  <c r="A58" i="16"/>
  <c r="B58" i="16"/>
  <c r="C58" i="16"/>
  <c r="D58" i="16"/>
  <c r="A59" i="16"/>
  <c r="B59" i="16"/>
  <c r="C59" i="16"/>
  <c r="D59" i="16"/>
  <c r="A60" i="16"/>
  <c r="B60" i="16"/>
  <c r="C60" i="16"/>
  <c r="D60" i="16"/>
  <c r="A61" i="16"/>
  <c r="B61" i="16"/>
  <c r="C61" i="16"/>
  <c r="D61" i="16"/>
  <c r="A62" i="16"/>
  <c r="B62" i="16"/>
  <c r="C62" i="16"/>
  <c r="D62" i="16"/>
  <c r="A63" i="16"/>
  <c r="B63" i="16"/>
  <c r="C63" i="16"/>
  <c r="D63" i="16"/>
  <c r="A64" i="16"/>
  <c r="B64" i="16"/>
  <c r="C64" i="16"/>
  <c r="D64" i="16"/>
  <c r="A65" i="16"/>
  <c r="B65" i="16"/>
  <c r="C65" i="16"/>
  <c r="D65" i="16"/>
  <c r="A66" i="16"/>
  <c r="B66" i="16"/>
  <c r="C66" i="16"/>
  <c r="D66" i="16"/>
  <c r="A67" i="16"/>
  <c r="B67" i="16"/>
  <c r="C67" i="16"/>
  <c r="D67" i="16"/>
  <c r="A68" i="16"/>
  <c r="B68" i="16"/>
  <c r="C68" i="16"/>
  <c r="D68" i="16"/>
  <c r="A69" i="16"/>
  <c r="B69" i="16"/>
  <c r="C69" i="16"/>
  <c r="D69" i="16"/>
  <c r="A70" i="16"/>
  <c r="B70" i="16"/>
  <c r="C70" i="16"/>
  <c r="D70" i="16"/>
  <c r="A71" i="16"/>
  <c r="B71" i="16"/>
  <c r="C71" i="16"/>
  <c r="D71" i="16"/>
  <c r="A72" i="16"/>
  <c r="B72" i="16"/>
  <c r="C72" i="16"/>
  <c r="D72" i="16"/>
  <c r="A73" i="16"/>
  <c r="B73" i="16"/>
  <c r="C73" i="16"/>
  <c r="D73" i="16"/>
  <c r="A74" i="16"/>
  <c r="B74" i="16"/>
  <c r="C74" i="16"/>
  <c r="D74" i="16"/>
  <c r="A75" i="16"/>
  <c r="B75" i="16"/>
  <c r="C75" i="16"/>
  <c r="D75" i="16"/>
  <c r="A76" i="16"/>
  <c r="B76" i="16"/>
  <c r="C76" i="16"/>
  <c r="D76" i="16"/>
  <c r="A77" i="16"/>
  <c r="B77" i="16"/>
  <c r="C77" i="16"/>
  <c r="D77" i="16"/>
  <c r="A78" i="16"/>
  <c r="B78" i="16"/>
  <c r="C78" i="16"/>
  <c r="D78" i="16"/>
  <c r="A79" i="16"/>
  <c r="B79" i="16"/>
  <c r="C79" i="16"/>
  <c r="D79" i="16"/>
  <c r="A80" i="16"/>
  <c r="B80" i="16"/>
  <c r="C80" i="16"/>
  <c r="D80" i="16"/>
  <c r="A81" i="16"/>
  <c r="B81" i="16"/>
  <c r="C81" i="16"/>
  <c r="D81" i="16"/>
  <c r="A82" i="16"/>
  <c r="B82" i="16"/>
  <c r="C82" i="16"/>
  <c r="D82" i="16"/>
  <c r="A83" i="16"/>
  <c r="B83" i="16"/>
  <c r="C83" i="16"/>
  <c r="D83" i="16"/>
  <c r="A84" i="16"/>
  <c r="B84" i="16"/>
  <c r="C84" i="16"/>
  <c r="D84" i="16"/>
  <c r="A85" i="16"/>
  <c r="B85" i="16"/>
  <c r="C85" i="16"/>
  <c r="D85" i="16"/>
  <c r="A86" i="16"/>
  <c r="B86" i="16"/>
  <c r="C86" i="16"/>
  <c r="D86" i="16"/>
  <c r="A87" i="16"/>
  <c r="B87" i="16"/>
  <c r="C87" i="16"/>
  <c r="D87" i="16"/>
  <c r="A88" i="16"/>
  <c r="B88" i="16"/>
  <c r="C88" i="16"/>
  <c r="D88" i="16"/>
  <c r="A89" i="16"/>
  <c r="B89" i="16"/>
  <c r="C89" i="16"/>
  <c r="D89" i="16"/>
  <c r="A90" i="16"/>
  <c r="B90" i="16"/>
  <c r="C90" i="16"/>
  <c r="D90" i="16"/>
  <c r="A91" i="16"/>
  <c r="B91" i="16"/>
  <c r="C91" i="16"/>
  <c r="D91" i="16"/>
  <c r="A92" i="16"/>
  <c r="B92" i="16"/>
  <c r="C92" i="16"/>
  <c r="D92" i="16"/>
  <c r="A93" i="16"/>
  <c r="B93" i="16"/>
  <c r="C93" i="16"/>
  <c r="D93" i="16"/>
  <c r="A94" i="16"/>
  <c r="B94" i="16"/>
  <c r="C94" i="16"/>
  <c r="D94" i="16"/>
  <c r="A95" i="16"/>
  <c r="B95" i="16"/>
  <c r="C95" i="16"/>
  <c r="D95" i="16"/>
  <c r="A96" i="16"/>
  <c r="B96" i="16"/>
  <c r="C96" i="16"/>
  <c r="D96" i="16"/>
  <c r="A97" i="16"/>
  <c r="B97" i="16"/>
  <c r="C97" i="16"/>
  <c r="D97" i="16"/>
  <c r="A98" i="16"/>
  <c r="B98" i="16"/>
  <c r="C98" i="16"/>
  <c r="D98" i="16"/>
  <c r="A99" i="16"/>
  <c r="B99" i="16"/>
  <c r="C99" i="16"/>
  <c r="D99" i="16"/>
  <c r="A100" i="16"/>
  <c r="B100" i="16"/>
  <c r="C100" i="16"/>
  <c r="D100" i="16"/>
  <c r="A101" i="16"/>
  <c r="B101" i="16"/>
  <c r="C101" i="16"/>
  <c r="D101" i="16"/>
  <c r="A102" i="16"/>
  <c r="B102" i="16"/>
  <c r="C102" i="16"/>
  <c r="D102" i="16"/>
  <c r="A103" i="16"/>
  <c r="B103" i="16"/>
  <c r="C103" i="16"/>
  <c r="D103" i="16"/>
  <c r="A104" i="16"/>
  <c r="B104" i="16"/>
  <c r="C104" i="16"/>
  <c r="D104" i="16"/>
  <c r="A105" i="16"/>
  <c r="B105" i="16"/>
  <c r="C105" i="16"/>
  <c r="D105" i="16"/>
  <c r="A106" i="16"/>
  <c r="B106" i="16"/>
  <c r="C106" i="16"/>
  <c r="D106" i="16"/>
  <c r="A107" i="16"/>
  <c r="B107" i="16"/>
  <c r="C107" i="16"/>
  <c r="D107" i="16"/>
  <c r="A108" i="16"/>
  <c r="B108" i="16"/>
  <c r="C108" i="16"/>
  <c r="D108" i="16"/>
  <c r="A109" i="16"/>
  <c r="B109" i="16"/>
  <c r="C109" i="16"/>
  <c r="D109" i="16"/>
  <c r="A110" i="16"/>
  <c r="B110" i="16"/>
  <c r="C110" i="16"/>
  <c r="D110" i="16"/>
  <c r="A111" i="16"/>
  <c r="B111" i="16"/>
  <c r="C111" i="16"/>
  <c r="D111" i="16"/>
  <c r="A112" i="16"/>
  <c r="B112" i="16"/>
  <c r="C112" i="16"/>
  <c r="D112" i="16"/>
  <c r="A113" i="16"/>
  <c r="B113" i="16"/>
  <c r="C113" i="16"/>
  <c r="D113" i="16"/>
  <c r="A114" i="16"/>
  <c r="B114" i="16"/>
  <c r="C114" i="16"/>
  <c r="D114" i="16"/>
  <c r="A115" i="16"/>
  <c r="B115" i="16"/>
  <c r="C115" i="16"/>
  <c r="D115" i="16"/>
  <c r="A116" i="16"/>
  <c r="B116" i="16"/>
  <c r="C116" i="16"/>
  <c r="D116" i="16"/>
  <c r="A117" i="16"/>
  <c r="B117" i="16"/>
  <c r="C117" i="16"/>
  <c r="D117" i="16"/>
  <c r="A118" i="16"/>
  <c r="B118" i="16"/>
  <c r="C118" i="16"/>
  <c r="D118" i="16"/>
  <c r="A119" i="16"/>
  <c r="B119" i="16"/>
  <c r="C119" i="16"/>
  <c r="D119" i="16"/>
  <c r="A120" i="16"/>
  <c r="B120" i="16"/>
  <c r="C120" i="16"/>
  <c r="D120" i="16"/>
  <c r="A121" i="16"/>
  <c r="B121" i="16"/>
  <c r="C121" i="16"/>
  <c r="D121" i="16"/>
  <c r="A122" i="16"/>
  <c r="B122" i="16"/>
  <c r="C122" i="16"/>
  <c r="D122" i="16"/>
  <c r="A123" i="16"/>
  <c r="B123" i="16"/>
  <c r="C123" i="16"/>
  <c r="D123" i="16"/>
  <c r="A124" i="16"/>
  <c r="B124" i="16"/>
  <c r="C124" i="16"/>
  <c r="D124" i="16"/>
  <c r="A125" i="16"/>
  <c r="B125" i="16"/>
  <c r="C125" i="16"/>
  <c r="D125" i="16"/>
  <c r="A126" i="16"/>
  <c r="B126" i="16"/>
  <c r="C126" i="16"/>
  <c r="D126" i="16"/>
  <c r="A127" i="16"/>
  <c r="B127" i="16"/>
  <c r="C127" i="16"/>
  <c r="D127" i="16"/>
  <c r="A128" i="16"/>
  <c r="B128" i="16"/>
  <c r="C128" i="16"/>
  <c r="D128" i="16"/>
  <c r="A129" i="16"/>
  <c r="B129" i="16"/>
  <c r="C129" i="16"/>
  <c r="D129" i="16"/>
  <c r="A130" i="16"/>
  <c r="B130" i="16"/>
  <c r="C130" i="16"/>
  <c r="D130" i="16"/>
  <c r="A131" i="16"/>
  <c r="B131" i="16"/>
  <c r="C131" i="16"/>
  <c r="D131" i="16"/>
  <c r="A132" i="16"/>
  <c r="B132" i="16"/>
  <c r="C132" i="16"/>
  <c r="D132" i="16"/>
  <c r="A133" i="16"/>
  <c r="B133" i="16"/>
  <c r="C133" i="16"/>
  <c r="D133" i="16"/>
  <c r="A134" i="16"/>
  <c r="B134" i="16"/>
  <c r="C134" i="16"/>
  <c r="D134" i="16"/>
  <c r="A135" i="16"/>
  <c r="B135" i="16"/>
  <c r="C135" i="16"/>
  <c r="D135" i="16"/>
  <c r="A136" i="16"/>
  <c r="B136" i="16"/>
  <c r="C136" i="16"/>
  <c r="D136" i="16"/>
  <c r="A137" i="16"/>
  <c r="B137" i="16"/>
  <c r="C137" i="16"/>
  <c r="D137" i="16"/>
  <c r="A138" i="16"/>
  <c r="B138" i="16"/>
  <c r="C138" i="16"/>
  <c r="D138" i="16"/>
  <c r="A139" i="16"/>
  <c r="B139" i="16"/>
  <c r="C139" i="16"/>
  <c r="D139" i="16"/>
  <c r="A140" i="16"/>
  <c r="B140" i="16"/>
  <c r="C140" i="16"/>
  <c r="D140" i="16"/>
  <c r="A141" i="16"/>
  <c r="B141" i="16"/>
  <c r="C141" i="16"/>
  <c r="D141" i="16"/>
  <c r="A142" i="16"/>
  <c r="B142" i="16"/>
  <c r="C142" i="16"/>
  <c r="D142" i="16"/>
  <c r="A143" i="16"/>
  <c r="B143" i="16"/>
  <c r="C143" i="16"/>
  <c r="D143" i="16"/>
  <c r="A144" i="16"/>
  <c r="B144" i="16"/>
  <c r="C144" i="16"/>
  <c r="D144" i="16"/>
  <c r="A145" i="16"/>
  <c r="B145" i="16"/>
  <c r="C145" i="16"/>
  <c r="D145" i="16"/>
  <c r="A146" i="16"/>
  <c r="B146" i="16"/>
  <c r="C146" i="16"/>
  <c r="D146" i="16"/>
  <c r="A147" i="16"/>
  <c r="B147" i="16"/>
  <c r="C147" i="16"/>
  <c r="D147" i="16"/>
  <c r="A148" i="16"/>
  <c r="B148" i="16"/>
  <c r="C148" i="16"/>
  <c r="D148" i="16"/>
  <c r="A149" i="16"/>
  <c r="B149" i="16"/>
  <c r="C149" i="16"/>
  <c r="D149" i="16"/>
  <c r="A150" i="16"/>
  <c r="B150" i="16"/>
  <c r="C150" i="16"/>
  <c r="D150" i="16"/>
  <c r="B2" i="16"/>
  <c r="C2" i="16"/>
  <c r="D2" i="16"/>
  <c r="A2" i="16"/>
  <c r="AC27" i="20"/>
  <c r="AC28" i="20"/>
  <c r="AC29" i="20"/>
  <c r="AC30" i="20"/>
  <c r="AC31" i="20"/>
  <c r="AC32" i="20"/>
  <c r="AC33" i="20"/>
  <c r="AC34" i="20"/>
  <c r="AB48" i="20"/>
  <c r="AC48" i="20"/>
  <c r="AB49" i="20"/>
  <c r="AC49" i="20"/>
  <c r="AB50" i="20"/>
  <c r="AC50" i="20"/>
  <c r="AB51" i="20"/>
  <c r="AC51" i="20"/>
  <c r="F31" i="20"/>
  <c r="G31" i="20"/>
  <c r="H31" i="20"/>
  <c r="F32" i="20"/>
  <c r="G32" i="20"/>
  <c r="H32" i="20"/>
  <c r="F33" i="20"/>
  <c r="G33" i="20"/>
  <c r="H33" i="20"/>
  <c r="F34" i="20"/>
  <c r="G34" i="20"/>
  <c r="H34" i="20"/>
  <c r="F28" i="20"/>
  <c r="G28" i="20"/>
  <c r="H28" i="20"/>
  <c r="F29" i="20"/>
  <c r="G29" i="20"/>
  <c r="H29" i="20"/>
  <c r="F30" i="20"/>
  <c r="G30" i="20"/>
  <c r="H30" i="20"/>
  <c r="P39" i="20" l="1"/>
  <c r="Q39" i="20" s="1"/>
  <c r="T39" i="20" s="1"/>
  <c r="R39" i="20"/>
  <c r="P33" i="20"/>
  <c r="Q33" i="20" s="1"/>
  <c r="T33" i="20" s="1"/>
  <c r="R33" i="20"/>
  <c r="R27" i="20"/>
  <c r="P27" i="20"/>
  <c r="Q27" i="20" s="1"/>
  <c r="T27" i="20" s="1"/>
  <c r="Q21" i="20"/>
  <c r="T21" i="20" s="1"/>
  <c r="R21" i="20"/>
  <c r="P21" i="20"/>
  <c r="R15" i="20"/>
  <c r="P15" i="20"/>
  <c r="Q15" i="20" s="1"/>
  <c r="T15" i="20" s="1"/>
  <c r="A1728" i="17"/>
  <c r="A1716" i="17"/>
  <c r="A1704" i="17"/>
  <c r="A1692" i="17"/>
  <c r="A1680" i="17"/>
  <c r="A1668" i="17"/>
  <c r="A1656" i="17"/>
  <c r="A1644" i="17"/>
  <c r="A1632" i="17"/>
  <c r="A1620" i="17"/>
  <c r="A1608" i="17"/>
  <c r="A1596" i="17"/>
  <c r="A1584" i="17"/>
  <c r="A1572" i="17"/>
  <c r="A1560" i="17"/>
  <c r="A1548" i="17"/>
  <c r="A1536" i="17"/>
  <c r="A1524" i="17"/>
  <c r="A1512" i="17"/>
  <c r="Q38" i="20"/>
  <c r="T38" i="20" s="1"/>
  <c r="R38" i="20"/>
  <c r="P38" i="20"/>
  <c r="R32" i="20"/>
  <c r="P32" i="20"/>
  <c r="Q32" i="20" s="1"/>
  <c r="T32" i="20" s="1"/>
  <c r="R26" i="20"/>
  <c r="P26" i="20"/>
  <c r="Q26" i="20" s="1"/>
  <c r="T26" i="20" s="1"/>
  <c r="Q20" i="20"/>
  <c r="T20" i="20" s="1"/>
  <c r="R20" i="20"/>
  <c r="P20" i="20"/>
  <c r="Q14" i="20"/>
  <c r="T14" i="20" s="1"/>
  <c r="R14" i="20"/>
  <c r="P14" i="20"/>
  <c r="R37" i="20"/>
  <c r="Q37" i="20"/>
  <c r="T37" i="20" s="1"/>
  <c r="P37" i="20"/>
  <c r="R31" i="20"/>
  <c r="P31" i="20"/>
  <c r="Q31" i="20" s="1"/>
  <c r="T31" i="20" s="1"/>
  <c r="P25" i="20"/>
  <c r="Q25" i="20" s="1"/>
  <c r="T25" i="20" s="1"/>
  <c r="R25" i="20"/>
  <c r="P19" i="20"/>
  <c r="Q19" i="20" s="1"/>
  <c r="T19" i="20" s="1"/>
  <c r="R19" i="20"/>
  <c r="Q13" i="20"/>
  <c r="T13" i="20" s="1"/>
  <c r="R13" i="20"/>
  <c r="P13" i="20"/>
  <c r="A1500" i="17"/>
  <c r="A1488" i="17"/>
  <c r="A1476" i="17"/>
  <c r="A1464" i="17"/>
  <c r="A1452" i="17"/>
  <c r="A1440" i="17"/>
  <c r="A1428" i="17"/>
  <c r="A1416" i="17"/>
  <c r="A1404" i="17"/>
  <c r="A1392" i="17"/>
  <c r="A1380" i="17"/>
  <c r="A1368" i="17"/>
  <c r="A1356" i="17"/>
  <c r="A1344" i="17"/>
  <c r="A1332" i="17"/>
  <c r="A1320" i="17"/>
  <c r="A1308" i="17"/>
  <c r="A1296" i="17"/>
  <c r="A1284" i="17"/>
  <c r="A1272" i="17"/>
  <c r="A1260" i="17"/>
  <c r="A1248" i="17"/>
  <c r="A1236" i="17"/>
  <c r="A1224" i="17"/>
  <c r="A1212" i="17"/>
  <c r="A1200" i="17"/>
  <c r="A1188" i="17"/>
  <c r="A1176" i="17"/>
  <c r="A1164" i="17"/>
  <c r="A1152" i="17"/>
  <c r="A1140" i="17"/>
  <c r="A1128" i="17"/>
  <c r="A1116" i="17"/>
  <c r="A1104" i="17"/>
  <c r="A1092" i="17"/>
  <c r="A1080" i="17"/>
  <c r="A1068" i="17"/>
  <c r="A1056" i="17"/>
  <c r="A1044" i="17"/>
  <c r="A1032" i="17"/>
  <c r="R36" i="20"/>
  <c r="P36" i="20"/>
  <c r="Q36" i="20" s="1"/>
  <c r="T36" i="20" s="1"/>
  <c r="P30" i="20"/>
  <c r="Q30" i="20"/>
  <c r="T30" i="20" s="1"/>
  <c r="R30" i="20"/>
  <c r="P24" i="20"/>
  <c r="Q24" i="20" s="1"/>
  <c r="T24" i="20" s="1"/>
  <c r="R24" i="20"/>
  <c r="R18" i="20"/>
  <c r="P18" i="20"/>
  <c r="Q18" i="20"/>
  <c r="T18" i="20" s="1"/>
  <c r="R35" i="20"/>
  <c r="P35" i="20"/>
  <c r="Q35" i="20"/>
  <c r="T35" i="20" s="1"/>
  <c r="P29" i="20"/>
  <c r="R29" i="20"/>
  <c r="Q29" i="20"/>
  <c r="T29" i="20" s="1"/>
  <c r="Q23" i="20"/>
  <c r="T23" i="20" s="1"/>
  <c r="R23" i="20"/>
  <c r="P23" i="20"/>
  <c r="P17" i="20"/>
  <c r="Q17" i="20"/>
  <c r="T17" i="20" s="1"/>
  <c r="R17" i="20"/>
  <c r="R40" i="20"/>
  <c r="P40" i="20"/>
  <c r="Q40" i="20"/>
  <c r="T40" i="20" s="1"/>
  <c r="P34" i="20"/>
  <c r="Q34" i="20"/>
  <c r="T34" i="20" s="1"/>
  <c r="R34" i="20"/>
  <c r="Q28" i="20"/>
  <c r="T28" i="20" s="1"/>
  <c r="R28" i="20"/>
  <c r="P28" i="20"/>
  <c r="P22" i="20"/>
  <c r="Q22" i="20"/>
  <c r="T22" i="20" s="1"/>
  <c r="R22" i="20"/>
  <c r="R16" i="20"/>
  <c r="P16" i="20"/>
  <c r="Q16" i="20" s="1"/>
  <c r="T16" i="20" s="1"/>
  <c r="C66" i="8"/>
  <c r="A66" i="8" s="1"/>
  <c r="H65" i="8"/>
  <c r="G65" i="8"/>
  <c r="I65" i="8" s="1"/>
  <c r="P12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9" i="20"/>
  <c r="A1028" i="29"/>
  <c r="A1027" i="29"/>
  <c r="A1026" i="29"/>
  <c r="A1025" i="29"/>
  <c r="A1024" i="29"/>
  <c r="A1023" i="29"/>
  <c r="A1022" i="29"/>
  <c r="A1021" i="29"/>
  <c r="A1020" i="29"/>
  <c r="A1019" i="29"/>
  <c r="A1018" i="29"/>
  <c r="A1017" i="29"/>
  <c r="A1016" i="29"/>
  <c r="A1015" i="29"/>
  <c r="A1014" i="29"/>
  <c r="A1013" i="29"/>
  <c r="A1012" i="29"/>
  <c r="A1011" i="29"/>
  <c r="A1010" i="29"/>
  <c r="A1009" i="29"/>
  <c r="A1008" i="29"/>
  <c r="A1007" i="29"/>
  <c r="A1006" i="29"/>
  <c r="A1005" i="29"/>
  <c r="A1004" i="29"/>
  <c r="A1003" i="29"/>
  <c r="A1002" i="29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977" i="29"/>
  <c r="A976" i="29"/>
  <c r="A975" i="29"/>
  <c r="A974" i="29"/>
  <c r="A973" i="29"/>
  <c r="A972" i="29"/>
  <c r="A971" i="29"/>
  <c r="A970" i="29"/>
  <c r="A969" i="29"/>
  <c r="A968" i="29"/>
  <c r="A967" i="29"/>
  <c r="A966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914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A856" i="29"/>
  <c r="A855" i="29"/>
  <c r="A854" i="29"/>
  <c r="A853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837" i="29"/>
  <c r="A836" i="29"/>
  <c r="A835" i="29"/>
  <c r="A834" i="29"/>
  <c r="A833" i="29"/>
  <c r="A832" i="29"/>
  <c r="A831" i="29"/>
  <c r="A830" i="29"/>
  <c r="A829" i="29"/>
  <c r="A828" i="29"/>
  <c r="A827" i="29"/>
  <c r="A826" i="29"/>
  <c r="A825" i="29"/>
  <c r="A824" i="29"/>
  <c r="A823" i="29"/>
  <c r="A822" i="29"/>
  <c r="A821" i="29"/>
  <c r="A820" i="29"/>
  <c r="A819" i="29"/>
  <c r="A818" i="29"/>
  <c r="A817" i="29"/>
  <c r="A816" i="29"/>
  <c r="A815" i="29"/>
  <c r="A814" i="29"/>
  <c r="A813" i="29"/>
  <c r="A812" i="29"/>
  <c r="A811" i="29"/>
  <c r="A810" i="29"/>
  <c r="A809" i="29"/>
  <c r="A808" i="29"/>
  <c r="A807" i="29"/>
  <c r="A806" i="29"/>
  <c r="A805" i="29"/>
  <c r="A804" i="29"/>
  <c r="A803" i="29"/>
  <c r="A802" i="29"/>
  <c r="A801" i="29"/>
  <c r="A800" i="29"/>
  <c r="A799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J65" i="8" l="1"/>
  <c r="G35" i="13"/>
  <c r="K35" i="13" s="1"/>
  <c r="J35" i="13" l="1"/>
  <c r="M195" i="11"/>
  <c r="H195" i="11"/>
  <c r="F131" i="8" l="1"/>
  <c r="A131" i="8"/>
  <c r="C220" i="8"/>
  <c r="A220" i="8" s="1"/>
  <c r="F220" i="8"/>
  <c r="H220" i="8"/>
  <c r="J220" i="8"/>
  <c r="B2" i="13" l="1"/>
  <c r="C2" i="8"/>
  <c r="F2" i="11"/>
  <c r="C246" i="8" l="1"/>
  <c r="A246" i="8" s="1"/>
  <c r="C245" i="8"/>
  <c r="A245" i="8" s="1"/>
  <c r="A243" i="8"/>
  <c r="A241" i="8"/>
  <c r="C239" i="8"/>
  <c r="A239" i="8" s="1"/>
  <c r="J238" i="8"/>
  <c r="H238" i="8"/>
  <c r="F238" i="8"/>
  <c r="C238" i="8"/>
  <c r="A238" i="8" s="1"/>
  <c r="C237" i="8"/>
  <c r="A237" i="8" s="1"/>
  <c r="C236" i="8"/>
  <c r="A236" i="8" s="1"/>
  <c r="A234" i="8"/>
  <c r="A232" i="8"/>
  <c r="C230" i="8"/>
  <c r="A230" i="8" s="1"/>
  <c r="J229" i="8"/>
  <c r="H229" i="8"/>
  <c r="F229" i="8"/>
  <c r="C229" i="8"/>
  <c r="A229" i="8" s="1"/>
  <c r="AB39" i="20"/>
  <c r="AB40" i="20"/>
  <c r="AB41" i="20"/>
  <c r="AB42" i="20"/>
  <c r="AB43" i="20"/>
  <c r="AB44" i="20"/>
  <c r="AB45" i="20"/>
  <c r="AB46" i="20"/>
  <c r="AB47" i="20"/>
  <c r="AC38" i="20"/>
  <c r="AB38" i="20"/>
  <c r="C228" i="8"/>
  <c r="A228" i="8" s="1"/>
  <c r="C227" i="8"/>
  <c r="A227" i="8" s="1"/>
  <c r="A225" i="8"/>
  <c r="A223" i="8"/>
  <c r="C221" i="8"/>
  <c r="A221" i="8" s="1"/>
  <c r="C219" i="8"/>
  <c r="A219" i="8" s="1"/>
  <c r="C218" i="8"/>
  <c r="A218" i="8" s="1"/>
  <c r="A216" i="8"/>
  <c r="A214" i="8"/>
  <c r="C212" i="8"/>
  <c r="A212" i="8" s="1"/>
  <c r="J211" i="8"/>
  <c r="H211" i="8"/>
  <c r="F211" i="8"/>
  <c r="C211" i="8"/>
  <c r="A211" i="8" s="1"/>
  <c r="C210" i="8"/>
  <c r="A210" i="8" s="1"/>
  <c r="C209" i="8"/>
  <c r="A209" i="8" s="1"/>
  <c r="A207" i="8"/>
  <c r="A205" i="8"/>
  <c r="C203" i="8"/>
  <c r="A203" i="8" s="1"/>
  <c r="J202" i="8"/>
  <c r="H202" i="8"/>
  <c r="F202" i="8"/>
  <c r="C202" i="8"/>
  <c r="A202" i="8" s="1"/>
  <c r="C201" i="8"/>
  <c r="A201" i="8" s="1"/>
  <c r="C200" i="8"/>
  <c r="A200" i="8" s="1"/>
  <c r="A198" i="8"/>
  <c r="A196" i="8"/>
  <c r="C194" i="8"/>
  <c r="A194" i="8" s="1"/>
  <c r="J193" i="8"/>
  <c r="H193" i="8"/>
  <c r="F193" i="8"/>
  <c r="C193" i="8"/>
  <c r="A193" i="8" s="1"/>
  <c r="F47" i="20"/>
  <c r="G47" i="20"/>
  <c r="H47" i="20"/>
  <c r="F48" i="20"/>
  <c r="G48" i="20"/>
  <c r="H48" i="20"/>
  <c r="F49" i="20"/>
  <c r="G49" i="20"/>
  <c r="H49" i="20"/>
  <c r="F50" i="20"/>
  <c r="G50" i="20"/>
  <c r="H50" i="20"/>
  <c r="F51" i="20"/>
  <c r="G51" i="20"/>
  <c r="H51" i="20"/>
  <c r="C103" i="8"/>
  <c r="A103" i="8" s="1"/>
  <c r="C110" i="8"/>
  <c r="A110" i="8" s="1"/>
  <c r="F108" i="8"/>
  <c r="A108" i="8"/>
  <c r="F106" i="8"/>
  <c r="A106" i="8"/>
  <c r="C104" i="8"/>
  <c r="A104" i="8" s="1"/>
  <c r="F88" i="8"/>
  <c r="A88" i="8"/>
  <c r="F49" i="8"/>
  <c r="F137" i="8"/>
  <c r="F122" i="8"/>
  <c r="F99" i="8"/>
  <c r="F79" i="8"/>
  <c r="F37" i="8"/>
  <c r="C32" i="8"/>
  <c r="A32" i="8" s="1"/>
  <c r="C39" i="8"/>
  <c r="A39" i="8" s="1"/>
  <c r="A37" i="8"/>
  <c r="F35" i="8"/>
  <c r="A35" i="8"/>
  <c r="C33" i="8"/>
  <c r="A33" i="8" s="1"/>
  <c r="C192" i="8"/>
  <c r="A192" i="8" s="1"/>
  <c r="C191" i="8"/>
  <c r="A191" i="8" s="1"/>
  <c r="A189" i="8"/>
  <c r="A187" i="8"/>
  <c r="C185" i="8"/>
  <c r="A185" i="8" s="1"/>
  <c r="J184" i="8"/>
  <c r="H184" i="8"/>
  <c r="F184" i="8"/>
  <c r="C184" i="8"/>
  <c r="A184" i="8" s="1"/>
  <c r="C183" i="8"/>
  <c r="A183" i="8" s="1"/>
  <c r="C182" i="8"/>
  <c r="A182" i="8" s="1"/>
  <c r="A180" i="8"/>
  <c r="A178" i="8"/>
  <c r="C176" i="8"/>
  <c r="A176" i="8" s="1"/>
  <c r="J175" i="8"/>
  <c r="H175" i="8"/>
  <c r="F175" i="8"/>
  <c r="C175" i="8"/>
  <c r="A175" i="8" s="1"/>
  <c r="K4" i="11" l="1"/>
  <c r="F161" i="8" l="1"/>
  <c r="F159" i="8"/>
  <c r="F153" i="8"/>
  <c r="F151" i="8"/>
  <c r="F145" i="8"/>
  <c r="F143" i="8"/>
  <c r="F47" i="8"/>
  <c r="F45" i="8"/>
  <c r="F43" i="8"/>
  <c r="F135" i="8"/>
  <c r="F133" i="8"/>
  <c r="F129" i="8"/>
  <c r="F120" i="8"/>
  <c r="F118" i="8"/>
  <c r="F116" i="8"/>
  <c r="F114" i="8"/>
  <c r="F97" i="8"/>
  <c r="F95" i="8"/>
  <c r="F86" i="8"/>
  <c r="F77" i="8"/>
  <c r="F75" i="8"/>
  <c r="F26" i="8"/>
  <c r="F22" i="8"/>
  <c r="AC9" i="20"/>
  <c r="C60" i="8" s="1"/>
  <c r="A60" i="8" s="1"/>
  <c r="AC10" i="20"/>
  <c r="AC11" i="20"/>
  <c r="AC12" i="20"/>
  <c r="AC13" i="20"/>
  <c r="C130" i="8" s="1"/>
  <c r="AC14" i="20"/>
  <c r="AC15" i="20"/>
  <c r="C25" i="8" s="1"/>
  <c r="AC16" i="20"/>
  <c r="AC17" i="20"/>
  <c r="C44" i="8" s="1"/>
  <c r="AC18" i="20"/>
  <c r="AC19" i="20"/>
  <c r="AC20" i="20"/>
  <c r="AC21" i="20"/>
  <c r="AC22" i="20"/>
  <c r="C36" i="8" s="1"/>
  <c r="A36" i="8" s="1"/>
  <c r="AC23" i="20"/>
  <c r="AC24" i="20"/>
  <c r="AC25" i="20"/>
  <c r="C107" i="8" s="1"/>
  <c r="A107" i="8" s="1"/>
  <c r="AC26" i="20"/>
  <c r="C56" i="8" s="1"/>
  <c r="A56" i="8" s="1"/>
  <c r="C132" i="8"/>
  <c r="A132" i="8" s="1"/>
  <c r="AC8" i="20"/>
  <c r="AC39" i="20"/>
  <c r="AC40" i="20"/>
  <c r="AC41" i="20"/>
  <c r="AC42" i="20"/>
  <c r="AC43" i="20"/>
  <c r="AC44" i="20"/>
  <c r="AC45" i="20"/>
  <c r="AC46" i="20"/>
  <c r="AC47" i="20"/>
  <c r="AC37" i="20"/>
  <c r="H38" i="20"/>
  <c r="H39" i="20"/>
  <c r="H40" i="20"/>
  <c r="H41" i="20"/>
  <c r="H42" i="20"/>
  <c r="H43" i="20"/>
  <c r="H44" i="20"/>
  <c r="H45" i="20"/>
  <c r="H46" i="20"/>
  <c r="H37" i="20"/>
  <c r="G38" i="20"/>
  <c r="G39" i="20"/>
  <c r="G40" i="20"/>
  <c r="G41" i="20"/>
  <c r="G42" i="20"/>
  <c r="G43" i="20"/>
  <c r="G44" i="20"/>
  <c r="G45" i="20"/>
  <c r="G46" i="20"/>
  <c r="G37" i="20"/>
  <c r="F38" i="20"/>
  <c r="F39" i="20"/>
  <c r="F40" i="20"/>
  <c r="F41" i="20"/>
  <c r="F42" i="20"/>
  <c r="F43" i="20"/>
  <c r="F44" i="20"/>
  <c r="F45" i="20"/>
  <c r="F46" i="20"/>
  <c r="F37" i="20"/>
  <c r="C70" i="8" l="1"/>
  <c r="A70" i="8" s="1"/>
  <c r="C58" i="8"/>
  <c r="A58" i="8" s="1"/>
  <c r="C68" i="8"/>
  <c r="A68" i="8" s="1"/>
  <c r="C162" i="8"/>
  <c r="C119" i="8"/>
  <c r="C89" i="8"/>
  <c r="A89" i="8" s="1"/>
  <c r="C109" i="8"/>
  <c r="A109" i="8" s="1"/>
  <c r="C23" i="8"/>
  <c r="C115" i="8"/>
  <c r="C152" i="8"/>
  <c r="C38" i="8"/>
  <c r="A38" i="8" s="1"/>
  <c r="C46" i="8"/>
  <c r="C160" i="8"/>
  <c r="C144" i="8"/>
  <c r="C121" i="8"/>
  <c r="C146" i="8"/>
  <c r="C100" i="8"/>
  <c r="C138" i="8"/>
  <c r="C154" i="8"/>
  <c r="C50" i="8"/>
  <c r="C123" i="8"/>
  <c r="C87" i="8"/>
  <c r="C136" i="8"/>
  <c r="C76" i="8"/>
  <c r="C134" i="8"/>
  <c r="C117" i="8"/>
  <c r="C96" i="8"/>
  <c r="C78" i="8"/>
  <c r="C48" i="8"/>
  <c r="C27" i="8"/>
  <c r="C80" i="8"/>
  <c r="C98" i="8"/>
  <c r="H55" i="21"/>
  <c r="G54" i="21"/>
  <c r="F53" i="21"/>
  <c r="E52" i="21"/>
  <c r="J75" i="21"/>
  <c r="I75" i="21"/>
  <c r="C75" i="21"/>
  <c r="J74" i="21"/>
  <c r="I74" i="21"/>
  <c r="C74" i="21"/>
  <c r="H73" i="21"/>
  <c r="D73" i="21"/>
  <c r="C73" i="21"/>
  <c r="G72" i="21"/>
  <c r="D72" i="21"/>
  <c r="C72" i="21"/>
  <c r="F71" i="21"/>
  <c r="D71" i="21"/>
  <c r="C71" i="21"/>
  <c r="E70" i="21"/>
  <c r="D70" i="21"/>
  <c r="C70" i="21"/>
  <c r="D69" i="21"/>
  <c r="C69" i="21"/>
  <c r="B68" i="21"/>
  <c r="B67" i="21"/>
  <c r="J66" i="21"/>
  <c r="I66" i="21"/>
  <c r="C66" i="21"/>
  <c r="J65" i="21"/>
  <c r="I65" i="21"/>
  <c r="C65" i="21"/>
  <c r="H64" i="21"/>
  <c r="D64" i="21"/>
  <c r="C64" i="21"/>
  <c r="G63" i="21"/>
  <c r="D63" i="21"/>
  <c r="C63" i="21"/>
  <c r="F62" i="21"/>
  <c r="D62" i="21"/>
  <c r="C62" i="21"/>
  <c r="E61" i="21"/>
  <c r="D61" i="21"/>
  <c r="C61" i="21"/>
  <c r="D60" i="21"/>
  <c r="C60" i="21"/>
  <c r="B59" i="21"/>
  <c r="B58" i="21"/>
  <c r="C57" i="21"/>
  <c r="C56" i="21"/>
  <c r="D55" i="21"/>
  <c r="C55" i="21"/>
  <c r="D54" i="21"/>
  <c r="C54" i="21"/>
  <c r="D53" i="21"/>
  <c r="C53" i="21"/>
  <c r="D52" i="21"/>
  <c r="C52" i="21"/>
  <c r="D51" i="21"/>
  <c r="C51" i="21"/>
  <c r="B50" i="21"/>
  <c r="D48" i="21"/>
  <c r="D57" i="21" s="1"/>
  <c r="D47" i="21"/>
  <c r="D74" i="21" s="1"/>
  <c r="C26" i="21"/>
  <c r="C17" i="21"/>
  <c r="B5" i="21"/>
  <c r="C10" i="8"/>
  <c r="C174" i="8"/>
  <c r="A174" i="8" s="1"/>
  <c r="C173" i="8"/>
  <c r="A173" i="8" s="1"/>
  <c r="J166" i="8"/>
  <c r="H166" i="8"/>
  <c r="F166" i="8"/>
  <c r="C166" i="8"/>
  <c r="A166" i="8" s="1"/>
  <c r="A171" i="8"/>
  <c r="A169" i="8"/>
  <c r="C167" i="8"/>
  <c r="A167" i="8" s="1"/>
  <c r="AB37" i="20"/>
  <c r="H198" i="8" s="1"/>
  <c r="C197" i="8" l="1"/>
  <c r="A197" i="8" s="1"/>
  <c r="C226" i="8"/>
  <c r="A226" i="8" s="1"/>
  <c r="G223" i="8"/>
  <c r="C233" i="8"/>
  <c r="A233" i="8" s="1"/>
  <c r="H205" i="8"/>
  <c r="G207" i="8"/>
  <c r="H232" i="8"/>
  <c r="C190" i="8"/>
  <c r="A190" i="8" s="1"/>
  <c r="F196" i="8"/>
  <c r="F214" i="8"/>
  <c r="F207" i="8"/>
  <c r="F205" i="8"/>
  <c r="F241" i="8"/>
  <c r="F232" i="8"/>
  <c r="F198" i="8"/>
  <c r="F243" i="8"/>
  <c r="G225" i="8"/>
  <c r="F216" i="8"/>
  <c r="F234" i="8"/>
  <c r="F225" i="8"/>
  <c r="G243" i="8"/>
  <c r="H234" i="8"/>
  <c r="H243" i="8"/>
  <c r="G234" i="8"/>
  <c r="F223" i="8"/>
  <c r="H225" i="8"/>
  <c r="C206" i="8"/>
  <c r="A206" i="8" s="1"/>
  <c r="C242" i="8"/>
  <c r="A242" i="8" s="1"/>
  <c r="G241" i="8"/>
  <c r="H196" i="8"/>
  <c r="C224" i="8"/>
  <c r="A224" i="8" s="1"/>
  <c r="G232" i="8"/>
  <c r="C208" i="8"/>
  <c r="A208" i="8" s="1"/>
  <c r="G205" i="8"/>
  <c r="H214" i="8"/>
  <c r="H241" i="8"/>
  <c r="H216" i="8"/>
  <c r="G196" i="8"/>
  <c r="C235" i="8"/>
  <c r="A235" i="8" s="1"/>
  <c r="C217" i="8"/>
  <c r="A217" i="8" s="1"/>
  <c r="G216" i="8"/>
  <c r="G214" i="8"/>
  <c r="H223" i="8"/>
  <c r="H207" i="8"/>
  <c r="C215" i="8"/>
  <c r="A215" i="8" s="1"/>
  <c r="C244" i="8"/>
  <c r="A244" i="8" s="1"/>
  <c r="G198" i="8"/>
  <c r="C199" i="8"/>
  <c r="A199" i="8" s="1"/>
  <c r="C170" i="8"/>
  <c r="A170" i="8" s="1"/>
  <c r="C179" i="8"/>
  <c r="A179" i="8" s="1"/>
  <c r="F180" i="8"/>
  <c r="F189" i="8"/>
  <c r="F178" i="8"/>
  <c r="F187" i="8"/>
  <c r="F169" i="8"/>
  <c r="G180" i="8"/>
  <c r="H178" i="8"/>
  <c r="H189" i="8"/>
  <c r="G178" i="8"/>
  <c r="G189" i="8"/>
  <c r="H187" i="8"/>
  <c r="H180" i="8"/>
  <c r="G187" i="8"/>
  <c r="C188" i="8"/>
  <c r="A188" i="8" s="1"/>
  <c r="C181" i="8"/>
  <c r="A181" i="8" s="1"/>
  <c r="H169" i="8"/>
  <c r="G171" i="8"/>
  <c r="C172" i="8"/>
  <c r="A172" i="8" s="1"/>
  <c r="F171" i="8"/>
  <c r="H171" i="8"/>
  <c r="G169" i="8"/>
  <c r="D56" i="21"/>
  <c r="D65" i="21"/>
  <c r="D66" i="21"/>
  <c r="D75" i="21"/>
  <c r="I241" i="8" l="1"/>
  <c r="J241" i="8" s="1"/>
  <c r="I223" i="8"/>
  <c r="J223" i="8" s="1"/>
  <c r="I243" i="8"/>
  <c r="J243" i="8" s="1"/>
  <c r="I207" i="8"/>
  <c r="J207" i="8" s="1"/>
  <c r="I196" i="8"/>
  <c r="J196" i="8" s="1"/>
  <c r="I225" i="8"/>
  <c r="J225" i="8" s="1"/>
  <c r="I214" i="8"/>
  <c r="J214" i="8" s="1"/>
  <c r="I216" i="8"/>
  <c r="J216" i="8" s="1"/>
  <c r="I232" i="8"/>
  <c r="J232" i="8" s="1"/>
  <c r="I234" i="8"/>
  <c r="J234" i="8" s="1"/>
  <c r="I205" i="8"/>
  <c r="J205" i="8" s="1"/>
  <c r="I198" i="8"/>
  <c r="J198" i="8" s="1"/>
  <c r="I187" i="8"/>
  <c r="J187" i="8" s="1"/>
  <c r="I171" i="8"/>
  <c r="I178" i="8"/>
  <c r="J178" i="8" s="1"/>
  <c r="I189" i="8"/>
  <c r="J189" i="8" s="1"/>
  <c r="I169" i="8"/>
  <c r="I180" i="8"/>
  <c r="J180" i="8" s="1"/>
  <c r="B49" i="13"/>
  <c r="J245" i="8" l="1"/>
  <c r="J246" i="8" s="1"/>
  <c r="J200" i="8"/>
  <c r="J201" i="8" s="1"/>
  <c r="J227" i="8"/>
  <c r="J228" i="8" s="1"/>
  <c r="J236" i="8"/>
  <c r="J237" i="8" s="1"/>
  <c r="J218" i="8"/>
  <c r="J219" i="8" s="1"/>
  <c r="J209" i="8"/>
  <c r="J210" i="8" s="1"/>
  <c r="J191" i="8"/>
  <c r="J192" i="8" s="1"/>
  <c r="J182" i="8"/>
  <c r="J183" i="8" s="1"/>
  <c r="L18" i="11"/>
  <c r="L17" i="11"/>
  <c r="L16" i="11"/>
  <c r="L15" i="11"/>
  <c r="M22" i="11"/>
  <c r="K22" i="11"/>
  <c r="J254" i="8" l="1"/>
  <c r="H254" i="8"/>
  <c r="G254" i="8"/>
  <c r="A255" i="8"/>
  <c r="B4" i="13"/>
  <c r="F4" i="11"/>
  <c r="C163" i="8"/>
  <c r="C155" i="8"/>
  <c r="C147" i="8"/>
  <c r="C51" i="8"/>
  <c r="C139" i="8"/>
  <c r="C124" i="8"/>
  <c r="C101" i="8"/>
  <c r="C90" i="8"/>
  <c r="C81" i="8"/>
  <c r="B3" i="13"/>
  <c r="C6" i="13"/>
  <c r="F3" i="11"/>
  <c r="C4" i="8"/>
  <c r="C16" i="8"/>
  <c r="C14" i="8"/>
  <c r="C3" i="8"/>
  <c r="A162" i="8" l="1"/>
  <c r="A161" i="8"/>
  <c r="C156" i="8"/>
  <c r="A156" i="8" s="1"/>
  <c r="A163" i="8"/>
  <c r="A160" i="8"/>
  <c r="A159" i="8"/>
  <c r="C157" i="8"/>
  <c r="A157" i="8" s="1"/>
  <c r="C148" i="8"/>
  <c r="A148" i="8" s="1"/>
  <c r="A155" i="8"/>
  <c r="A154" i="8"/>
  <c r="A153" i="8"/>
  <c r="A152" i="8"/>
  <c r="A151" i="8"/>
  <c r="C149" i="8"/>
  <c r="A149" i="8" s="1"/>
  <c r="C140" i="8"/>
  <c r="AV93" i="4" a="1"/>
  <c r="AV93" i="4" l="1"/>
  <c r="J111" i="11"/>
  <c r="G249" i="8" l="1"/>
  <c r="G248" i="8"/>
  <c r="A146" i="8"/>
  <c r="A144" i="8"/>
  <c r="C141" i="8"/>
  <c r="A141" i="8" s="1"/>
  <c r="C93" i="8"/>
  <c r="A93" i="8" s="1"/>
  <c r="C84" i="8"/>
  <c r="A84" i="8" s="1"/>
  <c r="C73" i="8"/>
  <c r="A73" i="8" s="1"/>
  <c r="A147" i="8"/>
  <c r="A145" i="8"/>
  <c r="A143" i="8"/>
  <c r="A140" i="8"/>
  <c r="C41" i="8"/>
  <c r="A41" i="8" s="1"/>
  <c r="C127" i="8"/>
  <c r="A127" i="8" s="1"/>
  <c r="J19" i="8"/>
  <c r="I19" i="8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8" i="20"/>
  <c r="G8" i="20"/>
  <c r="G9" i="20"/>
  <c r="H59" i="8" s="1"/>
  <c r="G10" i="20"/>
  <c r="G11" i="20"/>
  <c r="G12" i="20"/>
  <c r="G13" i="20"/>
  <c r="H129" i="8" s="1"/>
  <c r="G14" i="20"/>
  <c r="G15" i="20"/>
  <c r="H24" i="8" s="1"/>
  <c r="G16" i="20"/>
  <c r="G17" i="20"/>
  <c r="H43" i="8" s="1"/>
  <c r="G18" i="20"/>
  <c r="G19" i="20"/>
  <c r="G20" i="20"/>
  <c r="G21" i="20"/>
  <c r="G22" i="20"/>
  <c r="H35" i="8" s="1"/>
  <c r="G23" i="20"/>
  <c r="G24" i="20"/>
  <c r="G25" i="20"/>
  <c r="H106" i="8" s="1"/>
  <c r="G26" i="20"/>
  <c r="H55" i="8" s="1"/>
  <c r="G27" i="20"/>
  <c r="H131" i="8" s="1"/>
  <c r="F9" i="20"/>
  <c r="G59" i="8" s="1"/>
  <c r="I59" i="8" s="1"/>
  <c r="F10" i="20"/>
  <c r="F11" i="20"/>
  <c r="F12" i="20"/>
  <c r="F13" i="20"/>
  <c r="G129" i="8" s="1"/>
  <c r="I129" i="8" s="1"/>
  <c r="F14" i="20"/>
  <c r="F15" i="20"/>
  <c r="G24" i="8" s="1"/>
  <c r="F16" i="20"/>
  <c r="F17" i="20"/>
  <c r="G43" i="8" s="1"/>
  <c r="I43" i="8" s="1"/>
  <c r="F18" i="20"/>
  <c r="F19" i="20"/>
  <c r="F20" i="20"/>
  <c r="F21" i="20"/>
  <c r="F22" i="20"/>
  <c r="G35" i="8" s="1"/>
  <c r="I35" i="8" s="1"/>
  <c r="F23" i="20"/>
  <c r="F24" i="20"/>
  <c r="F25" i="20"/>
  <c r="G106" i="8" s="1"/>
  <c r="I106" i="8" s="1"/>
  <c r="F26" i="20"/>
  <c r="G55" i="8" s="1"/>
  <c r="I55" i="8" s="1"/>
  <c r="F27" i="20"/>
  <c r="G131" i="8" s="1"/>
  <c r="I131" i="8" s="1"/>
  <c r="F8" i="20"/>
  <c r="J59" i="8" l="1"/>
  <c r="G57" i="8"/>
  <c r="I57" i="8" s="1"/>
  <c r="G67" i="8"/>
  <c r="I67" i="8" s="1"/>
  <c r="G69" i="8"/>
  <c r="I69" i="8" s="1"/>
  <c r="H57" i="8"/>
  <c r="H67" i="8"/>
  <c r="H69" i="8"/>
  <c r="J55" i="8"/>
  <c r="G22" i="8"/>
  <c r="I22" i="8" s="1"/>
  <c r="J106" i="8"/>
  <c r="J131" i="8"/>
  <c r="G88" i="8"/>
  <c r="I88" i="8" s="1"/>
  <c r="G108" i="8"/>
  <c r="I108" i="8" s="1"/>
  <c r="H118" i="8"/>
  <c r="H88" i="8"/>
  <c r="H108" i="8"/>
  <c r="G118" i="8"/>
  <c r="I118" i="8" s="1"/>
  <c r="H22" i="8"/>
  <c r="H159" i="8"/>
  <c r="H151" i="8"/>
  <c r="H37" i="8"/>
  <c r="G159" i="8"/>
  <c r="I159" i="8" s="1"/>
  <c r="G151" i="8"/>
  <c r="I151" i="8" s="1"/>
  <c r="G37" i="8"/>
  <c r="I37" i="8" s="1"/>
  <c r="H143" i="8"/>
  <c r="J35" i="8"/>
  <c r="G143" i="8"/>
  <c r="I143" i="8" s="1"/>
  <c r="G145" i="8"/>
  <c r="I145" i="8" s="1"/>
  <c r="H145" i="8"/>
  <c r="H45" i="8"/>
  <c r="H97" i="8"/>
  <c r="H120" i="8"/>
  <c r="H135" i="8"/>
  <c r="G135" i="8"/>
  <c r="I135" i="8" s="1"/>
  <c r="G120" i="8"/>
  <c r="I120" i="8" s="1"/>
  <c r="G97" i="8"/>
  <c r="I97" i="8" s="1"/>
  <c r="G45" i="8"/>
  <c r="I45" i="8" s="1"/>
  <c r="H161" i="8"/>
  <c r="H79" i="8"/>
  <c r="H153" i="8"/>
  <c r="H49" i="8"/>
  <c r="H137" i="8"/>
  <c r="H122" i="8"/>
  <c r="H99" i="8"/>
  <c r="G114" i="8"/>
  <c r="I114" i="8" s="1"/>
  <c r="G75" i="8"/>
  <c r="I75" i="8" s="1"/>
  <c r="G86" i="8"/>
  <c r="I86" i="8" s="1"/>
  <c r="J171" i="8"/>
  <c r="G153" i="8"/>
  <c r="I153" i="8" s="1"/>
  <c r="G49" i="8"/>
  <c r="I49" i="8" s="1"/>
  <c r="G137" i="8"/>
  <c r="I137" i="8" s="1"/>
  <c r="G122" i="8"/>
  <c r="I122" i="8" s="1"/>
  <c r="G99" i="8"/>
  <c r="I99" i="8" s="1"/>
  <c r="G161" i="8"/>
  <c r="I161" i="8" s="1"/>
  <c r="G79" i="8"/>
  <c r="I79" i="8" s="1"/>
  <c r="H133" i="8"/>
  <c r="H116" i="8"/>
  <c r="H95" i="8"/>
  <c r="H77" i="8"/>
  <c r="H26" i="8"/>
  <c r="H47" i="8"/>
  <c r="G116" i="8"/>
  <c r="I116" i="8" s="1"/>
  <c r="G95" i="8"/>
  <c r="I95" i="8" s="1"/>
  <c r="G77" i="8"/>
  <c r="I77" i="8" s="1"/>
  <c r="G47" i="8"/>
  <c r="I47" i="8" s="1"/>
  <c r="G26" i="8"/>
  <c r="I26" i="8" s="1"/>
  <c r="G133" i="8"/>
  <c r="I133" i="8" s="1"/>
  <c r="H114" i="8"/>
  <c r="H75" i="8"/>
  <c r="H86" i="8"/>
  <c r="F24" i="8"/>
  <c r="I24" i="8" s="1"/>
  <c r="J57" i="8" l="1"/>
  <c r="J61" i="8" s="1"/>
  <c r="J69" i="8"/>
  <c r="J67" i="8"/>
  <c r="J108" i="8"/>
  <c r="J110" i="8" s="1"/>
  <c r="J88" i="8"/>
  <c r="J37" i="8"/>
  <c r="J159" i="8"/>
  <c r="J151" i="8"/>
  <c r="J169" i="8"/>
  <c r="J173" i="8" s="1"/>
  <c r="J174" i="8" s="1"/>
  <c r="J161" i="8"/>
  <c r="J153" i="8"/>
  <c r="J143" i="8"/>
  <c r="J145" i="8"/>
  <c r="M46" i="13"/>
  <c r="M45" i="13"/>
  <c r="J71" i="8" l="1"/>
  <c r="J39" i="8"/>
  <c r="J155" i="8"/>
  <c r="J163" i="8"/>
  <c r="J147" i="8"/>
  <c r="C112" i="8" l="1"/>
  <c r="B9" i="13" l="1"/>
  <c r="Y71" i="13"/>
  <c r="AB71" i="13"/>
  <c r="AC71" i="13"/>
  <c r="AJ71" i="13"/>
  <c r="AD71" i="13" s="1"/>
  <c r="C53" i="13"/>
  <c r="H27" i="13"/>
  <c r="H24" i="13"/>
  <c r="H20" i="13"/>
  <c r="H17" i="13"/>
  <c r="H14" i="13"/>
  <c r="H47" i="13"/>
  <c r="B33" i="13" l="1"/>
  <c r="F44" i="13"/>
  <c r="F43" i="13"/>
  <c r="H45" i="13" s="1" a="1"/>
  <c r="H45" i="13" s="1"/>
  <c r="G40" i="13"/>
  <c r="G38" i="13"/>
  <c r="G36" i="13"/>
  <c r="G4" i="13"/>
  <c r="C52" i="13"/>
  <c r="B51" i="13"/>
  <c r="I49" i="13"/>
  <c r="I48" i="13"/>
  <c r="B48" i="13"/>
  <c r="B47" i="13"/>
  <c r="B46" i="13"/>
  <c r="I44" i="13"/>
  <c r="B44" i="13"/>
  <c r="B43" i="13"/>
  <c r="C42" i="13"/>
  <c r="B41" i="13"/>
  <c r="B39" i="13"/>
  <c r="B36" i="13"/>
  <c r="B35" i="13"/>
  <c r="C34" i="13"/>
  <c r="J31" i="13"/>
  <c r="D31" i="13"/>
  <c r="B31" i="13"/>
  <c r="C29" i="13"/>
  <c r="C28" i="13"/>
  <c r="H22" i="13"/>
  <c r="H12" i="13"/>
  <c r="G10" i="13"/>
  <c r="N9" i="13"/>
  <c r="C7" i="13"/>
  <c r="G379" i="11"/>
  <c r="P292" i="11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1001" i="17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2" i="17"/>
  <c r="O195" i="11"/>
  <c r="N195" i="11"/>
  <c r="F198" i="11"/>
  <c r="J195" i="11"/>
  <c r="I195" i="11"/>
  <c r="L115" i="11" l="1"/>
  <c r="L113" i="11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4" i="20"/>
  <c r="Y58" i="20"/>
  <c r="Y62" i="20"/>
  <c r="Y66" i="20"/>
  <c r="Y70" i="20"/>
  <c r="Y74" i="20"/>
  <c r="Y78" i="20"/>
  <c r="Y82" i="20"/>
  <c r="Y86" i="20"/>
  <c r="Y9" i="20"/>
  <c r="G107" i="11"/>
  <c r="O11" i="11"/>
  <c r="J156" i="11" l="1"/>
  <c r="J124" i="11"/>
  <c r="J180" i="11"/>
  <c r="J148" i="11"/>
  <c r="J116" i="11"/>
  <c r="J172" i="11"/>
  <c r="J140" i="11"/>
  <c r="J164" i="11"/>
  <c r="J132" i="11"/>
  <c r="J176" i="11"/>
  <c r="J160" i="11"/>
  <c r="J144" i="11"/>
  <c r="J128" i="11"/>
  <c r="J112" i="11"/>
  <c r="J187" i="11"/>
  <c r="Y85" i="20"/>
  <c r="J183" i="11"/>
  <c r="Y81" i="20"/>
  <c r="J179" i="11"/>
  <c r="Y77" i="20"/>
  <c r="J175" i="11"/>
  <c r="Y73" i="20"/>
  <c r="J171" i="11"/>
  <c r="Y69" i="20"/>
  <c r="J167" i="11"/>
  <c r="Y65" i="20"/>
  <c r="J163" i="11"/>
  <c r="Y61" i="20"/>
  <c r="J159" i="11"/>
  <c r="Y57" i="20"/>
  <c r="J155" i="11"/>
  <c r="Y53" i="20"/>
  <c r="J151" i="11"/>
  <c r="J147" i="11"/>
  <c r="J143" i="11"/>
  <c r="J139" i="11"/>
  <c r="J135" i="11"/>
  <c r="J131" i="11"/>
  <c r="J127" i="11"/>
  <c r="J123" i="11"/>
  <c r="J119" i="11"/>
  <c r="J115" i="11"/>
  <c r="J188" i="11"/>
  <c r="J186" i="11"/>
  <c r="Y84" i="20"/>
  <c r="J182" i="11"/>
  <c r="Y80" i="20"/>
  <c r="J178" i="11"/>
  <c r="Y76" i="20"/>
  <c r="J174" i="11"/>
  <c r="Y72" i="20"/>
  <c r="J170" i="11"/>
  <c r="Y68" i="20"/>
  <c r="J166" i="11"/>
  <c r="Y64" i="20"/>
  <c r="J162" i="11"/>
  <c r="Y60" i="20"/>
  <c r="J158" i="11"/>
  <c r="Y56" i="20"/>
  <c r="J154" i="11"/>
  <c r="Y52" i="20"/>
  <c r="J150" i="11"/>
  <c r="J146" i="11"/>
  <c r="J142" i="11"/>
  <c r="J138" i="11"/>
  <c r="J134" i="11"/>
  <c r="J130" i="11"/>
  <c r="J126" i="11"/>
  <c r="J122" i="11"/>
  <c r="J118" i="11"/>
  <c r="J114" i="11"/>
  <c r="J184" i="11"/>
  <c r="J168" i="11"/>
  <c r="J152" i="11"/>
  <c r="J136" i="11"/>
  <c r="J120" i="11"/>
  <c r="J189" i="11"/>
  <c r="Y87" i="20"/>
  <c r="J185" i="11"/>
  <c r="Y83" i="20"/>
  <c r="J181" i="11"/>
  <c r="Y79" i="20"/>
  <c r="J177" i="11"/>
  <c r="Y75" i="20"/>
  <c r="J173" i="11"/>
  <c r="Y71" i="20"/>
  <c r="J169" i="11"/>
  <c r="Y67" i="20"/>
  <c r="J165" i="11"/>
  <c r="Y63" i="20"/>
  <c r="J161" i="11"/>
  <c r="Y59" i="20"/>
  <c r="J157" i="11"/>
  <c r="Y55" i="20"/>
  <c r="J153" i="11"/>
  <c r="J149" i="11"/>
  <c r="J145" i="11"/>
  <c r="J141" i="11"/>
  <c r="J137" i="11"/>
  <c r="J133" i="11"/>
  <c r="J129" i="11"/>
  <c r="J125" i="11"/>
  <c r="J121" i="11"/>
  <c r="J117" i="11"/>
  <c r="J113" i="11"/>
  <c r="Y8" i="20" l="1"/>
  <c r="F25" i="11"/>
  <c r="F26" i="11"/>
  <c r="F27" i="11"/>
  <c r="H27" i="11" s="1"/>
  <c r="F28" i="11"/>
  <c r="F29" i="11"/>
  <c r="H29" i="11" s="1"/>
  <c r="F30" i="11"/>
  <c r="F31" i="11"/>
  <c r="F32" i="11"/>
  <c r="H32" i="11" s="1"/>
  <c r="F33" i="11"/>
  <c r="H33" i="11" s="1"/>
  <c r="F34" i="11"/>
  <c r="F35" i="11"/>
  <c r="F36" i="11"/>
  <c r="H36" i="11" s="1"/>
  <c r="F37" i="11"/>
  <c r="H37" i="11" s="1"/>
  <c r="F38" i="11"/>
  <c r="F39" i="11"/>
  <c r="F40" i="11"/>
  <c r="H40" i="11" s="1"/>
  <c r="F42" i="11"/>
  <c r="F43" i="11"/>
  <c r="F44" i="11"/>
  <c r="F45" i="11"/>
  <c r="H45" i="11" s="1"/>
  <c r="F46" i="11"/>
  <c r="H46" i="11" s="1"/>
  <c r="F47" i="11"/>
  <c r="F48" i="11"/>
  <c r="F50" i="11"/>
  <c r="H50" i="11" s="1"/>
  <c r="F51" i="11"/>
  <c r="F52" i="11"/>
  <c r="F53" i="11"/>
  <c r="F54" i="11"/>
  <c r="H54" i="11" s="1"/>
  <c r="F55" i="11"/>
  <c r="H55" i="11" s="1"/>
  <c r="F56" i="11"/>
  <c r="F57" i="11"/>
  <c r="F58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8" i="11"/>
  <c r="F99" i="11"/>
  <c r="F100" i="11"/>
  <c r="F101" i="11"/>
  <c r="F102" i="11"/>
  <c r="F24" i="11"/>
  <c r="F41" i="11"/>
  <c r="H41" i="11" s="1"/>
  <c r="F49" i="11"/>
  <c r="H49" i="11" s="1"/>
  <c r="F59" i="11"/>
  <c r="F97" i="11"/>
  <c r="O22" i="11"/>
  <c r="F465" i="11"/>
  <c r="R381" i="11"/>
  <c r="Q381" i="11"/>
  <c r="P381" i="11"/>
  <c r="H381" i="11"/>
  <c r="F381" i="11"/>
  <c r="M379" i="11"/>
  <c r="F294" i="11"/>
  <c r="R210" i="11"/>
  <c r="Q210" i="11"/>
  <c r="P210" i="11"/>
  <c r="H210" i="11"/>
  <c r="F210" i="11"/>
  <c r="M208" i="11"/>
  <c r="G208" i="11"/>
  <c r="F205" i="11"/>
  <c r="F204" i="11"/>
  <c r="H203" i="11"/>
  <c r="F199" i="11"/>
  <c r="F195" i="11"/>
  <c r="M193" i="11"/>
  <c r="H193" i="11"/>
  <c r="G192" i="11"/>
  <c r="L133" i="11"/>
  <c r="L131" i="11"/>
  <c r="L130" i="11"/>
  <c r="L128" i="11"/>
  <c r="L125" i="11"/>
  <c r="L124" i="11"/>
  <c r="K122" i="11"/>
  <c r="L117" i="11"/>
  <c r="K112" i="11"/>
  <c r="K110" i="11"/>
  <c r="G106" i="11"/>
  <c r="F103" i="11"/>
  <c r="J23" i="11"/>
  <c r="H23" i="11"/>
  <c r="F23" i="11"/>
  <c r="F21" i="11"/>
  <c r="F18" i="11"/>
  <c r="F17" i="11"/>
  <c r="L20" i="11"/>
  <c r="F16" i="11"/>
  <c r="L19" i="11"/>
  <c r="F14" i="11"/>
  <c r="L13" i="11"/>
  <c r="F13" i="11"/>
  <c r="F12" i="11"/>
  <c r="F11" i="11"/>
  <c r="F10" i="11"/>
  <c r="L9" i="11"/>
  <c r="F9" i="11"/>
  <c r="G8" i="11"/>
  <c r="G6" i="11"/>
  <c r="G5" i="11"/>
  <c r="C5" i="8"/>
  <c r="C20" i="8"/>
  <c r="E16" i="8"/>
  <c r="E15" i="8"/>
  <c r="E14" i="8"/>
  <c r="J13" i="8"/>
  <c r="I13" i="8"/>
  <c r="H13" i="8"/>
  <c r="I12" i="8"/>
  <c r="G12" i="8"/>
  <c r="E12" i="8"/>
  <c r="C12" i="8"/>
  <c r="C9" i="8"/>
  <c r="C8" i="8"/>
  <c r="C7" i="8"/>
  <c r="C6" i="8"/>
  <c r="E254" i="8"/>
  <c r="C254" i="8"/>
  <c r="C253" i="8"/>
  <c r="C251" i="8"/>
  <c r="C165" i="8"/>
  <c r="C40" i="8"/>
  <c r="C126" i="8"/>
  <c r="C111" i="8"/>
  <c r="C92" i="8"/>
  <c r="C83" i="8"/>
  <c r="C72" i="8"/>
  <c r="C30" i="8"/>
  <c r="G29" i="8"/>
  <c r="C28" i="8"/>
  <c r="F19" i="8"/>
  <c r="C19" i="8"/>
  <c r="C18" i="8"/>
  <c r="G13" i="8"/>
  <c r="J19" i="11"/>
  <c r="H19" i="11"/>
  <c r="K16" i="11"/>
  <c r="K17" i="11" s="1"/>
  <c r="K13" i="11"/>
  <c r="H62" i="11" l="1"/>
  <c r="H149" i="11" s="1"/>
  <c r="H59" i="11"/>
  <c r="D59" i="11" s="1"/>
  <c r="H66" i="11"/>
  <c r="D66" i="11" s="1"/>
  <c r="H96" i="11"/>
  <c r="H92" i="11"/>
  <c r="D92" i="11" s="1"/>
  <c r="J92" i="11" s="1"/>
  <c r="H88" i="11"/>
  <c r="H84" i="11"/>
  <c r="D84" i="11" s="1"/>
  <c r="J84" i="11" s="1"/>
  <c r="H80" i="11"/>
  <c r="H76" i="11"/>
  <c r="H163" i="11" s="1"/>
  <c r="H72" i="11"/>
  <c r="H99" i="11"/>
  <c r="H186" i="11" s="1"/>
  <c r="H100" i="11"/>
  <c r="D100" i="11" s="1"/>
  <c r="J100" i="11" s="1"/>
  <c r="H95" i="11"/>
  <c r="H182" i="11" s="1"/>
  <c r="H91" i="11"/>
  <c r="D91" i="11" s="1"/>
  <c r="H87" i="11"/>
  <c r="H174" i="11" s="1"/>
  <c r="H83" i="11"/>
  <c r="D83" i="11" s="1"/>
  <c r="H79" i="11"/>
  <c r="D79" i="11" s="1"/>
  <c r="J79" i="11" s="1"/>
  <c r="H75" i="11"/>
  <c r="D75" i="11" s="1"/>
  <c r="H71" i="11"/>
  <c r="D71" i="11" s="1"/>
  <c r="J71" i="11" s="1"/>
  <c r="H67" i="11"/>
  <c r="D67" i="11" s="1"/>
  <c r="H63" i="11"/>
  <c r="H150" i="11" s="1"/>
  <c r="H58" i="11"/>
  <c r="D58" i="11" s="1"/>
  <c r="D49" i="11"/>
  <c r="D55" i="11"/>
  <c r="D46" i="11"/>
  <c r="D37" i="11"/>
  <c r="D33" i="11"/>
  <c r="D29" i="11"/>
  <c r="D27" i="11"/>
  <c r="D41" i="11"/>
  <c r="D54" i="11"/>
  <c r="D50" i="11"/>
  <c r="D45" i="11"/>
  <c r="D40" i="11"/>
  <c r="D36" i="11"/>
  <c r="D32" i="11"/>
  <c r="H114" i="11"/>
  <c r="H136" i="11"/>
  <c r="H142" i="11"/>
  <c r="H133" i="11"/>
  <c r="H124" i="11"/>
  <c r="H120" i="11"/>
  <c r="H116" i="11"/>
  <c r="H128" i="11"/>
  <c r="H141" i="11"/>
  <c r="H137" i="11"/>
  <c r="H132" i="11"/>
  <c r="H127" i="11"/>
  <c r="H123" i="11"/>
  <c r="H119" i="11"/>
  <c r="H51" i="11"/>
  <c r="H30" i="11"/>
  <c r="H101" i="11"/>
  <c r="H85" i="11"/>
  <c r="H68" i="11"/>
  <c r="H97" i="11"/>
  <c r="H81" i="11"/>
  <c r="H64" i="11"/>
  <c r="H42" i="11"/>
  <c r="H25" i="11"/>
  <c r="H93" i="11"/>
  <c r="H77" i="11"/>
  <c r="H60" i="11"/>
  <c r="H38" i="11"/>
  <c r="H89" i="11"/>
  <c r="H73" i="11"/>
  <c r="H56" i="11"/>
  <c r="H34" i="11"/>
  <c r="H24" i="11"/>
  <c r="H98" i="11"/>
  <c r="H94" i="11"/>
  <c r="H90" i="11"/>
  <c r="H86" i="11"/>
  <c r="H82" i="11"/>
  <c r="H78" i="11"/>
  <c r="H74" i="11"/>
  <c r="H70" i="11"/>
  <c r="H65" i="11"/>
  <c r="H61" i="11"/>
  <c r="H57" i="11"/>
  <c r="H52" i="11"/>
  <c r="H48" i="11"/>
  <c r="H43" i="11"/>
  <c r="H39" i="11"/>
  <c r="H35" i="11"/>
  <c r="H31" i="11"/>
  <c r="H26" i="11"/>
  <c r="H47" i="11"/>
  <c r="H69" i="11"/>
  <c r="H44" i="11"/>
  <c r="J75" i="11" l="1"/>
  <c r="J83" i="11"/>
  <c r="M83" i="11" s="1"/>
  <c r="I441" i="11" s="1"/>
  <c r="J91" i="11"/>
  <c r="N91" i="11" s="1"/>
  <c r="I278" i="11" s="1"/>
  <c r="I84" i="11"/>
  <c r="L84" i="11" s="1"/>
  <c r="I92" i="11"/>
  <c r="I67" i="11"/>
  <c r="J67" i="11"/>
  <c r="M67" i="11" s="1"/>
  <c r="I425" i="11" s="1"/>
  <c r="J66" i="11"/>
  <c r="M66" i="11" s="1"/>
  <c r="I424" i="11" s="1"/>
  <c r="H158" i="11"/>
  <c r="H153" i="11"/>
  <c r="D99" i="11"/>
  <c r="H171" i="11"/>
  <c r="D87" i="11"/>
  <c r="I59" i="11"/>
  <c r="J59" i="11"/>
  <c r="N59" i="11" s="1"/>
  <c r="I246" i="11" s="1"/>
  <c r="J58" i="11"/>
  <c r="M58" i="11" s="1"/>
  <c r="I416" i="11" s="1"/>
  <c r="H179" i="11"/>
  <c r="D63" i="11"/>
  <c r="D76" i="11"/>
  <c r="D95" i="11"/>
  <c r="H166" i="11"/>
  <c r="D62" i="11"/>
  <c r="J32" i="11"/>
  <c r="N32" i="11" s="1"/>
  <c r="I219" i="11" s="1"/>
  <c r="L92" i="11"/>
  <c r="K92" i="11"/>
  <c r="J54" i="11"/>
  <c r="N54" i="11" s="1"/>
  <c r="I241" i="11" s="1"/>
  <c r="J55" i="11"/>
  <c r="M55" i="11" s="1"/>
  <c r="I413" i="11" s="1"/>
  <c r="I55" i="11"/>
  <c r="J45" i="11"/>
  <c r="N45" i="11" s="1"/>
  <c r="I232" i="11" s="1"/>
  <c r="J27" i="11"/>
  <c r="N27" i="11" s="1"/>
  <c r="I214" i="11" s="1"/>
  <c r="I37" i="11"/>
  <c r="J37" i="11"/>
  <c r="J50" i="11"/>
  <c r="N50" i="11" s="1"/>
  <c r="I237" i="11" s="1"/>
  <c r="I50" i="11"/>
  <c r="J46" i="11"/>
  <c r="I46" i="11"/>
  <c r="J36" i="11"/>
  <c r="M36" i="11" s="1"/>
  <c r="I394" i="11" s="1"/>
  <c r="J29" i="11"/>
  <c r="J49" i="11"/>
  <c r="N49" i="11" s="1"/>
  <c r="I236" i="11" s="1"/>
  <c r="J40" i="11"/>
  <c r="N40" i="11" s="1"/>
  <c r="I227" i="11" s="1"/>
  <c r="J41" i="11"/>
  <c r="M41" i="11" s="1"/>
  <c r="I41" i="11"/>
  <c r="I33" i="11"/>
  <c r="J33" i="11"/>
  <c r="N33" i="11" s="1"/>
  <c r="I220" i="11" s="1"/>
  <c r="I128" i="11"/>
  <c r="N71" i="11"/>
  <c r="I258" i="11" s="1"/>
  <c r="I158" i="11"/>
  <c r="I114" i="11"/>
  <c r="M84" i="11"/>
  <c r="I442" i="11" s="1"/>
  <c r="I171" i="11"/>
  <c r="I154" i="11"/>
  <c r="I119" i="11"/>
  <c r="M92" i="11"/>
  <c r="I450" i="11" s="1"/>
  <c r="I179" i="11"/>
  <c r="I123" i="11"/>
  <c r="M79" i="11"/>
  <c r="I437" i="11" s="1"/>
  <c r="I166" i="11"/>
  <c r="I116" i="11"/>
  <c r="I136" i="11"/>
  <c r="I127" i="11"/>
  <c r="I132" i="11"/>
  <c r="I178" i="11"/>
  <c r="I124" i="11"/>
  <c r="I170" i="11"/>
  <c r="I137" i="11"/>
  <c r="I133" i="11"/>
  <c r="I153" i="11"/>
  <c r="I141" i="11"/>
  <c r="I187" i="11"/>
  <c r="I142" i="11"/>
  <c r="I145" i="11"/>
  <c r="I162" i="11"/>
  <c r="M75" i="11"/>
  <c r="I433" i="11" s="1"/>
  <c r="I120" i="11"/>
  <c r="I146" i="11"/>
  <c r="H159" i="11"/>
  <c r="H175" i="11"/>
  <c r="H145" i="11"/>
  <c r="H162" i="11"/>
  <c r="H178" i="11"/>
  <c r="D80" i="11"/>
  <c r="D96" i="11"/>
  <c r="H154" i="11"/>
  <c r="H170" i="11"/>
  <c r="H187" i="11"/>
  <c r="D72" i="11"/>
  <c r="D88" i="11"/>
  <c r="M100" i="11"/>
  <c r="I458" i="11" s="1"/>
  <c r="H167" i="11"/>
  <c r="H183" i="11"/>
  <c r="H146" i="11"/>
  <c r="D35" i="11"/>
  <c r="I36" i="11" s="1"/>
  <c r="D70" i="11"/>
  <c r="I71" i="11" s="1"/>
  <c r="D24" i="11"/>
  <c r="D93" i="11"/>
  <c r="D101" i="11"/>
  <c r="D39" i="11"/>
  <c r="D74" i="11"/>
  <c r="D34" i="11"/>
  <c r="D25" i="11"/>
  <c r="D30" i="11"/>
  <c r="D26" i="11"/>
  <c r="D43" i="11"/>
  <c r="D61" i="11"/>
  <c r="D78" i="11"/>
  <c r="D94" i="11"/>
  <c r="D56" i="11"/>
  <c r="D60" i="11"/>
  <c r="D42" i="11"/>
  <c r="D68" i="11"/>
  <c r="D51" i="11"/>
  <c r="D69" i="11"/>
  <c r="D52" i="11"/>
  <c r="D86" i="11"/>
  <c r="D89" i="11"/>
  <c r="D81" i="11"/>
  <c r="D47" i="11"/>
  <c r="D57" i="11"/>
  <c r="I58" i="11" s="1"/>
  <c r="D90" i="11"/>
  <c r="D38" i="11"/>
  <c r="D97" i="11"/>
  <c r="D44" i="11"/>
  <c r="D31" i="11"/>
  <c r="I32" i="11" s="1"/>
  <c r="D48" i="11"/>
  <c r="I49" i="11" s="1"/>
  <c r="D65" i="11"/>
  <c r="D82" i="11"/>
  <c r="D98" i="11"/>
  <c r="D73" i="11"/>
  <c r="D77" i="11"/>
  <c r="D64" i="11"/>
  <c r="D85" i="11"/>
  <c r="H161" i="11"/>
  <c r="N84" i="11"/>
  <c r="I271" i="11" s="1"/>
  <c r="H156" i="11"/>
  <c r="H113" i="11"/>
  <c r="H148" i="11"/>
  <c r="H155" i="11"/>
  <c r="M71" i="11"/>
  <c r="I429" i="11" s="1"/>
  <c r="N92" i="11"/>
  <c r="I279" i="11" s="1"/>
  <c r="H122" i="11"/>
  <c r="H139" i="11"/>
  <c r="H157" i="11"/>
  <c r="H173" i="11"/>
  <c r="H176" i="11"/>
  <c r="H180" i="11"/>
  <c r="H112" i="11"/>
  <c r="H184" i="11"/>
  <c r="H172" i="11"/>
  <c r="H138" i="11"/>
  <c r="H131" i="11"/>
  <c r="H126" i="11"/>
  <c r="H144" i="11"/>
  <c r="H177" i="11"/>
  <c r="H121" i="11"/>
  <c r="H125" i="11"/>
  <c r="H129" i="11"/>
  <c r="H130" i="11"/>
  <c r="H181" i="11"/>
  <c r="H143" i="11"/>
  <c r="H147" i="11"/>
  <c r="H151" i="11"/>
  <c r="H188" i="11"/>
  <c r="H134" i="11"/>
  <c r="H118" i="11"/>
  <c r="H135" i="11"/>
  <c r="H152" i="11"/>
  <c r="H169" i="11"/>
  <c r="H185" i="11"/>
  <c r="H160" i="11"/>
  <c r="H164" i="11"/>
  <c r="H168" i="11"/>
  <c r="H117" i="11"/>
  <c r="O10" i="11"/>
  <c r="H165" i="11"/>
  <c r="J11" i="11"/>
  <c r="J10" i="11"/>
  <c r="F4" i="8"/>
  <c r="H28" i="11"/>
  <c r="H53" i="11"/>
  <c r="R12" i="20"/>
  <c r="K84" i="11" l="1"/>
  <c r="Q84" i="11" s="1"/>
  <c r="O92" i="11"/>
  <c r="L71" i="11"/>
  <c r="K71" i="11"/>
  <c r="J77" i="11"/>
  <c r="M77" i="11" s="1"/>
  <c r="I435" i="11" s="1"/>
  <c r="I77" i="11"/>
  <c r="L77" i="11" s="1"/>
  <c r="Q92" i="11"/>
  <c r="J73" i="11"/>
  <c r="N73" i="11" s="1"/>
  <c r="I260" i="11" s="1"/>
  <c r="I73" i="11"/>
  <c r="J69" i="11"/>
  <c r="I69" i="11"/>
  <c r="J101" i="11"/>
  <c r="M101" i="11" s="1"/>
  <c r="I459" i="11" s="1"/>
  <c r="I101" i="11"/>
  <c r="J85" i="11"/>
  <c r="I85" i="11"/>
  <c r="J82" i="11"/>
  <c r="M82" i="11" s="1"/>
  <c r="I440" i="11" s="1"/>
  <c r="I83" i="11"/>
  <c r="I82" i="11"/>
  <c r="I86" i="11"/>
  <c r="J86" i="11"/>
  <c r="I68" i="11"/>
  <c r="J68" i="11"/>
  <c r="I94" i="11"/>
  <c r="J94" i="11"/>
  <c r="M94" i="11" s="1"/>
  <c r="I452" i="11" s="1"/>
  <c r="I74" i="11"/>
  <c r="J74" i="11"/>
  <c r="I75" i="11"/>
  <c r="I72" i="11"/>
  <c r="J72" i="11"/>
  <c r="J96" i="11"/>
  <c r="N96" i="11" s="1"/>
  <c r="I283" i="11" s="1"/>
  <c r="I96" i="11"/>
  <c r="J97" i="11"/>
  <c r="N97" i="11" s="1"/>
  <c r="I284" i="11" s="1"/>
  <c r="I97" i="11"/>
  <c r="I78" i="11"/>
  <c r="J78" i="11"/>
  <c r="N78" i="11" s="1"/>
  <c r="I265" i="11" s="1"/>
  <c r="I70" i="11"/>
  <c r="J70" i="11"/>
  <c r="N70" i="11" s="1"/>
  <c r="I257" i="11" s="1"/>
  <c r="J80" i="11"/>
  <c r="N80" i="11" s="1"/>
  <c r="I267" i="11" s="1"/>
  <c r="I80" i="11"/>
  <c r="I87" i="11"/>
  <c r="J87" i="11"/>
  <c r="M87" i="11" s="1"/>
  <c r="I445" i="11" s="1"/>
  <c r="I79" i="11"/>
  <c r="J81" i="11"/>
  <c r="N81" i="11" s="1"/>
  <c r="I268" i="11" s="1"/>
  <c r="I81" i="11"/>
  <c r="I95" i="11"/>
  <c r="J95" i="11"/>
  <c r="I98" i="11"/>
  <c r="J98" i="11"/>
  <c r="I91" i="11"/>
  <c r="L91" i="11" s="1"/>
  <c r="I90" i="11"/>
  <c r="J90" i="11"/>
  <c r="M90" i="11" s="1"/>
  <c r="I448" i="11" s="1"/>
  <c r="J89" i="11"/>
  <c r="M89" i="11" s="1"/>
  <c r="I447" i="11" s="1"/>
  <c r="I89" i="11"/>
  <c r="J93" i="11"/>
  <c r="M93" i="11" s="1"/>
  <c r="I451" i="11" s="1"/>
  <c r="I93" i="11"/>
  <c r="I88" i="11"/>
  <c r="J88" i="11"/>
  <c r="I76" i="11"/>
  <c r="J76" i="11"/>
  <c r="J99" i="11"/>
  <c r="M99" i="11" s="1"/>
  <c r="I457" i="11" s="1"/>
  <c r="I100" i="11"/>
  <c r="I99" i="11"/>
  <c r="I66" i="11"/>
  <c r="N66" i="11"/>
  <c r="I253" i="11" s="1"/>
  <c r="I186" i="11"/>
  <c r="I63" i="11"/>
  <c r="J63" i="11"/>
  <c r="J65" i="11"/>
  <c r="N65" i="11" s="1"/>
  <c r="I252" i="11" s="1"/>
  <c r="I65" i="11"/>
  <c r="I64" i="11"/>
  <c r="J64" i="11"/>
  <c r="N36" i="11"/>
  <c r="I223" i="11" s="1"/>
  <c r="I174" i="11"/>
  <c r="N55" i="11"/>
  <c r="I242" i="11" s="1"/>
  <c r="I60" i="11"/>
  <c r="J60" i="11"/>
  <c r="M60" i="11" s="1"/>
  <c r="I418" i="11" s="1"/>
  <c r="J61" i="11"/>
  <c r="M61" i="11" s="1"/>
  <c r="I419" i="11" s="1"/>
  <c r="I61" i="11"/>
  <c r="I62" i="11"/>
  <c r="J62" i="11"/>
  <c r="M62" i="11" s="1"/>
  <c r="I420" i="11" s="1"/>
  <c r="I182" i="11"/>
  <c r="I163" i="11"/>
  <c r="I150" i="11"/>
  <c r="M33" i="11"/>
  <c r="I391" i="11" s="1"/>
  <c r="I149" i="11"/>
  <c r="M37" i="11"/>
  <c r="I395" i="11" s="1"/>
  <c r="I44" i="11"/>
  <c r="J44" i="11"/>
  <c r="M44" i="11" s="1"/>
  <c r="I57" i="11"/>
  <c r="J57" i="11"/>
  <c r="N57" i="11" s="1"/>
  <c r="I244" i="11" s="1"/>
  <c r="J26" i="11"/>
  <c r="I26" i="11"/>
  <c r="I24" i="11"/>
  <c r="J24" i="11"/>
  <c r="M24" i="11" s="1"/>
  <c r="I382" i="11" s="1"/>
  <c r="J47" i="11"/>
  <c r="M47" i="11" s="1"/>
  <c r="I405" i="11" s="1"/>
  <c r="I47" i="11"/>
  <c r="I52" i="11"/>
  <c r="J52" i="11"/>
  <c r="N52" i="11" s="1"/>
  <c r="I239" i="11" s="1"/>
  <c r="J42" i="11"/>
  <c r="M42" i="11" s="1"/>
  <c r="I400" i="11" s="1"/>
  <c r="I42" i="11"/>
  <c r="J30" i="11"/>
  <c r="I30" i="11"/>
  <c r="J39" i="11"/>
  <c r="M39" i="11" s="1"/>
  <c r="I397" i="11" s="1"/>
  <c r="I39" i="11"/>
  <c r="M49" i="11"/>
  <c r="I407" i="11" s="1"/>
  <c r="I45" i="11"/>
  <c r="I48" i="11"/>
  <c r="J48" i="11"/>
  <c r="M48" i="11" s="1"/>
  <c r="I406" i="11" s="1"/>
  <c r="J38" i="11"/>
  <c r="I38" i="11"/>
  <c r="J25" i="11"/>
  <c r="I25" i="11"/>
  <c r="J35" i="11"/>
  <c r="M35" i="11" s="1"/>
  <c r="I393" i="11" s="1"/>
  <c r="I35" i="11"/>
  <c r="N46" i="11"/>
  <c r="I233" i="11" s="1"/>
  <c r="J31" i="11"/>
  <c r="M31" i="11" s="1"/>
  <c r="I389" i="11" s="1"/>
  <c r="I31" i="11"/>
  <c r="J51" i="11"/>
  <c r="M51" i="11" s="1"/>
  <c r="I409" i="11" s="1"/>
  <c r="I51" i="11"/>
  <c r="I56" i="11"/>
  <c r="J56" i="11"/>
  <c r="N56" i="11" s="1"/>
  <c r="I243" i="11" s="1"/>
  <c r="I43" i="11"/>
  <c r="J43" i="11"/>
  <c r="M43" i="11" s="1"/>
  <c r="I401" i="11" s="1"/>
  <c r="J34" i="11"/>
  <c r="I34" i="11"/>
  <c r="N29" i="11"/>
  <c r="I216" i="11" s="1"/>
  <c r="I40" i="11"/>
  <c r="I27" i="11"/>
  <c r="M29" i="11"/>
  <c r="I387" i="11" s="1"/>
  <c r="M54" i="11"/>
  <c r="I412" i="11" s="1"/>
  <c r="M45" i="11"/>
  <c r="I403" i="11" s="1"/>
  <c r="M46" i="11"/>
  <c r="I404" i="11" s="1"/>
  <c r="I111" i="11"/>
  <c r="N83" i="11"/>
  <c r="I270" i="11" s="1"/>
  <c r="N37" i="11"/>
  <c r="I224" i="11" s="1"/>
  <c r="I165" i="11"/>
  <c r="N41" i="11"/>
  <c r="I228" i="11" s="1"/>
  <c r="I160" i="11"/>
  <c r="I125" i="11"/>
  <c r="I156" i="11"/>
  <c r="I148" i="11"/>
  <c r="I188" i="11"/>
  <c r="M27" i="11"/>
  <c r="I385" i="11" s="1"/>
  <c r="M50" i="11"/>
  <c r="I408" i="11" s="1"/>
  <c r="I185" i="11"/>
  <c r="I177" i="11"/>
  <c r="I138" i="11"/>
  <c r="I130" i="11"/>
  <c r="I180" i="11"/>
  <c r="I175" i="11"/>
  <c r="I169" i="11"/>
  <c r="I144" i="11"/>
  <c r="I155" i="11"/>
  <c r="I113" i="11"/>
  <c r="I159" i="11"/>
  <c r="I183" i="11"/>
  <c r="I164" i="11"/>
  <c r="I139" i="11"/>
  <c r="I129" i="11"/>
  <c r="I157" i="11"/>
  <c r="I135" i="11"/>
  <c r="I122" i="11"/>
  <c r="M32" i="11"/>
  <c r="I390" i="11" s="1"/>
  <c r="I176" i="11"/>
  <c r="I184" i="11"/>
  <c r="I126" i="11"/>
  <c r="I152" i="11"/>
  <c r="I134" i="11"/>
  <c r="I117" i="11"/>
  <c r="I167" i="11"/>
  <c r="I168" i="11"/>
  <c r="I147" i="11"/>
  <c r="I112" i="11"/>
  <c r="N79" i="11"/>
  <c r="I266" i="11" s="1"/>
  <c r="I172" i="11"/>
  <c r="I118" i="11"/>
  <c r="I143" i="11"/>
  <c r="I121" i="11"/>
  <c r="M40" i="11"/>
  <c r="I398" i="11" s="1"/>
  <c r="I151" i="11"/>
  <c r="I131" i="11"/>
  <c r="I173" i="11"/>
  <c r="I181" i="11"/>
  <c r="I161" i="11"/>
  <c r="M59" i="11"/>
  <c r="M91" i="11"/>
  <c r="I449" i="11" s="1"/>
  <c r="N67" i="11"/>
  <c r="I254" i="11" s="1"/>
  <c r="N58" i="11"/>
  <c r="I245" i="11" s="1"/>
  <c r="N75" i="11"/>
  <c r="I262" i="11" s="1"/>
  <c r="N100" i="11"/>
  <c r="I287" i="11" s="1"/>
  <c r="D53" i="11"/>
  <c r="D28" i="11"/>
  <c r="H115" i="11"/>
  <c r="H140" i="11"/>
  <c r="I399" i="11"/>
  <c r="Z8" i="20"/>
  <c r="J196" i="11"/>
  <c r="J198" i="11" s="1"/>
  <c r="N196" i="11"/>
  <c r="N198" i="11" s="1"/>
  <c r="Q12" i="20"/>
  <c r="T12" i="20" s="1"/>
  <c r="O196" i="11"/>
  <c r="O198" i="11" s="1"/>
  <c r="C17" i="20" a="1"/>
  <c r="C17" i="20" s="1"/>
  <c r="Q8" i="20" s="1"/>
  <c r="N82" i="11" l="1"/>
  <c r="I269" i="11" s="1"/>
  <c r="N94" i="11"/>
  <c r="I281" i="11" s="1"/>
  <c r="M81" i="11"/>
  <c r="I439" i="11" s="1"/>
  <c r="M78" i="11"/>
  <c r="I436" i="11" s="1"/>
  <c r="O84" i="11"/>
  <c r="L89" i="11"/>
  <c r="K97" i="11"/>
  <c r="K72" i="11"/>
  <c r="K73" i="11"/>
  <c r="K98" i="11"/>
  <c r="K81" i="11"/>
  <c r="L86" i="11"/>
  <c r="M80" i="11"/>
  <c r="I438" i="11" s="1"/>
  <c r="L96" i="11"/>
  <c r="K94" i="11"/>
  <c r="K78" i="11"/>
  <c r="L85" i="11"/>
  <c r="K69" i="11"/>
  <c r="K86" i="11"/>
  <c r="L87" i="11"/>
  <c r="K95" i="11"/>
  <c r="L74" i="11"/>
  <c r="K68" i="11"/>
  <c r="K82" i="11"/>
  <c r="M97" i="11"/>
  <c r="I455" i="11" s="1"/>
  <c r="L73" i="11"/>
  <c r="L78" i="11"/>
  <c r="K70" i="11"/>
  <c r="L76" i="11"/>
  <c r="K90" i="11"/>
  <c r="L81" i="11"/>
  <c r="O81" i="11" s="1"/>
  <c r="K80" i="11"/>
  <c r="L69" i="11"/>
  <c r="L88" i="11"/>
  <c r="K89" i="11"/>
  <c r="Q89" i="11" s="1"/>
  <c r="M69" i="11"/>
  <c r="I427" i="11" s="1"/>
  <c r="N98" i="11"/>
  <c r="I285" i="11" s="1"/>
  <c r="L97" i="11"/>
  <c r="L82" i="11"/>
  <c r="K76" i="11"/>
  <c r="L70" i="11"/>
  <c r="N69" i="11"/>
  <c r="I256" i="11" s="1"/>
  <c r="M70" i="11"/>
  <c r="I428" i="11" s="1"/>
  <c r="N68" i="11"/>
  <c r="I255" i="11" s="1"/>
  <c r="N85" i="11"/>
  <c r="I272" i="11" s="1"/>
  <c r="N87" i="11"/>
  <c r="I274" i="11" s="1"/>
  <c r="K77" i="11"/>
  <c r="Q77" i="11" s="1"/>
  <c r="L68" i="11"/>
  <c r="K87" i="11"/>
  <c r="K88" i="11"/>
  <c r="L80" i="11"/>
  <c r="K96" i="11"/>
  <c r="L94" i="11"/>
  <c r="K85" i="11"/>
  <c r="N89" i="11"/>
  <c r="I276" i="11" s="1"/>
  <c r="L98" i="11"/>
  <c r="M72" i="11"/>
  <c r="I430" i="11" s="1"/>
  <c r="M68" i="11"/>
  <c r="I426" i="11" s="1"/>
  <c r="N99" i="11"/>
  <c r="I286" i="11" s="1"/>
  <c r="L90" i="11"/>
  <c r="K93" i="11"/>
  <c r="K91" i="11"/>
  <c r="O91" i="11" s="1"/>
  <c r="K101" i="11"/>
  <c r="L100" i="11"/>
  <c r="K100" i="11"/>
  <c r="N101" i="11"/>
  <c r="I288" i="11" s="1"/>
  <c r="L101" i="11"/>
  <c r="L79" i="11"/>
  <c r="K79" i="11"/>
  <c r="L83" i="11"/>
  <c r="K83" i="11"/>
  <c r="Q71" i="11"/>
  <c r="O71" i="11"/>
  <c r="N86" i="11"/>
  <c r="I273" i="11" s="1"/>
  <c r="N72" i="11"/>
  <c r="I259" i="11" s="1"/>
  <c r="N93" i="11"/>
  <c r="I280" i="11" s="1"/>
  <c r="L93" i="11"/>
  <c r="N90" i="11"/>
  <c r="I277" i="11" s="1"/>
  <c r="N74" i="11"/>
  <c r="I261" i="11" s="1"/>
  <c r="M86" i="11"/>
  <c r="I444" i="11" s="1"/>
  <c r="M74" i="11"/>
  <c r="I432" i="11" s="1"/>
  <c r="L72" i="11"/>
  <c r="K74" i="11"/>
  <c r="K99" i="11"/>
  <c r="L75" i="11"/>
  <c r="K75" i="11"/>
  <c r="M95" i="11"/>
  <c r="I453" i="11" s="1"/>
  <c r="N95" i="11"/>
  <c r="I282" i="11" s="1"/>
  <c r="L99" i="11"/>
  <c r="L95" i="11"/>
  <c r="M76" i="11"/>
  <c r="I434" i="11" s="1"/>
  <c r="N76" i="11"/>
  <c r="I263" i="11" s="1"/>
  <c r="M64" i="11"/>
  <c r="I422" i="11" s="1"/>
  <c r="M63" i="11"/>
  <c r="I421" i="11" s="1"/>
  <c r="N63" i="11"/>
  <c r="I250" i="11" s="1"/>
  <c r="I417" i="11"/>
  <c r="N64" i="11"/>
  <c r="I251" i="11" s="1"/>
  <c r="N60" i="11"/>
  <c r="I247" i="11" s="1"/>
  <c r="N48" i="11"/>
  <c r="I235" i="11" s="1"/>
  <c r="N62" i="11"/>
  <c r="I249" i="11" s="1"/>
  <c r="M56" i="11"/>
  <c r="I414" i="11" s="1"/>
  <c r="N38" i="11"/>
  <c r="I225" i="11" s="1"/>
  <c r="I28" i="11"/>
  <c r="J28" i="11"/>
  <c r="N28" i="11" s="1"/>
  <c r="I215" i="11" s="1"/>
  <c r="I29" i="11"/>
  <c r="M38" i="11"/>
  <c r="I396" i="11" s="1"/>
  <c r="I53" i="11"/>
  <c r="J53" i="11"/>
  <c r="N53" i="11" s="1"/>
  <c r="I240" i="11" s="1"/>
  <c r="I54" i="11"/>
  <c r="N34" i="11"/>
  <c r="I221" i="11" s="1"/>
  <c r="M73" i="11"/>
  <c r="I431" i="11" s="1"/>
  <c r="N77" i="11"/>
  <c r="I264" i="11" s="1"/>
  <c r="N26" i="11"/>
  <c r="I213" i="11" s="1"/>
  <c r="M98" i="11"/>
  <c r="I456" i="11" s="1"/>
  <c r="M30" i="11"/>
  <c r="I388" i="11" s="1"/>
  <c r="M26" i="11"/>
  <c r="I384" i="11" s="1"/>
  <c r="N61" i="11"/>
  <c r="I248" i="11" s="1"/>
  <c r="M96" i="11"/>
  <c r="I454" i="11" s="1"/>
  <c r="N25" i="11"/>
  <c r="I212" i="11" s="1"/>
  <c r="M65" i="11"/>
  <c r="I423" i="11" s="1"/>
  <c r="M52" i="11"/>
  <c r="I410" i="11" s="1"/>
  <c r="M25" i="11"/>
  <c r="N42" i="11"/>
  <c r="I229" i="11" s="1"/>
  <c r="M34" i="11"/>
  <c r="I392" i="11" s="1"/>
  <c r="N47" i="11"/>
  <c r="I234" i="11" s="1"/>
  <c r="M85" i="11"/>
  <c r="I443" i="11" s="1"/>
  <c r="I115" i="11"/>
  <c r="N30" i="11"/>
  <c r="I217" i="11" s="1"/>
  <c r="I140" i="11"/>
  <c r="N88" i="11"/>
  <c r="I275" i="11" s="1"/>
  <c r="M88" i="11"/>
  <c r="I446" i="11" s="1"/>
  <c r="M57" i="11"/>
  <c r="I415" i="11" s="1"/>
  <c r="N24" i="11"/>
  <c r="I211" i="11" s="1"/>
  <c r="N43" i="11"/>
  <c r="I230" i="11" s="1"/>
  <c r="N31" i="11"/>
  <c r="I218" i="11" s="1"/>
  <c r="N44" i="11"/>
  <c r="I231" i="11" s="1"/>
  <c r="N51" i="11"/>
  <c r="I238" i="11" s="1"/>
  <c r="N35" i="11"/>
  <c r="I222" i="11" s="1"/>
  <c r="N39" i="11"/>
  <c r="I226" i="11" s="1"/>
  <c r="I402" i="11"/>
  <c r="V50" i="20"/>
  <c r="V18" i="20"/>
  <c r="V22" i="20"/>
  <c r="V41" i="20"/>
  <c r="V39" i="20"/>
  <c r="V51" i="20"/>
  <c r="V32" i="20"/>
  <c r="V13" i="20"/>
  <c r="V37" i="20"/>
  <c r="V45" i="20"/>
  <c r="V42" i="20"/>
  <c r="V14" i="20"/>
  <c r="V15" i="20"/>
  <c r="V46" i="20"/>
  <c r="V28" i="20"/>
  <c r="V30" i="20"/>
  <c r="V31" i="20"/>
  <c r="V23" i="20"/>
  <c r="V40" i="20"/>
  <c r="V38" i="20"/>
  <c r="V25" i="20"/>
  <c r="V48" i="20"/>
  <c r="V16" i="20"/>
  <c r="V26" i="20"/>
  <c r="V34" i="20"/>
  <c r="V19" i="20"/>
  <c r="V47" i="20"/>
  <c r="V24" i="20"/>
  <c r="V49" i="20"/>
  <c r="V27" i="20"/>
  <c r="V29" i="20"/>
  <c r="V33" i="20"/>
  <c r="V20" i="20"/>
  <c r="V35" i="20"/>
  <c r="V43" i="20"/>
  <c r="V17" i="20"/>
  <c r="V21" i="20"/>
  <c r="V44" i="20"/>
  <c r="V52" i="20"/>
  <c r="V36" i="20"/>
  <c r="H196" i="11"/>
  <c r="H198" i="11" s="1"/>
  <c r="I196" i="11"/>
  <c r="I198" i="11" s="1"/>
  <c r="M196" i="11"/>
  <c r="M198" i="11" s="1"/>
  <c r="G198" i="11"/>
  <c r="K12" i="11"/>
  <c r="V12" i="20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4" i="8"/>
  <c r="A292" i="8"/>
  <c r="A290" i="8"/>
  <c r="A288" i="8"/>
  <c r="A286" i="8"/>
  <c r="A284" i="8"/>
  <c r="A282" i="8"/>
  <c r="A280" i="8"/>
  <c r="A278" i="8"/>
  <c r="A276" i="8"/>
  <c r="A274" i="8"/>
  <c r="A272" i="8"/>
  <c r="A270" i="8"/>
  <c r="A268" i="8"/>
  <c r="A266" i="8"/>
  <c r="A264" i="8"/>
  <c r="A262" i="8"/>
  <c r="A260" i="8"/>
  <c r="A258" i="8"/>
  <c r="A256" i="8"/>
  <c r="A252" i="8"/>
  <c r="A249" i="8"/>
  <c r="A248" i="8"/>
  <c r="A51" i="8"/>
  <c r="A49" i="8"/>
  <c r="A47" i="8"/>
  <c r="A45" i="8"/>
  <c r="A43" i="8"/>
  <c r="A137" i="8"/>
  <c r="A135" i="8"/>
  <c r="A133" i="8"/>
  <c r="A129" i="8"/>
  <c r="A122" i="8"/>
  <c r="A120" i="8"/>
  <c r="A118" i="8"/>
  <c r="A116" i="8"/>
  <c r="A114" i="8"/>
  <c r="A99" i="8"/>
  <c r="A97" i="8"/>
  <c r="A95" i="8"/>
  <c r="A86" i="8"/>
  <c r="A79" i="8"/>
  <c r="A77" i="8"/>
  <c r="A75" i="8"/>
  <c r="A26" i="8"/>
  <c r="A24" i="8"/>
  <c r="A22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O73" i="11" l="1"/>
  <c r="O94" i="11"/>
  <c r="O80" i="11"/>
  <c r="O82" i="11"/>
  <c r="Q86" i="11"/>
  <c r="O97" i="11"/>
  <c r="Q78" i="11"/>
  <c r="O96" i="11"/>
  <c r="Q94" i="11"/>
  <c r="O68" i="11"/>
  <c r="O78" i="11"/>
  <c r="Q97" i="11"/>
  <c r="Q80" i="11"/>
  <c r="O70" i="11"/>
  <c r="O93" i="11"/>
  <c r="Q82" i="11"/>
  <c r="O76" i="11"/>
  <c r="O86" i="11"/>
  <c r="O69" i="11"/>
  <c r="Q81" i="11"/>
  <c r="O87" i="11"/>
  <c r="Q70" i="11"/>
  <c r="O90" i="11"/>
  <c r="Q93" i="11"/>
  <c r="O98" i="11"/>
  <c r="Q91" i="11"/>
  <c r="Q101" i="11"/>
  <c r="O89" i="11"/>
  <c r="O101" i="11"/>
  <c r="Q95" i="11"/>
  <c r="Q72" i="11"/>
  <c r="O95" i="11"/>
  <c r="Q90" i="11"/>
  <c r="Q69" i="11"/>
  <c r="O85" i="11"/>
  <c r="Q87" i="11"/>
  <c r="Q68" i="11"/>
  <c r="O74" i="11"/>
  <c r="Q74" i="11"/>
  <c r="Q88" i="11"/>
  <c r="Q85" i="11"/>
  <c r="Q75" i="11"/>
  <c r="O75" i="11"/>
  <c r="Q79" i="11"/>
  <c r="O79" i="11"/>
  <c r="O100" i="11"/>
  <c r="Q100" i="11"/>
  <c r="Q98" i="11"/>
  <c r="O72" i="11"/>
  <c r="Q96" i="11"/>
  <c r="O83" i="11"/>
  <c r="Q83" i="11"/>
  <c r="Q73" i="11"/>
  <c r="Q99" i="11"/>
  <c r="O99" i="11"/>
  <c r="O88" i="11"/>
  <c r="O77" i="11"/>
  <c r="Q76" i="11"/>
  <c r="M28" i="11"/>
  <c r="I386" i="11" s="1"/>
  <c r="I383" i="11"/>
  <c r="M53" i="11"/>
  <c r="I411" i="11" s="1"/>
  <c r="I33" i="13"/>
  <c r="H33" i="13"/>
  <c r="G33" i="13"/>
  <c r="F33" i="13"/>
  <c r="E33" i="13"/>
  <c r="D33" i="13"/>
  <c r="A293" i="11" l="1"/>
  <c r="A292" i="11"/>
  <c r="A291" i="11"/>
  <c r="A290" i="11"/>
  <c r="A190" i="11"/>
  <c r="A102" i="11" l="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H465" i="11"/>
  <c r="P463" i="11"/>
  <c r="H294" i="11"/>
  <c r="A294" i="11"/>
  <c r="F498" i="11" l="1"/>
  <c r="F177" i="11"/>
  <c r="F145" i="11"/>
  <c r="F113" i="11"/>
  <c r="F432" i="11"/>
  <c r="F400" i="11"/>
  <c r="F530" i="11"/>
  <c r="F531" i="11"/>
  <c r="F176" i="11"/>
  <c r="F144" i="11"/>
  <c r="F112" i="11"/>
  <c r="F431" i="11"/>
  <c r="F399" i="11"/>
  <c r="F169" i="11"/>
  <c r="F137" i="11"/>
  <c r="F456" i="11"/>
  <c r="F424" i="11"/>
  <c r="F392" i="11"/>
  <c r="F523" i="11"/>
  <c r="F491" i="11"/>
  <c r="F467" i="11"/>
  <c r="F168" i="11"/>
  <c r="F136" i="11"/>
  <c r="F455" i="11"/>
  <c r="F423" i="11"/>
  <c r="F391" i="11"/>
  <c r="F522" i="11"/>
  <c r="F490" i="11"/>
  <c r="F499" i="11"/>
  <c r="F161" i="11"/>
  <c r="F129" i="11"/>
  <c r="F448" i="11"/>
  <c r="F416" i="11"/>
  <c r="F384" i="11"/>
  <c r="F515" i="11"/>
  <c r="F483" i="11"/>
  <c r="F160" i="11"/>
  <c r="F128" i="11"/>
  <c r="F447" i="11"/>
  <c r="F415" i="11"/>
  <c r="F383" i="11"/>
  <c r="F514" i="11"/>
  <c r="F482" i="11"/>
  <c r="F185" i="11"/>
  <c r="F153" i="11"/>
  <c r="F121" i="11"/>
  <c r="F440" i="11"/>
  <c r="F408" i="11"/>
  <c r="F539" i="11"/>
  <c r="F507" i="11"/>
  <c r="F475" i="11"/>
  <c r="F184" i="11"/>
  <c r="F152" i="11"/>
  <c r="F120" i="11"/>
  <c r="F439" i="11"/>
  <c r="F407" i="11"/>
  <c r="F538" i="11"/>
  <c r="F506" i="11"/>
  <c r="F474" i="11"/>
  <c r="F183" i="11"/>
  <c r="F175" i="11"/>
  <c r="F167" i="11"/>
  <c r="F159" i="11"/>
  <c r="F151" i="11"/>
  <c r="F143" i="11"/>
  <c r="F135" i="11"/>
  <c r="F127" i="11"/>
  <c r="F119" i="11"/>
  <c r="F111" i="11"/>
  <c r="F454" i="11"/>
  <c r="F446" i="11"/>
  <c r="F438" i="11"/>
  <c r="F430" i="11"/>
  <c r="F422" i="11"/>
  <c r="F414" i="11"/>
  <c r="F406" i="11"/>
  <c r="F398" i="11"/>
  <c r="F390" i="11"/>
  <c r="F466" i="11"/>
  <c r="B466" i="11" s="1"/>
  <c r="F537" i="11"/>
  <c r="F529" i="11"/>
  <c r="F521" i="11"/>
  <c r="F513" i="11"/>
  <c r="F505" i="11"/>
  <c r="F497" i="11"/>
  <c r="F489" i="11"/>
  <c r="F481" i="11"/>
  <c r="F473" i="11"/>
  <c r="F182" i="11"/>
  <c r="F174" i="11"/>
  <c r="F166" i="11"/>
  <c r="F158" i="11"/>
  <c r="F150" i="11"/>
  <c r="F142" i="11"/>
  <c r="F134" i="11"/>
  <c r="F126" i="11"/>
  <c r="F118" i="11"/>
  <c r="F382" i="11"/>
  <c r="F453" i="11"/>
  <c r="F445" i="11"/>
  <c r="F437" i="11"/>
  <c r="F429" i="11"/>
  <c r="F421" i="11"/>
  <c r="F413" i="11"/>
  <c r="F405" i="11"/>
  <c r="F397" i="11"/>
  <c r="F389" i="11"/>
  <c r="F544" i="11"/>
  <c r="F536" i="11"/>
  <c r="F528" i="11"/>
  <c r="F520" i="11"/>
  <c r="F512" i="11"/>
  <c r="F504" i="11"/>
  <c r="F496" i="11"/>
  <c r="F488" i="11"/>
  <c r="F480" i="11"/>
  <c r="F472" i="11"/>
  <c r="F189" i="11"/>
  <c r="F181" i="11"/>
  <c r="F173" i="11"/>
  <c r="F165" i="11"/>
  <c r="F157" i="11"/>
  <c r="F149" i="11"/>
  <c r="F141" i="11"/>
  <c r="F133" i="11"/>
  <c r="F125" i="11"/>
  <c r="F117" i="11"/>
  <c r="F460" i="11"/>
  <c r="F452" i="11"/>
  <c r="F444" i="11"/>
  <c r="F436" i="11"/>
  <c r="F428" i="11"/>
  <c r="F420" i="11"/>
  <c r="F412" i="11"/>
  <c r="F404" i="11"/>
  <c r="F396" i="11"/>
  <c r="F388" i="11"/>
  <c r="F543" i="11"/>
  <c r="F535" i="11"/>
  <c r="F527" i="11"/>
  <c r="F519" i="11"/>
  <c r="F511" i="11"/>
  <c r="F503" i="11"/>
  <c r="F495" i="11"/>
  <c r="F487" i="11"/>
  <c r="F479" i="11"/>
  <c r="F471" i="11"/>
  <c r="F188" i="11"/>
  <c r="F180" i="11"/>
  <c r="F172" i="11"/>
  <c r="F164" i="11"/>
  <c r="F156" i="11"/>
  <c r="F148" i="11"/>
  <c r="F140" i="11"/>
  <c r="F132" i="11"/>
  <c r="F124" i="11"/>
  <c r="F116" i="11"/>
  <c r="F459" i="11"/>
  <c r="F451" i="11"/>
  <c r="F443" i="11"/>
  <c r="F435" i="11"/>
  <c r="F427" i="11"/>
  <c r="F419" i="11"/>
  <c r="F411" i="11"/>
  <c r="F403" i="11"/>
  <c r="F395" i="11"/>
  <c r="F387" i="11"/>
  <c r="F542" i="11"/>
  <c r="F534" i="11"/>
  <c r="F526" i="11"/>
  <c r="F518" i="11"/>
  <c r="F510" i="11"/>
  <c r="F502" i="11"/>
  <c r="F494" i="11"/>
  <c r="F486" i="11"/>
  <c r="F478" i="11"/>
  <c r="F470" i="11"/>
  <c r="F187" i="11"/>
  <c r="F179" i="11"/>
  <c r="F171" i="11"/>
  <c r="F163" i="11"/>
  <c r="F155" i="11"/>
  <c r="F147" i="11"/>
  <c r="F139" i="11"/>
  <c r="F131" i="11"/>
  <c r="F123" i="11"/>
  <c r="F115" i="11"/>
  <c r="F458" i="11"/>
  <c r="F450" i="11"/>
  <c r="F442" i="11"/>
  <c r="F434" i="11"/>
  <c r="F426" i="11"/>
  <c r="F418" i="11"/>
  <c r="F410" i="11"/>
  <c r="F402" i="11"/>
  <c r="F394" i="11"/>
  <c r="F386" i="11"/>
  <c r="F541" i="11"/>
  <c r="F533" i="11"/>
  <c r="F525" i="11"/>
  <c r="F517" i="11"/>
  <c r="F509" i="11"/>
  <c r="F501" i="11"/>
  <c r="F493" i="11"/>
  <c r="F485" i="11"/>
  <c r="F477" i="11"/>
  <c r="F469" i="11"/>
  <c r="F186" i="11"/>
  <c r="F178" i="11"/>
  <c r="F170" i="11"/>
  <c r="F162" i="11"/>
  <c r="F154" i="11"/>
  <c r="F146" i="11"/>
  <c r="F138" i="11"/>
  <c r="F130" i="11"/>
  <c r="F122" i="11"/>
  <c r="F114" i="11"/>
  <c r="F457" i="11"/>
  <c r="F449" i="11"/>
  <c r="F441" i="11"/>
  <c r="F433" i="11"/>
  <c r="F425" i="11"/>
  <c r="F417" i="11"/>
  <c r="F409" i="11"/>
  <c r="F401" i="11"/>
  <c r="F393" i="11"/>
  <c r="F385" i="11"/>
  <c r="F540" i="11"/>
  <c r="F532" i="11"/>
  <c r="F524" i="11"/>
  <c r="F516" i="11"/>
  <c r="F508" i="11"/>
  <c r="F500" i="11"/>
  <c r="F492" i="11"/>
  <c r="F484" i="11"/>
  <c r="F476" i="11"/>
  <c r="F468" i="11"/>
  <c r="B476" i="11" l="1"/>
  <c r="C476" i="11"/>
  <c r="B540" i="11"/>
  <c r="C540" i="11"/>
  <c r="B441" i="11"/>
  <c r="C441" i="11"/>
  <c r="B525" i="11"/>
  <c r="C525" i="11"/>
  <c r="B426" i="11"/>
  <c r="C426" i="11"/>
  <c r="B478" i="11"/>
  <c r="C478" i="11"/>
  <c r="B542" i="11"/>
  <c r="C542" i="11"/>
  <c r="B443" i="11"/>
  <c r="C443" i="11"/>
  <c r="B495" i="11"/>
  <c r="C495" i="11"/>
  <c r="B396" i="11"/>
  <c r="C396" i="11"/>
  <c r="B460" i="11"/>
  <c r="C460" i="11"/>
  <c r="B512" i="11"/>
  <c r="C512" i="11"/>
  <c r="B413" i="11"/>
  <c r="C413" i="11"/>
  <c r="B473" i="11"/>
  <c r="C473" i="11"/>
  <c r="B537" i="11"/>
  <c r="C537" i="11"/>
  <c r="B438" i="11"/>
  <c r="C438" i="11"/>
  <c r="B407" i="11"/>
  <c r="C407" i="11"/>
  <c r="B408" i="11"/>
  <c r="C408" i="11"/>
  <c r="B415" i="11"/>
  <c r="C415" i="11"/>
  <c r="B448" i="11"/>
  <c r="C448" i="11"/>
  <c r="B491" i="11"/>
  <c r="C491" i="11"/>
  <c r="B531" i="11"/>
  <c r="C531" i="11"/>
  <c r="B484" i="11"/>
  <c r="C484" i="11"/>
  <c r="B417" i="11"/>
  <c r="C417" i="11"/>
  <c r="B469" i="11"/>
  <c r="C469" i="11"/>
  <c r="B533" i="11"/>
  <c r="C533" i="11"/>
  <c r="B434" i="11"/>
  <c r="C434" i="11"/>
  <c r="B486" i="11"/>
  <c r="C486" i="11"/>
  <c r="B387" i="11"/>
  <c r="C387" i="11"/>
  <c r="B451" i="11"/>
  <c r="C451" i="11"/>
  <c r="B471" i="11"/>
  <c r="C471" i="11"/>
  <c r="B535" i="11"/>
  <c r="C535" i="11"/>
  <c r="C436" i="11"/>
  <c r="B436" i="11"/>
  <c r="B488" i="11"/>
  <c r="C488" i="11"/>
  <c r="B389" i="11"/>
  <c r="C389" i="11"/>
  <c r="B446" i="11"/>
  <c r="C446" i="11"/>
  <c r="B439" i="11"/>
  <c r="C439" i="11"/>
  <c r="B440" i="11"/>
  <c r="C440" i="11"/>
  <c r="B482" i="11"/>
  <c r="C482" i="11"/>
  <c r="B515" i="11"/>
  <c r="C515" i="11"/>
  <c r="C522" i="11"/>
  <c r="B522" i="11"/>
  <c r="B523" i="11"/>
  <c r="C523" i="11"/>
  <c r="B492" i="11"/>
  <c r="C492" i="11"/>
  <c r="B524" i="11"/>
  <c r="C524" i="11"/>
  <c r="B393" i="11"/>
  <c r="C393" i="11"/>
  <c r="J425" i="11"/>
  <c r="B425" i="11"/>
  <c r="C425" i="11"/>
  <c r="B457" i="11"/>
  <c r="C457" i="11"/>
  <c r="B477" i="11"/>
  <c r="C477" i="11"/>
  <c r="B509" i="11"/>
  <c r="C509" i="11"/>
  <c r="B541" i="11"/>
  <c r="C541" i="11"/>
  <c r="B410" i="11"/>
  <c r="C410" i="11"/>
  <c r="B442" i="11"/>
  <c r="C442" i="11"/>
  <c r="B494" i="11"/>
  <c r="C494" i="11"/>
  <c r="B526" i="11"/>
  <c r="C526" i="11"/>
  <c r="B395" i="11"/>
  <c r="C395" i="11"/>
  <c r="B427" i="11"/>
  <c r="C427" i="11"/>
  <c r="B459" i="11"/>
  <c r="C459" i="11"/>
  <c r="B479" i="11"/>
  <c r="C479" i="11"/>
  <c r="B511" i="11"/>
  <c r="C511" i="11"/>
  <c r="B543" i="11"/>
  <c r="C543" i="11"/>
  <c r="C412" i="11"/>
  <c r="B412" i="11"/>
  <c r="C444" i="11"/>
  <c r="B444" i="11"/>
  <c r="B496" i="11"/>
  <c r="C496" i="11"/>
  <c r="B528" i="11"/>
  <c r="C528" i="11"/>
  <c r="B397" i="11"/>
  <c r="C397" i="11"/>
  <c r="B429" i="11"/>
  <c r="C429" i="11"/>
  <c r="B489" i="11"/>
  <c r="C489" i="11"/>
  <c r="B521" i="11"/>
  <c r="C521" i="11"/>
  <c r="B390" i="11"/>
  <c r="C390" i="11"/>
  <c r="B422" i="11"/>
  <c r="C422" i="11"/>
  <c r="B454" i="11"/>
  <c r="C454" i="11"/>
  <c r="B506" i="11"/>
  <c r="C506" i="11"/>
  <c r="B507" i="11"/>
  <c r="C507" i="11"/>
  <c r="B514" i="11"/>
  <c r="C514" i="11"/>
  <c r="C384" i="11"/>
  <c r="B384" i="11"/>
  <c r="B391" i="11"/>
  <c r="C391" i="11"/>
  <c r="B392" i="11"/>
  <c r="C392" i="11"/>
  <c r="B400" i="11"/>
  <c r="C400" i="11"/>
  <c r="B508" i="11"/>
  <c r="C508" i="11"/>
  <c r="B409" i="11"/>
  <c r="C409" i="11"/>
  <c r="B493" i="11"/>
  <c r="C493" i="11"/>
  <c r="B394" i="11"/>
  <c r="C394" i="11"/>
  <c r="B458" i="11"/>
  <c r="C458" i="11"/>
  <c r="B510" i="11"/>
  <c r="C510" i="11"/>
  <c r="B411" i="11"/>
  <c r="C411" i="11"/>
  <c r="B527" i="11"/>
  <c r="C527" i="11"/>
  <c r="C428" i="11"/>
  <c r="B428" i="11"/>
  <c r="B480" i="11"/>
  <c r="C480" i="11"/>
  <c r="B544" i="11"/>
  <c r="C544" i="11"/>
  <c r="B445" i="11"/>
  <c r="C445" i="11"/>
  <c r="B505" i="11"/>
  <c r="C505" i="11"/>
  <c r="B406" i="11"/>
  <c r="C406" i="11"/>
  <c r="B483" i="11"/>
  <c r="C483" i="11"/>
  <c r="B490" i="11"/>
  <c r="C490" i="11"/>
  <c r="B455" i="11"/>
  <c r="C455" i="11"/>
  <c r="B456" i="11"/>
  <c r="C456" i="11"/>
  <c r="B431" i="11"/>
  <c r="C431" i="11"/>
  <c r="B516" i="11"/>
  <c r="C516" i="11"/>
  <c r="B385" i="11"/>
  <c r="C385" i="11"/>
  <c r="B449" i="11"/>
  <c r="C449" i="11"/>
  <c r="B501" i="11"/>
  <c r="C501" i="11"/>
  <c r="B402" i="11"/>
  <c r="C402" i="11"/>
  <c r="B518" i="11"/>
  <c r="C518" i="11"/>
  <c r="B419" i="11"/>
  <c r="C419" i="11"/>
  <c r="B503" i="11"/>
  <c r="C503" i="11"/>
  <c r="C404" i="11"/>
  <c r="B404" i="11"/>
  <c r="B520" i="11"/>
  <c r="C520" i="11"/>
  <c r="B421" i="11"/>
  <c r="C421" i="11"/>
  <c r="B453" i="11"/>
  <c r="C453" i="11"/>
  <c r="B481" i="11"/>
  <c r="C481" i="11"/>
  <c r="B513" i="11"/>
  <c r="C513" i="11"/>
  <c r="B414" i="11"/>
  <c r="C414" i="11"/>
  <c r="B474" i="11"/>
  <c r="C474" i="11"/>
  <c r="B475" i="11"/>
  <c r="C475" i="11"/>
  <c r="B447" i="11"/>
  <c r="C447" i="11"/>
  <c r="C530" i="11"/>
  <c r="B530" i="11"/>
  <c r="B468" i="11"/>
  <c r="C468" i="11"/>
  <c r="B500" i="11"/>
  <c r="C500" i="11"/>
  <c r="B532" i="11"/>
  <c r="C532" i="11"/>
  <c r="B401" i="11"/>
  <c r="C401" i="11"/>
  <c r="B433" i="11"/>
  <c r="C433" i="11"/>
  <c r="B485" i="11"/>
  <c r="C485" i="11"/>
  <c r="B517" i="11"/>
  <c r="C517" i="11"/>
  <c r="B386" i="11"/>
  <c r="C386" i="11"/>
  <c r="B418" i="11"/>
  <c r="C418" i="11"/>
  <c r="B450" i="11"/>
  <c r="C450" i="11"/>
  <c r="B470" i="11"/>
  <c r="C470" i="11"/>
  <c r="B502" i="11"/>
  <c r="C502" i="11"/>
  <c r="B534" i="11"/>
  <c r="C534" i="11"/>
  <c r="B403" i="11"/>
  <c r="C403" i="11"/>
  <c r="B435" i="11"/>
  <c r="C435" i="11"/>
  <c r="B487" i="11"/>
  <c r="C487" i="11"/>
  <c r="B519" i="11"/>
  <c r="C519" i="11"/>
  <c r="B388" i="11"/>
  <c r="C388" i="11"/>
  <c r="C420" i="11"/>
  <c r="B420" i="11"/>
  <c r="B452" i="11"/>
  <c r="C452" i="11"/>
  <c r="B472" i="11"/>
  <c r="C472" i="11"/>
  <c r="B504" i="11"/>
  <c r="C504" i="11"/>
  <c r="B536" i="11"/>
  <c r="C536" i="11"/>
  <c r="B405" i="11"/>
  <c r="C405" i="11"/>
  <c r="B437" i="11"/>
  <c r="C437" i="11"/>
  <c r="B497" i="11"/>
  <c r="C497" i="11"/>
  <c r="B529" i="11"/>
  <c r="C529" i="11"/>
  <c r="B398" i="11"/>
  <c r="C398" i="11"/>
  <c r="B430" i="11"/>
  <c r="C430" i="11"/>
  <c r="C538" i="11"/>
  <c r="B538" i="11"/>
  <c r="B539" i="11"/>
  <c r="C539" i="11"/>
  <c r="B383" i="11"/>
  <c r="C383" i="11"/>
  <c r="B416" i="11"/>
  <c r="C416" i="11"/>
  <c r="B499" i="11"/>
  <c r="C499" i="11"/>
  <c r="B423" i="11"/>
  <c r="C423" i="11"/>
  <c r="B467" i="11"/>
  <c r="C467" i="11"/>
  <c r="B424" i="11"/>
  <c r="C424" i="11"/>
  <c r="B399" i="11"/>
  <c r="C399" i="11"/>
  <c r="B432" i="11"/>
  <c r="C432" i="11"/>
  <c r="B498" i="11"/>
  <c r="C498" i="11"/>
  <c r="D484" i="11"/>
  <c r="D385" i="11"/>
  <c r="D481" i="11"/>
  <c r="D414" i="11"/>
  <c r="D476" i="11"/>
  <c r="D409" i="11"/>
  <c r="D493" i="11"/>
  <c r="D394" i="11"/>
  <c r="D478" i="11"/>
  <c r="D411" i="11"/>
  <c r="D495" i="11"/>
  <c r="D396" i="11"/>
  <c r="D480" i="11"/>
  <c r="D413" i="11"/>
  <c r="D473" i="11"/>
  <c r="D406" i="11"/>
  <c r="D407" i="11"/>
  <c r="D408" i="11"/>
  <c r="D415" i="11"/>
  <c r="D483" i="11"/>
  <c r="D490" i="11"/>
  <c r="D491" i="11"/>
  <c r="D469" i="11"/>
  <c r="D486" i="11"/>
  <c r="D387" i="11"/>
  <c r="D404" i="11"/>
  <c r="D488" i="11"/>
  <c r="D474" i="11"/>
  <c r="D475" i="11"/>
  <c r="D492" i="11"/>
  <c r="D393" i="11"/>
  <c r="D477" i="11"/>
  <c r="D410" i="11"/>
  <c r="D494" i="11"/>
  <c r="D395" i="11"/>
  <c r="D479" i="11"/>
  <c r="D412" i="11"/>
  <c r="D496" i="11"/>
  <c r="D397" i="11"/>
  <c r="B382" i="11"/>
  <c r="D382" i="11"/>
  <c r="C382" i="11"/>
  <c r="D489" i="11"/>
  <c r="D390" i="11"/>
  <c r="D384" i="11"/>
  <c r="D391" i="11"/>
  <c r="D392" i="11"/>
  <c r="D400" i="11"/>
  <c r="D402" i="11"/>
  <c r="D471" i="11"/>
  <c r="D389" i="11"/>
  <c r="C466" i="11"/>
  <c r="D466" i="11"/>
  <c r="D482" i="11"/>
  <c r="D468" i="11"/>
  <c r="D401" i="11"/>
  <c r="D485" i="11"/>
  <c r="D386" i="11"/>
  <c r="D470" i="11"/>
  <c r="D403" i="11"/>
  <c r="D487" i="11"/>
  <c r="D388" i="11"/>
  <c r="D472" i="11"/>
  <c r="D405" i="11"/>
  <c r="D497" i="11"/>
  <c r="D398" i="11"/>
  <c r="D383" i="11"/>
  <c r="D499" i="11"/>
  <c r="D467" i="11"/>
  <c r="D399" i="11"/>
  <c r="D498" i="11"/>
  <c r="A136" i="11"/>
  <c r="A137" i="11"/>
  <c r="A145" i="11"/>
  <c r="A154" i="11"/>
  <c r="A171" i="11"/>
  <c r="A188" i="11"/>
  <c r="A173" i="11"/>
  <c r="A158" i="11"/>
  <c r="A183" i="11"/>
  <c r="A162" i="11"/>
  <c r="A179" i="11"/>
  <c r="A149" i="11"/>
  <c r="A134" i="11"/>
  <c r="A138" i="11"/>
  <c r="A170" i="11"/>
  <c r="A155" i="11"/>
  <c r="A187" i="11"/>
  <c r="A140" i="11"/>
  <c r="A172" i="11"/>
  <c r="A157" i="11"/>
  <c r="A189" i="11"/>
  <c r="A142" i="11"/>
  <c r="A174" i="11"/>
  <c r="A135" i="11"/>
  <c r="A167" i="11"/>
  <c r="A161" i="11"/>
  <c r="A168" i="11"/>
  <c r="A169" i="11"/>
  <c r="A144" i="11"/>
  <c r="A177" i="11"/>
  <c r="A186" i="11"/>
  <c r="A139" i="11"/>
  <c r="A156" i="11"/>
  <c r="A141" i="11"/>
  <c r="A151" i="11"/>
  <c r="A184" i="11"/>
  <c r="A185" i="11"/>
  <c r="A147" i="11"/>
  <c r="A164" i="11"/>
  <c r="A181" i="11"/>
  <c r="A166" i="11"/>
  <c r="A159" i="11"/>
  <c r="A146" i="11"/>
  <c r="A178" i="11"/>
  <c r="A163" i="11"/>
  <c r="A148" i="11"/>
  <c r="A180" i="11"/>
  <c r="A165" i="11"/>
  <c r="A150" i="11"/>
  <c r="A182" i="11"/>
  <c r="A143" i="11"/>
  <c r="A175" i="11"/>
  <c r="A152" i="11"/>
  <c r="A153" i="11"/>
  <c r="A160" i="11"/>
  <c r="A176" i="11"/>
  <c r="A484" i="11"/>
  <c r="A516" i="11"/>
  <c r="D516" i="11"/>
  <c r="A385" i="11"/>
  <c r="A417" i="11"/>
  <c r="D417" i="11"/>
  <c r="A449" i="11"/>
  <c r="D449" i="11"/>
  <c r="A469" i="11"/>
  <c r="A501" i="11"/>
  <c r="D501" i="11"/>
  <c r="A533" i="11"/>
  <c r="D533" i="11"/>
  <c r="A402" i="11"/>
  <c r="A434" i="11"/>
  <c r="D434" i="11"/>
  <c r="A486" i="11"/>
  <c r="A518" i="11"/>
  <c r="D518" i="11"/>
  <c r="A387" i="11"/>
  <c r="A419" i="11"/>
  <c r="D419" i="11"/>
  <c r="A451" i="11"/>
  <c r="D451" i="11"/>
  <c r="A471" i="11"/>
  <c r="A503" i="11"/>
  <c r="D503" i="11"/>
  <c r="A535" i="11"/>
  <c r="D535" i="11"/>
  <c r="A404" i="11"/>
  <c r="A436" i="11"/>
  <c r="D436" i="11"/>
  <c r="A488" i="11"/>
  <c r="A520" i="11"/>
  <c r="D520" i="11"/>
  <c r="A389" i="11"/>
  <c r="A421" i="11"/>
  <c r="D421" i="11"/>
  <c r="A453" i="11"/>
  <c r="D453" i="11"/>
  <c r="A473" i="11"/>
  <c r="A505" i="11"/>
  <c r="D505" i="11"/>
  <c r="A537" i="11"/>
  <c r="D537" i="11"/>
  <c r="A406" i="11"/>
  <c r="A438" i="11"/>
  <c r="D438" i="11"/>
  <c r="A538" i="11"/>
  <c r="D538" i="11"/>
  <c r="A539" i="11"/>
  <c r="D539" i="11"/>
  <c r="A383" i="11"/>
  <c r="A416" i="11"/>
  <c r="D416" i="11"/>
  <c r="A499" i="11"/>
  <c r="A423" i="11"/>
  <c r="D423" i="11"/>
  <c r="A467" i="11"/>
  <c r="A424" i="11"/>
  <c r="D424" i="11"/>
  <c r="A399" i="11"/>
  <c r="A432" i="11"/>
  <c r="D432" i="11"/>
  <c r="A498" i="11"/>
  <c r="A492" i="11"/>
  <c r="A524" i="11"/>
  <c r="D524" i="11"/>
  <c r="A393" i="11"/>
  <c r="A425" i="11"/>
  <c r="D425" i="11"/>
  <c r="A457" i="11"/>
  <c r="D457" i="11"/>
  <c r="A477" i="11"/>
  <c r="A509" i="11"/>
  <c r="D509" i="11"/>
  <c r="A541" i="11"/>
  <c r="D541" i="11"/>
  <c r="A410" i="11"/>
  <c r="A442" i="11"/>
  <c r="D442" i="11"/>
  <c r="A494" i="11"/>
  <c r="A526" i="11"/>
  <c r="D526" i="11"/>
  <c r="A395" i="11"/>
  <c r="A427" i="11"/>
  <c r="D427" i="11"/>
  <c r="A459" i="11"/>
  <c r="D459" i="11"/>
  <c r="A479" i="11"/>
  <c r="A511" i="11"/>
  <c r="D511" i="11"/>
  <c r="A543" i="11"/>
  <c r="D543" i="11"/>
  <c r="A412" i="11"/>
  <c r="A444" i="11"/>
  <c r="D444" i="11"/>
  <c r="A496" i="11"/>
  <c r="A528" i="11"/>
  <c r="D528" i="11"/>
  <c r="A397" i="11"/>
  <c r="A429" i="11"/>
  <c r="D429" i="11"/>
  <c r="A382" i="11"/>
  <c r="A481" i="11"/>
  <c r="A513" i="11"/>
  <c r="D513" i="11"/>
  <c r="A466" i="11"/>
  <c r="A414" i="11"/>
  <c r="A446" i="11"/>
  <c r="D446" i="11"/>
  <c r="A407" i="11"/>
  <c r="A408" i="11"/>
  <c r="A415" i="11"/>
  <c r="A483" i="11"/>
  <c r="A448" i="11"/>
  <c r="D448" i="11"/>
  <c r="A490" i="11"/>
  <c r="A455" i="11"/>
  <c r="D455" i="11"/>
  <c r="A491" i="11"/>
  <c r="A456" i="11"/>
  <c r="D456" i="11"/>
  <c r="A431" i="11"/>
  <c r="D431" i="11"/>
  <c r="A531" i="11"/>
  <c r="D531" i="11"/>
  <c r="A468" i="11"/>
  <c r="A500" i="11"/>
  <c r="D500" i="11"/>
  <c r="A532" i="11"/>
  <c r="D532" i="11"/>
  <c r="A401" i="11"/>
  <c r="A433" i="11"/>
  <c r="D433" i="11"/>
  <c r="A485" i="11"/>
  <c r="A517" i="11"/>
  <c r="D517" i="11"/>
  <c r="A386" i="11"/>
  <c r="A418" i="11"/>
  <c r="D418" i="11"/>
  <c r="A450" i="11"/>
  <c r="D450" i="11"/>
  <c r="A470" i="11"/>
  <c r="A502" i="11"/>
  <c r="D502" i="11"/>
  <c r="A534" i="11"/>
  <c r="D534" i="11"/>
  <c r="A403" i="11"/>
  <c r="A435" i="11"/>
  <c r="D435" i="11"/>
  <c r="A487" i="11"/>
  <c r="A519" i="11"/>
  <c r="D519" i="11"/>
  <c r="A388" i="11"/>
  <c r="A420" i="11"/>
  <c r="D420" i="11"/>
  <c r="A452" i="11"/>
  <c r="D452" i="11"/>
  <c r="A472" i="11"/>
  <c r="A504" i="11"/>
  <c r="D504" i="11"/>
  <c r="A536" i="11"/>
  <c r="D536" i="11"/>
  <c r="A405" i="11"/>
  <c r="A437" i="11"/>
  <c r="D437" i="11"/>
  <c r="A489" i="11"/>
  <c r="A521" i="11"/>
  <c r="D521" i="11"/>
  <c r="A390" i="11"/>
  <c r="A422" i="11"/>
  <c r="D422" i="11"/>
  <c r="A454" i="11"/>
  <c r="D454" i="11"/>
  <c r="A474" i="11"/>
  <c r="A439" i="11"/>
  <c r="D439" i="11"/>
  <c r="A475" i="11"/>
  <c r="A440" i="11"/>
  <c r="D440" i="11"/>
  <c r="A482" i="11"/>
  <c r="A447" i="11"/>
  <c r="D447" i="11"/>
  <c r="A515" i="11"/>
  <c r="D515" i="11"/>
  <c r="A522" i="11"/>
  <c r="D522" i="11"/>
  <c r="A523" i="11"/>
  <c r="D523" i="11"/>
  <c r="A530" i="11"/>
  <c r="D530" i="11"/>
  <c r="A476" i="11"/>
  <c r="A508" i="11"/>
  <c r="D508" i="11"/>
  <c r="A540" i="11"/>
  <c r="D540" i="11"/>
  <c r="A409" i="11"/>
  <c r="A441" i="11"/>
  <c r="D441" i="11"/>
  <c r="A493" i="11"/>
  <c r="A525" i="11"/>
  <c r="D525" i="11"/>
  <c r="A394" i="11"/>
  <c r="A426" i="11"/>
  <c r="D426" i="11"/>
  <c r="A458" i="11"/>
  <c r="D458" i="11"/>
  <c r="A478" i="11"/>
  <c r="A510" i="11"/>
  <c r="D510" i="11"/>
  <c r="A542" i="11"/>
  <c r="D542" i="11"/>
  <c r="A411" i="11"/>
  <c r="A443" i="11"/>
  <c r="D443" i="11"/>
  <c r="A495" i="11"/>
  <c r="A527" i="11"/>
  <c r="D527" i="11"/>
  <c r="A396" i="11"/>
  <c r="A428" i="11"/>
  <c r="D428" i="11"/>
  <c r="A460" i="11"/>
  <c r="D460" i="11"/>
  <c r="A480" i="11"/>
  <c r="A512" i="11"/>
  <c r="D512" i="11"/>
  <c r="A544" i="11"/>
  <c r="D544" i="11"/>
  <c r="A413" i="11"/>
  <c r="A445" i="11"/>
  <c r="D445" i="11"/>
  <c r="A497" i="11"/>
  <c r="A529" i="11"/>
  <c r="D529" i="11"/>
  <c r="A398" i="11"/>
  <c r="A430" i="11"/>
  <c r="D430" i="11"/>
  <c r="A506" i="11"/>
  <c r="D506" i="11"/>
  <c r="A507" i="11"/>
  <c r="D507" i="11"/>
  <c r="A514" i="11"/>
  <c r="D514" i="11"/>
  <c r="A384" i="11"/>
  <c r="A391" i="11"/>
  <c r="A392" i="11"/>
  <c r="A400" i="11"/>
  <c r="N425" i="11" l="1"/>
  <c r="Q425" i="11" s="1"/>
  <c r="K509" i="11" s="1"/>
  <c r="O425" i="11"/>
  <c r="M425" i="11"/>
  <c r="S384" i="11" a="1"/>
  <c r="S384" i="11" s="1"/>
  <c r="T384" i="11" a="1"/>
  <c r="T384" i="11" s="1"/>
  <c r="S452" i="11" a="1"/>
  <c r="S452" i="11" s="1"/>
  <c r="T452" i="11" a="1"/>
  <c r="T452" i="11" s="1"/>
  <c r="T416" i="11" a="1"/>
  <c r="T416" i="11" s="1"/>
  <c r="S416" i="11" a="1"/>
  <c r="S416" i="11" s="1"/>
  <c r="T437" i="11" a="1"/>
  <c r="T437" i="11" s="1"/>
  <c r="S437" i="11" a="1"/>
  <c r="S437" i="11" s="1"/>
  <c r="S448" i="11" a="1"/>
  <c r="S448" i="11" s="1"/>
  <c r="T448" i="11" a="1"/>
  <c r="T448" i="11" s="1"/>
  <c r="S382" i="11" a="1"/>
  <c r="S382" i="11" s="1"/>
  <c r="T382" i="11" a="1"/>
  <c r="T382" i="11" s="1"/>
  <c r="T421" i="11" a="1"/>
  <c r="T421" i="11" s="1"/>
  <c r="S421" i="11" a="1"/>
  <c r="S421" i="11" s="1"/>
  <c r="T392" i="11" a="1"/>
  <c r="T392" i="11" s="1"/>
  <c r="S392" i="11" a="1"/>
  <c r="S392" i="11" s="1"/>
  <c r="S422" i="11" a="1"/>
  <c r="S422" i="11" s="1"/>
  <c r="T422" i="11" a="1"/>
  <c r="T422" i="11" s="1"/>
  <c r="T387" i="11" a="1"/>
  <c r="T387" i="11" s="1"/>
  <c r="S387" i="11" a="1"/>
  <c r="S387" i="11" s="1"/>
  <c r="S419" i="11" a="1"/>
  <c r="S419" i="11" s="1"/>
  <c r="T419" i="11" a="1"/>
  <c r="T419" i="11" s="1"/>
  <c r="T388" i="11" a="1"/>
  <c r="T388" i="11" s="1"/>
  <c r="S388" i="11" a="1"/>
  <c r="S388" i="11" s="1"/>
  <c r="S443" i="11" a="1"/>
  <c r="S443" i="11" s="1"/>
  <c r="T443" i="11" a="1"/>
  <c r="T443" i="11" s="1"/>
  <c r="S411" i="11" a="1"/>
  <c r="S411" i="11" s="1"/>
  <c r="T411" i="11" a="1"/>
  <c r="T411" i="11" s="1"/>
  <c r="S395" i="11" a="1"/>
  <c r="S395" i="11" s="1"/>
  <c r="T395" i="11" a="1"/>
  <c r="T395" i="11" s="1"/>
  <c r="S446" i="11" a="1"/>
  <c r="S446" i="11" s="1"/>
  <c r="T446" i="11" a="1"/>
  <c r="T446" i="11" s="1"/>
  <c r="T444" i="11" a="1"/>
  <c r="T444" i="11" s="1"/>
  <c r="S444" i="11" a="1"/>
  <c r="S444" i="11" s="1"/>
  <c r="S400" i="11" a="1"/>
  <c r="S400" i="11" s="1"/>
  <c r="T400" i="11" a="1"/>
  <c r="T400" i="11" s="1"/>
  <c r="T408" i="11" a="1"/>
  <c r="T408" i="11" s="1"/>
  <c r="S408" i="11" a="1"/>
  <c r="S408" i="11" s="1"/>
  <c r="T451" i="11" a="1"/>
  <c r="T451" i="11" s="1"/>
  <c r="S451" i="11" a="1"/>
  <c r="S451" i="11" s="1"/>
  <c r="T428" i="11" a="1"/>
  <c r="T428" i="11" s="1"/>
  <c r="S428" i="11" a="1"/>
  <c r="S428" i="11" s="1"/>
  <c r="T442" i="11" a="1"/>
  <c r="T442" i="11" s="1"/>
  <c r="S442" i="11" a="1"/>
  <c r="S442" i="11" s="1"/>
  <c r="T447" i="11" a="1"/>
  <c r="T447" i="11" s="1"/>
  <c r="S447" i="11" a="1"/>
  <c r="S447" i="11" s="1"/>
  <c r="S429" i="11" a="1"/>
  <c r="S429" i="11" s="1"/>
  <c r="T429" i="11" a="1"/>
  <c r="T429" i="11" s="1"/>
  <c r="T426" i="11" a="1"/>
  <c r="T426" i="11" s="1"/>
  <c r="S426" i="11" a="1"/>
  <c r="S426" i="11" s="1"/>
  <c r="S427" i="11" a="1"/>
  <c r="S427" i="11" s="1"/>
  <c r="T427" i="11" a="1"/>
  <c r="T427" i="11" s="1"/>
  <c r="S430" i="11" a="1"/>
  <c r="S430" i="11" s="1"/>
  <c r="T430" i="11" a="1"/>
  <c r="T430" i="11" s="1"/>
  <c r="T386" i="11" a="1"/>
  <c r="T386" i="11" s="1"/>
  <c r="S386" i="11" a="1"/>
  <c r="S386" i="11" s="1"/>
  <c r="S431" i="11" a="1"/>
  <c r="S431" i="11" s="1"/>
  <c r="T431" i="11" a="1"/>
  <c r="T431" i="11" s="1"/>
  <c r="S450" i="11" a="1"/>
  <c r="S450" i="11" s="1"/>
  <c r="T450" i="11" a="1"/>
  <c r="T450" i="11" s="1"/>
  <c r="T396" i="11" a="1"/>
  <c r="T396" i="11" s="1"/>
  <c r="S396" i="11" a="1"/>
  <c r="S396" i="11" s="1"/>
  <c r="T445" i="11" a="1"/>
  <c r="T445" i="11" s="1"/>
  <c r="S445" i="11" a="1"/>
  <c r="S445" i="11" s="1"/>
  <c r="S407" i="11" a="1"/>
  <c r="S407" i="11" s="1"/>
  <c r="T407" i="11" a="1"/>
  <c r="T407" i="11" s="1"/>
  <c r="S456" i="11" a="1"/>
  <c r="S456" i="11" s="1"/>
  <c r="T456" i="11" a="1"/>
  <c r="T456" i="11" s="1"/>
  <c r="T397" i="11" a="1"/>
  <c r="T397" i="11" s="1"/>
  <c r="S397" i="11" a="1"/>
  <c r="S397" i="11" s="1"/>
  <c r="S436" i="11" a="1"/>
  <c r="S436" i="11" s="1"/>
  <c r="T436" i="11" a="1"/>
  <c r="T436" i="11" s="1"/>
  <c r="S455" i="11" a="1"/>
  <c r="S455" i="11" s="1"/>
  <c r="T455" i="11" a="1"/>
  <c r="T455" i="11" s="1"/>
  <c r="T404" i="11" a="1"/>
  <c r="T404" i="11" s="1"/>
  <c r="S404" i="11" a="1"/>
  <c r="S404" i="11" s="1"/>
  <c r="S453" i="11" a="1"/>
  <c r="S453" i="11" s="1"/>
  <c r="T453" i="11" a="1"/>
  <c r="T453" i="11" s="1"/>
  <c r="T425" i="11" a="1"/>
  <c r="T425" i="11" s="1"/>
  <c r="S425" i="11" a="1"/>
  <c r="S425" i="11" s="1"/>
  <c r="S403" i="11" a="1"/>
  <c r="S403" i="11" s="1"/>
  <c r="T403" i="11" a="1"/>
  <c r="T403" i="11" s="1"/>
  <c r="S457" i="11" a="1"/>
  <c r="S457" i="11" s="1"/>
  <c r="T457" i="11" a="1"/>
  <c r="T457" i="11" s="1"/>
  <c r="T417" i="11" a="1"/>
  <c r="T417" i="11" s="1"/>
  <c r="S417" i="11" a="1"/>
  <c r="S417" i="11" s="1"/>
  <c r="S449" i="11" a="1"/>
  <c r="S449" i="11" s="1"/>
  <c r="T449" i="11" a="1"/>
  <c r="T449" i="11" s="1"/>
  <c r="T385" i="11" a="1"/>
  <c r="T385" i="11" s="1"/>
  <c r="S385" i="11" a="1"/>
  <c r="S385" i="11" s="1"/>
  <c r="T399" i="11" a="1"/>
  <c r="T399" i="11" s="1"/>
  <c r="S399" i="11" a="1"/>
  <c r="S399" i="11" s="1"/>
  <c r="T424" i="11" a="1"/>
  <c r="T424" i="11" s="1"/>
  <c r="S424" i="11" a="1"/>
  <c r="S424" i="11" s="1"/>
  <c r="S393" i="11" a="1"/>
  <c r="S393" i="11" s="1"/>
  <c r="T393" i="11" a="1"/>
  <c r="T393" i="11" s="1"/>
  <c r="S439" i="11" a="1"/>
  <c r="S439" i="11" s="1"/>
  <c r="T439" i="11" a="1"/>
  <c r="T439" i="11" s="1"/>
  <c r="T435" i="11" a="1"/>
  <c r="T435" i="11" s="1"/>
  <c r="S435" i="11" a="1"/>
  <c r="S435" i="11" s="1"/>
  <c r="S391" i="11" a="1"/>
  <c r="S391" i="11" s="1"/>
  <c r="T391" i="11" a="1"/>
  <c r="T391" i="11" s="1"/>
  <c r="T409" i="11" a="1"/>
  <c r="T409" i="11" s="1"/>
  <c r="S409" i="11" a="1"/>
  <c r="S409" i="11" s="1"/>
  <c r="T441" i="11" a="1"/>
  <c r="T441" i="11" s="1"/>
  <c r="S441" i="11" a="1"/>
  <c r="S441" i="11" s="1"/>
  <c r="T405" i="11" a="1"/>
  <c r="T405" i="11" s="1"/>
  <c r="S405" i="11" a="1"/>
  <c r="S405" i="11" s="1"/>
  <c r="T459" i="11" a="1"/>
  <c r="T459" i="11" s="1"/>
  <c r="S459" i="11" a="1"/>
  <c r="S459" i="11" s="1"/>
  <c r="S410" i="11" a="1"/>
  <c r="S410" i="11" s="1"/>
  <c r="T410" i="11" a="1"/>
  <c r="T410" i="11" s="1"/>
  <c r="T458" i="11" a="1"/>
  <c r="T458" i="11" s="1"/>
  <c r="S458" i="11" a="1"/>
  <c r="S458" i="11" s="1"/>
  <c r="S423" i="11" a="1"/>
  <c r="S423" i="11" s="1"/>
  <c r="T423" i="11" a="1"/>
  <c r="T423" i="11" s="1"/>
  <c r="T434" i="11" a="1"/>
  <c r="T434" i="11" s="1"/>
  <c r="S434" i="11" a="1"/>
  <c r="S434" i="11" s="1"/>
  <c r="T454" i="11" a="1"/>
  <c r="T454" i="11" s="1"/>
  <c r="S454" i="11" a="1"/>
  <c r="S454" i="11" s="1"/>
  <c r="T401" i="11" a="1"/>
  <c r="T401" i="11" s="1"/>
  <c r="S401" i="11" a="1"/>
  <c r="S401" i="11" s="1"/>
  <c r="T420" i="11" a="1"/>
  <c r="T420" i="11" s="1"/>
  <c r="S420" i="11" a="1"/>
  <c r="S420" i="11" s="1"/>
  <c r="T406" i="11" a="1"/>
  <c r="T406" i="11" s="1"/>
  <c r="S406" i="11" a="1"/>
  <c r="S406" i="11" s="1"/>
  <c r="T394" i="11" a="1"/>
  <c r="T394" i="11" s="1"/>
  <c r="S394" i="11" a="1"/>
  <c r="S394" i="11" s="1"/>
  <c r="S412" i="11" a="1"/>
  <c r="S412" i="11" s="1"/>
  <c r="T412" i="11" a="1"/>
  <c r="T412" i="11" s="1"/>
  <c r="T398" i="11" a="1"/>
  <c r="T398" i="11" s="1"/>
  <c r="S398" i="11" a="1"/>
  <c r="S398" i="11" s="1"/>
  <c r="T440" i="11" a="1"/>
  <c r="T440" i="11" s="1"/>
  <c r="S440" i="11" a="1"/>
  <c r="S440" i="11" s="1"/>
  <c r="T383" i="11" a="1"/>
  <c r="T383" i="11" s="1"/>
  <c r="S383" i="11" a="1"/>
  <c r="S383" i="11" s="1"/>
  <c r="S413" i="11" a="1"/>
  <c r="S413" i="11" s="1"/>
  <c r="T413" i="11" a="1"/>
  <c r="T413" i="11" s="1"/>
  <c r="T402" i="11" a="1"/>
  <c r="T402" i="11" s="1"/>
  <c r="S402" i="11" a="1"/>
  <c r="S402" i="11" s="1"/>
  <c r="S433" i="11" a="1"/>
  <c r="S433" i="11" s="1"/>
  <c r="T433" i="11" a="1"/>
  <c r="T433" i="11" s="1"/>
  <c r="T389" i="11" a="1"/>
  <c r="T389" i="11" s="1"/>
  <c r="S389" i="11" a="1"/>
  <c r="S389" i="11" s="1"/>
  <c r="T414" i="11" a="1"/>
  <c r="T414" i="11" s="1"/>
  <c r="S414" i="11" a="1"/>
  <c r="S414" i="11" s="1"/>
  <c r="T432" i="11" a="1"/>
  <c r="T432" i="11" s="1"/>
  <c r="S432" i="11" a="1"/>
  <c r="S432" i="11" s="1"/>
  <c r="T390" i="11" a="1"/>
  <c r="T390" i="11" s="1"/>
  <c r="S390" i="11" a="1"/>
  <c r="S390" i="11" s="1"/>
  <c r="S438" i="11" a="1"/>
  <c r="S438" i="11" s="1"/>
  <c r="T438" i="11" a="1"/>
  <c r="T438" i="11" s="1"/>
  <c r="T418" i="11" a="1"/>
  <c r="T418" i="11" s="1"/>
  <c r="S418" i="11" a="1"/>
  <c r="S418" i="11" s="1"/>
  <c r="T415" i="11" a="1"/>
  <c r="T415" i="11" s="1"/>
  <c r="S415" i="11" a="1"/>
  <c r="S415" i="11" s="1"/>
  <c r="L425" i="11"/>
  <c r="P204" i="11"/>
  <c r="Q204" i="11"/>
  <c r="K204" i="11"/>
  <c r="L204" i="11"/>
  <c r="N509" i="11" l="1"/>
  <c r="O509" i="11"/>
  <c r="R425" i="11"/>
  <c r="L509" i="11" s="1"/>
  <c r="M509" i="11"/>
  <c r="P425" i="11"/>
  <c r="J509" i="11" s="1"/>
  <c r="G41" i="13"/>
  <c r="G39" i="13" l="1"/>
  <c r="G37" i="13"/>
  <c r="A103" i="11" l="1"/>
  <c r="Y70" i="13" l="1"/>
  <c r="Y69" i="13"/>
  <c r="Y68" i="13"/>
  <c r="Y67" i="13"/>
  <c r="Y66" i="13"/>
  <c r="Y65" i="13"/>
  <c r="Y64" i="13"/>
  <c r="Y63" i="13"/>
  <c r="Y62" i="13"/>
  <c r="Y61" i="13"/>
  <c r="Y60" i="13"/>
  <c r="Y59" i="13"/>
  <c r="Y58" i="13"/>
  <c r="Y57" i="13"/>
  <c r="Y56" i="13"/>
  <c r="Y55" i="13"/>
  <c r="Y54" i="13"/>
  <c r="Y53" i="13"/>
  <c r="Y52" i="13"/>
  <c r="Y51" i="13"/>
  <c r="Y50" i="13"/>
  <c r="Y49" i="13"/>
  <c r="Y48" i="13"/>
  <c r="Y47" i="13"/>
  <c r="Y46" i="13"/>
  <c r="Y45" i="13"/>
  <c r="Y44" i="13"/>
  <c r="Y43" i="13"/>
  <c r="Y42" i="13"/>
  <c r="Y41" i="13"/>
  <c r="Y40" i="13"/>
  <c r="Y39" i="13"/>
  <c r="Y38" i="13"/>
  <c r="Y37" i="13"/>
  <c r="Y36" i="13"/>
  <c r="Y35" i="13"/>
  <c r="Y34" i="13"/>
  <c r="Y33" i="13"/>
  <c r="AC19" i="13"/>
  <c r="Z42" i="13"/>
  <c r="Y32" i="13"/>
  <c r="Y31" i="13"/>
  <c r="Y30" i="13"/>
  <c r="Y29" i="13"/>
  <c r="Y28" i="13"/>
  <c r="Y27" i="13"/>
  <c r="Y26" i="13"/>
  <c r="Y25" i="13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AG12" i="13" l="1"/>
  <c r="Z15" i="13"/>
  <c r="AF20" i="13"/>
  <c r="AA11" i="13"/>
  <c r="AF16" i="13"/>
  <c r="Z19" i="13"/>
  <c r="AF25" i="13"/>
  <c r="AG11" i="13"/>
  <c r="AF15" i="13"/>
  <c r="AF19" i="13"/>
  <c r="Z24" i="13"/>
  <c r="Z18" i="13"/>
  <c r="Z22" i="13"/>
  <c r="AA13" i="13"/>
  <c r="Z17" i="13"/>
  <c r="AF18" i="13"/>
  <c r="AF21" i="13"/>
  <c r="Z23" i="13"/>
  <c r="AF24" i="13"/>
  <c r="AA12" i="13"/>
  <c r="AG13" i="13"/>
  <c r="Z16" i="13"/>
  <c r="AF17" i="13"/>
  <c r="Z20" i="13"/>
  <c r="AF23" i="13"/>
  <c r="AJ11" i="13"/>
  <c r="AJ12" i="13"/>
  <c r="AJ13" i="13"/>
  <c r="AJ14" i="13"/>
  <c r="AJ15" i="13"/>
  <c r="AJ16" i="13"/>
  <c r="AJ17" i="13"/>
  <c r="AJ18" i="13"/>
  <c r="Z21" i="13"/>
  <c r="AF22" i="13"/>
  <c r="Z25" i="13"/>
  <c r="AJ26" i="13"/>
  <c r="AJ28" i="13"/>
  <c r="AJ30" i="13"/>
  <c r="AJ32" i="13"/>
  <c r="AI56" i="13"/>
  <c r="AJ19" i="13"/>
  <c r="AJ20" i="13"/>
  <c r="AJ21" i="13"/>
  <c r="AJ22" i="13"/>
  <c r="AJ23" i="13"/>
  <c r="AJ24" i="13"/>
  <c r="AJ25" i="13"/>
  <c r="AJ27" i="13"/>
  <c r="AJ29" i="13"/>
  <c r="AJ31" i="13"/>
  <c r="AB15" i="13"/>
  <c r="AB16" i="13"/>
  <c r="AB13" i="13"/>
  <c r="AB17" i="13"/>
  <c r="AH11" i="13"/>
  <c r="AB12" i="13"/>
  <c r="AB11" i="13"/>
  <c r="AB14" i="13"/>
  <c r="AC15" i="13"/>
  <c r="AC17" i="13"/>
  <c r="AC13" i="13"/>
  <c r="AC14" i="13"/>
  <c r="AC18" i="13"/>
  <c r="AC12" i="13"/>
  <c r="AC16" i="13"/>
  <c r="AC11" i="13"/>
  <c r="AB54" i="13"/>
  <c r="Z34" i="13"/>
  <c r="AJ49" i="13"/>
  <c r="AD49" i="13" s="1"/>
  <c r="AJ34" i="13"/>
  <c r="Z33" i="13"/>
  <c r="AJ42" i="13"/>
  <c r="AI11" i="13"/>
  <c r="AI12" i="13"/>
  <c r="AI13" i="13"/>
  <c r="AI14" i="13"/>
  <c r="AI15" i="13"/>
  <c r="AI16" i="13"/>
  <c r="AI17" i="13"/>
  <c r="AI18" i="13"/>
  <c r="AI19" i="13"/>
  <c r="AC20" i="13"/>
  <c r="AI21" i="13"/>
  <c r="AC22" i="13"/>
  <c r="AI23" i="13"/>
  <c r="AC24" i="13"/>
  <c r="AI25" i="13"/>
  <c r="AI26" i="13"/>
  <c r="AI27" i="13"/>
  <c r="AI28" i="13"/>
  <c r="AI29" i="13"/>
  <c r="AI30" i="13"/>
  <c r="AI31" i="13"/>
  <c r="AI32" i="13"/>
  <c r="AB38" i="13"/>
  <c r="AB35" i="13"/>
  <c r="AI20" i="13"/>
  <c r="AC21" i="13"/>
  <c r="AI22" i="13"/>
  <c r="AC23" i="13"/>
  <c r="AI24" i="13"/>
  <c r="AC25" i="13"/>
  <c r="AJ33" i="13"/>
  <c r="AH37" i="13"/>
  <c r="AB39" i="13"/>
  <c r="AJ47" i="13"/>
  <c r="AD47" i="13" s="1"/>
  <c r="AC67" i="13"/>
  <c r="AH12" i="13"/>
  <c r="AH13" i="13"/>
  <c r="AH14" i="13"/>
  <c r="AH15" i="13"/>
  <c r="AH16" i="13"/>
  <c r="AH17" i="13"/>
  <c r="AC26" i="13"/>
  <c r="AC27" i="13"/>
  <c r="AC28" i="13"/>
  <c r="AC29" i="13"/>
  <c r="AC30" i="13"/>
  <c r="AC31" i="13"/>
  <c r="AC32" i="13"/>
  <c r="AA45" i="13"/>
  <c r="AB43" i="13"/>
  <c r="AB46" i="13"/>
  <c r="H48" i="13"/>
  <c r="AF33" i="13"/>
  <c r="AF34" i="13"/>
  <c r="AG59" i="13"/>
  <c r="AF58" i="13"/>
  <c r="AG55" i="13"/>
  <c r="AF54" i="13"/>
  <c r="AG51" i="13"/>
  <c r="AF50" i="13"/>
  <c r="Z49" i="13"/>
  <c r="Z47" i="13"/>
  <c r="AG60" i="13"/>
  <c r="AF59" i="13"/>
  <c r="AG56" i="13"/>
  <c r="AF55" i="13"/>
  <c r="AG52" i="13"/>
  <c r="AF51" i="13"/>
  <c r="AF48" i="13"/>
  <c r="AA48" i="13"/>
  <c r="AG48" i="13" s="1"/>
  <c r="AF46" i="13"/>
  <c r="Z46" i="13"/>
  <c r="AF45" i="13"/>
  <c r="Z45" i="13"/>
  <c r="AA43" i="13"/>
  <c r="AG43" i="13" s="1"/>
  <c r="AF40" i="13"/>
  <c r="Z40" i="13"/>
  <c r="AF39" i="13"/>
  <c r="Z39" i="13"/>
  <c r="AA38" i="13"/>
  <c r="AG38" i="13" s="1"/>
  <c r="AA37" i="13"/>
  <c r="AG37" i="13" s="1"/>
  <c r="AF60" i="13"/>
  <c r="AG57" i="13"/>
  <c r="AF56" i="13"/>
  <c r="AG53" i="13"/>
  <c r="AF52" i="13"/>
  <c r="Z48" i="13"/>
  <c r="AG47" i="13"/>
  <c r="AF43" i="13"/>
  <c r="Z43" i="13"/>
  <c r="AF38" i="13"/>
  <c r="Z38" i="13"/>
  <c r="AF37" i="13"/>
  <c r="Z37" i="13"/>
  <c r="AG58" i="13"/>
  <c r="AF57" i="13"/>
  <c r="AG50" i="13"/>
  <c r="AF49" i="13"/>
  <c r="AF47" i="13"/>
  <c r="AA46" i="13"/>
  <c r="AG46" i="13" s="1"/>
  <c r="Z44" i="13"/>
  <c r="AG42" i="13"/>
  <c r="AF41" i="13"/>
  <c r="AA39" i="13"/>
  <c r="AG39" i="13" s="1"/>
  <c r="AF36" i="13"/>
  <c r="AG35" i="13"/>
  <c r="AA35" i="13"/>
  <c r="AA32" i="13"/>
  <c r="AG32" i="13" s="1"/>
  <c r="AG31" i="13"/>
  <c r="AA31" i="13"/>
  <c r="AA30" i="13"/>
  <c r="AG30" i="13" s="1"/>
  <c r="AG29" i="13"/>
  <c r="AA29" i="13"/>
  <c r="AA28" i="13"/>
  <c r="AG28" i="13" s="1"/>
  <c r="AG27" i="13"/>
  <c r="AA27" i="13"/>
  <c r="AA26" i="13"/>
  <c r="AG26" i="13" s="1"/>
  <c r="AG25" i="13"/>
  <c r="AA25" i="13"/>
  <c r="AA24" i="13"/>
  <c r="AG24" i="13" s="1"/>
  <c r="AG23" i="13"/>
  <c r="AA23" i="13"/>
  <c r="AA22" i="13"/>
  <c r="AG22" i="13" s="1"/>
  <c r="AA49" i="13"/>
  <c r="AG49" i="13" s="1"/>
  <c r="AA47" i="13"/>
  <c r="AG45" i="13"/>
  <c r="AG44" i="13"/>
  <c r="AF42" i="13"/>
  <c r="AA41" i="13"/>
  <c r="AA40" i="13"/>
  <c r="AG40" i="13" s="1"/>
  <c r="AF35" i="13"/>
  <c r="Z35" i="13"/>
  <c r="AF32" i="13"/>
  <c r="Z32" i="13"/>
  <c r="AF31" i="13"/>
  <c r="Z31" i="13"/>
  <c r="AF30" i="13"/>
  <c r="Z30" i="13"/>
  <c r="AF29" i="13"/>
  <c r="Z29" i="13"/>
  <c r="AF28" i="13"/>
  <c r="Z28" i="13"/>
  <c r="AF27" i="13"/>
  <c r="Z27" i="13"/>
  <c r="AF26" i="13"/>
  <c r="Z26" i="13"/>
  <c r="AG54" i="13"/>
  <c r="AF53" i="13"/>
  <c r="AF44" i="13"/>
  <c r="AA42" i="13"/>
  <c r="Z41" i="13"/>
  <c r="AA36" i="13"/>
  <c r="AG36" i="13" s="1"/>
  <c r="AA34" i="13"/>
  <c r="AG34" i="13" s="1"/>
  <c r="AA33" i="13"/>
  <c r="AG33" i="13" s="1"/>
  <c r="Z36" i="13"/>
  <c r="AG41" i="13"/>
  <c r="AA44" i="13"/>
  <c r="AB67" i="13"/>
  <c r="AB63" i="13"/>
  <c r="AH60" i="13"/>
  <c r="AB59" i="13"/>
  <c r="AH56" i="13"/>
  <c r="AB55" i="13"/>
  <c r="AH52" i="13"/>
  <c r="AB51" i="13"/>
  <c r="AB48" i="13"/>
  <c r="AB68" i="13"/>
  <c r="AB64" i="13"/>
  <c r="AB60" i="13"/>
  <c r="AH57" i="13"/>
  <c r="AB56" i="13"/>
  <c r="AH53" i="13"/>
  <c r="AB52" i="13"/>
  <c r="AH49" i="13"/>
  <c r="AH47" i="13"/>
  <c r="AH36" i="13"/>
  <c r="AB36" i="13"/>
  <c r="AH35" i="13"/>
  <c r="AB69" i="13"/>
  <c r="AB65" i="13"/>
  <c r="AB61" i="13"/>
  <c r="AH58" i="13"/>
  <c r="AB57" i="13"/>
  <c r="AH54" i="13"/>
  <c r="AB53" i="13"/>
  <c r="AH50" i="13"/>
  <c r="AB49" i="13"/>
  <c r="AB47" i="13"/>
  <c r="AH44" i="13"/>
  <c r="AB44" i="13"/>
  <c r="AH42" i="13"/>
  <c r="AB42" i="13"/>
  <c r="AH41" i="13"/>
  <c r="AB41" i="13"/>
  <c r="AJ35" i="13"/>
  <c r="AH40" i="13"/>
  <c r="AJ41" i="13"/>
  <c r="AB45" i="13"/>
  <c r="AH55" i="13"/>
  <c r="AB66" i="13"/>
  <c r="AC68" i="13"/>
  <c r="AC64" i="13"/>
  <c r="AC60" i="13"/>
  <c r="AI57" i="13"/>
  <c r="AC56" i="13"/>
  <c r="AC69" i="13"/>
  <c r="AC65" i="13"/>
  <c r="AC61" i="13"/>
  <c r="AI58" i="13"/>
  <c r="AC57" i="13"/>
  <c r="AC70" i="13"/>
  <c r="AC66" i="13"/>
  <c r="AC62" i="13"/>
  <c r="AI59" i="13"/>
  <c r="AC58" i="13"/>
  <c r="AB34" i="13"/>
  <c r="AH34" i="13"/>
  <c r="AJ36" i="13"/>
  <c r="AB37" i="13"/>
  <c r="AH38" i="13"/>
  <c r="AH39" i="13"/>
  <c r="AH43" i="13"/>
  <c r="AH46" i="13"/>
  <c r="AB50" i="13"/>
  <c r="AB58" i="13"/>
  <c r="AC59" i="13"/>
  <c r="AC63" i="13"/>
  <c r="AJ48" i="13"/>
  <c r="AD48" i="13" s="1"/>
  <c r="AJ46" i="13"/>
  <c r="AJ45" i="13"/>
  <c r="AJ40" i="13"/>
  <c r="AJ39" i="13"/>
  <c r="AJ43" i="13"/>
  <c r="AJ38" i="13"/>
  <c r="AJ37" i="13"/>
  <c r="AC33" i="13"/>
  <c r="AI33" i="13"/>
  <c r="AB40" i="13"/>
  <c r="AJ44" i="13"/>
  <c r="AH45" i="13"/>
  <c r="AH48" i="13"/>
  <c r="AH51" i="13"/>
  <c r="AH59" i="13"/>
  <c r="AI60" i="13"/>
  <c r="AB62" i="13"/>
  <c r="AB70" i="13"/>
  <c r="D50" i="13" l="1"/>
  <c r="A165" i="8"/>
  <c r="L205" i="11" l="1"/>
  <c r="K205" i="11"/>
  <c r="Q205" i="11"/>
  <c r="P205" i="11"/>
  <c r="J15" i="11"/>
  <c r="K67" i="11" l="1"/>
  <c r="L67" i="11"/>
  <c r="K66" i="11"/>
  <c r="L66" i="11"/>
  <c r="L59" i="11"/>
  <c r="K65" i="11"/>
  <c r="K59" i="11"/>
  <c r="L60" i="11"/>
  <c r="K62" i="11"/>
  <c r="K64" i="11"/>
  <c r="L64" i="11"/>
  <c r="L62" i="11"/>
  <c r="K63" i="11"/>
  <c r="L61" i="11"/>
  <c r="L65" i="11"/>
  <c r="K61" i="11"/>
  <c r="K60" i="11"/>
  <c r="L63" i="11"/>
  <c r="L55" i="11"/>
  <c r="K55" i="11"/>
  <c r="L58" i="11"/>
  <c r="K58" i="11"/>
  <c r="N200" i="11"/>
  <c r="K56" i="11"/>
  <c r="L56" i="11"/>
  <c r="J200" i="11"/>
  <c r="L57" i="11"/>
  <c r="O200" i="11"/>
  <c r="K57" i="11"/>
  <c r="I200" i="11"/>
  <c r="L37" i="11"/>
  <c r="L50" i="11"/>
  <c r="L36" i="11"/>
  <c r="L32" i="11"/>
  <c r="L47" i="11"/>
  <c r="L49" i="11"/>
  <c r="K51" i="11"/>
  <c r="L51" i="11"/>
  <c r="K50" i="11"/>
  <c r="K37" i="11"/>
  <c r="L45" i="11"/>
  <c r="K52" i="11"/>
  <c r="L25" i="11"/>
  <c r="L41" i="11"/>
  <c r="L31" i="11"/>
  <c r="K41" i="11"/>
  <c r="K49" i="11"/>
  <c r="L33" i="11"/>
  <c r="K42" i="11"/>
  <c r="K48" i="11"/>
  <c r="L46" i="11"/>
  <c r="K32" i="11"/>
  <c r="K46" i="11"/>
  <c r="L44" i="11"/>
  <c r="K33" i="11"/>
  <c r="K38" i="11"/>
  <c r="K36" i="11"/>
  <c r="K31" i="11"/>
  <c r="K45" i="11"/>
  <c r="K35" i="11"/>
  <c r="K24" i="11"/>
  <c r="L38" i="11"/>
  <c r="K25" i="11"/>
  <c r="L34" i="11"/>
  <c r="L40" i="11"/>
  <c r="L48" i="11"/>
  <c r="K34" i="11"/>
  <c r="K47" i="11"/>
  <c r="L43" i="11"/>
  <c r="K40" i="11"/>
  <c r="L24" i="11"/>
  <c r="L30" i="11"/>
  <c r="L35" i="11"/>
  <c r="L53" i="11"/>
  <c r="K27" i="11"/>
  <c r="L39" i="11"/>
  <c r="K53" i="11"/>
  <c r="L27" i="11"/>
  <c r="L42" i="11"/>
  <c r="K26" i="11"/>
  <c r="K44" i="11"/>
  <c r="L52" i="11"/>
  <c r="L28" i="11"/>
  <c r="K43" i="11"/>
  <c r="L26" i="11"/>
  <c r="K39" i="11"/>
  <c r="K30" i="11"/>
  <c r="K29" i="11"/>
  <c r="L54" i="11"/>
  <c r="K28" i="11"/>
  <c r="L29" i="11"/>
  <c r="K54" i="11"/>
  <c r="H200" i="11"/>
  <c r="M200" i="11"/>
  <c r="A253" i="8"/>
  <c r="A254" i="8"/>
  <c r="Q48" i="11" l="1"/>
  <c r="T48" i="11" s="1"/>
  <c r="O67" i="11"/>
  <c r="O65" i="11"/>
  <c r="O66" i="11"/>
  <c r="Q66" i="11"/>
  <c r="Q67" i="11"/>
  <c r="Q65" i="11"/>
  <c r="Q61" i="11"/>
  <c r="T61" i="11" s="1"/>
  <c r="O61" i="11"/>
  <c r="S61" i="11" s="1"/>
  <c r="O59" i="11"/>
  <c r="S59" i="11" s="1"/>
  <c r="Q59" i="11"/>
  <c r="T59" i="11" s="1"/>
  <c r="O64" i="11"/>
  <c r="S64" i="11" s="1"/>
  <c r="Q64" i="11"/>
  <c r="T64" i="11" s="1"/>
  <c r="O60" i="11"/>
  <c r="S60" i="11" s="1"/>
  <c r="Q60" i="11"/>
  <c r="T60" i="11" s="1"/>
  <c r="Q63" i="11"/>
  <c r="T63" i="11" s="1"/>
  <c r="O63" i="11"/>
  <c r="S63" i="11" s="1"/>
  <c r="O62" i="11"/>
  <c r="S62" i="11" s="1"/>
  <c r="Q62" i="11"/>
  <c r="T62" i="11" s="1"/>
  <c r="O31" i="11"/>
  <c r="S31" i="11" s="1"/>
  <c r="Q46" i="11"/>
  <c r="T46" i="11" s="1"/>
  <c r="O57" i="11"/>
  <c r="S57" i="11" s="1"/>
  <c r="Q57" i="11"/>
  <c r="T57" i="11" s="1"/>
  <c r="O56" i="11"/>
  <c r="S56" i="11" s="1"/>
  <c r="Q56" i="11"/>
  <c r="T56" i="11" s="1"/>
  <c r="O55" i="11"/>
  <c r="S55" i="11" s="1"/>
  <c r="Q55" i="11"/>
  <c r="T55" i="11" s="1"/>
  <c r="O58" i="11"/>
  <c r="S58" i="11" s="1"/>
  <c r="Q58" i="11"/>
  <c r="T58" i="11" s="1"/>
  <c r="O34" i="11"/>
  <c r="S34" i="11" s="1"/>
  <c r="O40" i="11"/>
  <c r="S40" i="11" s="1"/>
  <c r="Q30" i="11"/>
  <c r="T30" i="11" s="1"/>
  <c r="Q35" i="11"/>
  <c r="T35" i="11" s="1"/>
  <c r="Q41" i="11"/>
  <c r="T41" i="11" s="1"/>
  <c r="Q31" i="11"/>
  <c r="T31" i="11" s="1"/>
  <c r="O54" i="11"/>
  <c r="S54" i="11" s="1"/>
  <c r="Q54" i="11"/>
  <c r="T54" i="11" s="1"/>
  <c r="O26" i="11"/>
  <c r="S26" i="11" s="1"/>
  <c r="Q26" i="11"/>
  <c r="T26" i="11" s="1"/>
  <c r="O47" i="11"/>
  <c r="S47" i="11" s="1"/>
  <c r="Q47" i="11"/>
  <c r="T47" i="11" s="1"/>
  <c r="O38" i="11"/>
  <c r="S38" i="11" s="1"/>
  <c r="Q38" i="11"/>
  <c r="T38" i="11" s="1"/>
  <c r="O28" i="11"/>
  <c r="S28" i="11" s="1"/>
  <c r="Q28" i="11"/>
  <c r="T28" i="11" s="1"/>
  <c r="Q27" i="11"/>
  <c r="T27" i="11" s="1"/>
  <c r="O27" i="11"/>
  <c r="S27" i="11" s="1"/>
  <c r="O25" i="11"/>
  <c r="S25" i="11" s="1"/>
  <c r="Q25" i="11"/>
  <c r="T25" i="11" s="1"/>
  <c r="Q45" i="11"/>
  <c r="T45" i="11" s="1"/>
  <c r="O45" i="11"/>
  <c r="S45" i="11" s="1"/>
  <c r="Q33" i="11"/>
  <c r="T33" i="11" s="1"/>
  <c r="O33" i="11"/>
  <c r="S33" i="11" s="1"/>
  <c r="Q49" i="11"/>
  <c r="T49" i="11" s="1"/>
  <c r="O49" i="11"/>
  <c r="S49" i="11" s="1"/>
  <c r="O50" i="11"/>
  <c r="S50" i="11" s="1"/>
  <c r="Q50" i="11"/>
  <c r="T50" i="11" s="1"/>
  <c r="O35" i="11"/>
  <c r="S35" i="11" s="1"/>
  <c r="Q40" i="11"/>
  <c r="T40" i="11" s="1"/>
  <c r="O48" i="11"/>
  <c r="S48" i="11" s="1"/>
  <c r="O30" i="11"/>
  <c r="S30" i="11" s="1"/>
  <c r="Q34" i="11"/>
  <c r="T34" i="11" s="1"/>
  <c r="O46" i="11"/>
  <c r="S46" i="11" s="1"/>
  <c r="O43" i="11"/>
  <c r="S43" i="11" s="1"/>
  <c r="Q43" i="11"/>
  <c r="T43" i="11" s="1"/>
  <c r="O53" i="11"/>
  <c r="S53" i="11" s="1"/>
  <c r="Q53" i="11"/>
  <c r="T53" i="11" s="1"/>
  <c r="Q24" i="11"/>
  <c r="T24" i="11" s="1"/>
  <c r="O24" i="11"/>
  <c r="S24" i="11" s="1"/>
  <c r="O36" i="11"/>
  <c r="S36" i="11" s="1"/>
  <c r="Q36" i="11"/>
  <c r="T36" i="11" s="1"/>
  <c r="Q42" i="11"/>
  <c r="T42" i="11" s="1"/>
  <c r="O42" i="11"/>
  <c r="S42" i="11" s="1"/>
  <c r="Q51" i="11"/>
  <c r="T51" i="11" s="1"/>
  <c r="O51" i="11"/>
  <c r="S51" i="11" s="1"/>
  <c r="Q29" i="11"/>
  <c r="T29" i="11" s="1"/>
  <c r="O29" i="11"/>
  <c r="S29" i="11" s="1"/>
  <c r="O32" i="11"/>
  <c r="S32" i="11" s="1"/>
  <c r="Q32" i="11"/>
  <c r="T32" i="11" s="1"/>
  <c r="Q37" i="11"/>
  <c r="T37" i="11" s="1"/>
  <c r="O37" i="11"/>
  <c r="S37" i="11" s="1"/>
  <c r="Q44" i="11"/>
  <c r="T44" i="11" s="1"/>
  <c r="O44" i="11"/>
  <c r="S44" i="11" s="1"/>
  <c r="O39" i="11"/>
  <c r="S39" i="11" s="1"/>
  <c r="Q39" i="11"/>
  <c r="T39" i="11" s="1"/>
  <c r="Q52" i="11"/>
  <c r="T52" i="11" s="1"/>
  <c r="O52" i="11"/>
  <c r="S52" i="11" s="1"/>
  <c r="O41" i="11"/>
  <c r="S41" i="11" s="1"/>
  <c r="A251" i="8"/>
  <c r="A50" i="8" l="1"/>
  <c r="A90" i="8"/>
  <c r="A19" i="8"/>
  <c r="A18" i="8"/>
  <c r="A23" i="8"/>
  <c r="A28" i="8"/>
  <c r="A30" i="8"/>
  <c r="A72" i="8"/>
  <c r="A83" i="8"/>
  <c r="A92" i="8"/>
  <c r="A111" i="8"/>
  <c r="A126" i="8"/>
  <c r="A40" i="8"/>
  <c r="A81" i="8"/>
  <c r="A101" i="8"/>
  <c r="A124" i="8"/>
  <c r="A139" i="8"/>
  <c r="A48" i="8"/>
  <c r="A46" i="8"/>
  <c r="A44" i="8"/>
  <c r="A138" i="8"/>
  <c r="A136" i="8"/>
  <c r="A134" i="8"/>
  <c r="A130" i="8"/>
  <c r="A123" i="8"/>
  <c r="A121" i="8"/>
  <c r="A119" i="8"/>
  <c r="A117" i="8"/>
  <c r="A115" i="8"/>
  <c r="A100" i="8"/>
  <c r="A98" i="8"/>
  <c r="A96" i="8"/>
  <c r="A87" i="8"/>
  <c r="A80" i="8"/>
  <c r="A78" i="8"/>
  <c r="A76" i="8"/>
  <c r="A27" i="8"/>
  <c r="A25" i="8"/>
  <c r="A112" i="8" l="1"/>
  <c r="A20" i="8"/>
  <c r="A12" i="8"/>
  <c r="A16" i="8"/>
  <c r="A14" i="8"/>
  <c r="J29" i="8" l="1"/>
  <c r="J95" i="8" l="1"/>
  <c r="J135" i="8"/>
  <c r="J97" i="8"/>
  <c r="J24" i="8"/>
  <c r="J77" i="8"/>
  <c r="J43" i="8"/>
  <c r="J22" i="8"/>
  <c r="J122" i="8"/>
  <c r="J114" i="8"/>
  <c r="J45" i="8"/>
  <c r="J129" i="8"/>
  <c r="J86" i="8"/>
  <c r="J116" i="8"/>
  <c r="J118" i="8"/>
  <c r="J49" i="8"/>
  <c r="J137" i="8"/>
  <c r="J75" i="8"/>
  <c r="J47" i="8"/>
  <c r="J133" i="8"/>
  <c r="J26" i="8"/>
  <c r="J79" i="8"/>
  <c r="J99" i="8"/>
  <c r="J120" i="8"/>
  <c r="AV3" i="4" a="1"/>
  <c r="J81" i="8" l="1"/>
  <c r="J101" i="8"/>
  <c r="J28" i="8"/>
  <c r="J30" i="8" s="1"/>
  <c r="J139" i="8"/>
  <c r="J124" i="8"/>
  <c r="J90" i="8"/>
  <c r="J51" i="8"/>
  <c r="AV89" i="4"/>
  <c r="AV54" i="4"/>
  <c r="AV43" i="4"/>
  <c r="AV67" i="4"/>
  <c r="AV27" i="4"/>
  <c r="AV3" i="4"/>
  <c r="AV85" i="4"/>
  <c r="AV10" i="4"/>
  <c r="AV50" i="4"/>
  <c r="AV7" i="4"/>
  <c r="AV39" i="4"/>
  <c r="AV30" i="4"/>
  <c r="AV8" i="4"/>
  <c r="AV22" i="4"/>
  <c r="AV4" i="4"/>
  <c r="AV9" i="4"/>
  <c r="AV23" i="4"/>
  <c r="AV31" i="4"/>
  <c r="AV63" i="4"/>
  <c r="AV74" i="4"/>
  <c r="AV49" i="4"/>
  <c r="AV53" i="4"/>
  <c r="AV46" i="4"/>
  <c r="AV35" i="4"/>
  <c r="AV72" i="4"/>
  <c r="AV52" i="4"/>
  <c r="AV80" i="4"/>
  <c r="AV44" i="4"/>
  <c r="AV42" i="4"/>
  <c r="AV81" i="4"/>
  <c r="AV16" i="4"/>
  <c r="AV70" i="4"/>
  <c r="AV61" i="4"/>
  <c r="AV86" i="4"/>
  <c r="AV64" i="4"/>
  <c r="AV28" i="4"/>
  <c r="AV66" i="4"/>
  <c r="AV19" i="4"/>
  <c r="AV21" i="4"/>
  <c r="AV51" i="4"/>
  <c r="AV48" i="4"/>
  <c r="AV25" i="4"/>
  <c r="AV91" i="4"/>
  <c r="AV34" i="4"/>
  <c r="AV69" i="4"/>
  <c r="AV40" i="4"/>
  <c r="AV73" i="4"/>
  <c r="AV24" i="4"/>
  <c r="AV33" i="4"/>
  <c r="AV45" i="4"/>
  <c r="AV41" i="4"/>
  <c r="AV75" i="4"/>
  <c r="AV5" i="4"/>
  <c r="AV11" i="4"/>
  <c r="AV15" i="4"/>
  <c r="AV56" i="4"/>
  <c r="AV13" i="4"/>
  <c r="AV88" i="4"/>
  <c r="AV68" i="4"/>
  <c r="AV26" i="4"/>
  <c r="AV58" i="4"/>
  <c r="AV6" i="4"/>
  <c r="AV65" i="4"/>
  <c r="AV57" i="4"/>
  <c r="AV71" i="4"/>
  <c r="AV32" i="4"/>
  <c r="AV38" i="4"/>
  <c r="AV78" i="4"/>
  <c r="AV90" i="4"/>
  <c r="AV60" i="4"/>
  <c r="AV76" i="4"/>
  <c r="AV17" i="4"/>
  <c r="AV36" i="4"/>
  <c r="AV77" i="4"/>
  <c r="AV82" i="4"/>
  <c r="AV20" i="4"/>
  <c r="AV47" i="4"/>
  <c r="AV87" i="4"/>
  <c r="AV55" i="4"/>
  <c r="AV59" i="4"/>
  <c r="AV84" i="4"/>
  <c r="AV83" i="4"/>
  <c r="AV29" i="4"/>
  <c r="AV92" i="4"/>
  <c r="AV79" i="4"/>
  <c r="AV18" i="4"/>
  <c r="AV62" i="4"/>
  <c r="AV14" i="4"/>
  <c r="AV12" i="4"/>
  <c r="AV37" i="4"/>
  <c r="E295" i="8" l="1"/>
  <c r="E291" i="8"/>
  <c r="E287" i="8"/>
  <c r="E283" i="8"/>
  <c r="E279" i="8"/>
  <c r="E275" i="8"/>
  <c r="E271" i="8"/>
  <c r="E267" i="8"/>
  <c r="E263" i="8"/>
  <c r="E259" i="8"/>
  <c r="E293" i="8"/>
  <c r="E285" i="8"/>
  <c r="E281" i="8"/>
  <c r="E273" i="8"/>
  <c r="E265" i="8"/>
  <c r="E261" i="8"/>
  <c r="E289" i="8"/>
  <c r="E277" i="8"/>
  <c r="E269" i="8"/>
  <c r="E257" i="8"/>
  <c r="AN4" i="12" l="1"/>
  <c r="AN5" i="12" s="1"/>
  <c r="AN6" i="12" s="1"/>
  <c r="AN7" i="12" s="1"/>
  <c r="AN8" i="12" s="1"/>
  <c r="AN9" i="12" s="1"/>
  <c r="AN10" i="12" s="1"/>
  <c r="AN11" i="12" s="1"/>
  <c r="AN12" i="12" s="1"/>
  <c r="AN13" i="12" s="1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AN25" i="12" s="1"/>
  <c r="AN26" i="12" s="1"/>
  <c r="AN27" i="12" s="1"/>
  <c r="AN28" i="12" s="1"/>
  <c r="AN29" i="12" s="1"/>
  <c r="AN30" i="12" s="1"/>
  <c r="AN31" i="12" s="1"/>
  <c r="AN32" i="12" s="1"/>
  <c r="AN33" i="12" s="1"/>
  <c r="AN34" i="12" s="1"/>
  <c r="AN35" i="12" s="1"/>
  <c r="AN36" i="12" s="1"/>
  <c r="AN37" i="12" s="1"/>
  <c r="AN38" i="12" s="1"/>
  <c r="AN39" i="12" s="1"/>
  <c r="AN40" i="12" s="1"/>
  <c r="AN41" i="12" s="1"/>
  <c r="AN42" i="12" s="1"/>
  <c r="AN43" i="12" s="1"/>
  <c r="AN44" i="12" s="1"/>
  <c r="AN45" i="12" s="1"/>
  <c r="AN46" i="12" s="1"/>
  <c r="AN47" i="12" s="1"/>
  <c r="AN48" i="12" s="1"/>
  <c r="AN49" i="12" s="1"/>
  <c r="AN50" i="12" s="1"/>
  <c r="AN51" i="12" s="1"/>
  <c r="AN52" i="12" s="1"/>
  <c r="AN53" i="12" s="1"/>
  <c r="AN54" i="12" s="1"/>
  <c r="AN55" i="12" s="1"/>
  <c r="AN56" i="12" s="1"/>
  <c r="AN57" i="12" s="1"/>
  <c r="AN58" i="12" s="1"/>
  <c r="AN59" i="12" s="1"/>
  <c r="AN60" i="12" s="1"/>
  <c r="AN61" i="12" s="1"/>
  <c r="AN62" i="12" s="1"/>
  <c r="AN63" i="12" s="1"/>
  <c r="AN64" i="12" s="1"/>
  <c r="AN65" i="12" s="1"/>
  <c r="AN66" i="12" s="1"/>
  <c r="AN67" i="12" s="1"/>
  <c r="AN68" i="12" s="1"/>
  <c r="AN69" i="12" s="1"/>
  <c r="AN70" i="12" s="1"/>
  <c r="AN71" i="12" s="1"/>
  <c r="AN72" i="12" s="1"/>
  <c r="AN73" i="12" s="1"/>
  <c r="AN74" i="12" s="1"/>
  <c r="AN75" i="12" s="1"/>
  <c r="AN76" i="12" s="1"/>
  <c r="AN77" i="12" s="1"/>
  <c r="AN78" i="12" s="1"/>
  <c r="AN79" i="12" s="1"/>
  <c r="AN80" i="12" s="1"/>
  <c r="AN81" i="12" s="1"/>
  <c r="AN82" i="12" s="1"/>
  <c r="AN83" i="12" s="1"/>
  <c r="AN84" i="12" s="1"/>
  <c r="AN85" i="12" s="1"/>
  <c r="AN86" i="12" s="1"/>
  <c r="AN87" i="12" s="1"/>
  <c r="AN88" i="12" s="1"/>
  <c r="AN89" i="12" s="1"/>
  <c r="AN90" i="12" s="1"/>
  <c r="AN91" i="12" s="1"/>
  <c r="AN92" i="12" s="1"/>
  <c r="AN93" i="12" s="1"/>
  <c r="AN94" i="12" s="1"/>
  <c r="AN95" i="12" s="1"/>
  <c r="AN96" i="12" s="1"/>
  <c r="AN97" i="12" s="1"/>
  <c r="AN98" i="12" s="1"/>
  <c r="AN99" i="12" s="1"/>
  <c r="AN100" i="12" s="1"/>
  <c r="AN101" i="12" s="1"/>
  <c r="AN102" i="12" s="1"/>
  <c r="AN103" i="12" s="1"/>
  <c r="AN104" i="12" s="1"/>
  <c r="AN105" i="12" s="1"/>
  <c r="AN106" i="12" s="1"/>
  <c r="AN107" i="12" s="1"/>
  <c r="AN108" i="12" s="1"/>
  <c r="AN109" i="12" s="1"/>
  <c r="AN110" i="12" s="1"/>
  <c r="AN111" i="12" s="1"/>
  <c r="AN112" i="12" s="1"/>
  <c r="AN113" i="12" s="1"/>
  <c r="AN114" i="12" s="1"/>
  <c r="AN115" i="12" s="1"/>
  <c r="AN116" i="12" s="1"/>
  <c r="AN117" i="12" s="1"/>
  <c r="AN118" i="12" s="1"/>
  <c r="AN119" i="12" s="1"/>
  <c r="AN120" i="12" s="1"/>
  <c r="AN121" i="12" s="1"/>
  <c r="AN122" i="12" s="1"/>
  <c r="AN123" i="12" s="1"/>
  <c r="AN124" i="12" s="1"/>
  <c r="AN125" i="12" s="1"/>
  <c r="AN126" i="12" s="1"/>
  <c r="AN127" i="12" s="1"/>
  <c r="AN128" i="12" s="1"/>
  <c r="AN129" i="12" s="1"/>
  <c r="AN130" i="12" s="1"/>
  <c r="AN131" i="12" s="1"/>
  <c r="AN132" i="12" s="1"/>
  <c r="AN133" i="12" s="1"/>
  <c r="AN134" i="12" s="1"/>
  <c r="AN135" i="12" s="1"/>
  <c r="AN136" i="12" s="1"/>
  <c r="AN137" i="12" s="1"/>
  <c r="AN138" i="12" s="1"/>
  <c r="AN139" i="12" s="1"/>
  <c r="AN140" i="12" s="1"/>
  <c r="AN141" i="12" s="1"/>
  <c r="AN142" i="12" s="1"/>
  <c r="AN143" i="12" s="1"/>
  <c r="AN144" i="12" s="1"/>
  <c r="AN145" i="12" s="1"/>
  <c r="AN146" i="12" s="1"/>
  <c r="AN147" i="12" s="1"/>
  <c r="AN148" i="12" s="1"/>
  <c r="AN149" i="12" s="1"/>
  <c r="AN150" i="12" s="1"/>
  <c r="AN151" i="12" s="1"/>
  <c r="AN152" i="12" s="1"/>
  <c r="AN153" i="12" s="1"/>
  <c r="AN154" i="12" s="1"/>
  <c r="AN155" i="12" s="1"/>
  <c r="AN156" i="12" s="1"/>
  <c r="AN157" i="12" s="1"/>
  <c r="AN158" i="12" s="1"/>
  <c r="AN159" i="12" s="1"/>
  <c r="AN160" i="12" s="1"/>
  <c r="AN161" i="12" s="1"/>
  <c r="AN162" i="12" s="1"/>
  <c r="AN163" i="12" s="1"/>
  <c r="AN164" i="12" s="1"/>
  <c r="AN165" i="12" s="1"/>
  <c r="AN166" i="12" s="1"/>
  <c r="AN167" i="12" s="1"/>
  <c r="AN168" i="12" s="1"/>
  <c r="AN169" i="12" s="1"/>
  <c r="AN170" i="12" s="1"/>
  <c r="AN171" i="12" s="1"/>
  <c r="AN172" i="12" s="1"/>
  <c r="AN173" i="12" s="1"/>
  <c r="AN174" i="12" s="1"/>
  <c r="AN175" i="12" s="1"/>
  <c r="AN176" i="12" s="1"/>
  <c r="AN177" i="12" s="1"/>
  <c r="AN178" i="12" s="1"/>
  <c r="AN179" i="12" s="1"/>
  <c r="AN180" i="12" s="1"/>
  <c r="AN181" i="12" s="1"/>
  <c r="AN182" i="12" s="1"/>
  <c r="AN183" i="12" s="1"/>
  <c r="AN184" i="12" s="1"/>
  <c r="AN185" i="12" s="1"/>
  <c r="AN186" i="12" s="1"/>
  <c r="AN187" i="12" s="1"/>
  <c r="AN188" i="12" s="1"/>
  <c r="AN189" i="12" s="1"/>
  <c r="AN190" i="12" s="1"/>
  <c r="AN191" i="12" s="1"/>
  <c r="AN192" i="12" s="1"/>
  <c r="AN193" i="12" s="1"/>
  <c r="AN194" i="12" s="1"/>
  <c r="AN195" i="12" s="1"/>
  <c r="AN196" i="12" s="1"/>
  <c r="AN197" i="12" s="1"/>
  <c r="AN198" i="12" s="1"/>
  <c r="AN199" i="12" s="1"/>
  <c r="AN200" i="12" s="1"/>
  <c r="AN201" i="12" s="1"/>
  <c r="AN202" i="12" s="1"/>
  <c r="AN203" i="12" s="1"/>
  <c r="AN204" i="12" s="1"/>
  <c r="AN205" i="12" s="1"/>
  <c r="AN206" i="12" s="1"/>
  <c r="AN207" i="12" s="1"/>
  <c r="AN208" i="12" s="1"/>
  <c r="AN209" i="12" s="1"/>
  <c r="AN210" i="12" s="1"/>
  <c r="AN211" i="12" s="1"/>
  <c r="AN212" i="12" s="1"/>
  <c r="AN213" i="12" s="1"/>
  <c r="AN214" i="12" s="1"/>
  <c r="AN215" i="12" s="1"/>
  <c r="AN216" i="12" s="1"/>
  <c r="AN217" i="12" s="1"/>
  <c r="AN218" i="12" s="1"/>
  <c r="AN219" i="12" s="1"/>
  <c r="AN220" i="12" s="1"/>
  <c r="AN221" i="12" s="1"/>
  <c r="AN222" i="12" s="1"/>
  <c r="AN223" i="12" s="1"/>
  <c r="AN224" i="12" s="1"/>
  <c r="AN225" i="12" s="1"/>
  <c r="AN226" i="12" s="1"/>
  <c r="AN227" i="12" s="1"/>
  <c r="AN228" i="12" s="1"/>
  <c r="AN229" i="12" s="1"/>
  <c r="AN230" i="12" s="1"/>
  <c r="AN231" i="12" s="1"/>
  <c r="AN232" i="12" s="1"/>
  <c r="AN233" i="12" s="1"/>
  <c r="AN234" i="12" s="1"/>
  <c r="AN235" i="12" s="1"/>
  <c r="AN236" i="12" s="1"/>
  <c r="AN237" i="12" s="1"/>
  <c r="AN238" i="12" s="1"/>
  <c r="AN239" i="12" s="1"/>
  <c r="AN240" i="12" s="1"/>
  <c r="AN241" i="12" s="1"/>
  <c r="AN242" i="12" s="1"/>
  <c r="AN243" i="12" s="1"/>
  <c r="AN244" i="12" s="1"/>
  <c r="AN245" i="12" s="1"/>
  <c r="AN246" i="12" s="1"/>
  <c r="AN247" i="12" s="1"/>
  <c r="AN248" i="12" s="1"/>
  <c r="AN249" i="12" s="1"/>
  <c r="AN250" i="12" s="1"/>
  <c r="AN251" i="12" s="1"/>
  <c r="AN252" i="12" s="1"/>
  <c r="AN253" i="12" s="1"/>
  <c r="AN254" i="12" s="1"/>
  <c r="AN255" i="12" s="1"/>
  <c r="AN256" i="12" s="1"/>
  <c r="AN257" i="12" s="1"/>
  <c r="AN258" i="12" s="1"/>
  <c r="AN259" i="12" s="1"/>
  <c r="AN260" i="12" s="1"/>
  <c r="AN261" i="12" s="1"/>
  <c r="AN262" i="12" s="1"/>
  <c r="AN263" i="12" s="1"/>
  <c r="AN264" i="12" s="1"/>
  <c r="AN265" i="12" s="1"/>
  <c r="AN266" i="12" s="1"/>
  <c r="AN267" i="12" s="1"/>
  <c r="AN268" i="12" s="1"/>
  <c r="AN269" i="12" s="1"/>
  <c r="AN270" i="12" s="1"/>
  <c r="AN271" i="12" s="1"/>
  <c r="AN272" i="12" s="1"/>
  <c r="AN273" i="12" s="1"/>
  <c r="AN274" i="12" s="1"/>
  <c r="AN275" i="12" s="1"/>
  <c r="AN276" i="12" s="1"/>
  <c r="AN277" i="12" s="1"/>
  <c r="AN278" i="12" s="1"/>
  <c r="AN279" i="12" s="1"/>
  <c r="AN280" i="12" s="1"/>
  <c r="AN281" i="12" s="1"/>
  <c r="AN282" i="12" s="1"/>
  <c r="AN283" i="12" s="1"/>
  <c r="AN284" i="12" s="1"/>
  <c r="AN285" i="12" s="1"/>
  <c r="AN286" i="12" s="1"/>
  <c r="AN287" i="12" s="1"/>
  <c r="AN288" i="12" s="1"/>
  <c r="AN289" i="12" s="1"/>
  <c r="AN290" i="12" s="1"/>
  <c r="AN291" i="12" s="1"/>
  <c r="AN292" i="12" s="1"/>
  <c r="AN293" i="12" s="1"/>
  <c r="AN294" i="12" s="1"/>
  <c r="AN295" i="12" s="1"/>
  <c r="AN296" i="12" s="1"/>
  <c r="AN297" i="12" s="1"/>
  <c r="AN298" i="12" s="1"/>
  <c r="AN299" i="12" s="1"/>
  <c r="AN300" i="12" s="1"/>
  <c r="AN301" i="12" s="1"/>
  <c r="AN302" i="12" s="1"/>
  <c r="AN303" i="12" s="1"/>
  <c r="AN304" i="12" s="1"/>
  <c r="AN305" i="12" s="1"/>
  <c r="AN306" i="12" s="1"/>
  <c r="AN307" i="12" s="1"/>
  <c r="AN308" i="12" s="1"/>
  <c r="AN309" i="12" s="1"/>
  <c r="AN310" i="12" s="1"/>
  <c r="AN311" i="12" s="1"/>
  <c r="AN312" i="12" s="1"/>
  <c r="AN313" i="12" s="1"/>
  <c r="AN314" i="12" s="1"/>
  <c r="AN315" i="12" s="1"/>
  <c r="AN316" i="12" s="1"/>
  <c r="AN317" i="12" s="1"/>
  <c r="AN318" i="12" s="1"/>
  <c r="AN319" i="12" s="1"/>
  <c r="AN320" i="12" s="1"/>
  <c r="AN321" i="12" s="1"/>
  <c r="AN322" i="12" s="1"/>
  <c r="AN323" i="12" s="1"/>
  <c r="AN324" i="12" s="1"/>
  <c r="AN325" i="12" s="1"/>
  <c r="AN326" i="12" s="1"/>
  <c r="AN327" i="12" s="1"/>
  <c r="AN328" i="12" s="1"/>
  <c r="AN329" i="12" s="1"/>
  <c r="AN330" i="12" s="1"/>
  <c r="AN331" i="12" s="1"/>
  <c r="AN332" i="12" s="1"/>
  <c r="AN333" i="12" s="1"/>
  <c r="AN334" i="12" s="1"/>
  <c r="AN335" i="12" s="1"/>
  <c r="AN336" i="12" s="1"/>
  <c r="AN337" i="12" s="1"/>
  <c r="AN338" i="12" s="1"/>
  <c r="AN339" i="12" s="1"/>
  <c r="AN340" i="12" s="1"/>
  <c r="AN341" i="12" s="1"/>
  <c r="AN342" i="12" s="1"/>
  <c r="AN343" i="12" s="1"/>
  <c r="AN344" i="12" s="1"/>
  <c r="AN345" i="12" s="1"/>
  <c r="AN346" i="12" s="1"/>
  <c r="AN347" i="12" s="1"/>
  <c r="AN348" i="12" s="1"/>
  <c r="AN349" i="12" s="1"/>
  <c r="AN350" i="12" s="1"/>
  <c r="AN351" i="12" s="1"/>
  <c r="AN352" i="12" s="1"/>
  <c r="AN353" i="12" s="1"/>
  <c r="AN354" i="12" s="1"/>
  <c r="AN355" i="12" s="1"/>
  <c r="AN356" i="12" s="1"/>
  <c r="AN357" i="12" s="1"/>
  <c r="AN358" i="12" s="1"/>
  <c r="AN359" i="12" s="1"/>
  <c r="AN360" i="12" s="1"/>
  <c r="AN361" i="12" s="1"/>
  <c r="AN362" i="12" s="1"/>
  <c r="AN363" i="12" s="1"/>
  <c r="AN364" i="12" s="1"/>
  <c r="AN365" i="12" s="1"/>
  <c r="AN366" i="12" s="1"/>
  <c r="AN367" i="12" s="1"/>
  <c r="AN368" i="12" s="1"/>
  <c r="AN369" i="12" s="1"/>
  <c r="AN370" i="12" s="1"/>
  <c r="AN371" i="12" s="1"/>
  <c r="AN372" i="12" s="1"/>
  <c r="AN373" i="12" s="1"/>
  <c r="AN374" i="12" s="1"/>
  <c r="AN375" i="12" s="1"/>
  <c r="AN376" i="12" s="1"/>
  <c r="AN377" i="12" s="1"/>
  <c r="AN378" i="12" s="1"/>
  <c r="AN379" i="12" s="1"/>
  <c r="AN380" i="12" s="1"/>
  <c r="AN381" i="12" s="1"/>
  <c r="AN382" i="12" s="1"/>
  <c r="AN383" i="12" s="1"/>
  <c r="AN384" i="12" s="1"/>
  <c r="AN385" i="12" s="1"/>
  <c r="AN386" i="12" l="1"/>
  <c r="AN387" i="12" s="1"/>
  <c r="AN388" i="12" s="1"/>
  <c r="AN389" i="12" s="1"/>
  <c r="AN390" i="12" s="1"/>
  <c r="AN391" i="12" s="1"/>
  <c r="AN392" i="12" s="1"/>
  <c r="AN393" i="12" s="1"/>
  <c r="AN394" i="12" s="1"/>
  <c r="AN395" i="12" s="1"/>
  <c r="AN396" i="12" s="1"/>
  <c r="AN397" i="12" s="1"/>
  <c r="AN398" i="12" s="1"/>
  <c r="AN399" i="12" s="1"/>
  <c r="AN400" i="12" s="1"/>
  <c r="AN401" i="12" s="1"/>
  <c r="AN402" i="12" s="1"/>
  <c r="AN403" i="12" s="1"/>
  <c r="AN404" i="12" s="1"/>
  <c r="AN405" i="12" s="1"/>
  <c r="AN406" i="12" s="1"/>
  <c r="AN407" i="12" s="1"/>
  <c r="AN408" i="12" s="1"/>
  <c r="AN409" i="12" s="1"/>
  <c r="AN410" i="12" s="1"/>
  <c r="AN411" i="12" s="1"/>
  <c r="AN412" i="12" s="1"/>
  <c r="AN413" i="12" s="1"/>
  <c r="AN414" i="12" s="1"/>
  <c r="AN415" i="12" s="1"/>
  <c r="AN416" i="12" s="1"/>
  <c r="AN417" i="12" s="1"/>
  <c r="AN418" i="12" s="1"/>
  <c r="AN419" i="12" s="1"/>
  <c r="AN420" i="12" s="1"/>
  <c r="AN421" i="12" s="1"/>
  <c r="AN422" i="12" s="1"/>
  <c r="AN423" i="12" s="1"/>
  <c r="AN424" i="12" s="1"/>
  <c r="AN425" i="12" s="1"/>
  <c r="AN426" i="12" s="1"/>
  <c r="AN427" i="12" s="1"/>
  <c r="AN428" i="12" s="1"/>
  <c r="AN429" i="12" s="1"/>
  <c r="AN430" i="12" s="1"/>
  <c r="AN431" i="12" s="1"/>
  <c r="AN432" i="12" s="1"/>
  <c r="AN433" i="12" s="1"/>
  <c r="AN434" i="12" s="1"/>
  <c r="AN435" i="12" s="1"/>
  <c r="AN436" i="12" s="1"/>
  <c r="AN437" i="12" s="1"/>
  <c r="AN438" i="12" s="1"/>
  <c r="AN439" i="12" s="1"/>
  <c r="AN440" i="12" s="1"/>
  <c r="AN441" i="12" s="1"/>
  <c r="AN442" i="12" s="1"/>
  <c r="AN443" i="12" s="1"/>
  <c r="AN444" i="12" s="1"/>
  <c r="AN445" i="12" s="1"/>
  <c r="AN446" i="12" s="1"/>
  <c r="AN447" i="12" s="1"/>
  <c r="AN448" i="12" s="1"/>
  <c r="AN449" i="12" s="1"/>
  <c r="AN450" i="12" s="1"/>
  <c r="AN451" i="12" s="1"/>
  <c r="AN452" i="12" s="1"/>
  <c r="AN453" i="12" s="1"/>
  <c r="AN454" i="12" s="1"/>
  <c r="AN455" i="12" s="1"/>
  <c r="AN456" i="12" s="1"/>
  <c r="AN457" i="12" s="1"/>
  <c r="AN458" i="12" s="1"/>
  <c r="AN459" i="12" s="1"/>
  <c r="AN460" i="12" s="1"/>
  <c r="AN461" i="12" s="1"/>
  <c r="AN462" i="12" s="1"/>
  <c r="AN463" i="12" s="1"/>
  <c r="AN464" i="12" s="1"/>
  <c r="AN465" i="12" s="1"/>
  <c r="AN466" i="12" s="1"/>
  <c r="AN467" i="12" s="1"/>
  <c r="AN468" i="12" s="1"/>
  <c r="AN469" i="12" s="1"/>
  <c r="AN470" i="12" s="1"/>
  <c r="AN471" i="12" s="1"/>
  <c r="AN472" i="12" s="1"/>
  <c r="AN473" i="12" s="1"/>
  <c r="AN474" i="12" s="1"/>
  <c r="AN475" i="12" s="1"/>
  <c r="AN476" i="12" s="1"/>
  <c r="AN477" i="12" s="1"/>
  <c r="AN478" i="12" s="1"/>
  <c r="AN479" i="12" s="1"/>
  <c r="AN480" i="12" s="1"/>
  <c r="AN481" i="12" s="1"/>
  <c r="AN482" i="12" s="1"/>
  <c r="AN483" i="12" s="1"/>
  <c r="AN484" i="12" s="1"/>
  <c r="AN485" i="12" s="1"/>
  <c r="AN486" i="12" s="1"/>
  <c r="AN487" i="12" s="1"/>
  <c r="AN488" i="12" s="1"/>
  <c r="AN489" i="12" s="1"/>
  <c r="AN490" i="12" s="1"/>
  <c r="AN491" i="12" s="1"/>
  <c r="AN492" i="12" s="1"/>
  <c r="AN493" i="12" s="1"/>
  <c r="AN494" i="12" s="1"/>
  <c r="AN495" i="12" s="1"/>
  <c r="AN496" i="12" s="1"/>
  <c r="AN497" i="12" s="1"/>
  <c r="AN498" i="12" s="1"/>
  <c r="AN499" i="12" s="1"/>
  <c r="AN500" i="12" s="1"/>
  <c r="AN501" i="12" s="1"/>
  <c r="AN502" i="12" s="1"/>
  <c r="AN503" i="12" s="1"/>
  <c r="AN504" i="12" s="1"/>
  <c r="AN505" i="12" s="1"/>
  <c r="AN506" i="12" s="1"/>
  <c r="AN507" i="12" s="1"/>
  <c r="AN508" i="12" s="1"/>
  <c r="AN509" i="12" s="1"/>
  <c r="AN510" i="12" s="1"/>
  <c r="AN511" i="12" s="1"/>
  <c r="AN512" i="12" s="1"/>
  <c r="AN513" i="12" s="1"/>
  <c r="AN514" i="12" s="1"/>
  <c r="AN515" i="12" s="1"/>
  <c r="AN516" i="12" s="1"/>
  <c r="AN517" i="12" s="1"/>
  <c r="AN518" i="12" s="1"/>
  <c r="AN519" i="12" s="1"/>
  <c r="AN520" i="12" s="1"/>
  <c r="AN521" i="12" s="1"/>
  <c r="AN522" i="12" s="1"/>
  <c r="AN523" i="12" s="1"/>
  <c r="AN524" i="12" s="1"/>
  <c r="AN525" i="12" s="1"/>
  <c r="AN526" i="12" s="1"/>
  <c r="AN527" i="12" s="1"/>
  <c r="AN528" i="12" s="1"/>
  <c r="AN529" i="12" s="1"/>
  <c r="AN530" i="12" s="1"/>
  <c r="AN531" i="12" s="1"/>
  <c r="AN532" i="12" s="1"/>
  <c r="AN533" i="12" s="1"/>
  <c r="AN534" i="12" s="1"/>
  <c r="AN535" i="12" s="1"/>
  <c r="AN536" i="12" s="1"/>
  <c r="AN537" i="12" s="1"/>
  <c r="AN538" i="12" s="1"/>
  <c r="AN539" i="12" s="1"/>
  <c r="AN540" i="12" s="1"/>
  <c r="AN541" i="12" s="1"/>
  <c r="AN542" i="12" s="1"/>
  <c r="AN543" i="12" s="1"/>
  <c r="AN544" i="12" s="1"/>
  <c r="AN545" i="12" s="1"/>
  <c r="AN546" i="12" s="1"/>
  <c r="AN547" i="12" s="1"/>
  <c r="AN548" i="12" s="1"/>
  <c r="AN549" i="12" s="1"/>
  <c r="AN550" i="12" s="1"/>
  <c r="AN551" i="12" s="1"/>
  <c r="AN552" i="12" s="1"/>
  <c r="AN553" i="12" s="1"/>
  <c r="AN554" i="12" s="1"/>
  <c r="AN555" i="12" s="1"/>
  <c r="AN556" i="12" s="1"/>
  <c r="AN557" i="12" s="1"/>
  <c r="AN558" i="12" s="1"/>
  <c r="AN559" i="12" s="1"/>
  <c r="AN560" i="12" s="1"/>
  <c r="AN561" i="12" s="1"/>
  <c r="AN562" i="12" s="1"/>
  <c r="AN563" i="12" s="1"/>
  <c r="AN564" i="12" s="1"/>
  <c r="AN565" i="12" s="1"/>
  <c r="AN566" i="12" s="1"/>
  <c r="AN567" i="12" s="1"/>
  <c r="AN568" i="12" s="1"/>
  <c r="AN569" i="12" s="1"/>
  <c r="AN570" i="12" s="1"/>
  <c r="AN571" i="12" s="1"/>
  <c r="AN572" i="12" s="1"/>
  <c r="AN573" i="12" s="1"/>
  <c r="AN574" i="12" s="1"/>
  <c r="AN575" i="12" s="1"/>
  <c r="AN576" i="12" s="1"/>
  <c r="AN577" i="12" s="1"/>
  <c r="AN578" i="12" s="1"/>
  <c r="AN579" i="12" s="1"/>
  <c r="AN580" i="12" s="1"/>
  <c r="AN581" i="12" s="1"/>
  <c r="AN582" i="12" s="1"/>
  <c r="AN583" i="12" s="1"/>
  <c r="AN584" i="12" s="1"/>
  <c r="AN585" i="12" s="1"/>
  <c r="AN586" i="12" s="1"/>
  <c r="AN587" i="12" s="1"/>
  <c r="AN588" i="12" s="1"/>
  <c r="AN589" i="12" s="1"/>
  <c r="AN590" i="12" s="1"/>
  <c r="AN591" i="12" s="1"/>
  <c r="AN592" i="12" s="1"/>
  <c r="AN593" i="12" s="1"/>
  <c r="AN594" i="12" s="1"/>
  <c r="AN595" i="12" s="1"/>
  <c r="AN596" i="12" s="1"/>
  <c r="AN597" i="12" s="1"/>
  <c r="AN598" i="12" s="1"/>
  <c r="AN599" i="12" s="1"/>
  <c r="AN600" i="12" s="1"/>
  <c r="AN601" i="12" s="1"/>
  <c r="AN602" i="12" s="1"/>
  <c r="AN603" i="12" s="1"/>
  <c r="AN604" i="12" s="1"/>
  <c r="AN605" i="12" s="1"/>
  <c r="AN606" i="12" s="1"/>
  <c r="AN607" i="12" s="1"/>
  <c r="AN608" i="12" s="1"/>
  <c r="AN609" i="12" s="1"/>
  <c r="AN610" i="12" s="1"/>
  <c r="AN611" i="12" s="1"/>
  <c r="AN612" i="12" s="1"/>
  <c r="AN613" i="12" s="1"/>
  <c r="AN614" i="12" s="1"/>
  <c r="AN615" i="12" s="1"/>
  <c r="AN616" i="12" s="1"/>
  <c r="AN617" i="12" s="1"/>
  <c r="AN618" i="12" s="1"/>
  <c r="AN619" i="12" s="1"/>
  <c r="AN620" i="12" s="1"/>
  <c r="AN621" i="12" s="1"/>
  <c r="AN622" i="12" s="1"/>
  <c r="AN623" i="12" s="1"/>
  <c r="AN624" i="12" s="1"/>
  <c r="AN625" i="12" s="1"/>
  <c r="AN626" i="12" s="1"/>
  <c r="AN627" i="12" s="1"/>
  <c r="AN628" i="12" s="1"/>
  <c r="AN629" i="12" s="1"/>
  <c r="AN630" i="12" s="1"/>
  <c r="AN631" i="12" s="1"/>
  <c r="AN632" i="12" s="1"/>
  <c r="AN633" i="12" s="1"/>
  <c r="AN634" i="12" s="1"/>
  <c r="AN635" i="12" s="1"/>
  <c r="AN636" i="12" s="1"/>
  <c r="AN637" i="12" s="1"/>
  <c r="AN638" i="12" s="1"/>
  <c r="AN639" i="12" s="1"/>
  <c r="AN640" i="12" s="1"/>
  <c r="AN641" i="12" s="1"/>
  <c r="AN642" i="12" s="1"/>
  <c r="AN643" i="12" s="1"/>
  <c r="AN644" i="12" s="1"/>
  <c r="AN645" i="12" s="1"/>
  <c r="AN646" i="12" s="1"/>
  <c r="AN647" i="12" s="1"/>
  <c r="AN648" i="12" s="1"/>
  <c r="AN649" i="12" s="1"/>
  <c r="AN650" i="12" s="1"/>
  <c r="AN651" i="12" s="1"/>
  <c r="AN652" i="12" s="1"/>
  <c r="AN653" i="12" s="1"/>
  <c r="AN654" i="12" s="1"/>
  <c r="AN655" i="12" s="1"/>
  <c r="AN656" i="12" s="1"/>
  <c r="AN657" i="12" s="1"/>
  <c r="AN658" i="12" s="1"/>
  <c r="AN659" i="12" s="1"/>
  <c r="AN660" i="12" s="1"/>
  <c r="AN661" i="12" s="1"/>
  <c r="AN662" i="12" s="1"/>
  <c r="AN663" i="12" s="1"/>
  <c r="AN664" i="12" s="1"/>
  <c r="AN665" i="12" s="1"/>
  <c r="AN666" i="12" s="1"/>
  <c r="AN667" i="12" s="1"/>
  <c r="AN668" i="12" s="1"/>
  <c r="AN669" i="12" s="1"/>
  <c r="AN670" i="12" s="1"/>
  <c r="AN671" i="12" s="1"/>
  <c r="AN672" i="12" s="1"/>
  <c r="AN673" i="12" s="1"/>
  <c r="AN674" i="12" s="1"/>
  <c r="AN675" i="12" s="1"/>
  <c r="AN676" i="12" s="1"/>
  <c r="B75" i="14"/>
  <c r="B70" i="14"/>
  <c r="O204" i="11" l="1"/>
  <c r="N204" i="11"/>
  <c r="M204" i="11"/>
  <c r="O205" i="11"/>
  <c r="N205" i="11"/>
  <c r="M205" i="11"/>
  <c r="C26" i="12" l="1"/>
  <c r="D26" i="12"/>
  <c r="E26" i="12"/>
  <c r="F26" i="12"/>
  <c r="G26" i="12"/>
  <c r="H26" i="12"/>
  <c r="I26" i="12"/>
  <c r="J26" i="12"/>
  <c r="K26" i="12"/>
  <c r="L26" i="12"/>
  <c r="M26" i="12"/>
  <c r="C27" i="12"/>
  <c r="D27" i="12"/>
  <c r="E27" i="12"/>
  <c r="F27" i="12"/>
  <c r="G27" i="12"/>
  <c r="H27" i="12"/>
  <c r="I27" i="12"/>
  <c r="J27" i="12"/>
  <c r="K27" i="12"/>
  <c r="L27" i="12"/>
  <c r="M27" i="12"/>
  <c r="C28" i="12"/>
  <c r="D28" i="12"/>
  <c r="E28" i="12"/>
  <c r="F28" i="12"/>
  <c r="G28" i="12"/>
  <c r="H28" i="12"/>
  <c r="I28" i="12"/>
  <c r="J28" i="12"/>
  <c r="K28" i="12"/>
  <c r="L28" i="12"/>
  <c r="M28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AB8" i="12"/>
  <c r="AC8" i="12"/>
  <c r="AB10" i="12"/>
  <c r="AC10" i="12"/>
  <c r="AB12" i="12"/>
  <c r="AC12" i="12"/>
  <c r="AB14" i="12"/>
  <c r="AC14" i="12"/>
  <c r="AK14" i="12" a="1"/>
  <c r="AK14" i="12" s="1"/>
  <c r="AL14" i="12" a="1"/>
  <c r="AL14" i="12" s="1"/>
  <c r="AJ15" i="12" a="1"/>
  <c r="AJ15" i="12" s="1"/>
  <c r="AB16" i="12"/>
  <c r="AC16" i="12"/>
  <c r="AJ16" i="12" a="1"/>
  <c r="AJ16" i="12" s="1"/>
  <c r="AB18" i="12"/>
  <c r="M202" i="11" s="1"/>
  <c r="AC18" i="12"/>
  <c r="AB20" i="12"/>
  <c r="AC20" i="12"/>
  <c r="AB22" i="12"/>
  <c r="AC22" i="12"/>
  <c r="AB24" i="12"/>
  <c r="H202" i="11" s="1"/>
  <c r="AC24" i="12"/>
  <c r="AB26" i="12"/>
  <c r="AC26" i="12"/>
  <c r="AB28" i="12"/>
  <c r="AC28" i="12"/>
  <c r="AB30" i="12"/>
  <c r="AC30" i="12"/>
  <c r="AB32" i="12"/>
  <c r="AC32" i="12"/>
  <c r="AB34" i="12"/>
  <c r="AC34" i="12"/>
  <c r="AB36" i="12"/>
  <c r="AC36" i="12"/>
  <c r="AB38" i="12"/>
  <c r="AC38" i="12"/>
  <c r="AB40" i="12"/>
  <c r="AC40" i="12"/>
  <c r="AB42" i="12"/>
  <c r="AC42" i="12"/>
  <c r="AB44" i="12"/>
  <c r="AC44" i="12"/>
  <c r="AB46" i="12"/>
  <c r="AC46" i="12"/>
  <c r="AO4" i="4"/>
  <c r="I202" i="11" l="1"/>
  <c r="J202" i="11"/>
  <c r="N202" i="11"/>
  <c r="O202" i="11"/>
  <c r="AO5" i="4"/>
  <c r="AK16" i="12"/>
  <c r="AL16" i="12"/>
  <c r="AK15" i="12"/>
  <c r="AL15" i="12"/>
  <c r="AO6" i="4" l="1"/>
  <c r="AG18" i="12"/>
  <c r="AF18" i="12"/>
  <c r="AO7" i="4" l="1"/>
  <c r="G290" i="8" a="1"/>
  <c r="G290" i="8" s="1"/>
  <c r="G288" i="8" a="1"/>
  <c r="G288" i="8" s="1"/>
  <c r="H288" i="8" a="1"/>
  <c r="H288" i="8" s="1"/>
  <c r="H290" i="8" a="1"/>
  <c r="H290" i="8" s="1"/>
  <c r="G286" i="8" a="1"/>
  <c r="G286" i="8" s="1"/>
  <c r="H286" i="8" a="1"/>
  <c r="H286" i="8" s="1"/>
  <c r="F242" i="11"/>
  <c r="AF19" i="12"/>
  <c r="B242" i="11" l="1"/>
  <c r="C242" i="11"/>
  <c r="I286" i="8"/>
  <c r="J286" i="8" s="1"/>
  <c r="I288" i="8"/>
  <c r="J288" i="8" s="1"/>
  <c r="I290" i="8"/>
  <c r="J290" i="8" s="1"/>
  <c r="AO8" i="4"/>
  <c r="G256" i="8" s="1" a="1"/>
  <c r="G256" i="8" s="1"/>
  <c r="D242" i="11"/>
  <c r="F326" i="11"/>
  <c r="A242" i="11"/>
  <c r="H326" i="11"/>
  <c r="H497" i="11"/>
  <c r="H413" i="11"/>
  <c r="H412" i="11"/>
  <c r="H496" i="11"/>
  <c r="H325" i="11"/>
  <c r="H241" i="11"/>
  <c r="H242" i="11"/>
  <c r="F243" i="11"/>
  <c r="AT93" i="4" a="1"/>
  <c r="B326" i="11" l="1"/>
  <c r="C326" i="11"/>
  <c r="B243" i="11"/>
  <c r="C243" i="11"/>
  <c r="H262" i="8" a="1"/>
  <c r="H262" i="8" s="1"/>
  <c r="H284" i="8" a="1"/>
  <c r="H284" i="8" s="1"/>
  <c r="G284" i="8" a="1"/>
  <c r="G284" i="8" s="1"/>
  <c r="G282" i="8" a="1"/>
  <c r="G282" i="8" s="1"/>
  <c r="I282" i="8" s="1"/>
  <c r="J282" i="8" s="1"/>
  <c r="G268" i="8" a="1"/>
  <c r="G268" i="8" s="1"/>
  <c r="H268" i="8" a="1"/>
  <c r="H268" i="8" s="1"/>
  <c r="H282" i="8" a="1"/>
  <c r="H282" i="8" s="1"/>
  <c r="G262" i="8" a="1"/>
  <c r="G262" i="8" s="1"/>
  <c r="J242" i="11"/>
  <c r="J412" i="11"/>
  <c r="J413" i="11"/>
  <c r="AT93" i="4"/>
  <c r="I256" i="8"/>
  <c r="J256" i="8" s="1"/>
  <c r="G270" i="8" a="1"/>
  <c r="G270" i="8" s="1"/>
  <c r="G294" i="8" a="1"/>
  <c r="G294" i="8" s="1"/>
  <c r="G258" i="8" a="1"/>
  <c r="G258" i="8" s="1"/>
  <c r="G266" i="8" a="1"/>
  <c r="G266" i="8" s="1"/>
  <c r="G292" i="8" a="1"/>
  <c r="G292" i="8" s="1"/>
  <c r="H272" i="8" a="1"/>
  <c r="H272" i="8" s="1"/>
  <c r="H274" i="8" a="1"/>
  <c r="H274" i="8" s="1"/>
  <c r="G276" i="8" a="1"/>
  <c r="G276" i="8" s="1"/>
  <c r="G278" i="8" a="1"/>
  <c r="G278" i="8" s="1"/>
  <c r="H260" i="8" a="1"/>
  <c r="H260" i="8" s="1"/>
  <c r="H280" i="8" a="1"/>
  <c r="H280" i="8" s="1"/>
  <c r="H278" i="8" a="1"/>
  <c r="H278" i="8" s="1"/>
  <c r="G280" i="8" a="1"/>
  <c r="G280" i="8" s="1"/>
  <c r="G264" i="8" a="1"/>
  <c r="G264" i="8" s="1"/>
  <c r="H292" i="8" a="1"/>
  <c r="H292" i="8" s="1"/>
  <c r="H294" i="8" a="1"/>
  <c r="H294" i="8" s="1"/>
  <c r="H256" i="8" a="1"/>
  <c r="H256" i="8" s="1"/>
  <c r="H258" i="8" a="1"/>
  <c r="H258" i="8" s="1"/>
  <c r="H270" i="8" a="1"/>
  <c r="H270" i="8" s="1"/>
  <c r="H276" i="8" a="1"/>
  <c r="H276" i="8" s="1"/>
  <c r="G260" i="8" a="1"/>
  <c r="G260" i="8" s="1"/>
  <c r="H264" i="8" a="1"/>
  <c r="H264" i="8" s="1"/>
  <c r="G272" i="8" a="1"/>
  <c r="G272" i="8" s="1"/>
  <c r="G274" i="8" a="1"/>
  <c r="G274" i="8" s="1"/>
  <c r="H266" i="8" a="1"/>
  <c r="H266" i="8" s="1"/>
  <c r="I326" i="11"/>
  <c r="I497" i="11" s="1"/>
  <c r="A326" i="11"/>
  <c r="D326" i="11"/>
  <c r="D243" i="11"/>
  <c r="S242" i="11" a="1"/>
  <c r="S242" i="11" s="1"/>
  <c r="T242" i="11" a="1"/>
  <c r="T242" i="11" s="1"/>
  <c r="F327" i="11"/>
  <c r="A243" i="11"/>
  <c r="H327" i="11"/>
  <c r="H498" i="11"/>
  <c r="H414" i="11"/>
  <c r="H243" i="11"/>
  <c r="F244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J204" i="11"/>
  <c r="I204" i="11"/>
  <c r="H204" i="11"/>
  <c r="J205" i="11"/>
  <c r="I205" i="11"/>
  <c r="H205" i="11"/>
  <c r="B230" i="11" l="1"/>
  <c r="C230" i="11"/>
  <c r="B229" i="11"/>
  <c r="C229" i="11"/>
  <c r="B218" i="11"/>
  <c r="C218" i="11"/>
  <c r="O412" i="11"/>
  <c r="R412" i="11" s="1"/>
  <c r="M412" i="11"/>
  <c r="N412" i="11"/>
  <c r="B239" i="11"/>
  <c r="C239" i="11"/>
  <c r="B226" i="11"/>
  <c r="C226" i="11"/>
  <c r="B225" i="11"/>
  <c r="C225" i="11"/>
  <c r="O413" i="11"/>
  <c r="M413" i="11"/>
  <c r="N413" i="11"/>
  <c r="B215" i="11"/>
  <c r="C215" i="11"/>
  <c r="B212" i="11"/>
  <c r="C212" i="11"/>
  <c r="B234" i="11"/>
  <c r="C234" i="11"/>
  <c r="B244" i="11"/>
  <c r="C244" i="11"/>
  <c r="B233" i="11"/>
  <c r="C233" i="11"/>
  <c r="B221" i="11"/>
  <c r="C221" i="11"/>
  <c r="B238" i="11"/>
  <c r="C238" i="11"/>
  <c r="B237" i="11"/>
  <c r="C237" i="11"/>
  <c r="B236" i="11"/>
  <c r="C236" i="11"/>
  <c r="B220" i="11"/>
  <c r="C220" i="11"/>
  <c r="B217" i="11"/>
  <c r="C217" i="11"/>
  <c r="B227" i="11"/>
  <c r="C227" i="11"/>
  <c r="B214" i="11"/>
  <c r="C214" i="11"/>
  <c r="B213" i="11"/>
  <c r="C213" i="11"/>
  <c r="B224" i="11"/>
  <c r="C224" i="11"/>
  <c r="B235" i="11"/>
  <c r="C235" i="11"/>
  <c r="B223" i="11"/>
  <c r="C223" i="11"/>
  <c r="B222" i="11"/>
  <c r="C222" i="11"/>
  <c r="B232" i="11"/>
  <c r="C232" i="11"/>
  <c r="B231" i="11"/>
  <c r="C231" i="11"/>
  <c r="C219" i="11"/>
  <c r="B219" i="11"/>
  <c r="B241" i="11"/>
  <c r="C241" i="11"/>
  <c r="B240" i="11"/>
  <c r="C240" i="11"/>
  <c r="B228" i="11"/>
  <c r="C228" i="11"/>
  <c r="B216" i="11"/>
  <c r="C216" i="11"/>
  <c r="B327" i="11"/>
  <c r="C327" i="11"/>
  <c r="O242" i="11"/>
  <c r="R242" i="11" s="1"/>
  <c r="M242" i="11"/>
  <c r="N242" i="11"/>
  <c r="Q242" i="11" s="1"/>
  <c r="I284" i="8"/>
  <c r="J284" i="8" s="1"/>
  <c r="I262" i="8"/>
  <c r="J262" i="8" s="1"/>
  <c r="I268" i="8"/>
  <c r="J268" i="8" s="1"/>
  <c r="I294" i="8"/>
  <c r="J294" i="8" s="1"/>
  <c r="J241" i="11"/>
  <c r="J414" i="11"/>
  <c r="J243" i="11"/>
  <c r="I274" i="8"/>
  <c r="J274" i="8" s="1"/>
  <c r="I272" i="8"/>
  <c r="J272" i="8" s="1"/>
  <c r="I260" i="8"/>
  <c r="J260" i="8" s="1"/>
  <c r="I264" i="8"/>
  <c r="J264" i="8" s="1"/>
  <c r="I280" i="8"/>
  <c r="J280" i="8" s="1"/>
  <c r="I278" i="8"/>
  <c r="J278" i="8" s="1"/>
  <c r="I276" i="8"/>
  <c r="J276" i="8" s="1"/>
  <c r="I292" i="8"/>
  <c r="J292" i="8" s="1"/>
  <c r="I266" i="8"/>
  <c r="J266" i="8" s="1"/>
  <c r="I258" i="8"/>
  <c r="J258" i="8" s="1"/>
  <c r="I270" i="8"/>
  <c r="J270" i="8" s="1"/>
  <c r="I327" i="11"/>
  <c r="I498" i="11" s="1"/>
  <c r="L242" i="11"/>
  <c r="U242" i="11" a="1"/>
  <c r="U242" i="11" s="1"/>
  <c r="W242" i="11" s="1" a="1"/>
  <c r="W242" i="11" s="1"/>
  <c r="L413" i="11"/>
  <c r="L412" i="11"/>
  <c r="D236" i="11"/>
  <c r="D232" i="11"/>
  <c r="D220" i="11"/>
  <c r="D212" i="11"/>
  <c r="D235" i="11"/>
  <c r="D231" i="11"/>
  <c r="S231" i="11" a="1"/>
  <c r="S231" i="11" s="1"/>
  <c r="D223" i="11"/>
  <c r="S223" i="11" a="1"/>
  <c r="S223" i="11" s="1"/>
  <c r="D215" i="11"/>
  <c r="S215" i="11" a="1"/>
  <c r="S215" i="11" s="1"/>
  <c r="D238" i="11"/>
  <c r="D234" i="11"/>
  <c r="D230" i="11"/>
  <c r="D226" i="11"/>
  <c r="D222" i="11"/>
  <c r="D218" i="11"/>
  <c r="T218" i="11" a="1"/>
  <c r="T218" i="11" s="1"/>
  <c r="D214" i="11"/>
  <c r="D244" i="11"/>
  <c r="S243" i="11" a="1"/>
  <c r="S243" i="11" s="1"/>
  <c r="T243" i="11" a="1"/>
  <c r="T243" i="11" s="1"/>
  <c r="D240" i="11"/>
  <c r="D228" i="11"/>
  <c r="D224" i="11"/>
  <c r="D216" i="11"/>
  <c r="D239" i="11"/>
  <c r="D227" i="11"/>
  <c r="D219" i="11"/>
  <c r="B211" i="11"/>
  <c r="C211" i="11"/>
  <c r="D211" i="11"/>
  <c r="D241" i="11"/>
  <c r="D237" i="11"/>
  <c r="D233" i="11"/>
  <c r="D229" i="11"/>
  <c r="D225" i="11"/>
  <c r="D221" i="11"/>
  <c r="D217" i="11"/>
  <c r="D213" i="11"/>
  <c r="A327" i="11"/>
  <c r="D327" i="11"/>
  <c r="F318" i="11"/>
  <c r="A234" i="11"/>
  <c r="F310" i="11"/>
  <c r="A226" i="11"/>
  <c r="F302" i="11"/>
  <c r="A218" i="11"/>
  <c r="F325" i="11"/>
  <c r="A241" i="11"/>
  <c r="F317" i="11"/>
  <c r="A233" i="11"/>
  <c r="F309" i="11"/>
  <c r="A225" i="11"/>
  <c r="F301" i="11"/>
  <c r="A217" i="11"/>
  <c r="F324" i="11"/>
  <c r="A240" i="11"/>
  <c r="F316" i="11"/>
  <c r="A232" i="11"/>
  <c r="F308" i="11"/>
  <c r="A224" i="11"/>
  <c r="F300" i="11"/>
  <c r="A216" i="11"/>
  <c r="F328" i="11"/>
  <c r="A244" i="11"/>
  <c r="F319" i="11"/>
  <c r="A235" i="11"/>
  <c r="F311" i="11"/>
  <c r="A227" i="11"/>
  <c r="F303" i="11"/>
  <c r="A219" i="11"/>
  <c r="F315" i="11"/>
  <c r="A231" i="11"/>
  <c r="F299" i="11"/>
  <c r="A215" i="11"/>
  <c r="F312" i="11"/>
  <c r="A228" i="11"/>
  <c r="F307" i="11"/>
  <c r="A223" i="11"/>
  <c r="F322" i="11"/>
  <c r="A238" i="11"/>
  <c r="F314" i="11"/>
  <c r="A230" i="11"/>
  <c r="F306" i="11"/>
  <c r="A222" i="11"/>
  <c r="F298" i="11"/>
  <c r="A214" i="11"/>
  <c r="F296" i="11"/>
  <c r="A212" i="11"/>
  <c r="F295" i="11"/>
  <c r="A211" i="11"/>
  <c r="F323" i="11"/>
  <c r="A239" i="11"/>
  <c r="F321" i="11"/>
  <c r="A237" i="11"/>
  <c r="F313" i="11"/>
  <c r="A229" i="11"/>
  <c r="F305" i="11"/>
  <c r="A221" i="11"/>
  <c r="F297" i="11"/>
  <c r="A213" i="11"/>
  <c r="F320" i="11"/>
  <c r="A236" i="11"/>
  <c r="F304" i="11"/>
  <c r="A220" i="11"/>
  <c r="H328" i="11"/>
  <c r="H499" i="11"/>
  <c r="H415" i="11"/>
  <c r="V242" i="11" a="1"/>
  <c r="V242" i="11" s="1"/>
  <c r="X242" i="11" s="1" a="1"/>
  <c r="X242" i="11" s="1"/>
  <c r="H244" i="11"/>
  <c r="J244" i="11" s="1"/>
  <c r="F245" i="11"/>
  <c r="B304" i="11" l="1"/>
  <c r="C304" i="11"/>
  <c r="O243" i="11"/>
  <c r="N243" i="11"/>
  <c r="M243" i="11"/>
  <c r="B320" i="11"/>
  <c r="C320" i="11"/>
  <c r="C307" i="11"/>
  <c r="B307" i="11"/>
  <c r="B319" i="11"/>
  <c r="C319" i="11"/>
  <c r="B301" i="11"/>
  <c r="C301" i="11"/>
  <c r="B318" i="11"/>
  <c r="C318" i="11"/>
  <c r="O414" i="11"/>
  <c r="M414" i="11"/>
  <c r="N414" i="11"/>
  <c r="B323" i="11"/>
  <c r="C323" i="11"/>
  <c r="B322" i="11"/>
  <c r="C322" i="11"/>
  <c r="B311" i="11"/>
  <c r="C311" i="11"/>
  <c r="B324" i="11"/>
  <c r="C324" i="11"/>
  <c r="B310" i="11"/>
  <c r="C310" i="11"/>
  <c r="O241" i="11"/>
  <c r="R241" i="11" s="1"/>
  <c r="N241" i="11"/>
  <c r="M241" i="11"/>
  <c r="B297" i="11"/>
  <c r="C297" i="11"/>
  <c r="B296" i="11"/>
  <c r="C296" i="11"/>
  <c r="B312" i="11"/>
  <c r="C312" i="11"/>
  <c r="B328" i="11"/>
  <c r="C328" i="11"/>
  <c r="C309" i="11"/>
  <c r="B309" i="11"/>
  <c r="B245" i="11"/>
  <c r="C245" i="11"/>
  <c r="B305" i="11"/>
  <c r="C305" i="11"/>
  <c r="B299" i="11"/>
  <c r="C299" i="11"/>
  <c r="B317" i="11"/>
  <c r="C317" i="11"/>
  <c r="B313" i="11"/>
  <c r="C313" i="11"/>
  <c r="B306" i="11"/>
  <c r="C306" i="11"/>
  <c r="B315" i="11"/>
  <c r="C315" i="11"/>
  <c r="B308" i="11"/>
  <c r="C308" i="11"/>
  <c r="B325" i="11"/>
  <c r="C325" i="11"/>
  <c r="O244" i="11"/>
  <c r="N244" i="11"/>
  <c r="M244" i="11"/>
  <c r="B298" i="11"/>
  <c r="C298" i="11"/>
  <c r="B300" i="11"/>
  <c r="C300" i="11"/>
  <c r="B321" i="11"/>
  <c r="C321" i="11"/>
  <c r="B314" i="11"/>
  <c r="C314" i="11"/>
  <c r="B303" i="11"/>
  <c r="C303" i="11"/>
  <c r="B316" i="11"/>
  <c r="C316" i="11"/>
  <c r="B302" i="11"/>
  <c r="C302" i="11"/>
  <c r="N496" i="11"/>
  <c r="N497" i="11"/>
  <c r="M497" i="11"/>
  <c r="O497" i="11"/>
  <c r="R413" i="11"/>
  <c r="L497" i="11" s="1"/>
  <c r="M496" i="11"/>
  <c r="B295" i="11"/>
  <c r="C295" i="11"/>
  <c r="I325" i="11"/>
  <c r="I496" i="11" s="1"/>
  <c r="R244" i="11"/>
  <c r="L496" i="11"/>
  <c r="J415" i="11"/>
  <c r="O496" i="11"/>
  <c r="L243" i="11"/>
  <c r="O326" i="11"/>
  <c r="L326" i="11"/>
  <c r="N326" i="11"/>
  <c r="K326" i="11"/>
  <c r="I328" i="11"/>
  <c r="I499" i="11" s="1"/>
  <c r="M326" i="11"/>
  <c r="Y242" i="11" a="1"/>
  <c r="Y242" i="11" s="1"/>
  <c r="T215" i="11" a="1"/>
  <c r="T215" i="11" s="1"/>
  <c r="S218" i="11" a="1"/>
  <c r="S218" i="11" s="1"/>
  <c r="U243" i="11" a="1"/>
  <c r="U243" i="11" s="1"/>
  <c r="Y243" i="11" s="1" a="1"/>
  <c r="Y243" i="11" s="1"/>
  <c r="L414" i="11"/>
  <c r="T231" i="11" a="1"/>
  <c r="T231" i="11" s="1"/>
  <c r="D245" i="11"/>
  <c r="T213" i="11" a="1"/>
  <c r="T213" i="11" s="1"/>
  <c r="S213" i="11" a="1"/>
  <c r="S213" i="11" s="1"/>
  <c r="L241" i="11"/>
  <c r="V241" i="11" a="1"/>
  <c r="V241" i="11" s="1"/>
  <c r="S235" i="11" a="1"/>
  <c r="S235" i="11" s="1"/>
  <c r="T235" i="11" a="1"/>
  <c r="T235" i="11" s="1"/>
  <c r="S212" i="11" a="1"/>
  <c r="S212" i="11" s="1"/>
  <c r="T212" i="11" a="1"/>
  <c r="T212" i="11" s="1"/>
  <c r="T232" i="11" a="1"/>
  <c r="T232" i="11" s="1"/>
  <c r="S232" i="11" a="1"/>
  <c r="S232" i="11" s="1"/>
  <c r="T236" i="11" a="1"/>
  <c r="T236" i="11" s="1"/>
  <c r="S236" i="11" a="1"/>
  <c r="S236" i="11" s="1"/>
  <c r="U241" i="11" a="1"/>
  <c r="U241" i="11" s="1"/>
  <c r="A320" i="11"/>
  <c r="D320" i="11"/>
  <c r="A305" i="11"/>
  <c r="D305" i="11"/>
  <c r="A321" i="11"/>
  <c r="D321" i="11"/>
  <c r="A295" i="11"/>
  <c r="D295" i="11"/>
  <c r="A298" i="11"/>
  <c r="D298" i="11"/>
  <c r="A314" i="11"/>
  <c r="D314" i="11"/>
  <c r="A307" i="11"/>
  <c r="D307" i="11"/>
  <c r="A299" i="11"/>
  <c r="D299" i="11"/>
  <c r="A303" i="11"/>
  <c r="D303" i="11"/>
  <c r="A319" i="11"/>
  <c r="D319" i="11"/>
  <c r="A300" i="11"/>
  <c r="D300" i="11"/>
  <c r="A316" i="11"/>
  <c r="D316" i="11"/>
  <c r="A301" i="11"/>
  <c r="D301" i="11"/>
  <c r="A317" i="11"/>
  <c r="D317" i="11"/>
  <c r="A302" i="11"/>
  <c r="D302" i="11"/>
  <c r="A318" i="11"/>
  <c r="D318" i="11"/>
  <c r="S221" i="11" a="1"/>
  <c r="S221" i="11" s="1"/>
  <c r="T221" i="11" a="1"/>
  <c r="T221" i="11" s="1"/>
  <c r="S225" i="11" a="1"/>
  <c r="S225" i="11" s="1"/>
  <c r="T225" i="11" a="1"/>
  <c r="T225" i="11" s="1"/>
  <c r="T233" i="11" a="1"/>
  <c r="T233" i="11" s="1"/>
  <c r="S233" i="11" a="1"/>
  <c r="S233" i="11" s="1"/>
  <c r="S241" i="11" a="1"/>
  <c r="S241" i="11" s="1"/>
  <c r="T241" i="11" a="1"/>
  <c r="T241" i="11" s="1"/>
  <c r="S224" i="11" a="1"/>
  <c r="S224" i="11" s="1"/>
  <c r="T224" i="11" a="1"/>
  <c r="T224" i="11" s="1"/>
  <c r="S228" i="11" a="1"/>
  <c r="S228" i="11" s="1"/>
  <c r="T228" i="11" a="1"/>
  <c r="T228" i="11" s="1"/>
  <c r="S240" i="11" a="1"/>
  <c r="S240" i="11" s="1"/>
  <c r="T240" i="11" a="1"/>
  <c r="T240" i="11" s="1"/>
  <c r="L244" i="11"/>
  <c r="S222" i="11" a="1"/>
  <c r="S222" i="11" s="1"/>
  <c r="T222" i="11" a="1"/>
  <c r="T222" i="11" s="1"/>
  <c r="S226" i="11" a="1"/>
  <c r="S226" i="11" s="1"/>
  <c r="T226" i="11" a="1"/>
  <c r="T226" i="11" s="1"/>
  <c r="T234" i="11" a="1"/>
  <c r="T234" i="11" s="1"/>
  <c r="S234" i="11" a="1"/>
  <c r="S234" i="11" s="1"/>
  <c r="S229" i="11" a="1"/>
  <c r="S229" i="11" s="1"/>
  <c r="T229" i="11" a="1"/>
  <c r="T229" i="11" s="1"/>
  <c r="T237" i="11" a="1"/>
  <c r="T237" i="11" s="1"/>
  <c r="S237" i="11" a="1"/>
  <c r="S237" i="11" s="1"/>
  <c r="S227" i="11" a="1"/>
  <c r="S227" i="11" s="1"/>
  <c r="T227" i="11" a="1"/>
  <c r="T227" i="11" s="1"/>
  <c r="S239" i="11" a="1"/>
  <c r="S239" i="11" s="1"/>
  <c r="T239" i="11" a="1"/>
  <c r="T239" i="11" s="1"/>
  <c r="T216" i="11" a="1"/>
  <c r="T216" i="11" s="1"/>
  <c r="S216" i="11" a="1"/>
  <c r="S216" i="11" s="1"/>
  <c r="T238" i="11" a="1"/>
  <c r="T238" i="11" s="1"/>
  <c r="S238" i="11" a="1"/>
  <c r="S238" i="11" s="1"/>
  <c r="T223" i="11" a="1"/>
  <c r="T223" i="11" s="1"/>
  <c r="A304" i="11"/>
  <c r="D304" i="11"/>
  <c r="A297" i="11"/>
  <c r="D297" i="11"/>
  <c r="A313" i="11"/>
  <c r="D313" i="11"/>
  <c r="A323" i="11"/>
  <c r="D323" i="11"/>
  <c r="A296" i="11"/>
  <c r="D296" i="11"/>
  <c r="A306" i="11"/>
  <c r="D306" i="11"/>
  <c r="A322" i="11"/>
  <c r="D322" i="11"/>
  <c r="A312" i="11"/>
  <c r="D312" i="11"/>
  <c r="A315" i="11"/>
  <c r="D315" i="11"/>
  <c r="A311" i="11"/>
  <c r="D311" i="11"/>
  <c r="A328" i="11"/>
  <c r="D328" i="11"/>
  <c r="A308" i="11"/>
  <c r="D308" i="11"/>
  <c r="A324" i="11"/>
  <c r="D324" i="11"/>
  <c r="A309" i="11"/>
  <c r="D309" i="11"/>
  <c r="A325" i="11"/>
  <c r="D325" i="11"/>
  <c r="A310" i="11"/>
  <c r="D310" i="11"/>
  <c r="S217" i="11" a="1"/>
  <c r="S217" i="11" s="1"/>
  <c r="T217" i="11" a="1"/>
  <c r="T217" i="11" s="1"/>
  <c r="S211" i="11" a="1"/>
  <c r="S211" i="11" s="1"/>
  <c r="T211" i="11" a="1"/>
  <c r="T211" i="11" s="1"/>
  <c r="S219" i="11" a="1"/>
  <c r="S219" i="11" s="1"/>
  <c r="T219" i="11" a="1"/>
  <c r="T219" i="11" s="1"/>
  <c r="S244" i="11" a="1"/>
  <c r="S244" i="11" s="1"/>
  <c r="T244" i="11" a="1"/>
  <c r="T244" i="11" s="1"/>
  <c r="T214" i="11" a="1"/>
  <c r="T214" i="11" s="1"/>
  <c r="S214" i="11" a="1"/>
  <c r="S214" i="11" s="1"/>
  <c r="S230" i="11" a="1"/>
  <c r="S230" i="11" s="1"/>
  <c r="T230" i="11" a="1"/>
  <c r="T230" i="11" s="1"/>
  <c r="S220" i="11" a="1"/>
  <c r="S220" i="11" s="1"/>
  <c r="T220" i="11" a="1"/>
  <c r="T220" i="11" s="1"/>
  <c r="F329" i="11"/>
  <c r="A245" i="11"/>
  <c r="Z242" i="11" a="1"/>
  <c r="Z242" i="11" s="1"/>
  <c r="H329" i="11"/>
  <c r="H500" i="11"/>
  <c r="H416" i="11"/>
  <c r="V243" i="11" a="1"/>
  <c r="V243" i="11" s="1"/>
  <c r="X243" i="11" s="1" a="1"/>
  <c r="X243" i="11" s="1"/>
  <c r="U244" i="11" a="1"/>
  <c r="U244" i="11" s="1"/>
  <c r="H245" i="11"/>
  <c r="F246" i="11"/>
  <c r="B246" i="11" l="1"/>
  <c r="C246" i="11"/>
  <c r="B329" i="11"/>
  <c r="C329" i="11"/>
  <c r="O415" i="11"/>
  <c r="R415" i="11" s="1"/>
  <c r="N415" i="11"/>
  <c r="M415" i="11"/>
  <c r="O498" i="11"/>
  <c r="R414" i="11"/>
  <c r="L498" i="11" s="1"/>
  <c r="M498" i="11"/>
  <c r="O327" i="11"/>
  <c r="R243" i="11"/>
  <c r="L327" i="11" s="1"/>
  <c r="M327" i="11"/>
  <c r="N327" i="11"/>
  <c r="Q243" i="11"/>
  <c r="K327" i="11" s="1"/>
  <c r="M325" i="11"/>
  <c r="N325" i="11"/>
  <c r="Q241" i="11"/>
  <c r="K325" i="11" s="1"/>
  <c r="N328" i="11"/>
  <c r="Q244" i="11"/>
  <c r="K328" i="11" s="1"/>
  <c r="M328" i="11"/>
  <c r="L325" i="11"/>
  <c r="L328" i="11"/>
  <c r="O328" i="11"/>
  <c r="J416" i="11"/>
  <c r="I329" i="11"/>
  <c r="I500" i="11" s="1"/>
  <c r="O325" i="11"/>
  <c r="L415" i="11"/>
  <c r="J245" i="11"/>
  <c r="N498" i="11"/>
  <c r="W243" i="11" a="1"/>
  <c r="W243" i="11" s="1"/>
  <c r="Z241" i="11" a="1"/>
  <c r="Z241" i="11" s="1"/>
  <c r="X241" i="11" a="1"/>
  <c r="X241" i="11" s="1"/>
  <c r="W244" i="11" a="1"/>
  <c r="W244" i="11" s="1"/>
  <c r="D246" i="11"/>
  <c r="Y241" i="11" a="1"/>
  <c r="Y241" i="11" s="1"/>
  <c r="W241" i="11" a="1"/>
  <c r="W241" i="11" s="1"/>
  <c r="A329" i="11"/>
  <c r="D329" i="11"/>
  <c r="S245" i="11" a="1"/>
  <c r="S245" i="11" s="1"/>
  <c r="T245" i="11" a="1"/>
  <c r="T245" i="11" s="1"/>
  <c r="F330" i="11"/>
  <c r="A246" i="11"/>
  <c r="Z243" i="11" a="1"/>
  <c r="Z243" i="11" s="1"/>
  <c r="H330" i="11"/>
  <c r="H501" i="11"/>
  <c r="H417" i="11"/>
  <c r="V244" i="11" a="1"/>
  <c r="V244" i="11" s="1"/>
  <c r="Z244" i="11" s="1" a="1"/>
  <c r="Z244" i="11" s="1"/>
  <c r="Y244" i="11" a="1"/>
  <c r="Y244" i="11" s="1"/>
  <c r="H246" i="11"/>
  <c r="F247" i="11"/>
  <c r="O416" i="11" l="1"/>
  <c r="R416" i="11" s="1"/>
  <c r="N416" i="11"/>
  <c r="M416" i="11"/>
  <c r="O245" i="11"/>
  <c r="R245" i="11" s="1"/>
  <c r="M245" i="11"/>
  <c r="N245" i="11"/>
  <c r="Q245" i="11" s="1"/>
  <c r="B330" i="11"/>
  <c r="C330" i="11"/>
  <c r="B247" i="11"/>
  <c r="C247" i="11"/>
  <c r="L245" i="11"/>
  <c r="M499" i="11"/>
  <c r="J417" i="11"/>
  <c r="N499" i="11"/>
  <c r="U245" i="11" a="1"/>
  <c r="U245" i="11" s="1"/>
  <c r="Y245" i="11" s="1" a="1"/>
  <c r="Y245" i="11" s="1"/>
  <c r="I330" i="11"/>
  <c r="I501" i="11" s="1"/>
  <c r="O499" i="11"/>
  <c r="L499" i="11"/>
  <c r="L416" i="11"/>
  <c r="J246" i="11"/>
  <c r="T246" i="11" a="1"/>
  <c r="T246" i="11" s="1"/>
  <c r="S246" i="11" a="1"/>
  <c r="S246" i="11" s="1"/>
  <c r="D247" i="11"/>
  <c r="A330" i="11"/>
  <c r="D330" i="11"/>
  <c r="F331" i="11"/>
  <c r="A247" i="11"/>
  <c r="H331" i="11"/>
  <c r="H502" i="11"/>
  <c r="H418" i="11"/>
  <c r="X244" i="11" a="1"/>
  <c r="X244" i="11" s="1"/>
  <c r="F248" i="11"/>
  <c r="V245" i="11" a="1"/>
  <c r="V245" i="11" s="1"/>
  <c r="Z245" i="11" s="1" a="1"/>
  <c r="Z245" i="11" s="1"/>
  <c r="H247" i="11"/>
  <c r="O246" i="11" l="1"/>
  <c r="R246" i="11" s="1"/>
  <c r="M246" i="11"/>
  <c r="N246" i="11"/>
  <c r="Q246" i="11" s="1"/>
  <c r="B248" i="11"/>
  <c r="C248" i="11"/>
  <c r="B331" i="11"/>
  <c r="C331" i="11"/>
  <c r="O417" i="11"/>
  <c r="R417" i="11" s="1"/>
  <c r="M417" i="11"/>
  <c r="N417" i="11"/>
  <c r="Q417" i="11" s="1"/>
  <c r="I331" i="11"/>
  <c r="I502" i="11" s="1"/>
  <c r="W245" i="11" a="1"/>
  <c r="W245" i="11" s="1"/>
  <c r="O329" i="11"/>
  <c r="L329" i="11"/>
  <c r="M500" i="11"/>
  <c r="U246" i="11" a="1"/>
  <c r="U246" i="11" s="1"/>
  <c r="Y246" i="11" s="1" a="1"/>
  <c r="Y246" i="11" s="1"/>
  <c r="L246" i="11"/>
  <c r="J247" i="11"/>
  <c r="K329" i="11"/>
  <c r="N329" i="11"/>
  <c r="N500" i="11"/>
  <c r="L417" i="11"/>
  <c r="J418" i="11"/>
  <c r="M329" i="11"/>
  <c r="O500" i="11"/>
  <c r="L500" i="11"/>
  <c r="D248" i="11"/>
  <c r="A331" i="11"/>
  <c r="D331" i="11"/>
  <c r="T247" i="11" a="1"/>
  <c r="T247" i="11" s="1"/>
  <c r="S247" i="11" a="1"/>
  <c r="S247" i="11" s="1"/>
  <c r="F332" i="11"/>
  <c r="A248" i="11"/>
  <c r="H332" i="11"/>
  <c r="H503" i="11"/>
  <c r="H419" i="11"/>
  <c r="F249" i="11"/>
  <c r="V246" i="11" a="1"/>
  <c r="V246" i="11" s="1"/>
  <c r="X246" i="11" s="1" a="1"/>
  <c r="X246" i="11" s="1"/>
  <c r="X245" i="11" a="1"/>
  <c r="X245" i="11" s="1"/>
  <c r="H248" i="11"/>
  <c r="O247" i="11" l="1"/>
  <c r="R247" i="11" s="1"/>
  <c r="M247" i="11"/>
  <c r="N247" i="11"/>
  <c r="Q247" i="11" s="1"/>
  <c r="O418" i="11"/>
  <c r="R418" i="11" s="1"/>
  <c r="M418" i="11"/>
  <c r="N418" i="11"/>
  <c r="Q418" i="11" s="1"/>
  <c r="C249" i="11"/>
  <c r="B249" i="11"/>
  <c r="B332" i="11"/>
  <c r="C332" i="11"/>
  <c r="L247" i="11"/>
  <c r="U247" i="11" a="1"/>
  <c r="U247" i="11" s="1"/>
  <c r="W247" i="11" s="1" a="1"/>
  <c r="W247" i="11" s="1"/>
  <c r="N501" i="11"/>
  <c r="K501" i="11"/>
  <c r="M330" i="11"/>
  <c r="W246" i="11" a="1"/>
  <c r="W246" i="11" s="1"/>
  <c r="J419" i="11"/>
  <c r="I332" i="11"/>
  <c r="I503" i="11" s="1"/>
  <c r="N330" i="11"/>
  <c r="K330" i="11"/>
  <c r="L418" i="11"/>
  <c r="L501" i="11"/>
  <c r="O501" i="11"/>
  <c r="J248" i="11"/>
  <c r="M501" i="11"/>
  <c r="L330" i="11"/>
  <c r="O330" i="11"/>
  <c r="D249" i="11"/>
  <c r="A332" i="11"/>
  <c r="D332" i="11"/>
  <c r="S248" i="11" a="1"/>
  <c r="S248" i="11" s="1"/>
  <c r="T248" i="11" a="1"/>
  <c r="T248" i="11" s="1"/>
  <c r="F333" i="11"/>
  <c r="A249" i="11"/>
  <c r="H333" i="11"/>
  <c r="H420" i="11"/>
  <c r="H504" i="11"/>
  <c r="V247" i="11" a="1"/>
  <c r="V247" i="11" s="1"/>
  <c r="Z247" i="11" s="1" a="1"/>
  <c r="Z247" i="11" s="1"/>
  <c r="Z246" i="11" a="1"/>
  <c r="Z246" i="11" s="1"/>
  <c r="F250" i="11"/>
  <c r="H249" i="11"/>
  <c r="B250" i="11" l="1"/>
  <c r="C250" i="11"/>
  <c r="O248" i="11"/>
  <c r="R248" i="11" s="1"/>
  <c r="N248" i="11"/>
  <c r="Q248" i="11" s="1"/>
  <c r="M248" i="11"/>
  <c r="B333" i="11"/>
  <c r="C333" i="11"/>
  <c r="O419" i="11"/>
  <c r="R419" i="11" s="1"/>
  <c r="M419" i="11"/>
  <c r="N419" i="11"/>
  <c r="Q419" i="11" s="1"/>
  <c r="J420" i="11"/>
  <c r="J249" i="11"/>
  <c r="Y247" i="11" a="1"/>
  <c r="Y247" i="11" s="1"/>
  <c r="L248" i="11"/>
  <c r="U248" i="11" a="1"/>
  <c r="U248" i="11" s="1"/>
  <c r="Y248" i="11" s="1" a="1"/>
  <c r="Y248" i="11" s="1"/>
  <c r="M502" i="11"/>
  <c r="L331" i="11"/>
  <c r="O331" i="11"/>
  <c r="K502" i="11"/>
  <c r="N502" i="11"/>
  <c r="K331" i="11"/>
  <c r="N331" i="11"/>
  <c r="O502" i="11"/>
  <c r="L502" i="11"/>
  <c r="L419" i="11"/>
  <c r="I333" i="11"/>
  <c r="I504" i="11" s="1"/>
  <c r="M331" i="11"/>
  <c r="D250" i="11"/>
  <c r="A333" i="11"/>
  <c r="D333" i="11"/>
  <c r="S249" i="11" a="1"/>
  <c r="S249" i="11" s="1"/>
  <c r="T249" i="11" a="1"/>
  <c r="T249" i="11" s="1"/>
  <c r="F334" i="11"/>
  <c r="A250" i="11"/>
  <c r="X247" i="11" a="1"/>
  <c r="X247" i="11" s="1"/>
  <c r="H334" i="11"/>
  <c r="H421" i="11"/>
  <c r="H505" i="11"/>
  <c r="V248" i="11" a="1"/>
  <c r="V248" i="11" s="1"/>
  <c r="X248" i="11" s="1" a="1"/>
  <c r="X248" i="11" s="1"/>
  <c r="F251" i="11"/>
  <c r="H250" i="11"/>
  <c r="U249" i="11" l="1" a="1"/>
  <c r="U249" i="11" s="1"/>
  <c r="Y249" i="11" s="1" a="1"/>
  <c r="Y249" i="11" s="1"/>
  <c r="O249" i="11"/>
  <c r="R249" i="11" s="1"/>
  <c r="M249" i="11"/>
  <c r="N249" i="11"/>
  <c r="Q249" i="11" s="1"/>
  <c r="O420" i="11"/>
  <c r="R420" i="11" s="1"/>
  <c r="M420" i="11"/>
  <c r="N420" i="11"/>
  <c r="Q420" i="11" s="1"/>
  <c r="B251" i="11"/>
  <c r="C251" i="11"/>
  <c r="B334" i="11"/>
  <c r="C334" i="11"/>
  <c r="L249" i="11"/>
  <c r="I334" i="11"/>
  <c r="I505" i="11" s="1"/>
  <c r="J421" i="11"/>
  <c r="L420" i="11"/>
  <c r="J250" i="11"/>
  <c r="W248" i="11" a="1"/>
  <c r="W248" i="11" s="1"/>
  <c r="M503" i="11"/>
  <c r="L332" i="11"/>
  <c r="O332" i="11"/>
  <c r="O503" i="11"/>
  <c r="L503" i="11"/>
  <c r="N332" i="11"/>
  <c r="K332" i="11"/>
  <c r="K503" i="11"/>
  <c r="N503" i="11"/>
  <c r="M332" i="11"/>
  <c r="A334" i="11"/>
  <c r="D334" i="11"/>
  <c r="S250" i="11" a="1"/>
  <c r="S250" i="11" s="1"/>
  <c r="T250" i="11" a="1"/>
  <c r="T250" i="11" s="1"/>
  <c r="D251" i="11"/>
  <c r="F335" i="11"/>
  <c r="A251" i="11"/>
  <c r="H335" i="11"/>
  <c r="H506" i="11"/>
  <c r="H422" i="11"/>
  <c r="Z248" i="11" a="1"/>
  <c r="Z248" i="11" s="1"/>
  <c r="V249" i="11" a="1"/>
  <c r="V249" i="11" s="1"/>
  <c r="Z249" i="11" s="1" a="1"/>
  <c r="Z249" i="11" s="1"/>
  <c r="W249" i="11" a="1"/>
  <c r="W249" i="11" s="1"/>
  <c r="F252" i="11"/>
  <c r="H251" i="11"/>
  <c r="M250" i="11" l="1"/>
  <c r="P250" i="11" s="1"/>
  <c r="N250" i="11"/>
  <c r="Q250" i="11" s="1"/>
  <c r="O250" i="11"/>
  <c r="R250" i="11" s="1"/>
  <c r="B252" i="11"/>
  <c r="C252" i="11"/>
  <c r="B335" i="11"/>
  <c r="C335" i="11"/>
  <c r="M421" i="11"/>
  <c r="P421" i="11" s="1"/>
  <c r="N421" i="11"/>
  <c r="Q421" i="11" s="1"/>
  <c r="O421" i="11"/>
  <c r="R421" i="11" s="1"/>
  <c r="L421" i="11"/>
  <c r="J422" i="11"/>
  <c r="I335" i="11"/>
  <c r="I506" i="11" s="1"/>
  <c r="L333" i="11"/>
  <c r="O333" i="11"/>
  <c r="O504" i="11"/>
  <c r="L504" i="11"/>
  <c r="N504" i="11"/>
  <c r="K504" i="11"/>
  <c r="K333" i="11"/>
  <c r="N333" i="11"/>
  <c r="U250" i="11" a="1"/>
  <c r="U250" i="11" s="1"/>
  <c r="Y250" i="11" s="1" a="1"/>
  <c r="Y250" i="11" s="1"/>
  <c r="L250" i="11"/>
  <c r="M333" i="11"/>
  <c r="M504" i="11"/>
  <c r="J251" i="11"/>
  <c r="D252" i="11"/>
  <c r="A335" i="11"/>
  <c r="D335" i="11"/>
  <c r="S251" i="11" a="1"/>
  <c r="S251" i="11" s="1"/>
  <c r="T251" i="11" a="1"/>
  <c r="T251" i="11" s="1"/>
  <c r="F336" i="11"/>
  <c r="A252" i="11"/>
  <c r="V250" i="11" a="1"/>
  <c r="V250" i="11" s="1"/>
  <c r="X250" i="11" s="1" a="1"/>
  <c r="X250" i="11" s="1"/>
  <c r="H336" i="11"/>
  <c r="H507" i="11"/>
  <c r="H423" i="11"/>
  <c r="X249" i="11" a="1"/>
  <c r="X249" i="11" s="1"/>
  <c r="F253" i="11"/>
  <c r="H252" i="11"/>
  <c r="J252" i="11" s="1"/>
  <c r="N252" i="11" l="1"/>
  <c r="Q252" i="11" s="1"/>
  <c r="O252" i="11"/>
  <c r="R252" i="11" s="1"/>
  <c r="M252" i="11"/>
  <c r="P252" i="11" s="1"/>
  <c r="B253" i="11"/>
  <c r="C253" i="11"/>
  <c r="L251" i="11"/>
  <c r="O251" i="11"/>
  <c r="R251" i="11" s="1"/>
  <c r="M251" i="11"/>
  <c r="P251" i="11" s="1"/>
  <c r="N251" i="11"/>
  <c r="Q251" i="11" s="1"/>
  <c r="M422" i="11"/>
  <c r="P422" i="11" s="1"/>
  <c r="N422" i="11"/>
  <c r="Q422" i="11" s="1"/>
  <c r="O422" i="11"/>
  <c r="R422" i="11" s="1"/>
  <c r="B336" i="11"/>
  <c r="C336" i="11"/>
  <c r="J423" i="11"/>
  <c r="W250" i="11" a="1"/>
  <c r="W250" i="11" s="1"/>
  <c r="L422" i="11"/>
  <c r="U251" i="11" a="1"/>
  <c r="U251" i="11" s="1"/>
  <c r="W251" i="11" s="1" a="1"/>
  <c r="W251" i="11" s="1"/>
  <c r="I336" i="11"/>
  <c r="I507" i="11" s="1"/>
  <c r="O334" i="11"/>
  <c r="L334" i="11"/>
  <c r="L505" i="11"/>
  <c r="O505" i="11"/>
  <c r="M334" i="11"/>
  <c r="N505" i="11"/>
  <c r="K505" i="11"/>
  <c r="N334" i="11"/>
  <c r="K334" i="11"/>
  <c r="M505" i="11"/>
  <c r="M336" i="11"/>
  <c r="S252" i="11" a="1"/>
  <c r="S252" i="11" s="1"/>
  <c r="T252" i="11" a="1"/>
  <c r="T252" i="11" s="1"/>
  <c r="D253" i="11"/>
  <c r="A336" i="11"/>
  <c r="D336" i="11"/>
  <c r="L252" i="11"/>
  <c r="F337" i="11"/>
  <c r="A253" i="11"/>
  <c r="Z250" i="11" a="1"/>
  <c r="Z250" i="11" s="1"/>
  <c r="H337" i="11"/>
  <c r="H424" i="11"/>
  <c r="H508" i="11"/>
  <c r="V251" i="11" a="1"/>
  <c r="V251" i="11" s="1"/>
  <c r="X251" i="11" s="1" a="1"/>
  <c r="X251" i="11" s="1"/>
  <c r="F254" i="11"/>
  <c r="U252" i="11" a="1"/>
  <c r="U252" i="11" s="1"/>
  <c r="H253" i="11"/>
  <c r="J253" i="11" s="1"/>
  <c r="B337" i="11" l="1"/>
  <c r="C337" i="11"/>
  <c r="O423" i="11"/>
  <c r="R423" i="11" s="1"/>
  <c r="M423" i="11"/>
  <c r="P423" i="11" s="1"/>
  <c r="N423" i="11"/>
  <c r="Q423" i="11" s="1"/>
  <c r="M253" i="11"/>
  <c r="N253" i="11"/>
  <c r="O253" i="11"/>
  <c r="B254" i="11"/>
  <c r="C254" i="11"/>
  <c r="L336" i="11"/>
  <c r="O336" i="11"/>
  <c r="K336" i="11"/>
  <c r="N336" i="11"/>
  <c r="L423" i="11"/>
  <c r="J424" i="11"/>
  <c r="J254" i="11"/>
  <c r="I337" i="11"/>
  <c r="I508" i="11" s="1"/>
  <c r="M335" i="11"/>
  <c r="K506" i="11"/>
  <c r="N506" i="11"/>
  <c r="K335" i="11"/>
  <c r="N335" i="11"/>
  <c r="O506" i="11"/>
  <c r="L506" i="11"/>
  <c r="Y251" i="11" a="1"/>
  <c r="Y251" i="11" s="1"/>
  <c r="M506" i="11"/>
  <c r="O335" i="11"/>
  <c r="L335" i="11"/>
  <c r="W252" i="11" a="1"/>
  <c r="W252" i="11" s="1"/>
  <c r="L253" i="11"/>
  <c r="A337" i="11"/>
  <c r="D337" i="11"/>
  <c r="S253" i="11" a="1"/>
  <c r="S253" i="11" s="1"/>
  <c r="T253" i="11" a="1"/>
  <c r="T253" i="11" s="1"/>
  <c r="D254" i="11"/>
  <c r="F338" i="11"/>
  <c r="A254" i="11"/>
  <c r="H338" i="11"/>
  <c r="H509" i="11"/>
  <c r="H425" i="11"/>
  <c r="K425" i="11" s="1"/>
  <c r="Z251" i="11" a="1"/>
  <c r="Z251" i="11" s="1"/>
  <c r="V252" i="11" a="1"/>
  <c r="V252" i="11" s="1"/>
  <c r="X252" i="11" s="1" a="1"/>
  <c r="X252" i="11" s="1"/>
  <c r="Y252" i="11" a="1"/>
  <c r="Y252" i="11" s="1"/>
  <c r="F255" i="11"/>
  <c r="U253" i="11" a="1"/>
  <c r="U253" i="11" s="1"/>
  <c r="H254" i="11"/>
  <c r="K254" i="11" s="1"/>
  <c r="B255" i="11" l="1"/>
  <c r="C255" i="11"/>
  <c r="M254" i="11"/>
  <c r="N254" i="11"/>
  <c r="N338" i="11" s="1"/>
  <c r="O254" i="11"/>
  <c r="N424" i="11"/>
  <c r="O424" i="11"/>
  <c r="R424" i="11" s="1"/>
  <c r="M424" i="11"/>
  <c r="P424" i="11" s="1"/>
  <c r="B338" i="11"/>
  <c r="C338" i="11"/>
  <c r="O337" i="11"/>
  <c r="R253" i="11"/>
  <c r="L337" i="11" s="1"/>
  <c r="Q253" i="11"/>
  <c r="K337" i="11" s="1"/>
  <c r="M337" i="11"/>
  <c r="P253" i="11"/>
  <c r="J337" i="11" s="1"/>
  <c r="N507" i="11"/>
  <c r="K507" i="11"/>
  <c r="L507" i="11"/>
  <c r="O507" i="11"/>
  <c r="M507" i="11"/>
  <c r="Q424" i="11"/>
  <c r="L424" i="11"/>
  <c r="N337" i="11"/>
  <c r="I338" i="11"/>
  <c r="I509" i="11" s="1"/>
  <c r="L254" i="11"/>
  <c r="T254" i="11" a="1"/>
  <c r="T254" i="11" s="1"/>
  <c r="S254" i="11" a="1"/>
  <c r="S254" i="11" s="1"/>
  <c r="D255" i="11"/>
  <c r="A338" i="11"/>
  <c r="D338" i="11"/>
  <c r="F339" i="11"/>
  <c r="A255" i="11"/>
  <c r="H339" i="11"/>
  <c r="H510" i="11"/>
  <c r="H426" i="11"/>
  <c r="U254" i="11" a="1"/>
  <c r="U254" i="11" s="1"/>
  <c r="Z252" i="11" a="1"/>
  <c r="Z252" i="11" s="1"/>
  <c r="V253" i="11" a="1"/>
  <c r="V253" i="11" s="1"/>
  <c r="X253" i="11" s="1" a="1"/>
  <c r="X253" i="11" s="1"/>
  <c r="F256" i="11"/>
  <c r="W253" i="11" a="1"/>
  <c r="W253" i="11" s="1"/>
  <c r="Y253" i="11" a="1"/>
  <c r="Y253" i="11" s="1"/>
  <c r="H255" i="11"/>
  <c r="J255" i="11" s="1"/>
  <c r="O255" i="11" l="1"/>
  <c r="R255" i="11" s="1"/>
  <c r="L339" i="11" s="1"/>
  <c r="M255" i="11"/>
  <c r="N255" i="11"/>
  <c r="C339" i="11"/>
  <c r="B339" i="11"/>
  <c r="B256" i="11"/>
  <c r="C256" i="11"/>
  <c r="Q254" i="11"/>
  <c r="K338" i="11" s="1"/>
  <c r="O338" i="11"/>
  <c r="R254" i="11"/>
  <c r="L338" i="11" s="1"/>
  <c r="P254" i="11"/>
  <c r="J338" i="11" s="1"/>
  <c r="J426" i="11"/>
  <c r="M338" i="11"/>
  <c r="N508" i="11"/>
  <c r="K508" i="11"/>
  <c r="O508" i="11"/>
  <c r="L508" i="11"/>
  <c r="M508" i="11"/>
  <c r="J508" i="11"/>
  <c r="I339" i="11"/>
  <c r="I510" i="11" s="1"/>
  <c r="O339" i="11"/>
  <c r="Y254" i="11" a="1"/>
  <c r="Y254" i="11" s="1"/>
  <c r="S255" i="11" a="1"/>
  <c r="S255" i="11" s="1"/>
  <c r="T255" i="11" a="1"/>
  <c r="T255" i="11" s="1"/>
  <c r="A339" i="11"/>
  <c r="D339" i="11"/>
  <c r="D256" i="11"/>
  <c r="L255" i="11"/>
  <c r="V254" i="11" a="1"/>
  <c r="V254" i="11" s="1"/>
  <c r="X254" i="11" s="1" a="1"/>
  <c r="X254" i="11" s="1"/>
  <c r="F340" i="11"/>
  <c r="A256" i="11"/>
  <c r="H340" i="11"/>
  <c r="H511" i="11"/>
  <c r="H427" i="11"/>
  <c r="W254" i="11" a="1"/>
  <c r="W254" i="11" s="1"/>
  <c r="Z253" i="11" a="1"/>
  <c r="Z253" i="11" s="1"/>
  <c r="F257" i="11"/>
  <c r="H256" i="11"/>
  <c r="U255" i="11" a="1"/>
  <c r="U255" i="11" s="1"/>
  <c r="B340" i="11" l="1"/>
  <c r="C340" i="11"/>
  <c r="B257" i="11"/>
  <c r="C257" i="11"/>
  <c r="M426" i="11"/>
  <c r="P426" i="11" s="1"/>
  <c r="N426" i="11"/>
  <c r="Q426" i="11" s="1"/>
  <c r="O426" i="11"/>
  <c r="R426" i="11" s="1"/>
  <c r="N339" i="11"/>
  <c r="Q255" i="11"/>
  <c r="K339" i="11" s="1"/>
  <c r="M339" i="11"/>
  <c r="P255" i="11"/>
  <c r="J339" i="11" s="1"/>
  <c r="J427" i="11"/>
  <c r="J256" i="11"/>
  <c r="L426" i="11"/>
  <c r="I340" i="11"/>
  <c r="I511" i="11" s="1"/>
  <c r="D257" i="11"/>
  <c r="A340" i="11"/>
  <c r="D340" i="11"/>
  <c r="S256" i="11" a="1"/>
  <c r="S256" i="11" s="1"/>
  <c r="T256" i="11" a="1"/>
  <c r="T256" i="11" s="1"/>
  <c r="Z254" i="11" a="1"/>
  <c r="Z254" i="11" s="1"/>
  <c r="F341" i="11"/>
  <c r="A257" i="11"/>
  <c r="H341" i="11"/>
  <c r="H428" i="11"/>
  <c r="H512" i="11"/>
  <c r="F258" i="11"/>
  <c r="Y255" i="11" a="1"/>
  <c r="Y255" i="11" s="1"/>
  <c r="W255" i="11" a="1"/>
  <c r="W255" i="11" s="1"/>
  <c r="V255" i="11" a="1"/>
  <c r="V255" i="11" s="1"/>
  <c r="H257" i="11"/>
  <c r="O427" i="11" l="1"/>
  <c r="R427" i="11" s="1"/>
  <c r="M427" i="11"/>
  <c r="P427" i="11" s="1"/>
  <c r="N427" i="11"/>
  <c r="Q427" i="11" s="1"/>
  <c r="B258" i="11"/>
  <c r="C258" i="11"/>
  <c r="B341" i="11"/>
  <c r="C341" i="11"/>
  <c r="N256" i="11"/>
  <c r="O256" i="11"/>
  <c r="O340" i="11" s="1"/>
  <c r="M256" i="11"/>
  <c r="U256" i="11" a="1"/>
  <c r="U256" i="11" s="1"/>
  <c r="Y256" i="11" s="1" a="1"/>
  <c r="Y256" i="11" s="1"/>
  <c r="L256" i="11"/>
  <c r="N510" i="11"/>
  <c r="K510" i="11"/>
  <c r="J257" i="11"/>
  <c r="O510" i="11"/>
  <c r="L510" i="11"/>
  <c r="J428" i="11"/>
  <c r="L427" i="11"/>
  <c r="M510" i="11"/>
  <c r="J510" i="11"/>
  <c r="I341" i="11"/>
  <c r="I512" i="11" s="1"/>
  <c r="A341" i="11"/>
  <c r="D341" i="11"/>
  <c r="S257" i="11" a="1"/>
  <c r="S257" i="11" s="1"/>
  <c r="T257" i="11" a="1"/>
  <c r="T257" i="11" s="1"/>
  <c r="D258" i="11"/>
  <c r="F342" i="11"/>
  <c r="A258" i="11"/>
  <c r="V256" i="11" a="1"/>
  <c r="V256" i="11" s="1"/>
  <c r="Z256" i="11" s="1" a="1"/>
  <c r="Z256" i="11" s="1"/>
  <c r="H342" i="11"/>
  <c r="H429" i="11"/>
  <c r="H513" i="11"/>
  <c r="F259" i="11"/>
  <c r="X255" i="11" a="1"/>
  <c r="X255" i="11" s="1"/>
  <c r="Z255" i="11" a="1"/>
  <c r="Z255" i="11" s="1"/>
  <c r="H258" i="11"/>
  <c r="J258" i="11" s="1"/>
  <c r="R256" i="11" l="1"/>
  <c r="L340" i="11" s="1"/>
  <c r="N428" i="11"/>
  <c r="Q428" i="11" s="1"/>
  <c r="O428" i="11"/>
  <c r="R428" i="11" s="1"/>
  <c r="M428" i="11"/>
  <c r="P428" i="11" s="1"/>
  <c r="M257" i="11"/>
  <c r="N257" i="11"/>
  <c r="O257" i="11"/>
  <c r="R257" i="11" s="1"/>
  <c r="L341" i="11" s="1"/>
  <c r="B342" i="11"/>
  <c r="C342" i="11"/>
  <c r="M258" i="11"/>
  <c r="M342" i="11" s="1"/>
  <c r="N258" i="11"/>
  <c r="O258" i="11"/>
  <c r="B259" i="11"/>
  <c r="C259" i="11"/>
  <c r="N340" i="11"/>
  <c r="Q256" i="11"/>
  <c r="K340" i="11" s="1"/>
  <c r="P256" i="11"/>
  <c r="J340" i="11" s="1"/>
  <c r="W256" i="11" a="1"/>
  <c r="W256" i="11" s="1"/>
  <c r="U257" i="11" a="1"/>
  <c r="U257" i="11" s="1"/>
  <c r="W257" i="11" s="1" a="1"/>
  <c r="W257" i="11" s="1"/>
  <c r="M340" i="11"/>
  <c r="L257" i="11"/>
  <c r="L511" i="11"/>
  <c r="O511" i="11"/>
  <c r="L428" i="11"/>
  <c r="K511" i="11"/>
  <c r="N511" i="11"/>
  <c r="J429" i="11"/>
  <c r="J511" i="11"/>
  <c r="M511" i="11"/>
  <c r="I342" i="11"/>
  <c r="I513" i="11" s="1"/>
  <c r="D259" i="11"/>
  <c r="A342" i="11"/>
  <c r="D342" i="11"/>
  <c r="L258" i="11"/>
  <c r="T258" i="11" a="1"/>
  <c r="T258" i="11" s="1"/>
  <c r="S258" i="11" a="1"/>
  <c r="S258" i="11" s="1"/>
  <c r="X256" i="11" a="1"/>
  <c r="X256" i="11" s="1"/>
  <c r="V257" i="11" a="1"/>
  <c r="V257" i="11" s="1"/>
  <c r="X257" i="11" s="1" a="1"/>
  <c r="X257" i="11" s="1"/>
  <c r="F343" i="11"/>
  <c r="A259" i="11"/>
  <c r="H343" i="11"/>
  <c r="H514" i="11"/>
  <c r="H430" i="11"/>
  <c r="U428" i="11" a="1"/>
  <c r="U428" i="11" s="1"/>
  <c r="V428" i="11" a="1"/>
  <c r="V428" i="11" s="1"/>
  <c r="F260" i="11"/>
  <c r="H259" i="11"/>
  <c r="O341" i="11" l="1"/>
  <c r="P258" i="11"/>
  <c r="J342" i="11" s="1"/>
  <c r="B343" i="11"/>
  <c r="C343" i="11"/>
  <c r="M429" i="11"/>
  <c r="N429" i="11"/>
  <c r="Q429" i="11" s="1"/>
  <c r="O429" i="11"/>
  <c r="R429" i="11" s="1"/>
  <c r="B260" i="11"/>
  <c r="C260" i="11"/>
  <c r="Q257" i="11"/>
  <c r="K341" i="11" s="1"/>
  <c r="R258" i="11"/>
  <c r="L342" i="11" s="1"/>
  <c r="Q258" i="11"/>
  <c r="K342" i="11" s="1"/>
  <c r="P257" i="11"/>
  <c r="J341" i="11" s="1"/>
  <c r="N341" i="11"/>
  <c r="Y257" i="11" a="1"/>
  <c r="Y257" i="11" s="1"/>
  <c r="M341" i="11"/>
  <c r="N512" i="11"/>
  <c r="K512" i="11"/>
  <c r="L512" i="11"/>
  <c r="O512" i="11"/>
  <c r="J430" i="11"/>
  <c r="P429" i="11"/>
  <c r="L429" i="11"/>
  <c r="J259" i="11"/>
  <c r="J512" i="11"/>
  <c r="M512" i="11"/>
  <c r="N342" i="11"/>
  <c r="O342" i="11"/>
  <c r="I343" i="11"/>
  <c r="I514" i="11" s="1"/>
  <c r="D260" i="11"/>
  <c r="S259" i="11" a="1"/>
  <c r="S259" i="11" s="1"/>
  <c r="T259" i="11" a="1"/>
  <c r="T259" i="11" s="1"/>
  <c r="A343" i="11"/>
  <c r="D343" i="11"/>
  <c r="Z257" i="11" a="1"/>
  <c r="Z257" i="11" s="1"/>
  <c r="F344" i="11"/>
  <c r="A260" i="11"/>
  <c r="H344" i="11"/>
  <c r="H515" i="11"/>
  <c r="H431" i="11"/>
  <c r="U429" i="11" a="1"/>
  <c r="U429" i="11" s="1"/>
  <c r="V429" i="11" a="1"/>
  <c r="V429" i="11" s="1"/>
  <c r="Z428" i="11" a="1"/>
  <c r="Z428" i="11" s="1"/>
  <c r="X428" i="11" a="1"/>
  <c r="X428" i="11" s="1"/>
  <c r="W428" i="11" a="1"/>
  <c r="W428" i="11" s="1"/>
  <c r="Y428" i="11" a="1"/>
  <c r="Y428" i="11" s="1"/>
  <c r="F261" i="11"/>
  <c r="V258" i="11" a="1"/>
  <c r="V258" i="11" s="1"/>
  <c r="U258" i="11" a="1"/>
  <c r="U258" i="11" s="1"/>
  <c r="H260" i="11"/>
  <c r="J260" i="11" s="1"/>
  <c r="M430" i="11" l="1"/>
  <c r="P430" i="11" s="1"/>
  <c r="N430" i="11"/>
  <c r="Q430" i="11" s="1"/>
  <c r="O430" i="11"/>
  <c r="R430" i="11" s="1"/>
  <c r="N260" i="11"/>
  <c r="O260" i="11"/>
  <c r="R260" i="11" s="1"/>
  <c r="L344" i="11" s="1"/>
  <c r="M260" i="11"/>
  <c r="B344" i="11"/>
  <c r="C344" i="11"/>
  <c r="M259" i="11"/>
  <c r="O259" i="11"/>
  <c r="N259" i="11"/>
  <c r="N343" i="11" s="1"/>
  <c r="B261" i="11"/>
  <c r="C261" i="11"/>
  <c r="L259" i="11"/>
  <c r="L430" i="11"/>
  <c r="K513" i="11"/>
  <c r="N513" i="11"/>
  <c r="M513" i="11"/>
  <c r="J513" i="11"/>
  <c r="O513" i="11"/>
  <c r="L513" i="11"/>
  <c r="J431" i="11"/>
  <c r="U259" i="11" a="1"/>
  <c r="U259" i="11" s="1"/>
  <c r="W259" i="11" s="1" a="1"/>
  <c r="W259" i="11" s="1"/>
  <c r="I344" i="11"/>
  <c r="I515" i="11" s="1"/>
  <c r="A344" i="11"/>
  <c r="D344" i="11"/>
  <c r="T260" i="11" a="1"/>
  <c r="T260" i="11" s="1"/>
  <c r="S260" i="11" a="1"/>
  <c r="S260" i="11" s="1"/>
  <c r="D261" i="11"/>
  <c r="L260" i="11"/>
  <c r="F345" i="11"/>
  <c r="A261" i="11"/>
  <c r="AB428" i="11"/>
  <c r="AA428" i="11"/>
  <c r="X429" i="11" a="1"/>
  <c r="X429" i="11" s="1"/>
  <c r="Z429" i="11" a="1"/>
  <c r="Z429" i="11" s="1"/>
  <c r="U430" i="11" a="1"/>
  <c r="U430" i="11" s="1"/>
  <c r="V430" i="11" a="1"/>
  <c r="V430" i="11" s="1"/>
  <c r="W429" i="11" a="1"/>
  <c r="W429" i="11" s="1"/>
  <c r="Y429" i="11" a="1"/>
  <c r="Y429" i="11" s="1"/>
  <c r="H345" i="11"/>
  <c r="H516" i="11"/>
  <c r="H432" i="11"/>
  <c r="U260" i="11" a="1"/>
  <c r="U260" i="11" s="1"/>
  <c r="V259" i="11" a="1"/>
  <c r="V259" i="11" s="1"/>
  <c r="Z259" i="11" s="1" a="1"/>
  <c r="Z259" i="11" s="1"/>
  <c r="F262" i="11"/>
  <c r="W258" i="11" a="1"/>
  <c r="W258" i="11" s="1"/>
  <c r="Y258" i="11" a="1"/>
  <c r="Y258" i="11" s="1"/>
  <c r="Z258" i="11" a="1"/>
  <c r="Z258" i="11" s="1"/>
  <c r="X258" i="11" a="1"/>
  <c r="X258" i="11" s="1"/>
  <c r="H261" i="11"/>
  <c r="O344" i="11" l="1"/>
  <c r="B262" i="11"/>
  <c r="C262" i="11"/>
  <c r="M431" i="11"/>
  <c r="N431" i="11"/>
  <c r="O431" i="11"/>
  <c r="R431" i="11" s="1"/>
  <c r="Q259" i="11"/>
  <c r="K343" i="11" s="1"/>
  <c r="B345" i="11"/>
  <c r="C345" i="11"/>
  <c r="R259" i="11"/>
  <c r="L343" i="11" s="1"/>
  <c r="N344" i="11"/>
  <c r="Q260" i="11"/>
  <c r="K344" i="11" s="1"/>
  <c r="M344" i="11"/>
  <c r="P260" i="11"/>
  <c r="M343" i="11"/>
  <c r="P259" i="11"/>
  <c r="J343" i="11" s="1"/>
  <c r="Y259" i="11" a="1"/>
  <c r="Y259" i="11" s="1"/>
  <c r="O343" i="11"/>
  <c r="J514" i="11"/>
  <c r="M514" i="11"/>
  <c r="L431" i="11"/>
  <c r="P431" i="11"/>
  <c r="Q431" i="11"/>
  <c r="J432" i="11"/>
  <c r="N514" i="11"/>
  <c r="K514" i="11"/>
  <c r="J261" i="11"/>
  <c r="L514" i="11"/>
  <c r="O514" i="11"/>
  <c r="J344" i="11"/>
  <c r="I345" i="11"/>
  <c r="I516" i="11" s="1"/>
  <c r="D262" i="11"/>
  <c r="A345" i="11"/>
  <c r="D345" i="11"/>
  <c r="T261" i="11" a="1"/>
  <c r="T261" i="11" s="1"/>
  <c r="S261" i="11" a="1"/>
  <c r="S261" i="11" s="1"/>
  <c r="W260" i="11" a="1"/>
  <c r="W260" i="11" s="1"/>
  <c r="AC428" i="11"/>
  <c r="K428" i="11" s="1"/>
  <c r="F346" i="11"/>
  <c r="A262" i="11"/>
  <c r="AB429" i="11"/>
  <c r="AA429" i="11"/>
  <c r="Z430" i="11" a="1"/>
  <c r="Z430" i="11" s="1"/>
  <c r="X430" i="11" a="1"/>
  <c r="X430" i="11" s="1"/>
  <c r="W430" i="11" a="1"/>
  <c r="W430" i="11" s="1"/>
  <c r="Y430" i="11" a="1"/>
  <c r="Y430" i="11" s="1"/>
  <c r="H346" i="11"/>
  <c r="H517" i="11"/>
  <c r="H433" i="11"/>
  <c r="V431" i="11" a="1"/>
  <c r="V431" i="11" s="1"/>
  <c r="U431" i="11" a="1"/>
  <c r="U431" i="11" s="1"/>
  <c r="Y260" i="11" a="1"/>
  <c r="Y260" i="11" s="1"/>
  <c r="V260" i="11" a="1"/>
  <c r="V260" i="11" s="1"/>
  <c r="Z260" i="11" s="1" a="1"/>
  <c r="Z260" i="11" s="1"/>
  <c r="X259" i="11" a="1"/>
  <c r="X259" i="11" s="1"/>
  <c r="F263" i="11"/>
  <c r="H262" i="11"/>
  <c r="J262" i="11" s="1"/>
  <c r="M262" i="11" l="1"/>
  <c r="N262" i="11"/>
  <c r="Q262" i="11" s="1"/>
  <c r="K346" i="11" s="1"/>
  <c r="O262" i="11"/>
  <c r="B263" i="11"/>
  <c r="C263" i="11"/>
  <c r="B346" i="11"/>
  <c r="C346" i="11"/>
  <c r="N261" i="11"/>
  <c r="O261" i="11"/>
  <c r="R261" i="11" s="1"/>
  <c r="L345" i="11" s="1"/>
  <c r="M261" i="11"/>
  <c r="N432" i="11"/>
  <c r="Q432" i="11" s="1"/>
  <c r="O432" i="11"/>
  <c r="R432" i="11" s="1"/>
  <c r="M432" i="11"/>
  <c r="P432" i="11" s="1"/>
  <c r="U261" i="11" a="1"/>
  <c r="U261" i="11" s="1"/>
  <c r="W261" i="11" s="1" a="1"/>
  <c r="W261" i="11" s="1"/>
  <c r="L261" i="11"/>
  <c r="N515" i="11"/>
  <c r="K515" i="11"/>
  <c r="L432" i="11"/>
  <c r="L515" i="11"/>
  <c r="O515" i="11"/>
  <c r="J433" i="11"/>
  <c r="J515" i="11"/>
  <c r="M515" i="11"/>
  <c r="I346" i="11"/>
  <c r="I517" i="11" s="1"/>
  <c r="T262" i="11" a="1"/>
  <c r="T262" i="11" s="1"/>
  <c r="S262" i="11" a="1"/>
  <c r="S262" i="11" s="1"/>
  <c r="D263" i="11"/>
  <c r="L262" i="11"/>
  <c r="A346" i="11"/>
  <c r="D346" i="11"/>
  <c r="F347" i="11"/>
  <c r="A263" i="11"/>
  <c r="AC429" i="11"/>
  <c r="K429" i="11" s="1"/>
  <c r="AA430" i="11"/>
  <c r="W431" i="11" a="1"/>
  <c r="W431" i="11" s="1"/>
  <c r="Y431" i="11" a="1"/>
  <c r="Y431" i="11" s="1"/>
  <c r="V432" i="11" a="1"/>
  <c r="V432" i="11" s="1"/>
  <c r="U432" i="11" a="1"/>
  <c r="U432" i="11" s="1"/>
  <c r="Z431" i="11" a="1"/>
  <c r="Z431" i="11" s="1"/>
  <c r="X431" i="11" a="1"/>
  <c r="X431" i="11" s="1"/>
  <c r="AB430" i="11"/>
  <c r="H347" i="11"/>
  <c r="H518" i="11"/>
  <c r="H434" i="11"/>
  <c r="X260" i="11" a="1"/>
  <c r="X260" i="11" s="1"/>
  <c r="F264" i="11"/>
  <c r="U262" i="11" a="1"/>
  <c r="U262" i="11" s="1"/>
  <c r="V261" i="11" a="1"/>
  <c r="V261" i="11" s="1"/>
  <c r="H263" i="11"/>
  <c r="J263" i="11" s="1"/>
  <c r="N346" i="11" l="1"/>
  <c r="O263" i="11"/>
  <c r="M263" i="11"/>
  <c r="N263" i="11"/>
  <c r="Q263" i="11" s="1"/>
  <c r="B264" i="11"/>
  <c r="C264" i="11"/>
  <c r="O345" i="11"/>
  <c r="B347" i="11"/>
  <c r="C347" i="11"/>
  <c r="M433" i="11"/>
  <c r="P433" i="11" s="1"/>
  <c r="N433" i="11"/>
  <c r="Q433" i="11" s="1"/>
  <c r="O433" i="11"/>
  <c r="R433" i="11" s="1"/>
  <c r="O346" i="11"/>
  <c r="R262" i="11"/>
  <c r="M346" i="11"/>
  <c r="P262" i="11"/>
  <c r="J346" i="11" s="1"/>
  <c r="M345" i="11"/>
  <c r="P261" i="11"/>
  <c r="J345" i="11" s="1"/>
  <c r="Q261" i="11"/>
  <c r="K345" i="11" s="1"/>
  <c r="N345" i="11"/>
  <c r="Y261" i="11" a="1"/>
  <c r="Y261" i="11" s="1"/>
  <c r="M516" i="11"/>
  <c r="J516" i="11"/>
  <c r="J434" i="11"/>
  <c r="N516" i="11"/>
  <c r="K516" i="11"/>
  <c r="L433" i="11"/>
  <c r="L516" i="11"/>
  <c r="O516" i="11"/>
  <c r="L346" i="11"/>
  <c r="I347" i="11"/>
  <c r="I518" i="11" s="1"/>
  <c r="Y262" i="11" a="1"/>
  <c r="Y262" i="11" s="1"/>
  <c r="L263" i="11"/>
  <c r="A347" i="11"/>
  <c r="D347" i="11"/>
  <c r="S263" i="11" a="1"/>
  <c r="S263" i="11" s="1"/>
  <c r="T263" i="11" a="1"/>
  <c r="T263" i="11" s="1"/>
  <c r="D264" i="11"/>
  <c r="AC430" i="11"/>
  <c r="K430" i="11" s="1"/>
  <c r="F348" i="11"/>
  <c r="A264" i="11"/>
  <c r="AB431" i="11"/>
  <c r="W432" i="11" a="1"/>
  <c r="W432" i="11" s="1"/>
  <c r="Y432" i="11" a="1"/>
  <c r="Y432" i="11" s="1"/>
  <c r="Z432" i="11" a="1"/>
  <c r="Z432" i="11" s="1"/>
  <c r="X432" i="11" a="1"/>
  <c r="X432" i="11" s="1"/>
  <c r="H348" i="11"/>
  <c r="H519" i="11"/>
  <c r="H435" i="11"/>
  <c r="V433" i="11" a="1"/>
  <c r="V433" i="11" s="1"/>
  <c r="U433" i="11" a="1"/>
  <c r="U433" i="11" s="1"/>
  <c r="AA431" i="11"/>
  <c r="V262" i="11" a="1"/>
  <c r="V262" i="11" s="1"/>
  <c r="X262" i="11" s="1" a="1"/>
  <c r="X262" i="11" s="1"/>
  <c r="U263" i="11" a="1"/>
  <c r="U263" i="11" s="1"/>
  <c r="F265" i="11"/>
  <c r="W262" i="11" a="1"/>
  <c r="W262" i="11" s="1"/>
  <c r="X261" i="11" a="1"/>
  <c r="X261" i="11" s="1"/>
  <c r="Z261" i="11" a="1"/>
  <c r="Z261" i="11" s="1"/>
  <c r="H264" i="11"/>
  <c r="N347" i="11" l="1"/>
  <c r="B348" i="11"/>
  <c r="C348" i="11"/>
  <c r="C265" i="11"/>
  <c r="B265" i="11"/>
  <c r="K347" i="11"/>
  <c r="M434" i="11"/>
  <c r="P434" i="11" s="1"/>
  <c r="N434" i="11"/>
  <c r="Q434" i="11" s="1"/>
  <c r="O434" i="11"/>
  <c r="R434" i="11" s="1"/>
  <c r="R263" i="11"/>
  <c r="L347" i="11" s="1"/>
  <c r="P263" i="11"/>
  <c r="J347" i="11" s="1"/>
  <c r="N517" i="11"/>
  <c r="K517" i="11"/>
  <c r="J435" i="11"/>
  <c r="J264" i="11"/>
  <c r="L517" i="11"/>
  <c r="O517" i="11"/>
  <c r="L434" i="11"/>
  <c r="J517" i="11"/>
  <c r="M517" i="11"/>
  <c r="M347" i="11"/>
  <c r="O347" i="11"/>
  <c r="I348" i="11"/>
  <c r="I519" i="11" s="1"/>
  <c r="Y263" i="11" a="1"/>
  <c r="Y263" i="11" s="1"/>
  <c r="D265" i="11"/>
  <c r="A348" i="11"/>
  <c r="D348" i="11"/>
  <c r="S264" i="11" a="1"/>
  <c r="S264" i="11" s="1"/>
  <c r="T264" i="11" a="1"/>
  <c r="T264" i="11" s="1"/>
  <c r="AC431" i="11"/>
  <c r="K431" i="11" s="1"/>
  <c r="F349" i="11"/>
  <c r="A265" i="11"/>
  <c r="V263" i="11" a="1"/>
  <c r="V263" i="11" s="1"/>
  <c r="Z263" i="11" s="1" a="1"/>
  <c r="Z263" i="11" s="1"/>
  <c r="Z262" i="11" a="1"/>
  <c r="Z262" i="11" s="1"/>
  <c r="AB432" i="11"/>
  <c r="AA432" i="11"/>
  <c r="W433" i="11" a="1"/>
  <c r="W433" i="11" s="1"/>
  <c r="Y433" i="11" a="1"/>
  <c r="Y433" i="11" s="1"/>
  <c r="Z433" i="11" a="1"/>
  <c r="Z433" i="11" s="1"/>
  <c r="X433" i="11" a="1"/>
  <c r="X433" i="11" s="1"/>
  <c r="H349" i="11"/>
  <c r="H436" i="11"/>
  <c r="H520" i="11"/>
  <c r="W263" i="11" a="1"/>
  <c r="W263" i="11" s="1"/>
  <c r="U434" i="11" a="1"/>
  <c r="U434" i="11" s="1"/>
  <c r="V434" i="11" a="1"/>
  <c r="V434" i="11" s="1"/>
  <c r="F266" i="11"/>
  <c r="H265" i="11"/>
  <c r="J265" i="11" s="1"/>
  <c r="B349" i="11" l="1"/>
  <c r="C349" i="11"/>
  <c r="M265" i="11"/>
  <c r="N265" i="11"/>
  <c r="O265" i="11"/>
  <c r="R265" i="11" s="1"/>
  <c r="L349" i="11" s="1"/>
  <c r="N264" i="11"/>
  <c r="O264" i="11"/>
  <c r="R264" i="11" s="1"/>
  <c r="L348" i="11" s="1"/>
  <c r="M264" i="11"/>
  <c r="B266" i="11"/>
  <c r="C266" i="11"/>
  <c r="O435" i="11"/>
  <c r="R435" i="11" s="1"/>
  <c r="M435" i="11"/>
  <c r="P435" i="11" s="1"/>
  <c r="N435" i="11"/>
  <c r="Q435" i="11" s="1"/>
  <c r="N518" i="11"/>
  <c r="K518" i="11"/>
  <c r="U264" i="11" a="1"/>
  <c r="U264" i="11" s="1"/>
  <c r="W264" i="11" s="1" a="1"/>
  <c r="W264" i="11" s="1"/>
  <c r="O518" i="11"/>
  <c r="L518" i="11"/>
  <c r="L435" i="11"/>
  <c r="J436" i="11"/>
  <c r="L264" i="11"/>
  <c r="M518" i="11"/>
  <c r="J518" i="11"/>
  <c r="I349" i="11"/>
  <c r="I520" i="11" s="1"/>
  <c r="U265" i="11" a="1"/>
  <c r="U265" i="11" s="1"/>
  <c r="S265" i="11" a="1"/>
  <c r="S265" i="11" s="1"/>
  <c r="T265" i="11" a="1"/>
  <c r="T265" i="11" s="1"/>
  <c r="L265" i="11"/>
  <c r="D266" i="11"/>
  <c r="A349" i="11"/>
  <c r="D349" i="11"/>
  <c r="X263" i="11" a="1"/>
  <c r="X263" i="11" s="1"/>
  <c r="AC432" i="11"/>
  <c r="K432" i="11" s="1"/>
  <c r="F350" i="11"/>
  <c r="A266" i="11"/>
  <c r="AA433" i="11"/>
  <c r="H350" i="11"/>
  <c r="H437" i="11"/>
  <c r="H521" i="11"/>
  <c r="Z434" i="11" a="1"/>
  <c r="Z434" i="11" s="1"/>
  <c r="X434" i="11" a="1"/>
  <c r="X434" i="11" s="1"/>
  <c r="AB433" i="11"/>
  <c r="Y434" i="11" a="1"/>
  <c r="Y434" i="11" s="1"/>
  <c r="W434" i="11" a="1"/>
  <c r="W434" i="11" s="1"/>
  <c r="U435" i="11" a="1"/>
  <c r="U435" i="11" s="1"/>
  <c r="V435" i="11" a="1"/>
  <c r="V435" i="11" s="1"/>
  <c r="F267" i="11"/>
  <c r="V264" i="11" a="1"/>
  <c r="V264" i="11" s="1"/>
  <c r="X264" i="11" s="1" a="1"/>
  <c r="X264" i="11" s="1"/>
  <c r="H266" i="11"/>
  <c r="V265" i="11" a="1"/>
  <c r="V265" i="11" s="1"/>
  <c r="O349" i="11" l="1"/>
  <c r="B350" i="11"/>
  <c r="C350" i="11"/>
  <c r="B267" i="11"/>
  <c r="C267" i="11"/>
  <c r="O348" i="11"/>
  <c r="N436" i="11"/>
  <c r="Q436" i="11" s="1"/>
  <c r="O436" i="11"/>
  <c r="R436" i="11" s="1"/>
  <c r="M436" i="11"/>
  <c r="P436" i="11" s="1"/>
  <c r="N349" i="11"/>
  <c r="Q265" i="11"/>
  <c r="K349" i="11" s="1"/>
  <c r="Q264" i="11"/>
  <c r="K348" i="11" s="1"/>
  <c r="M349" i="11"/>
  <c r="P265" i="11"/>
  <c r="J349" i="11" s="1"/>
  <c r="P264" i="11"/>
  <c r="J348" i="11" s="1"/>
  <c r="M348" i="11"/>
  <c r="Y264" i="11" a="1"/>
  <c r="Y264" i="11" s="1"/>
  <c r="O519" i="11"/>
  <c r="L519" i="11"/>
  <c r="J437" i="11"/>
  <c r="N348" i="11"/>
  <c r="K519" i="11"/>
  <c r="N519" i="11"/>
  <c r="J519" i="11"/>
  <c r="M519" i="11"/>
  <c r="J266" i="11"/>
  <c r="L436" i="11"/>
  <c r="I350" i="11"/>
  <c r="I521" i="11" s="1"/>
  <c r="Y265" i="11" a="1"/>
  <c r="Y265" i="11" s="1"/>
  <c r="W265" i="11" a="1"/>
  <c r="W265" i="11" s="1"/>
  <c r="D267" i="11"/>
  <c r="A350" i="11"/>
  <c r="D350" i="11"/>
  <c r="S266" i="11" a="1"/>
  <c r="S266" i="11" s="1"/>
  <c r="T266" i="11" a="1"/>
  <c r="T266" i="11" s="1"/>
  <c r="AC433" i="11"/>
  <c r="K433" i="11" s="1"/>
  <c r="F351" i="11"/>
  <c r="A267" i="11"/>
  <c r="AA434" i="11"/>
  <c r="H351" i="11"/>
  <c r="H522" i="11"/>
  <c r="H438" i="11"/>
  <c r="AB434" i="11"/>
  <c r="Z435" i="11" a="1"/>
  <c r="Z435" i="11" s="1"/>
  <c r="X435" i="11" a="1"/>
  <c r="X435" i="11" s="1"/>
  <c r="Y435" i="11" a="1"/>
  <c r="Y435" i="11" s="1"/>
  <c r="W435" i="11" a="1"/>
  <c r="W435" i="11" s="1"/>
  <c r="U436" i="11" a="1"/>
  <c r="U436" i="11" s="1"/>
  <c r="V436" i="11" a="1"/>
  <c r="V436" i="11" s="1"/>
  <c r="F268" i="11"/>
  <c r="Z264" i="11" a="1"/>
  <c r="Z264" i="11" s="1"/>
  <c r="Z265" i="11" a="1"/>
  <c r="Z265" i="11" s="1"/>
  <c r="X265" i="11" a="1"/>
  <c r="X265" i="11" s="1"/>
  <c r="H267" i="11"/>
  <c r="M437" i="11" l="1"/>
  <c r="N437" i="11"/>
  <c r="Q437" i="11" s="1"/>
  <c r="O437" i="11"/>
  <c r="R437" i="11" s="1"/>
  <c r="B268" i="11"/>
  <c r="C268" i="11"/>
  <c r="B351" i="11"/>
  <c r="C351" i="11"/>
  <c r="N266" i="11"/>
  <c r="N350" i="11" s="1"/>
  <c r="M266" i="11"/>
  <c r="O266" i="11"/>
  <c r="L266" i="11"/>
  <c r="J520" i="11"/>
  <c r="M520" i="11"/>
  <c r="U266" i="11" a="1"/>
  <c r="U266" i="11" s="1"/>
  <c r="W266" i="11" s="1" a="1"/>
  <c r="W266" i="11" s="1"/>
  <c r="K520" i="11"/>
  <c r="N520" i="11"/>
  <c r="J267" i="11"/>
  <c r="J438" i="11"/>
  <c r="L520" i="11"/>
  <c r="O520" i="11"/>
  <c r="P437" i="11"/>
  <c r="L437" i="11"/>
  <c r="I351" i="11"/>
  <c r="I522" i="11" s="1"/>
  <c r="D268" i="11"/>
  <c r="A351" i="11"/>
  <c r="D351" i="11"/>
  <c r="T267" i="11" a="1"/>
  <c r="T267" i="11" s="1"/>
  <c r="S267" i="11" a="1"/>
  <c r="S267" i="11" s="1"/>
  <c r="AC434" i="11"/>
  <c r="K434" i="11" s="1"/>
  <c r="V266" i="11" a="1"/>
  <c r="V266" i="11" s="1"/>
  <c r="Z266" i="11" s="1" a="1"/>
  <c r="Z266" i="11" s="1"/>
  <c r="F352" i="11"/>
  <c r="A268" i="11"/>
  <c r="AA435" i="11"/>
  <c r="AB435" i="11"/>
  <c r="Z436" i="11" a="1"/>
  <c r="Z436" i="11" s="1"/>
  <c r="X436" i="11" a="1"/>
  <c r="X436" i="11" s="1"/>
  <c r="U437" i="11" a="1"/>
  <c r="U437" i="11" s="1"/>
  <c r="V437" i="11" a="1"/>
  <c r="V437" i="11" s="1"/>
  <c r="Y436" i="11" a="1"/>
  <c r="Y436" i="11" s="1"/>
  <c r="W436" i="11" a="1"/>
  <c r="W436" i="11" s="1"/>
  <c r="H352" i="11"/>
  <c r="H523" i="11"/>
  <c r="H439" i="11"/>
  <c r="F269" i="11"/>
  <c r="H268" i="11"/>
  <c r="Q266" i="11" l="1"/>
  <c r="K350" i="11" s="1"/>
  <c r="M438" i="11"/>
  <c r="P438" i="11" s="1"/>
  <c r="N438" i="11"/>
  <c r="O438" i="11"/>
  <c r="R438" i="11" s="1"/>
  <c r="O267" i="11"/>
  <c r="M267" i="11"/>
  <c r="P267" i="11" s="1"/>
  <c r="J351" i="11" s="1"/>
  <c r="N267" i="11"/>
  <c r="B269" i="11"/>
  <c r="C269" i="11"/>
  <c r="B352" i="11"/>
  <c r="C352" i="11"/>
  <c r="O350" i="11"/>
  <c r="R266" i="11"/>
  <c r="L350" i="11" s="1"/>
  <c r="M350" i="11"/>
  <c r="P266" i="11"/>
  <c r="J350" i="11" s="1"/>
  <c r="L267" i="11"/>
  <c r="U267" i="11" a="1"/>
  <c r="U267" i="11" s="1"/>
  <c r="W267" i="11" s="1" a="1"/>
  <c r="W267" i="11" s="1"/>
  <c r="Y266" i="11" a="1"/>
  <c r="Y266" i="11" s="1"/>
  <c r="J439" i="11"/>
  <c r="J521" i="11"/>
  <c r="M521" i="11"/>
  <c r="Q438" i="11"/>
  <c r="L438" i="11"/>
  <c r="O521" i="11"/>
  <c r="L521" i="11"/>
  <c r="J268" i="11"/>
  <c r="N521" i="11"/>
  <c r="K521" i="11"/>
  <c r="I352" i="11"/>
  <c r="I523" i="11" s="1"/>
  <c r="S268" i="11" a="1"/>
  <c r="S268" i="11" s="1"/>
  <c r="T268" i="11" a="1"/>
  <c r="T268" i="11" s="1"/>
  <c r="D269" i="11"/>
  <c r="A352" i="11"/>
  <c r="D352" i="11"/>
  <c r="X266" i="11" a="1"/>
  <c r="X266" i="11" s="1"/>
  <c r="F353" i="11"/>
  <c r="A269" i="11"/>
  <c r="AC435" i="11"/>
  <c r="K435" i="11" s="1"/>
  <c r="V267" i="11" a="1"/>
  <c r="V267" i="11" s="1"/>
  <c r="X267" i="11" s="1" a="1"/>
  <c r="X267" i="11" s="1"/>
  <c r="AB436" i="11"/>
  <c r="AA436" i="11"/>
  <c r="Z437" i="11" a="1"/>
  <c r="Z437" i="11" s="1"/>
  <c r="X437" i="11" a="1"/>
  <c r="X437" i="11" s="1"/>
  <c r="H353" i="11"/>
  <c r="H524" i="11"/>
  <c r="H440" i="11"/>
  <c r="Y437" i="11" a="1"/>
  <c r="Y437" i="11" s="1"/>
  <c r="W437" i="11" a="1"/>
  <c r="W437" i="11" s="1"/>
  <c r="V438" i="11" a="1"/>
  <c r="V438" i="11" s="1"/>
  <c r="U438" i="11" a="1"/>
  <c r="U438" i="11" s="1"/>
  <c r="F270" i="11"/>
  <c r="H269" i="11"/>
  <c r="M351" i="11" l="1"/>
  <c r="O439" i="11"/>
  <c r="M439" i="11"/>
  <c r="P439" i="11" s="1"/>
  <c r="N439" i="11"/>
  <c r="Q439" i="11" s="1"/>
  <c r="B353" i="11"/>
  <c r="C353" i="11"/>
  <c r="B270" i="11"/>
  <c r="C270" i="11"/>
  <c r="O268" i="11"/>
  <c r="M268" i="11"/>
  <c r="M352" i="11" s="1"/>
  <c r="N268" i="11"/>
  <c r="R267" i="11"/>
  <c r="L351" i="11" s="1"/>
  <c r="Q267" i="11"/>
  <c r="K351" i="11" s="1"/>
  <c r="L268" i="11"/>
  <c r="N351" i="11"/>
  <c r="Y267" i="11" a="1"/>
  <c r="Y267" i="11" s="1"/>
  <c r="O351" i="11"/>
  <c r="U268" i="11" a="1"/>
  <c r="U268" i="11" s="1"/>
  <c r="W268" i="11" s="1" a="1"/>
  <c r="W268" i="11" s="1"/>
  <c r="R439" i="11"/>
  <c r="L439" i="11"/>
  <c r="J440" i="11"/>
  <c r="K522" i="11"/>
  <c r="N522" i="11"/>
  <c r="L522" i="11"/>
  <c r="O522" i="11"/>
  <c r="M522" i="11"/>
  <c r="J522" i="11"/>
  <c r="J269" i="11"/>
  <c r="I353" i="11"/>
  <c r="I524" i="11" s="1"/>
  <c r="D270" i="11"/>
  <c r="A353" i="11"/>
  <c r="D353" i="11"/>
  <c r="Z267" i="11" a="1"/>
  <c r="Z267" i="11" s="1"/>
  <c r="S269" i="11" a="1"/>
  <c r="S269" i="11" s="1"/>
  <c r="T269" i="11" a="1"/>
  <c r="T269" i="11" s="1"/>
  <c r="V268" i="11" a="1"/>
  <c r="V268" i="11" s="1"/>
  <c r="Z268" i="11" s="1" a="1"/>
  <c r="Z268" i="11" s="1"/>
  <c r="AC436" i="11"/>
  <c r="K436" i="11" s="1"/>
  <c r="F354" i="11"/>
  <c r="A270" i="11"/>
  <c r="AA437" i="11"/>
  <c r="X438" i="11" a="1"/>
  <c r="X438" i="11" s="1"/>
  <c r="Z438" i="11" a="1"/>
  <c r="Z438" i="11" s="1"/>
  <c r="H354" i="11"/>
  <c r="H525" i="11"/>
  <c r="H441" i="11"/>
  <c r="AB437" i="11"/>
  <c r="U439" i="11" a="1"/>
  <c r="U439" i="11" s="1"/>
  <c r="V439" i="11" a="1"/>
  <c r="V439" i="11" s="1"/>
  <c r="Y438" i="11" a="1"/>
  <c r="Y438" i="11" s="1"/>
  <c r="W438" i="11" a="1"/>
  <c r="W438" i="11" s="1"/>
  <c r="F271" i="11"/>
  <c r="H270" i="11"/>
  <c r="J270" i="11" s="1"/>
  <c r="P268" i="11" l="1"/>
  <c r="J352" i="11" s="1"/>
  <c r="N440" i="11"/>
  <c r="O440" i="11"/>
  <c r="M440" i="11"/>
  <c r="P440" i="11" s="1"/>
  <c r="M270" i="11"/>
  <c r="N270" i="11"/>
  <c r="N354" i="11" s="1"/>
  <c r="O270" i="11"/>
  <c r="M269" i="11"/>
  <c r="N269" i="11"/>
  <c r="O269" i="11"/>
  <c r="O353" i="11" s="1"/>
  <c r="B271" i="11"/>
  <c r="C271" i="11"/>
  <c r="B354" i="11"/>
  <c r="C354" i="11"/>
  <c r="R268" i="11"/>
  <c r="L352" i="11" s="1"/>
  <c r="Q268" i="11"/>
  <c r="K352" i="11" s="1"/>
  <c r="O352" i="11"/>
  <c r="N352" i="11"/>
  <c r="U269" i="11" a="1"/>
  <c r="U269" i="11" s="1"/>
  <c r="W269" i="11" s="1" a="1"/>
  <c r="W269" i="11" s="1"/>
  <c r="L269" i="11"/>
  <c r="Y268" i="11" a="1"/>
  <c r="Y268" i="11" s="1"/>
  <c r="Q440" i="11"/>
  <c r="L440" i="11"/>
  <c r="R440" i="11"/>
  <c r="J523" i="11"/>
  <c r="M523" i="11"/>
  <c r="L523" i="11"/>
  <c r="O523" i="11"/>
  <c r="J441" i="11"/>
  <c r="K523" i="11"/>
  <c r="N523" i="11"/>
  <c r="I354" i="11"/>
  <c r="I525" i="11" s="1"/>
  <c r="X268" i="11" a="1"/>
  <c r="X268" i="11" s="1"/>
  <c r="L270" i="11"/>
  <c r="A354" i="11"/>
  <c r="D354" i="11"/>
  <c r="S270" i="11" a="1"/>
  <c r="S270" i="11" s="1"/>
  <c r="T270" i="11" a="1"/>
  <c r="T270" i="11" s="1"/>
  <c r="D271" i="11"/>
  <c r="V269" i="11" a="1"/>
  <c r="V269" i="11" s="1"/>
  <c r="X269" i="11" s="1" a="1"/>
  <c r="X269" i="11" s="1"/>
  <c r="AC437" i="11"/>
  <c r="K437" i="11" s="1"/>
  <c r="F355" i="11"/>
  <c r="A271" i="11"/>
  <c r="AB438" i="11"/>
  <c r="X439" i="11" a="1"/>
  <c r="X439" i="11" s="1"/>
  <c r="Z439" i="11" a="1"/>
  <c r="Z439" i="11" s="1"/>
  <c r="W439" i="11" a="1"/>
  <c r="W439" i="11" s="1"/>
  <c r="Y439" i="11" a="1"/>
  <c r="Y439" i="11" s="1"/>
  <c r="V440" i="11" a="1"/>
  <c r="V440" i="11" s="1"/>
  <c r="U440" i="11" a="1"/>
  <c r="U440" i="11" s="1"/>
  <c r="AA438" i="11"/>
  <c r="H355" i="11"/>
  <c r="H526" i="11"/>
  <c r="H442" i="11"/>
  <c r="U270" i="11" a="1"/>
  <c r="U270" i="11" s="1"/>
  <c r="F272" i="11"/>
  <c r="H271" i="11"/>
  <c r="J271" i="11" s="1"/>
  <c r="M441" i="11" l="1"/>
  <c r="N441" i="11"/>
  <c r="Q441" i="11" s="1"/>
  <c r="O441" i="11"/>
  <c r="R441" i="11" s="1"/>
  <c r="R269" i="11"/>
  <c r="L353" i="11" s="1"/>
  <c r="B355" i="11"/>
  <c r="C355" i="11"/>
  <c r="Q270" i="11"/>
  <c r="K354" i="11" s="1"/>
  <c r="B272" i="11"/>
  <c r="C272" i="11"/>
  <c r="O271" i="11"/>
  <c r="M271" i="11"/>
  <c r="N271" i="11"/>
  <c r="Q269" i="11"/>
  <c r="K353" i="11" s="1"/>
  <c r="M354" i="11"/>
  <c r="P270" i="11"/>
  <c r="J354" i="11" s="1"/>
  <c r="O354" i="11"/>
  <c r="R270" i="11"/>
  <c r="P269" i="11"/>
  <c r="J353" i="11" s="1"/>
  <c r="Y269" i="11" a="1"/>
  <c r="Y269" i="11" s="1"/>
  <c r="M353" i="11"/>
  <c r="N353" i="11"/>
  <c r="L524" i="11"/>
  <c r="O524" i="11"/>
  <c r="P441" i="11"/>
  <c r="L441" i="11"/>
  <c r="N524" i="11"/>
  <c r="K524" i="11"/>
  <c r="J442" i="11"/>
  <c r="J524" i="11"/>
  <c r="M524" i="11"/>
  <c r="L354" i="11"/>
  <c r="I355" i="11"/>
  <c r="I526" i="11" s="1"/>
  <c r="Y270" i="11" a="1"/>
  <c r="Y270" i="11" s="1"/>
  <c r="L271" i="11"/>
  <c r="D272" i="11"/>
  <c r="A355" i="11"/>
  <c r="D355" i="11"/>
  <c r="T271" i="11" a="1"/>
  <c r="T271" i="11" s="1"/>
  <c r="S271" i="11" a="1"/>
  <c r="S271" i="11" s="1"/>
  <c r="Z269" i="11" a="1"/>
  <c r="Z269" i="11" s="1"/>
  <c r="AC438" i="11"/>
  <c r="K438" i="11" s="1"/>
  <c r="F356" i="11"/>
  <c r="A272" i="11"/>
  <c r="AB439" i="11"/>
  <c r="AA439" i="11"/>
  <c r="V270" i="11" a="1"/>
  <c r="V270" i="11" s="1"/>
  <c r="X270" i="11" s="1" a="1"/>
  <c r="X270" i="11" s="1"/>
  <c r="U441" i="11" a="1"/>
  <c r="U441" i="11" s="1"/>
  <c r="V441" i="11" a="1"/>
  <c r="V441" i="11" s="1"/>
  <c r="W270" i="11" a="1"/>
  <c r="W270" i="11" s="1"/>
  <c r="W440" i="11" a="1"/>
  <c r="W440" i="11" s="1"/>
  <c r="Y440" i="11" a="1"/>
  <c r="Y440" i="11" s="1"/>
  <c r="X440" i="11" a="1"/>
  <c r="X440" i="11" s="1"/>
  <c r="Z440" i="11" a="1"/>
  <c r="Z440" i="11" s="1"/>
  <c r="H356" i="11"/>
  <c r="H527" i="11"/>
  <c r="H443" i="11"/>
  <c r="U271" i="11" a="1"/>
  <c r="U271" i="11" s="1"/>
  <c r="F273" i="11"/>
  <c r="H272" i="11"/>
  <c r="R271" i="11" l="1"/>
  <c r="L355" i="11" s="1"/>
  <c r="M442" i="11"/>
  <c r="N442" i="11"/>
  <c r="O442" i="11"/>
  <c r="R442" i="11" s="1"/>
  <c r="O355" i="11"/>
  <c r="C273" i="11"/>
  <c r="B273" i="11"/>
  <c r="B356" i="11"/>
  <c r="C356" i="11"/>
  <c r="N355" i="11"/>
  <c r="Q271" i="11"/>
  <c r="K355" i="11" s="1"/>
  <c r="P271" i="11"/>
  <c r="J355" i="11" s="1"/>
  <c r="P442" i="11"/>
  <c r="L442" i="11"/>
  <c r="Q442" i="11"/>
  <c r="J525" i="11"/>
  <c r="M525" i="11"/>
  <c r="N525" i="11"/>
  <c r="K525" i="11"/>
  <c r="J443" i="11"/>
  <c r="J272" i="11"/>
  <c r="O525" i="11"/>
  <c r="L525" i="11"/>
  <c r="M355" i="11"/>
  <c r="I356" i="11"/>
  <c r="I527" i="11" s="1"/>
  <c r="A356" i="11"/>
  <c r="D356" i="11"/>
  <c r="D273" i="11"/>
  <c r="Y271" i="11" a="1"/>
  <c r="Y271" i="11" s="1"/>
  <c r="S272" i="11" a="1"/>
  <c r="S272" i="11" s="1"/>
  <c r="T272" i="11" a="1"/>
  <c r="T272" i="11" s="1"/>
  <c r="F357" i="11"/>
  <c r="A273" i="11"/>
  <c r="Z270" i="11" a="1"/>
  <c r="Z270" i="11" s="1"/>
  <c r="AC439" i="11"/>
  <c r="K439" i="11" s="1"/>
  <c r="AB440" i="11"/>
  <c r="AA440" i="11"/>
  <c r="X441" i="11" a="1"/>
  <c r="X441" i="11" s="1"/>
  <c r="Z441" i="11" a="1"/>
  <c r="Z441" i="11" s="1"/>
  <c r="V442" i="11" a="1"/>
  <c r="V442" i="11" s="1"/>
  <c r="U442" i="11" a="1"/>
  <c r="U442" i="11" s="1"/>
  <c r="Y441" i="11" a="1"/>
  <c r="Y441" i="11" s="1"/>
  <c r="W441" i="11" a="1"/>
  <c r="W441" i="11" s="1"/>
  <c r="H357" i="11"/>
  <c r="H444" i="11"/>
  <c r="H528" i="11"/>
  <c r="W271" i="11" a="1"/>
  <c r="W271" i="11" s="1"/>
  <c r="V271" i="11" a="1"/>
  <c r="V271" i="11" s="1"/>
  <c r="X271" i="11" s="1" a="1"/>
  <c r="X271" i="11" s="1"/>
  <c r="F274" i="11"/>
  <c r="H273" i="11"/>
  <c r="J273" i="11" s="1"/>
  <c r="N272" i="11" l="1"/>
  <c r="O272" i="11"/>
  <c r="M272" i="11"/>
  <c r="P272" i="11" s="1"/>
  <c r="J356" i="11" s="1"/>
  <c r="B357" i="11"/>
  <c r="C357" i="11"/>
  <c r="N443" i="11"/>
  <c r="Q443" i="11" s="1"/>
  <c r="O443" i="11"/>
  <c r="R443" i="11" s="1"/>
  <c r="M443" i="11"/>
  <c r="P443" i="11" s="1"/>
  <c r="M273" i="11"/>
  <c r="M357" i="11" s="1"/>
  <c r="N273" i="11"/>
  <c r="O273" i="11"/>
  <c r="B274" i="11"/>
  <c r="C274" i="11"/>
  <c r="U272" i="11" a="1"/>
  <c r="U272" i="11" s="1"/>
  <c r="W272" i="11" s="1" a="1"/>
  <c r="W272" i="11" s="1"/>
  <c r="L272" i="11"/>
  <c r="J444" i="11"/>
  <c r="L443" i="11"/>
  <c r="M526" i="11"/>
  <c r="J526" i="11"/>
  <c r="N526" i="11"/>
  <c r="K526" i="11"/>
  <c r="O526" i="11"/>
  <c r="L526" i="11"/>
  <c r="I357" i="11"/>
  <c r="I528" i="11" s="1"/>
  <c r="D274" i="11"/>
  <c r="L273" i="11"/>
  <c r="T273" i="11" a="1"/>
  <c r="T273" i="11" s="1"/>
  <c r="S273" i="11" a="1"/>
  <c r="S273" i="11" s="1"/>
  <c r="A357" i="11"/>
  <c r="D357" i="11"/>
  <c r="AB441" i="11"/>
  <c r="F358" i="11"/>
  <c r="A274" i="11"/>
  <c r="AC440" i="11"/>
  <c r="K440" i="11" s="1"/>
  <c r="Y442" i="11" a="1"/>
  <c r="Y442" i="11" s="1"/>
  <c r="W442" i="11" a="1"/>
  <c r="W442" i="11" s="1"/>
  <c r="X442" i="11" a="1"/>
  <c r="X442" i="11" s="1"/>
  <c r="Z442" i="11" a="1"/>
  <c r="Z442" i="11" s="1"/>
  <c r="V443" i="11" a="1"/>
  <c r="V443" i="11" s="1"/>
  <c r="U443" i="11" a="1"/>
  <c r="U443" i="11" s="1"/>
  <c r="H358" i="11"/>
  <c r="H529" i="11"/>
  <c r="H445" i="11"/>
  <c r="AA441" i="11"/>
  <c r="Z271" i="11" a="1"/>
  <c r="Z271" i="11" s="1"/>
  <c r="U273" i="11" a="1"/>
  <c r="U273" i="11" s="1"/>
  <c r="F275" i="11"/>
  <c r="V272" i="11" a="1"/>
  <c r="V272" i="11" s="1"/>
  <c r="Z272" i="11" s="1" a="1"/>
  <c r="Z272" i="11" s="1"/>
  <c r="H274" i="11"/>
  <c r="M356" i="11" l="1"/>
  <c r="P273" i="11"/>
  <c r="J357" i="11" s="1"/>
  <c r="N444" i="11"/>
  <c r="O444" i="11"/>
  <c r="M444" i="11"/>
  <c r="P444" i="11" s="1"/>
  <c r="B275" i="11"/>
  <c r="C275" i="11"/>
  <c r="B358" i="11"/>
  <c r="C358" i="11"/>
  <c r="Q273" i="11"/>
  <c r="K357" i="11" s="1"/>
  <c r="O357" i="11"/>
  <c r="R273" i="11"/>
  <c r="L357" i="11" s="1"/>
  <c r="R272" i="11"/>
  <c r="L356" i="11" s="1"/>
  <c r="N356" i="11"/>
  <c r="Q272" i="11"/>
  <c r="K356" i="11" s="1"/>
  <c r="Y272" i="11" a="1"/>
  <c r="Y272" i="11" s="1"/>
  <c r="O356" i="11"/>
  <c r="L527" i="11"/>
  <c r="O527" i="11"/>
  <c r="J445" i="11"/>
  <c r="N527" i="11"/>
  <c r="K527" i="11"/>
  <c r="R444" i="11"/>
  <c r="Q444" i="11"/>
  <c r="L444" i="11"/>
  <c r="J274" i="11"/>
  <c r="M527" i="11"/>
  <c r="J527" i="11"/>
  <c r="N357" i="11"/>
  <c r="I358" i="11"/>
  <c r="I529" i="11" s="1"/>
  <c r="W273" i="11" a="1"/>
  <c r="W273" i="11" s="1"/>
  <c r="A358" i="11"/>
  <c r="D358" i="11"/>
  <c r="D275" i="11"/>
  <c r="S274" i="11" a="1"/>
  <c r="S274" i="11" s="1"/>
  <c r="T274" i="11" a="1"/>
  <c r="T274" i="11" s="1"/>
  <c r="V273" i="11" a="1"/>
  <c r="V273" i="11" s="1"/>
  <c r="Z273" i="11" s="1" a="1"/>
  <c r="Z273" i="11" s="1"/>
  <c r="AC441" i="11"/>
  <c r="K441" i="11" s="1"/>
  <c r="F359" i="11"/>
  <c r="A275" i="11"/>
  <c r="AA442" i="11"/>
  <c r="AB442" i="11"/>
  <c r="U444" i="11" a="1"/>
  <c r="U444" i="11" s="1"/>
  <c r="V444" i="11" a="1"/>
  <c r="V444" i="11" s="1"/>
  <c r="H359" i="11"/>
  <c r="H530" i="11"/>
  <c r="H446" i="11"/>
  <c r="Y443" i="11" a="1"/>
  <c r="Y443" i="11" s="1"/>
  <c r="W443" i="11" a="1"/>
  <c r="W443" i="11" s="1"/>
  <c r="Z443" i="11" a="1"/>
  <c r="Z443" i="11" s="1"/>
  <c r="X443" i="11" a="1"/>
  <c r="X443" i="11" s="1"/>
  <c r="Y273" i="11" a="1"/>
  <c r="Y273" i="11" s="1"/>
  <c r="F276" i="11"/>
  <c r="X272" i="11" a="1"/>
  <c r="X272" i="11" s="1"/>
  <c r="H275" i="11"/>
  <c r="J275" i="11" s="1"/>
  <c r="N445" i="11" l="1"/>
  <c r="Q445" i="11" s="1"/>
  <c r="O445" i="11"/>
  <c r="R445" i="11" s="1"/>
  <c r="M445" i="11"/>
  <c r="P445" i="11" s="1"/>
  <c r="B359" i="11"/>
  <c r="C359" i="11"/>
  <c r="M275" i="11"/>
  <c r="P275" i="11" s="1"/>
  <c r="J359" i="11" s="1"/>
  <c r="N275" i="11"/>
  <c r="O275" i="11"/>
  <c r="M274" i="11"/>
  <c r="P274" i="11" s="1"/>
  <c r="N274" i="11"/>
  <c r="N358" i="11" s="1"/>
  <c r="O274" i="11"/>
  <c r="B276" i="11"/>
  <c r="C276" i="11"/>
  <c r="J528" i="11"/>
  <c r="M528" i="11"/>
  <c r="O528" i="11"/>
  <c r="L528" i="11"/>
  <c r="L274" i="11"/>
  <c r="U274" i="11" a="1"/>
  <c r="U274" i="11" s="1"/>
  <c r="W274" i="11" s="1" a="1"/>
  <c r="W274" i="11" s="1"/>
  <c r="J446" i="11"/>
  <c r="N528" i="11"/>
  <c r="K528" i="11"/>
  <c r="L445" i="11"/>
  <c r="I359" i="11"/>
  <c r="I530" i="11" s="1"/>
  <c r="L275" i="11"/>
  <c r="A359" i="11"/>
  <c r="D359" i="11"/>
  <c r="T275" i="11" a="1"/>
  <c r="T275" i="11" s="1"/>
  <c r="S275" i="11" a="1"/>
  <c r="S275" i="11" s="1"/>
  <c r="D276" i="11"/>
  <c r="X273" i="11" a="1"/>
  <c r="X273" i="11" s="1"/>
  <c r="F360" i="11"/>
  <c r="A276" i="11"/>
  <c r="AC442" i="11"/>
  <c r="K442" i="11" s="1"/>
  <c r="H360" i="11"/>
  <c r="H531" i="11"/>
  <c r="H447" i="11"/>
  <c r="AB443" i="11"/>
  <c r="AA443" i="11"/>
  <c r="V445" i="11" a="1"/>
  <c r="V445" i="11" s="1"/>
  <c r="U445" i="11" a="1"/>
  <c r="U445" i="11" s="1"/>
  <c r="X444" i="11" a="1"/>
  <c r="X444" i="11" s="1"/>
  <c r="Z444" i="11" a="1"/>
  <c r="Z444" i="11" s="1"/>
  <c r="W444" i="11" a="1"/>
  <c r="W444" i="11" s="1"/>
  <c r="Y444" i="11" a="1"/>
  <c r="Y444" i="11" s="1"/>
  <c r="F277" i="11"/>
  <c r="V274" i="11" a="1"/>
  <c r="V274" i="11" s="1"/>
  <c r="Z274" i="11" s="1" a="1"/>
  <c r="Z274" i="11" s="1"/>
  <c r="U275" i="11" a="1"/>
  <c r="U275" i="11" s="1"/>
  <c r="H276" i="11"/>
  <c r="J276" i="11" s="1"/>
  <c r="M359" i="11" l="1"/>
  <c r="M446" i="11"/>
  <c r="P446" i="11" s="1"/>
  <c r="N446" i="11"/>
  <c r="Q446" i="11" s="1"/>
  <c r="O446" i="11"/>
  <c r="R446" i="11" s="1"/>
  <c r="N276" i="11"/>
  <c r="O276" i="11"/>
  <c r="R276" i="11" s="1"/>
  <c r="L360" i="11" s="1"/>
  <c r="M276" i="11"/>
  <c r="B277" i="11"/>
  <c r="C277" i="11"/>
  <c r="B360" i="11"/>
  <c r="C360" i="11"/>
  <c r="Q274" i="11"/>
  <c r="K358" i="11" s="1"/>
  <c r="R275" i="11"/>
  <c r="L359" i="11" s="1"/>
  <c r="N359" i="11"/>
  <c r="Q275" i="11"/>
  <c r="K359" i="11" s="1"/>
  <c r="O358" i="11"/>
  <c r="R274" i="11"/>
  <c r="L358" i="11" s="1"/>
  <c r="Y274" i="11" a="1"/>
  <c r="Y274" i="11" s="1"/>
  <c r="L446" i="11"/>
  <c r="M529" i="11"/>
  <c r="J529" i="11"/>
  <c r="J447" i="11"/>
  <c r="O529" i="11"/>
  <c r="L529" i="11"/>
  <c r="M358" i="11"/>
  <c r="J358" i="11"/>
  <c r="K529" i="11"/>
  <c r="N529" i="11"/>
  <c r="O359" i="11"/>
  <c r="I360" i="11"/>
  <c r="I531" i="11" s="1"/>
  <c r="O360" i="11"/>
  <c r="A360" i="11"/>
  <c r="D360" i="11"/>
  <c r="L276" i="11"/>
  <c r="T276" i="11" a="1"/>
  <c r="T276" i="11" s="1"/>
  <c r="S276" i="11" a="1"/>
  <c r="S276" i="11" s="1"/>
  <c r="U276" i="11" a="1"/>
  <c r="U276" i="11" s="1"/>
  <c r="D277" i="11"/>
  <c r="AB444" i="11"/>
  <c r="F361" i="11"/>
  <c r="A277" i="11"/>
  <c r="AA444" i="11"/>
  <c r="U446" i="11" a="1"/>
  <c r="U446" i="11" s="1"/>
  <c r="V446" i="11" a="1"/>
  <c r="V446" i="11" s="1"/>
  <c r="W445" i="11" a="1"/>
  <c r="W445" i="11" s="1"/>
  <c r="Y445" i="11" a="1"/>
  <c r="Y445" i="11" s="1"/>
  <c r="X445" i="11" a="1"/>
  <c r="X445" i="11" s="1"/>
  <c r="Z445" i="11" a="1"/>
  <c r="Z445" i="11" s="1"/>
  <c r="AC443" i="11"/>
  <c r="K443" i="11" s="1"/>
  <c r="H361" i="11"/>
  <c r="H448" i="11"/>
  <c r="H532" i="11"/>
  <c r="F278" i="11"/>
  <c r="X274" i="11" a="1"/>
  <c r="X274" i="11" s="1"/>
  <c r="V275" i="11" a="1"/>
  <c r="V275" i="11" s="1"/>
  <c r="X275" i="11" s="1" a="1"/>
  <c r="X275" i="11" s="1"/>
  <c r="W275" i="11" a="1"/>
  <c r="W275" i="11" s="1"/>
  <c r="Y275" i="11" a="1"/>
  <c r="Y275" i="11" s="1"/>
  <c r="H277" i="11"/>
  <c r="J277" i="11" s="1"/>
  <c r="V276" i="11" a="1"/>
  <c r="V276" i="11" s="1"/>
  <c r="B361" i="11" l="1"/>
  <c r="C361" i="11"/>
  <c r="B278" i="11"/>
  <c r="C278" i="11"/>
  <c r="M277" i="11"/>
  <c r="N277" i="11"/>
  <c r="Q277" i="11" s="1"/>
  <c r="O277" i="11"/>
  <c r="N447" i="11"/>
  <c r="Q447" i="11" s="1"/>
  <c r="M447" i="11"/>
  <c r="P447" i="11" s="1"/>
  <c r="O447" i="11"/>
  <c r="R447" i="11" s="1"/>
  <c r="Q276" i="11"/>
  <c r="K360" i="11" s="1"/>
  <c r="P276" i="11"/>
  <c r="J360" i="11" s="1"/>
  <c r="J448" i="11"/>
  <c r="L447" i="11"/>
  <c r="M530" i="11"/>
  <c r="J530" i="11"/>
  <c r="K530" i="11"/>
  <c r="N530" i="11"/>
  <c r="L530" i="11"/>
  <c r="O530" i="11"/>
  <c r="M360" i="11"/>
  <c r="N360" i="11"/>
  <c r="I361" i="11"/>
  <c r="I532" i="11" s="1"/>
  <c r="Y276" i="11" a="1"/>
  <c r="Y276" i="11" s="1"/>
  <c r="W276" i="11" a="1"/>
  <c r="W276" i="11" s="1"/>
  <c r="U277" i="11" a="1"/>
  <c r="U277" i="11" s="1"/>
  <c r="AC444" i="11"/>
  <c r="K444" i="11" s="1"/>
  <c r="A361" i="11"/>
  <c r="D361" i="11"/>
  <c r="S277" i="11" a="1"/>
  <c r="S277" i="11" s="1"/>
  <c r="T277" i="11" a="1"/>
  <c r="T277" i="11" s="1"/>
  <c r="D278" i="11"/>
  <c r="L277" i="11"/>
  <c r="AB445" i="11"/>
  <c r="F362" i="11"/>
  <c r="A278" i="11"/>
  <c r="AA445" i="11"/>
  <c r="H362" i="11"/>
  <c r="H449" i="11"/>
  <c r="H533" i="11"/>
  <c r="V447" i="11" a="1"/>
  <c r="V447" i="11" s="1"/>
  <c r="U447" i="11" a="1"/>
  <c r="U447" i="11" s="1"/>
  <c r="X446" i="11" a="1"/>
  <c r="X446" i="11" s="1"/>
  <c r="Z446" i="11" a="1"/>
  <c r="Z446" i="11" s="1"/>
  <c r="W446" i="11" a="1"/>
  <c r="W446" i="11" s="1"/>
  <c r="Y446" i="11" a="1"/>
  <c r="Y446" i="11" s="1"/>
  <c r="F279" i="11"/>
  <c r="Z275" i="11" a="1"/>
  <c r="Z275" i="11" s="1"/>
  <c r="Z276" i="11" a="1"/>
  <c r="Z276" i="11" s="1"/>
  <c r="X276" i="11" a="1"/>
  <c r="X276" i="11" s="1"/>
  <c r="H278" i="11"/>
  <c r="J278" i="11" s="1"/>
  <c r="V277" i="11" a="1"/>
  <c r="V277" i="11" s="1"/>
  <c r="N361" i="11" l="1"/>
  <c r="B279" i="11"/>
  <c r="C279" i="11"/>
  <c r="B362" i="11"/>
  <c r="C362" i="11"/>
  <c r="K361" i="11"/>
  <c r="M278" i="11"/>
  <c r="N278" i="11"/>
  <c r="N362" i="11" s="1"/>
  <c r="O278" i="11"/>
  <c r="N448" i="11"/>
  <c r="Q448" i="11" s="1"/>
  <c r="O448" i="11"/>
  <c r="R448" i="11" s="1"/>
  <c r="M448" i="11"/>
  <c r="P448" i="11" s="1"/>
  <c r="M361" i="11"/>
  <c r="P277" i="11"/>
  <c r="J361" i="11" s="1"/>
  <c r="R277" i="11"/>
  <c r="L361" i="11" s="1"/>
  <c r="L448" i="11"/>
  <c r="L531" i="11"/>
  <c r="O531" i="11"/>
  <c r="J531" i="11"/>
  <c r="M531" i="11"/>
  <c r="J449" i="11"/>
  <c r="N531" i="11"/>
  <c r="K531" i="11"/>
  <c r="O361" i="11"/>
  <c r="I362" i="11"/>
  <c r="I533" i="11" s="1"/>
  <c r="W277" i="11" a="1"/>
  <c r="W277" i="11" s="1"/>
  <c r="Y277" i="11" a="1"/>
  <c r="Y277" i="11" s="1"/>
  <c r="A362" i="11"/>
  <c r="D362" i="11"/>
  <c r="S278" i="11" a="1"/>
  <c r="S278" i="11" s="1"/>
  <c r="T278" i="11" a="1"/>
  <c r="T278" i="11" s="1"/>
  <c r="L278" i="11"/>
  <c r="U278" i="11" a="1"/>
  <c r="U278" i="11" s="1"/>
  <c r="D279" i="11"/>
  <c r="AC445" i="11"/>
  <c r="K445" i="11" s="1"/>
  <c r="F363" i="11"/>
  <c r="A279" i="11"/>
  <c r="AA446" i="11"/>
  <c r="AB446" i="11"/>
  <c r="U448" i="11" a="1"/>
  <c r="U448" i="11" s="1"/>
  <c r="V448" i="11" a="1"/>
  <c r="V448" i="11" s="1"/>
  <c r="H363" i="11"/>
  <c r="H534" i="11"/>
  <c r="H450" i="11"/>
  <c r="Y447" i="11" a="1"/>
  <c r="Y447" i="11" s="1"/>
  <c r="W447" i="11" a="1"/>
  <c r="W447" i="11" s="1"/>
  <c r="X447" i="11" a="1"/>
  <c r="X447" i="11" s="1"/>
  <c r="Z447" i="11" a="1"/>
  <c r="Z447" i="11" s="1"/>
  <c r="X277" i="11" a="1"/>
  <c r="X277" i="11" s="1"/>
  <c r="Z277" i="11" a="1"/>
  <c r="Z277" i="11" s="1"/>
  <c r="H279" i="11"/>
  <c r="J279" i="11" s="1"/>
  <c r="V278" i="11" a="1"/>
  <c r="V278" i="11" s="1"/>
  <c r="F280" i="11"/>
  <c r="B280" i="11" l="1"/>
  <c r="C280" i="11"/>
  <c r="Q278" i="11"/>
  <c r="K362" i="11" s="1"/>
  <c r="C363" i="11"/>
  <c r="B363" i="11"/>
  <c r="O279" i="11"/>
  <c r="M279" i="11"/>
  <c r="M363" i="11" s="1"/>
  <c r="N279" i="11"/>
  <c r="M449" i="11"/>
  <c r="P449" i="11" s="1"/>
  <c r="N449" i="11"/>
  <c r="Q449" i="11" s="1"/>
  <c r="O449" i="11"/>
  <c r="R449" i="11" s="1"/>
  <c r="O362" i="11"/>
  <c r="R278" i="11"/>
  <c r="L362" i="11" s="1"/>
  <c r="M362" i="11"/>
  <c r="P278" i="11"/>
  <c r="J362" i="11" s="1"/>
  <c r="L449" i="11"/>
  <c r="J532" i="11"/>
  <c r="M532" i="11"/>
  <c r="J450" i="11"/>
  <c r="O532" i="11"/>
  <c r="L532" i="11"/>
  <c r="N532" i="11"/>
  <c r="K532" i="11"/>
  <c r="I363" i="11"/>
  <c r="I534" i="11" s="1"/>
  <c r="Y278" i="11" a="1"/>
  <c r="Y278" i="11" s="1"/>
  <c r="W278" i="11" a="1"/>
  <c r="W278" i="11" s="1"/>
  <c r="U279" i="11" a="1"/>
  <c r="U279" i="11" s="1"/>
  <c r="A363" i="11"/>
  <c r="D363" i="11"/>
  <c r="L279" i="11"/>
  <c r="D280" i="11"/>
  <c r="T279" i="11" a="1"/>
  <c r="T279" i="11" s="1"/>
  <c r="S279" i="11" a="1"/>
  <c r="S279" i="11" s="1"/>
  <c r="F364" i="11"/>
  <c r="A280" i="11"/>
  <c r="AC446" i="11"/>
  <c r="K446" i="11" s="1"/>
  <c r="AA447" i="11"/>
  <c r="AB447" i="11"/>
  <c r="Z448" i="11" a="1"/>
  <c r="Z448" i="11" s="1"/>
  <c r="X448" i="11" a="1"/>
  <c r="X448" i="11" s="1"/>
  <c r="W448" i="11" a="1"/>
  <c r="W448" i="11" s="1"/>
  <c r="Y448" i="11" a="1"/>
  <c r="Y448" i="11" s="1"/>
  <c r="U449" i="11" a="1"/>
  <c r="U449" i="11" s="1"/>
  <c r="V449" i="11" a="1"/>
  <c r="V449" i="11" s="1"/>
  <c r="X278" i="11" a="1"/>
  <c r="X278" i="11" s="1"/>
  <c r="Z278" i="11" a="1"/>
  <c r="Z278" i="11" s="1"/>
  <c r="V279" i="11" a="1"/>
  <c r="V279" i="11" s="1"/>
  <c r="F281" i="11"/>
  <c r="B281" i="11" l="1"/>
  <c r="C281" i="11"/>
  <c r="P279" i="11"/>
  <c r="J363" i="11" s="1"/>
  <c r="B364" i="11"/>
  <c r="C364" i="11"/>
  <c r="M450" i="11"/>
  <c r="P450" i="11" s="1"/>
  <c r="N450" i="11"/>
  <c r="Q450" i="11" s="1"/>
  <c r="O450" i="11"/>
  <c r="R450" i="11" s="1"/>
  <c r="O363" i="11"/>
  <c r="R279" i="11"/>
  <c r="L363" i="11" s="1"/>
  <c r="N363" i="11"/>
  <c r="Q279" i="11"/>
  <c r="K363" i="11" s="1"/>
  <c r="L533" i="11"/>
  <c r="O533" i="11"/>
  <c r="L450" i="11"/>
  <c r="J533" i="11"/>
  <c r="M533" i="11"/>
  <c r="N533" i="11"/>
  <c r="K533" i="11"/>
  <c r="W279" i="11" a="1"/>
  <c r="W279" i="11" s="1"/>
  <c r="Y279" i="11" a="1"/>
  <c r="Y279" i="11" s="1"/>
  <c r="D281" i="11"/>
  <c r="S280" i="11" a="1"/>
  <c r="S280" i="11" s="1"/>
  <c r="T280" i="11" a="1"/>
  <c r="T280" i="11" s="1"/>
  <c r="A364" i="11"/>
  <c r="D364" i="11"/>
  <c r="F365" i="11"/>
  <c r="A281" i="11"/>
  <c r="AC447" i="11"/>
  <c r="K447" i="11" s="1"/>
  <c r="H365" i="11"/>
  <c r="H536" i="11"/>
  <c r="H452" i="11"/>
  <c r="H364" i="11"/>
  <c r="I364" i="11" s="1"/>
  <c r="I535" i="11" s="1"/>
  <c r="H535" i="11"/>
  <c r="H451" i="11"/>
  <c r="Z449" i="11" a="1"/>
  <c r="Z449" i="11" s="1"/>
  <c r="X449" i="11" a="1"/>
  <c r="X449" i="11" s="1"/>
  <c r="AB448" i="11"/>
  <c r="Y449" i="11" a="1"/>
  <c r="Y449" i="11" s="1"/>
  <c r="W449" i="11" a="1"/>
  <c r="W449" i="11" s="1"/>
  <c r="AA448" i="11"/>
  <c r="V450" i="11" a="1"/>
  <c r="V450" i="11" s="1"/>
  <c r="U450" i="11" a="1"/>
  <c r="U450" i="11" s="1"/>
  <c r="X279" i="11" a="1"/>
  <c r="X279" i="11" s="1"/>
  <c r="Z279" i="11" a="1"/>
  <c r="Z279" i="11" s="1"/>
  <c r="H280" i="11"/>
  <c r="J280" i="11" s="1"/>
  <c r="H281" i="11"/>
  <c r="F282" i="11"/>
  <c r="F283" i="11"/>
  <c r="AT3" i="4" a="1"/>
  <c r="B365" i="11" l="1"/>
  <c r="C365" i="11"/>
  <c r="B283" i="11"/>
  <c r="C283" i="11"/>
  <c r="B282" i="11"/>
  <c r="C282" i="11"/>
  <c r="O280" i="11"/>
  <c r="O364" i="11" s="1"/>
  <c r="M280" i="11"/>
  <c r="N280" i="11"/>
  <c r="J534" i="11"/>
  <c r="M534" i="11"/>
  <c r="L280" i="11"/>
  <c r="J452" i="11"/>
  <c r="O534" i="11"/>
  <c r="L534" i="11"/>
  <c r="J451" i="11"/>
  <c r="J281" i="11"/>
  <c r="K534" i="11"/>
  <c r="N534" i="11"/>
  <c r="I365" i="11"/>
  <c r="I536" i="11" s="1"/>
  <c r="U280" i="11" a="1"/>
  <c r="U280" i="11" s="1"/>
  <c r="Y280" i="11" s="1" a="1"/>
  <c r="Y280" i="11" s="1"/>
  <c r="D283" i="11"/>
  <c r="A365" i="11"/>
  <c r="D365" i="11"/>
  <c r="D282" i="11"/>
  <c r="S281" i="11" a="1"/>
  <c r="S281" i="11" s="1"/>
  <c r="T281" i="11" a="1"/>
  <c r="T281" i="11" s="1"/>
  <c r="F367" i="11"/>
  <c r="A283" i="11"/>
  <c r="F366" i="11"/>
  <c r="A282" i="11"/>
  <c r="AA449" i="11"/>
  <c r="Y450" i="11" a="1"/>
  <c r="Y450" i="11" s="1"/>
  <c r="W450" i="11" a="1"/>
  <c r="W450" i="11" s="1"/>
  <c r="X450" i="11" a="1"/>
  <c r="X450" i="11" s="1"/>
  <c r="Z450" i="11" a="1"/>
  <c r="Z450" i="11" s="1"/>
  <c r="H366" i="11"/>
  <c r="H537" i="11"/>
  <c r="H453" i="11"/>
  <c r="H367" i="11"/>
  <c r="H538" i="11"/>
  <c r="H454" i="11"/>
  <c r="AC448" i="11"/>
  <c r="K448" i="11" s="1"/>
  <c r="AB449" i="11"/>
  <c r="H282" i="11"/>
  <c r="H283" i="11"/>
  <c r="V280" i="11" a="1"/>
  <c r="V280" i="11" s="1"/>
  <c r="F284" i="11"/>
  <c r="M43" i="13" a="1"/>
  <c r="M43" i="13" s="1"/>
  <c r="AT58" i="4"/>
  <c r="AT26" i="4"/>
  <c r="AT19" i="4"/>
  <c r="AT4" i="4"/>
  <c r="AT45" i="4"/>
  <c r="AT90" i="4"/>
  <c r="AT81" i="4"/>
  <c r="AT15" i="4"/>
  <c r="AT33" i="4"/>
  <c r="AT92" i="4"/>
  <c r="AT32" i="4"/>
  <c r="AT71" i="4"/>
  <c r="AT43" i="4"/>
  <c r="AT11" i="4"/>
  <c r="AT86" i="4"/>
  <c r="AT8" i="4"/>
  <c r="AT22" i="4"/>
  <c r="AT44" i="4"/>
  <c r="AT82" i="4"/>
  <c r="AT40" i="4"/>
  <c r="AT47" i="4"/>
  <c r="AT68" i="4"/>
  <c r="AT60" i="4"/>
  <c r="AT76" i="4"/>
  <c r="AT21" i="4"/>
  <c r="AT57" i="4"/>
  <c r="AT91" i="4"/>
  <c r="AT69" i="4"/>
  <c r="AT74" i="4"/>
  <c r="AT6" i="4"/>
  <c r="AT80" i="4"/>
  <c r="AT77" i="4"/>
  <c r="AT51" i="4"/>
  <c r="AT64" i="4"/>
  <c r="AT89" i="4"/>
  <c r="AT75" i="4"/>
  <c r="AT13" i="4"/>
  <c r="AT49" i="4"/>
  <c r="AT34" i="4"/>
  <c r="AT67" i="4"/>
  <c r="AT54" i="4"/>
  <c r="AT20" i="4"/>
  <c r="AT84" i="4"/>
  <c r="AT50" i="4"/>
  <c r="AT62" i="4"/>
  <c r="AT56" i="4"/>
  <c r="AT24" i="4"/>
  <c r="AT10" i="4"/>
  <c r="AT87" i="4"/>
  <c r="AT16" i="4"/>
  <c r="AT79" i="4"/>
  <c r="AT12" i="4"/>
  <c r="AT78" i="4"/>
  <c r="AT36" i="4"/>
  <c r="AT25" i="4"/>
  <c r="AT3" i="4"/>
  <c r="AT28" i="4"/>
  <c r="AT59" i="4"/>
  <c r="AT52" i="4"/>
  <c r="AT73" i="4"/>
  <c r="AT55" i="4"/>
  <c r="AT37" i="4"/>
  <c r="AT88" i="4"/>
  <c r="AT48" i="4"/>
  <c r="AT63" i="4"/>
  <c r="AT66" i="4"/>
  <c r="AT27" i="4"/>
  <c r="AT31" i="4"/>
  <c r="AT38" i="4"/>
  <c r="AT29" i="4"/>
  <c r="AT30" i="4"/>
  <c r="AT39" i="4"/>
  <c r="AT70" i="4"/>
  <c r="AT83" i="4"/>
  <c r="AT18" i="4"/>
  <c r="AT23" i="4"/>
  <c r="AT65" i="4"/>
  <c r="AT7" i="4"/>
  <c r="AT5" i="4"/>
  <c r="AT9" i="4"/>
  <c r="AT14" i="4"/>
  <c r="AT72" i="4"/>
  <c r="AT35" i="4"/>
  <c r="AT17" i="4"/>
  <c r="AT42" i="4"/>
  <c r="AT41" i="4"/>
  <c r="AT85" i="4"/>
  <c r="AT46" i="4"/>
  <c r="AT53" i="4"/>
  <c r="AT61" i="4"/>
  <c r="R280" i="11" l="1"/>
  <c r="L364" i="11" s="1"/>
  <c r="N281" i="11"/>
  <c r="O281" i="11"/>
  <c r="M281" i="11"/>
  <c r="M365" i="11" s="1"/>
  <c r="B367" i="11"/>
  <c r="C367" i="11"/>
  <c r="O451" i="11"/>
  <c r="R451" i="11" s="1"/>
  <c r="M451" i="11"/>
  <c r="P451" i="11" s="1"/>
  <c r="N451" i="11"/>
  <c r="Q451" i="11" s="1"/>
  <c r="B366" i="11"/>
  <c r="C366" i="11"/>
  <c r="N452" i="11"/>
  <c r="Q452" i="11" s="1"/>
  <c r="O452" i="11"/>
  <c r="M452" i="11"/>
  <c r="B284" i="11"/>
  <c r="C284" i="11"/>
  <c r="P281" i="11"/>
  <c r="J365" i="11" s="1"/>
  <c r="P280" i="11"/>
  <c r="J364" i="11" s="1"/>
  <c r="N364" i="11"/>
  <c r="Q280" i="11"/>
  <c r="K364" i="11" s="1"/>
  <c r="M364" i="11"/>
  <c r="J453" i="11"/>
  <c r="J454" i="11"/>
  <c r="J283" i="11"/>
  <c r="L281" i="11"/>
  <c r="P452" i="11"/>
  <c r="R452" i="11"/>
  <c r="L452" i="11"/>
  <c r="U281" i="11" a="1"/>
  <c r="U281" i="11" s="1"/>
  <c r="Y281" i="11" s="1" a="1"/>
  <c r="Y281" i="11" s="1"/>
  <c r="L451" i="11"/>
  <c r="J282" i="11"/>
  <c r="I367" i="11"/>
  <c r="I538" i="11" s="1"/>
  <c r="I366" i="11"/>
  <c r="I537" i="11" s="1"/>
  <c r="C281" i="8"/>
  <c r="A281" i="8" s="1"/>
  <c r="C257" i="8"/>
  <c r="A257" i="8" s="1"/>
  <c r="C279" i="8"/>
  <c r="A279" i="8" s="1"/>
  <c r="C263" i="8"/>
  <c r="A263" i="8" s="1"/>
  <c r="C265" i="8"/>
  <c r="A265" i="8" s="1"/>
  <c r="C295" i="8"/>
  <c r="A295" i="8" s="1"/>
  <c r="C293" i="8"/>
  <c r="A293" i="8" s="1"/>
  <c r="C269" i="8"/>
  <c r="A269" i="8" s="1"/>
  <c r="C287" i="8"/>
  <c r="A287" i="8" s="1"/>
  <c r="C271" i="8"/>
  <c r="A271" i="8" s="1"/>
  <c r="C289" i="8"/>
  <c r="A289" i="8" s="1"/>
  <c r="C285" i="8"/>
  <c r="A285" i="8" s="1"/>
  <c r="C261" i="8"/>
  <c r="A261" i="8" s="1"/>
  <c r="C283" i="8"/>
  <c r="A283" i="8" s="1"/>
  <c r="C267" i="8"/>
  <c r="A267" i="8" s="1"/>
  <c r="C277" i="8"/>
  <c r="A277" i="8" s="1"/>
  <c r="C273" i="8"/>
  <c r="A273" i="8" s="1"/>
  <c r="C291" i="8"/>
  <c r="A291" i="8" s="1"/>
  <c r="C275" i="8"/>
  <c r="A275" i="8" s="1"/>
  <c r="C259" i="8"/>
  <c r="A259" i="8" s="1"/>
  <c r="W280" i="11" a="1"/>
  <c r="W280" i="11" s="1"/>
  <c r="A367" i="11"/>
  <c r="D367" i="11"/>
  <c r="A366" i="11"/>
  <c r="D366" i="11"/>
  <c r="T283" i="11" a="1"/>
  <c r="T283" i="11" s="1"/>
  <c r="S283" i="11" a="1"/>
  <c r="S283" i="11" s="1"/>
  <c r="D284" i="11"/>
  <c r="S282" i="11" a="1"/>
  <c r="S282" i="11" s="1"/>
  <c r="T282" i="11" a="1"/>
  <c r="T282" i="11" s="1"/>
  <c r="F368" i="11"/>
  <c r="A284" i="11"/>
  <c r="AC449" i="11"/>
  <c r="K449" i="11" s="1"/>
  <c r="AA450" i="11"/>
  <c r="AB450" i="11"/>
  <c r="H368" i="11"/>
  <c r="H539" i="11"/>
  <c r="H455" i="11"/>
  <c r="U452" i="11" a="1"/>
  <c r="U452" i="11" s="1"/>
  <c r="V452" i="11" a="1"/>
  <c r="V452" i="11" s="1"/>
  <c r="U451" i="11" a="1"/>
  <c r="U451" i="11" s="1"/>
  <c r="V451" i="11" a="1"/>
  <c r="V451" i="11" s="1"/>
  <c r="V281" i="11" a="1"/>
  <c r="V281" i="11" s="1"/>
  <c r="Z281" i="11" s="1" a="1"/>
  <c r="Z281" i="11" s="1"/>
  <c r="X280" i="11" a="1"/>
  <c r="X280" i="11" s="1"/>
  <c r="Z280" i="11" a="1"/>
  <c r="Z280" i="11" s="1"/>
  <c r="H284" i="11"/>
  <c r="J284" i="11" s="1"/>
  <c r="F285" i="11"/>
  <c r="V44" i="13"/>
  <c r="U44" i="13"/>
  <c r="M47" i="13" s="1"/>
  <c r="M49" i="13" s="1"/>
  <c r="V45" i="13"/>
  <c r="B285" i="11" l="1"/>
  <c r="C285" i="11"/>
  <c r="M283" i="11"/>
  <c r="N283" i="11"/>
  <c r="O283" i="11"/>
  <c r="O367" i="11" s="1"/>
  <c r="N284" i="11"/>
  <c r="O284" i="11"/>
  <c r="M284" i="11"/>
  <c r="P284" i="11" s="1"/>
  <c r="J368" i="11" s="1"/>
  <c r="N282" i="11"/>
  <c r="N366" i="11" s="1"/>
  <c r="M282" i="11"/>
  <c r="O282" i="11"/>
  <c r="M454" i="11"/>
  <c r="N454" i="11"/>
  <c r="Q454" i="11" s="1"/>
  <c r="O454" i="11"/>
  <c r="R454" i="11" s="1"/>
  <c r="M453" i="11"/>
  <c r="P453" i="11" s="1"/>
  <c r="O453" i="11"/>
  <c r="R453" i="11" s="1"/>
  <c r="N453" i="11"/>
  <c r="Q453" i="11" s="1"/>
  <c r="B368" i="11"/>
  <c r="C368" i="11"/>
  <c r="O365" i="11"/>
  <c r="R281" i="11"/>
  <c r="L365" i="11" s="1"/>
  <c r="Q281" i="11"/>
  <c r="K365" i="11" s="1"/>
  <c r="W281" i="11" a="1"/>
  <c r="W281" i="11" s="1"/>
  <c r="AA21" i="13"/>
  <c r="AG21" i="13" s="1"/>
  <c r="AA20" i="13"/>
  <c r="AG20" i="13" s="1"/>
  <c r="V283" i="11" a="1"/>
  <c r="V283" i="11" s="1"/>
  <c r="X283" i="11" s="1" a="1"/>
  <c r="X283" i="11" s="1"/>
  <c r="L282" i="11"/>
  <c r="N365" i="11"/>
  <c r="J455" i="11"/>
  <c r="N536" i="11"/>
  <c r="K536" i="11"/>
  <c r="L283" i="11"/>
  <c r="U283" i="11" a="1"/>
  <c r="U283" i="11" s="1"/>
  <c r="Y283" i="11" s="1" a="1"/>
  <c r="Y283" i="11" s="1"/>
  <c r="O536" i="11"/>
  <c r="L536" i="11"/>
  <c r="N535" i="11"/>
  <c r="K535" i="11"/>
  <c r="M536" i="11"/>
  <c r="J536" i="11"/>
  <c r="L453" i="11"/>
  <c r="O535" i="11"/>
  <c r="L535" i="11"/>
  <c r="M535" i="11"/>
  <c r="J535" i="11"/>
  <c r="P454" i="11"/>
  <c r="L454" i="11"/>
  <c r="I368" i="11"/>
  <c r="I539" i="11" s="1"/>
  <c r="AB19" i="13"/>
  <c r="AH19" i="13" s="1"/>
  <c r="A368" i="11"/>
  <c r="D368" i="11"/>
  <c r="T284" i="11" a="1"/>
  <c r="T284" i="11" s="1"/>
  <c r="S284" i="11" a="1"/>
  <c r="S284" i="11" s="1"/>
  <c r="L284" i="11"/>
  <c r="D285" i="11"/>
  <c r="F369" i="11"/>
  <c r="A285" i="11"/>
  <c r="AC450" i="11"/>
  <c r="K450" i="11" s="1"/>
  <c r="Z451" i="11" a="1"/>
  <c r="Z451" i="11" s="1"/>
  <c r="X451" i="11" a="1"/>
  <c r="X451" i="11" s="1"/>
  <c r="W451" i="11" a="1"/>
  <c r="W451" i="11" s="1"/>
  <c r="Y451" i="11" a="1"/>
  <c r="Y451" i="11" s="1"/>
  <c r="H369" i="11"/>
  <c r="H540" i="11"/>
  <c r="H456" i="11"/>
  <c r="Z452" i="11" a="1"/>
  <c r="Z452" i="11" s="1"/>
  <c r="X452" i="11" a="1"/>
  <c r="X452" i="11" s="1"/>
  <c r="Y452" i="11" a="1"/>
  <c r="Y452" i="11" s="1"/>
  <c r="W452" i="11" a="1"/>
  <c r="W452" i="11" s="1"/>
  <c r="V453" i="11" a="1"/>
  <c r="V453" i="11" s="1"/>
  <c r="U453" i="11" a="1"/>
  <c r="U453" i="11" s="1"/>
  <c r="U454" i="11" a="1"/>
  <c r="U454" i="11" s="1"/>
  <c r="V454" i="11" a="1"/>
  <c r="V454" i="11" s="1"/>
  <c r="U284" i="11" a="1"/>
  <c r="U284" i="11" s="1"/>
  <c r="U282" i="11" a="1"/>
  <c r="U282" i="11" s="1"/>
  <c r="V282" i="11" a="1"/>
  <c r="V282" i="11" s="1"/>
  <c r="X281" i="11" a="1"/>
  <c r="X281" i="11" s="1"/>
  <c r="H285" i="11"/>
  <c r="J285" i="11" s="1"/>
  <c r="V284" i="11" a="1"/>
  <c r="V284" i="11" s="1"/>
  <c r="M368" i="11" l="1"/>
  <c r="Q282" i="11"/>
  <c r="K366" i="11" s="1"/>
  <c r="R283" i="11"/>
  <c r="L367" i="11" s="1"/>
  <c r="M455" i="11"/>
  <c r="N455" i="11"/>
  <c r="Q455" i="11" s="1"/>
  <c r="O455" i="11"/>
  <c r="B369" i="11"/>
  <c r="C369" i="11"/>
  <c r="M285" i="11"/>
  <c r="O285" i="11"/>
  <c r="N285" i="11"/>
  <c r="Q285" i="11" s="1"/>
  <c r="K369" i="11" s="1"/>
  <c r="M367" i="11"/>
  <c r="P283" i="11"/>
  <c r="J367" i="11" s="1"/>
  <c r="Q284" i="11"/>
  <c r="K368" i="11" s="1"/>
  <c r="M366" i="11"/>
  <c r="P282" i="11"/>
  <c r="J366" i="11" s="1"/>
  <c r="O366" i="11"/>
  <c r="R282" i="11"/>
  <c r="L366" i="11" s="1"/>
  <c r="Q283" i="11"/>
  <c r="K367" i="11" s="1"/>
  <c r="O368" i="11"/>
  <c r="R284" i="11"/>
  <c r="L368" i="11" s="1"/>
  <c r="Z283" i="11" a="1"/>
  <c r="Z283" i="11" s="1"/>
  <c r="N367" i="11"/>
  <c r="O538" i="11"/>
  <c r="L538" i="11"/>
  <c r="M537" i="11"/>
  <c r="J537" i="11"/>
  <c r="W283" i="11" a="1"/>
  <c r="W283" i="11" s="1"/>
  <c r="K537" i="11"/>
  <c r="N537" i="11"/>
  <c r="J456" i="11"/>
  <c r="M538" i="11"/>
  <c r="J538" i="11"/>
  <c r="R455" i="11"/>
  <c r="P455" i="11"/>
  <c r="L455" i="11"/>
  <c r="N538" i="11"/>
  <c r="K538" i="11"/>
  <c r="L537" i="11"/>
  <c r="O537" i="11"/>
  <c r="N368" i="11"/>
  <c r="I369" i="11"/>
  <c r="I540" i="11" s="1"/>
  <c r="Z14" i="13"/>
  <c r="AF14" i="13" s="1"/>
  <c r="AC54" i="13"/>
  <c r="AI54" i="13" s="1"/>
  <c r="AC52" i="13"/>
  <c r="AI52" i="13" s="1"/>
  <c r="AC53" i="13"/>
  <c r="AI53" i="13" s="1"/>
  <c r="AC55" i="13"/>
  <c r="AI55" i="13" s="1"/>
  <c r="AA19" i="13"/>
  <c r="AG19" i="13" s="1"/>
  <c r="AA18" i="13"/>
  <c r="AG18" i="13" s="1"/>
  <c r="AC50" i="13"/>
  <c r="AI50" i="13" s="1"/>
  <c r="AC51" i="13"/>
  <c r="AI51" i="13" s="1"/>
  <c r="AB31" i="13"/>
  <c r="O31" i="13" s="1"/>
  <c r="AJ68" i="13"/>
  <c r="AB26" i="13"/>
  <c r="R26" i="13" s="1"/>
  <c r="AC37" i="13"/>
  <c r="AI37" i="13" s="1"/>
  <c r="AB21" i="13"/>
  <c r="AH21" i="13" s="1"/>
  <c r="AC38" i="13"/>
  <c r="O38" i="13" s="1"/>
  <c r="AC40" i="13"/>
  <c r="AI40" i="13" s="1"/>
  <c r="AC45" i="13"/>
  <c r="O45" i="13" s="1"/>
  <c r="AJ61" i="13"/>
  <c r="AJ63" i="13"/>
  <c r="AJ64" i="13"/>
  <c r="AA17" i="13"/>
  <c r="O17" i="13" s="1"/>
  <c r="AB33" i="13"/>
  <c r="AH33" i="13" s="1"/>
  <c r="AJ70" i="13"/>
  <c r="AJ57" i="13"/>
  <c r="AJ58" i="13"/>
  <c r="AB28" i="13"/>
  <c r="O28" i="13" s="1"/>
  <c r="AJ66" i="13"/>
  <c r="AA15" i="13"/>
  <c r="AG15" i="13" s="1"/>
  <c r="AJ51" i="13"/>
  <c r="AD51" i="13" s="1"/>
  <c r="AB30" i="13"/>
  <c r="R30" i="13" s="1"/>
  <c r="AJ69" i="13"/>
  <c r="AB29" i="13"/>
  <c r="AH29" i="13" s="1"/>
  <c r="AA14" i="13"/>
  <c r="AG14" i="13" s="1"/>
  <c r="AC44" i="13"/>
  <c r="R44" i="13" s="1"/>
  <c r="AC49" i="13"/>
  <c r="AJ56" i="13"/>
  <c r="AB23" i="13"/>
  <c r="R23" i="13" s="1"/>
  <c r="AC34" i="13"/>
  <c r="R34" i="13" s="1"/>
  <c r="AJ52" i="13"/>
  <c r="AD52" i="13" s="1"/>
  <c r="AJ67" i="13"/>
  <c r="AJ60" i="13"/>
  <c r="AC39" i="13"/>
  <c r="AI39" i="13" s="1"/>
  <c r="AJ50" i="13"/>
  <c r="AD50" i="13" s="1"/>
  <c r="AA16" i="13"/>
  <c r="R16" i="13" s="1"/>
  <c r="AB27" i="13"/>
  <c r="AH27" i="13" s="1"/>
  <c r="AB22" i="13"/>
  <c r="AH22" i="13" s="1"/>
  <c r="AJ62" i="13"/>
  <c r="AC42" i="13"/>
  <c r="AI42" i="13" s="1"/>
  <c r="AC35" i="13"/>
  <c r="AI35" i="13" s="1"/>
  <c r="AJ53" i="13"/>
  <c r="AD53" i="13" s="1"/>
  <c r="AB24" i="13"/>
  <c r="R24" i="13" s="1"/>
  <c r="AB32" i="13"/>
  <c r="AH32" i="13" s="1"/>
  <c r="AC48" i="13"/>
  <c r="Z12" i="13"/>
  <c r="R12" i="13" s="1"/>
  <c r="AB25" i="13"/>
  <c r="AH25" i="13" s="1"/>
  <c r="AC46" i="13"/>
  <c r="R46" i="13" s="1"/>
  <c r="AJ54" i="13"/>
  <c r="AD54" i="13" s="1"/>
  <c r="AB18" i="13"/>
  <c r="AH18" i="13" s="1"/>
  <c r="Z11" i="13"/>
  <c r="O11" i="13" s="1"/>
  <c r="AJ59" i="13"/>
  <c r="AJ55" i="13"/>
  <c r="AD55" i="13" s="1"/>
  <c r="AC36" i="13"/>
  <c r="AI36" i="13" s="1"/>
  <c r="AC47" i="13"/>
  <c r="AI47" i="13" s="1"/>
  <c r="O47" i="13" s="1"/>
  <c r="AJ65" i="13"/>
  <c r="Z13" i="13"/>
  <c r="R13" i="13" s="1"/>
  <c r="AB20" i="13"/>
  <c r="O20" i="13" s="1"/>
  <c r="AC43" i="13"/>
  <c r="O43" i="13" s="1"/>
  <c r="AC41" i="13"/>
  <c r="R41" i="13" s="1"/>
  <c r="W284" i="11" a="1"/>
  <c r="W284" i="11" s="1"/>
  <c r="A369" i="11"/>
  <c r="D369" i="11"/>
  <c r="S285" i="11" a="1"/>
  <c r="S285" i="11" s="1"/>
  <c r="T285" i="11" a="1"/>
  <c r="T285" i="11" s="1"/>
  <c r="L285" i="11"/>
  <c r="AA451" i="11"/>
  <c r="U455" i="11" a="1"/>
  <c r="U455" i="11" s="1"/>
  <c r="V455" i="11" a="1"/>
  <c r="V455" i="11" s="1"/>
  <c r="AA452" i="11"/>
  <c r="AB451" i="11"/>
  <c r="Z454" i="11" a="1"/>
  <c r="Z454" i="11" s="1"/>
  <c r="X454" i="11" a="1"/>
  <c r="X454" i="11" s="1"/>
  <c r="Y454" i="11" a="1"/>
  <c r="Y454" i="11" s="1"/>
  <c r="W454" i="11" a="1"/>
  <c r="W454" i="11" s="1"/>
  <c r="Y453" i="11" a="1"/>
  <c r="Y453" i="11" s="1"/>
  <c r="W453" i="11" a="1"/>
  <c r="W453" i="11" s="1"/>
  <c r="AB452" i="11"/>
  <c r="Z453" i="11" a="1"/>
  <c r="Z453" i="11" s="1"/>
  <c r="X453" i="11" a="1"/>
  <c r="X453" i="11" s="1"/>
  <c r="H370" i="11"/>
  <c r="H541" i="11"/>
  <c r="H457" i="11"/>
  <c r="Y284" i="11" a="1"/>
  <c r="Y284" i="11" s="1"/>
  <c r="U285" i="11" a="1"/>
  <c r="U285" i="11" s="1"/>
  <c r="F286" i="11"/>
  <c r="W282" i="11" a="1"/>
  <c r="W282" i="11" s="1"/>
  <c r="Y282" i="11" a="1"/>
  <c r="Y282" i="11" s="1"/>
  <c r="Z282" i="11" a="1"/>
  <c r="Z282" i="11" s="1"/>
  <c r="X282" i="11" a="1"/>
  <c r="X282" i="11" s="1"/>
  <c r="Z284" i="11" a="1"/>
  <c r="Z284" i="11" s="1"/>
  <c r="X284" i="11" a="1"/>
  <c r="X284" i="11" s="1"/>
  <c r="H286" i="11"/>
  <c r="V285" i="11" a="1"/>
  <c r="V285" i="11" s="1"/>
  <c r="N369" i="11" l="1"/>
  <c r="B286" i="11"/>
  <c r="C286" i="11"/>
  <c r="N456" i="11"/>
  <c r="Q456" i="11" s="1"/>
  <c r="O456" i="11"/>
  <c r="R456" i="11" s="1"/>
  <c r="M456" i="11"/>
  <c r="P456" i="11" s="1"/>
  <c r="O369" i="11"/>
  <c r="R285" i="11"/>
  <c r="L369" i="11" s="1"/>
  <c r="M369" i="11"/>
  <c r="P285" i="11"/>
  <c r="J369" i="11" s="1"/>
  <c r="K539" i="11"/>
  <c r="N539" i="11"/>
  <c r="M539" i="11"/>
  <c r="J539" i="11"/>
  <c r="L456" i="11"/>
  <c r="J457" i="11"/>
  <c r="O539" i="11"/>
  <c r="L539" i="11"/>
  <c r="R53" i="13"/>
  <c r="O52" i="13"/>
  <c r="R55" i="13"/>
  <c r="J286" i="11"/>
  <c r="R52" i="13"/>
  <c r="R54" i="13"/>
  <c r="O53" i="13"/>
  <c r="AD59" i="13"/>
  <c r="R59" i="13" s="1"/>
  <c r="O59" i="13"/>
  <c r="AD56" i="13"/>
  <c r="R56" i="13" s="1"/>
  <c r="O56" i="13"/>
  <c r="AD64" i="13"/>
  <c r="R64" i="13" s="1"/>
  <c r="O64" i="13"/>
  <c r="O51" i="13"/>
  <c r="O54" i="13"/>
  <c r="AD61" i="13"/>
  <c r="R61" i="13" s="1"/>
  <c r="O61" i="13"/>
  <c r="O50" i="13"/>
  <c r="AD60" i="13"/>
  <c r="R60" i="13" s="1"/>
  <c r="O60" i="13"/>
  <c r="AD58" i="13"/>
  <c r="R58" i="13" s="1"/>
  <c r="O58" i="13"/>
  <c r="AD65" i="13"/>
  <c r="R65" i="13" s="1"/>
  <c r="O65" i="13"/>
  <c r="AD67" i="13"/>
  <c r="R67" i="13" s="1"/>
  <c r="O67" i="13"/>
  <c r="AD57" i="13"/>
  <c r="R57" i="13" s="1"/>
  <c r="O57" i="13"/>
  <c r="O55" i="13"/>
  <c r="AD62" i="13"/>
  <c r="R62" i="13" s="1"/>
  <c r="O62" i="13"/>
  <c r="AD69" i="13"/>
  <c r="R69" i="13" s="1"/>
  <c r="O69" i="13"/>
  <c r="AD66" i="13"/>
  <c r="R66" i="13" s="1"/>
  <c r="O66" i="13"/>
  <c r="AD70" i="13"/>
  <c r="R70" i="13" s="1"/>
  <c r="O70" i="13"/>
  <c r="AD63" i="13"/>
  <c r="R63" i="13" s="1"/>
  <c r="O63" i="13"/>
  <c r="AD68" i="13"/>
  <c r="R68" i="13" s="1"/>
  <c r="O68" i="13"/>
  <c r="R19" i="13"/>
  <c r="O19" i="13"/>
  <c r="R31" i="13"/>
  <c r="AH31" i="13"/>
  <c r="R49" i="13"/>
  <c r="AI49" i="13"/>
  <c r="O49" i="13" s="1"/>
  <c r="R38" i="13"/>
  <c r="AI38" i="13"/>
  <c r="R50" i="13"/>
  <c r="O41" i="13"/>
  <c r="O24" i="13"/>
  <c r="O39" i="13"/>
  <c r="O26" i="13"/>
  <c r="AH26" i="13"/>
  <c r="AH28" i="13"/>
  <c r="R28" i="13"/>
  <c r="R40" i="13"/>
  <c r="AH20" i="13"/>
  <c r="O44" i="13"/>
  <c r="AI44" i="13"/>
  <c r="O40" i="13"/>
  <c r="R20" i="13"/>
  <c r="O46" i="13"/>
  <c r="O21" i="13"/>
  <c r="AI43" i="13"/>
  <c r="O36" i="13"/>
  <c r="AI45" i="13"/>
  <c r="O37" i="13"/>
  <c r="R21" i="13"/>
  <c r="R37" i="13"/>
  <c r="R43" i="13"/>
  <c r="R36" i="13"/>
  <c r="O18" i="13"/>
  <c r="R17" i="13"/>
  <c r="R45" i="13"/>
  <c r="AH30" i="13"/>
  <c r="O35" i="13"/>
  <c r="R14" i="13"/>
  <c r="O13" i="13"/>
  <c r="O34" i="13"/>
  <c r="R22" i="13"/>
  <c r="AI34" i="13"/>
  <c r="R35" i="13"/>
  <c r="AF12" i="13"/>
  <c r="O12" i="13"/>
  <c r="O14" i="13"/>
  <c r="AG17" i="13"/>
  <c r="R33" i="13"/>
  <c r="O30" i="13"/>
  <c r="O33" i="13"/>
  <c r="O22" i="13"/>
  <c r="AF13" i="13"/>
  <c r="AI48" i="13"/>
  <c r="O48" i="13" s="1"/>
  <c r="O27" i="13"/>
  <c r="R39" i="13"/>
  <c r="R15" i="13"/>
  <c r="R29" i="13"/>
  <c r="O23" i="13"/>
  <c r="AI46" i="13"/>
  <c r="R48" i="13"/>
  <c r="O29" i="13"/>
  <c r="O15" i="13"/>
  <c r="R11" i="13"/>
  <c r="O25" i="13"/>
  <c r="R27" i="13"/>
  <c r="O42" i="13"/>
  <c r="AH23" i="13"/>
  <c r="R51" i="13"/>
  <c r="R42" i="13"/>
  <c r="O16" i="13"/>
  <c r="AI41" i="13"/>
  <c r="R25" i="13"/>
  <c r="AH24" i="13"/>
  <c r="R18" i="13"/>
  <c r="R32" i="13"/>
  <c r="O32" i="13"/>
  <c r="R47" i="13"/>
  <c r="AF11" i="13"/>
  <c r="AG16" i="13"/>
  <c r="Y285" i="11" a="1"/>
  <c r="Y285" i="11" s="1"/>
  <c r="D286" i="11"/>
  <c r="F370" i="11"/>
  <c r="A286" i="11"/>
  <c r="AC451" i="11"/>
  <c r="K451" i="11" s="1"/>
  <c r="AC452" i="11"/>
  <c r="K452" i="11" s="1"/>
  <c r="AA454" i="11"/>
  <c r="AA453" i="11"/>
  <c r="AB453" i="11"/>
  <c r="X455" i="11" a="1"/>
  <c r="X455" i="11" s="1"/>
  <c r="Z455" i="11" a="1"/>
  <c r="Z455" i="11" s="1"/>
  <c r="AB454" i="11"/>
  <c r="H371" i="11"/>
  <c r="H542" i="11"/>
  <c r="H458" i="11"/>
  <c r="V456" i="11" a="1"/>
  <c r="V456" i="11" s="1"/>
  <c r="U456" i="11" a="1"/>
  <c r="U456" i="11" s="1"/>
  <c r="W455" i="11" a="1"/>
  <c r="W455" i="11" s="1"/>
  <c r="Y455" i="11" a="1"/>
  <c r="Y455" i="11" s="1"/>
  <c r="W285" i="11" a="1"/>
  <c r="W285" i="11" s="1"/>
  <c r="F287" i="11"/>
  <c r="X285" i="11" a="1"/>
  <c r="X285" i="11" s="1"/>
  <c r="Z285" i="11" a="1"/>
  <c r="Z285" i="11" s="1"/>
  <c r="H287" i="11"/>
  <c r="M286" i="11" l="1"/>
  <c r="N286" i="11"/>
  <c r="Q286" i="11" s="1"/>
  <c r="K370" i="11" s="1"/>
  <c r="O286" i="11"/>
  <c r="B370" i="11"/>
  <c r="C370" i="11"/>
  <c r="N457" i="11"/>
  <c r="Q457" i="11" s="1"/>
  <c r="M457" i="11"/>
  <c r="P457" i="11" s="1"/>
  <c r="O457" i="11"/>
  <c r="R457" i="11" s="1"/>
  <c r="B287" i="11"/>
  <c r="C287" i="11"/>
  <c r="L457" i="11"/>
  <c r="J458" i="11"/>
  <c r="O540" i="11"/>
  <c r="L540" i="11"/>
  <c r="K540" i="11"/>
  <c r="N540" i="11"/>
  <c r="J540" i="11"/>
  <c r="M540" i="11"/>
  <c r="U286" i="11" a="1"/>
  <c r="U286" i="11" s="1"/>
  <c r="I370" i="11"/>
  <c r="I541" i="11" s="1"/>
  <c r="J287" i="11"/>
  <c r="S286" i="11" a="1"/>
  <c r="S286" i="11" s="1"/>
  <c r="T286" i="11" a="1"/>
  <c r="T286" i="11" s="1"/>
  <c r="L286" i="11"/>
  <c r="V286" i="11" a="1"/>
  <c r="V286" i="11" s="1"/>
  <c r="D287" i="11"/>
  <c r="A370" i="11"/>
  <c r="D370" i="11"/>
  <c r="F371" i="11"/>
  <c r="A287" i="11"/>
  <c r="AC454" i="11"/>
  <c r="K454" i="11" s="1"/>
  <c r="AB455" i="11"/>
  <c r="AC453" i="11"/>
  <c r="K453" i="11" s="1"/>
  <c r="Y456" i="11" a="1"/>
  <c r="Y456" i="11" s="1"/>
  <c r="W456" i="11" a="1"/>
  <c r="W456" i="11" s="1"/>
  <c r="H372" i="11"/>
  <c r="H543" i="11"/>
  <c r="H459" i="11"/>
  <c r="X456" i="11" a="1"/>
  <c r="X456" i="11" s="1"/>
  <c r="Z456" i="11" a="1"/>
  <c r="Z456" i="11" s="1"/>
  <c r="AA455" i="11"/>
  <c r="V457" i="11" a="1"/>
  <c r="V457" i="11" s="1"/>
  <c r="U457" i="11" a="1"/>
  <c r="U457" i="11" s="1"/>
  <c r="F289" i="11"/>
  <c r="F288" i="11"/>
  <c r="H288" i="11"/>
  <c r="H102" i="11"/>
  <c r="B371" i="11" l="1"/>
  <c r="C371" i="11"/>
  <c r="M458" i="11"/>
  <c r="P458" i="11" s="1"/>
  <c r="N458" i="11"/>
  <c r="Q458" i="11" s="1"/>
  <c r="O458" i="11"/>
  <c r="R458" i="11" s="1"/>
  <c r="B288" i="11"/>
  <c r="C288" i="11"/>
  <c r="B289" i="11"/>
  <c r="C289" i="11"/>
  <c r="N370" i="11"/>
  <c r="O287" i="11"/>
  <c r="M287" i="11"/>
  <c r="N287" i="11"/>
  <c r="R286" i="11"/>
  <c r="L370" i="11" s="1"/>
  <c r="M370" i="11"/>
  <c r="P286" i="11"/>
  <c r="J370" i="11" s="1"/>
  <c r="O541" i="11"/>
  <c r="L541" i="11"/>
  <c r="J541" i="11"/>
  <c r="M541" i="11"/>
  <c r="L458" i="11"/>
  <c r="J459" i="11"/>
  <c r="N541" i="11"/>
  <c r="K541" i="11"/>
  <c r="O370" i="11"/>
  <c r="Y286" i="11" a="1"/>
  <c r="Y286" i="11" s="1"/>
  <c r="W286" i="11" a="1"/>
  <c r="W286" i="11" s="1"/>
  <c r="V287" i="11" a="1"/>
  <c r="V287" i="11" s="1"/>
  <c r="J288" i="11"/>
  <c r="I371" i="11"/>
  <c r="I542" i="11" s="1"/>
  <c r="D102" i="11"/>
  <c r="H189" i="11"/>
  <c r="U287" i="11" a="1"/>
  <c r="U287" i="11" s="1"/>
  <c r="Z286" i="11" a="1"/>
  <c r="Z286" i="11" s="1"/>
  <c r="X286" i="11" a="1"/>
  <c r="X286" i="11" s="1"/>
  <c r="S287" i="11" a="1"/>
  <c r="S287" i="11" s="1"/>
  <c r="T287" i="11" a="1"/>
  <c r="T287" i="11" s="1"/>
  <c r="D289" i="11"/>
  <c r="A371" i="11"/>
  <c r="D371" i="11"/>
  <c r="D288" i="11"/>
  <c r="L287" i="11"/>
  <c r="F373" i="11"/>
  <c r="A289" i="11"/>
  <c r="F372" i="11"/>
  <c r="A288" i="11"/>
  <c r="AC455" i="11"/>
  <c r="K455" i="11" s="1"/>
  <c r="X457" i="11" a="1"/>
  <c r="X457" i="11" s="1"/>
  <c r="Z457" i="11" a="1"/>
  <c r="Z457" i="11" s="1"/>
  <c r="H373" i="11"/>
  <c r="H544" i="11"/>
  <c r="H460" i="11"/>
  <c r="V458" i="11" a="1"/>
  <c r="V458" i="11" s="1"/>
  <c r="U458" i="11" a="1"/>
  <c r="U458" i="11" s="1"/>
  <c r="AA456" i="11"/>
  <c r="AB456" i="11"/>
  <c r="W457" i="11" a="1"/>
  <c r="W457" i="11" s="1"/>
  <c r="Y457" i="11" a="1"/>
  <c r="Y457" i="11" s="1"/>
  <c r="H289" i="11"/>
  <c r="K289" i="11" s="1"/>
  <c r="J190" i="11"/>
  <c r="B372" i="11" l="1"/>
  <c r="C372" i="11"/>
  <c r="B373" i="11"/>
  <c r="C373" i="11"/>
  <c r="M371" i="11"/>
  <c r="P287" i="11"/>
  <c r="J371" i="11" s="1"/>
  <c r="O288" i="11"/>
  <c r="M288" i="11"/>
  <c r="N288" i="11"/>
  <c r="N459" i="11"/>
  <c r="Q459" i="11" s="1"/>
  <c r="M459" i="11"/>
  <c r="P459" i="11" s="1"/>
  <c r="O459" i="11"/>
  <c r="O371" i="11"/>
  <c r="R287" i="11"/>
  <c r="L371" i="11" s="1"/>
  <c r="N371" i="11"/>
  <c r="Q287" i="11"/>
  <c r="K371" i="11" s="1"/>
  <c r="J289" i="11"/>
  <c r="R459" i="11"/>
  <c r="L459" i="11"/>
  <c r="M542" i="11"/>
  <c r="J542" i="11"/>
  <c r="N542" i="11"/>
  <c r="K542" i="11"/>
  <c r="K460" i="11"/>
  <c r="J460" i="11"/>
  <c r="O102" i="11"/>
  <c r="J102" i="11"/>
  <c r="N102" i="11" s="1"/>
  <c r="I289" i="11" s="1"/>
  <c r="S289" i="11" s="1" a="1"/>
  <c r="S289" i="11" s="1"/>
  <c r="I102" i="11"/>
  <c r="L542" i="11"/>
  <c r="O542" i="11"/>
  <c r="I372" i="11"/>
  <c r="I543" i="11" s="1"/>
  <c r="I373" i="11"/>
  <c r="I544" i="11" s="1"/>
  <c r="Q102" i="11"/>
  <c r="L102" i="11"/>
  <c r="K102" i="11"/>
  <c r="I189" i="11"/>
  <c r="Y287" i="11" a="1"/>
  <c r="Y287" i="11" s="1"/>
  <c r="W287" i="11" a="1"/>
  <c r="W287" i="11" s="1"/>
  <c r="X287" i="11" a="1"/>
  <c r="X287" i="11" s="1"/>
  <c r="Z287" i="11" a="1"/>
  <c r="Z287" i="11" s="1"/>
  <c r="A372" i="11"/>
  <c r="D372" i="11"/>
  <c r="T288" i="11" a="1"/>
  <c r="T288" i="11" s="1"/>
  <c r="S288" i="11" a="1"/>
  <c r="S288" i="11" s="1"/>
  <c r="L288" i="11"/>
  <c r="A373" i="11"/>
  <c r="D373" i="11"/>
  <c r="AB457" i="11"/>
  <c r="V459" i="11" a="1"/>
  <c r="V459" i="11" s="1"/>
  <c r="U459" i="11" a="1"/>
  <c r="U459" i="11" s="1"/>
  <c r="AA457" i="11"/>
  <c r="AC456" i="11"/>
  <c r="K456" i="11" s="1"/>
  <c r="Y458" i="11" a="1"/>
  <c r="Y458" i="11" s="1"/>
  <c r="W458" i="11" a="1"/>
  <c r="W458" i="11" s="1"/>
  <c r="X458" i="11" a="1"/>
  <c r="X458" i="11" s="1"/>
  <c r="Z458" i="11" a="1"/>
  <c r="Z458" i="11" s="1"/>
  <c r="U288" i="11" a="1"/>
  <c r="U288" i="11" s="1"/>
  <c r="V288" i="11" a="1"/>
  <c r="V288" i="11" s="1"/>
  <c r="N289" i="11" l="1"/>
  <c r="N373" i="11" s="1"/>
  <c r="M289" i="11"/>
  <c r="O289" i="11"/>
  <c r="O372" i="11"/>
  <c r="R288" i="11"/>
  <c r="L372" i="11" s="1"/>
  <c r="N460" i="11"/>
  <c r="Q460" i="11" s="1"/>
  <c r="O460" i="11"/>
  <c r="R460" i="11" s="1"/>
  <c r="M460" i="11"/>
  <c r="P288" i="11"/>
  <c r="J372" i="11" s="1"/>
  <c r="Q288" i="11"/>
  <c r="K372" i="11" s="1"/>
  <c r="L289" i="11"/>
  <c r="M543" i="11"/>
  <c r="J543" i="11"/>
  <c r="N543" i="11"/>
  <c r="K543" i="11"/>
  <c r="L460" i="11"/>
  <c r="P460" i="11"/>
  <c r="L543" i="11"/>
  <c r="O543" i="11"/>
  <c r="N372" i="11"/>
  <c r="M372" i="11"/>
  <c r="M102" i="11"/>
  <c r="I460" i="11" s="1"/>
  <c r="T460" i="11" s="1" a="1"/>
  <c r="T460" i="11" s="1"/>
  <c r="T289" i="11" a="1"/>
  <c r="T289" i="11" s="1"/>
  <c r="Z288" i="11" a="1"/>
  <c r="Z288" i="11" s="1"/>
  <c r="Y288" i="11" a="1"/>
  <c r="Y288" i="11" s="1"/>
  <c r="AC457" i="11"/>
  <c r="K457" i="11" s="1"/>
  <c r="AB458" i="11"/>
  <c r="AA458" i="11"/>
  <c r="V460" i="11" a="1"/>
  <c r="V460" i="11" s="1"/>
  <c r="U460" i="11" a="1"/>
  <c r="U460" i="11" s="1"/>
  <c r="Y459" i="11" a="1"/>
  <c r="Y459" i="11" s="1"/>
  <c r="W459" i="11" a="1"/>
  <c r="W459" i="11" s="1"/>
  <c r="Z459" i="11" a="1"/>
  <c r="Z459" i="11" s="1"/>
  <c r="X459" i="11" a="1"/>
  <c r="X459" i="11" s="1"/>
  <c r="W288" i="11" a="1"/>
  <c r="W288" i="11" s="1"/>
  <c r="U289" i="11" a="1"/>
  <c r="U289" i="11" s="1"/>
  <c r="X288" i="11" a="1"/>
  <c r="X288" i="11" s="1"/>
  <c r="V289" i="11" a="1"/>
  <c r="V289" i="11" s="1"/>
  <c r="Q289" i="11" l="1"/>
  <c r="K373" i="11" s="1"/>
  <c r="M373" i="11"/>
  <c r="P289" i="11"/>
  <c r="J373" i="11" s="1"/>
  <c r="R289" i="11"/>
  <c r="L373" i="11" s="1"/>
  <c r="O373" i="11"/>
  <c r="O544" i="11"/>
  <c r="L544" i="11"/>
  <c r="M544" i="11"/>
  <c r="J544" i="11"/>
  <c r="N544" i="11"/>
  <c r="K544" i="11"/>
  <c r="S460" i="11" a="1"/>
  <c r="S460" i="11" s="1"/>
  <c r="X460" i="11" s="1" a="1"/>
  <c r="X460" i="11" s="1"/>
  <c r="Y289" i="11" a="1"/>
  <c r="Y289" i="11" s="1"/>
  <c r="Z289" i="11" a="1"/>
  <c r="Z289" i="11" s="1"/>
  <c r="AB459" i="11"/>
  <c r="AC458" i="11"/>
  <c r="K458" i="11" s="1"/>
  <c r="AA459" i="11"/>
  <c r="Y460" i="11" a="1"/>
  <c r="Y460" i="11" s="1"/>
  <c r="Z460" i="11" a="1"/>
  <c r="Z460" i="11" s="1"/>
  <c r="W289" i="11" a="1"/>
  <c r="W289" i="11" s="1"/>
  <c r="X289" i="11" a="1"/>
  <c r="X289" i="11" s="1"/>
  <c r="W460" i="11" l="1" a="1"/>
  <c r="W460" i="11" s="1"/>
  <c r="AA460" i="11" s="1"/>
  <c r="AC459" i="11"/>
  <c r="K459" i="11" s="1"/>
  <c r="AB460" i="11"/>
  <c r="AC460" i="11" l="1"/>
  <c r="H324" i="11" l="1"/>
  <c r="I324" i="11" s="1"/>
  <c r="I495" i="11" s="1"/>
  <c r="H495" i="11"/>
  <c r="H411" i="11"/>
  <c r="H240" i="11"/>
  <c r="J240" i="11" l="1"/>
  <c r="J411" i="11"/>
  <c r="H323" i="11"/>
  <c r="I323" i="11" s="1"/>
  <c r="I494" i="11" s="1"/>
  <c r="H494" i="11"/>
  <c r="H410" i="11"/>
  <c r="H239" i="11"/>
  <c r="O411" i="11" l="1"/>
  <c r="N411" i="11"/>
  <c r="M411" i="11"/>
  <c r="O240" i="11"/>
  <c r="M240" i="11"/>
  <c r="N240" i="11"/>
  <c r="Q240" i="11" s="1"/>
  <c r="R240" i="11"/>
  <c r="U240" i="11" a="1"/>
  <c r="U240" i="11" s="1"/>
  <c r="W240" i="11" s="1" a="1"/>
  <c r="W240" i="11" s="1"/>
  <c r="J239" i="11"/>
  <c r="J410" i="11"/>
  <c r="L411" i="11"/>
  <c r="V240" i="11" a="1"/>
  <c r="V240" i="11" s="1"/>
  <c r="X240" i="11" s="1" a="1"/>
  <c r="X240" i="11" s="1"/>
  <c r="L240" i="11"/>
  <c r="H322" i="11"/>
  <c r="I322" i="11" s="1"/>
  <c r="I493" i="11" s="1"/>
  <c r="H409" i="11"/>
  <c r="H493" i="11"/>
  <c r="H238" i="11"/>
  <c r="V239" i="11" l="1" a="1"/>
  <c r="V239" i="11" s="1"/>
  <c r="X239" i="11" s="1" a="1"/>
  <c r="X239" i="11" s="1"/>
  <c r="O239" i="11"/>
  <c r="M239" i="11"/>
  <c r="N239" i="11"/>
  <c r="O410" i="11"/>
  <c r="M410" i="11"/>
  <c r="N410" i="11"/>
  <c r="M324" i="11"/>
  <c r="O495" i="11"/>
  <c r="R411" i="11"/>
  <c r="L495" i="11" s="1"/>
  <c r="M495" i="11"/>
  <c r="N495" i="11"/>
  <c r="Y240" i="11" a="1"/>
  <c r="Y240" i="11" s="1"/>
  <c r="L324" i="11"/>
  <c r="K324" i="11"/>
  <c r="J238" i="11"/>
  <c r="O324" i="11"/>
  <c r="J409" i="11"/>
  <c r="N324" i="11"/>
  <c r="Z240" i="11" a="1"/>
  <c r="Z240" i="11" s="1"/>
  <c r="L410" i="11"/>
  <c r="L239" i="11"/>
  <c r="U239" i="11" a="1"/>
  <c r="U239" i="11" s="1"/>
  <c r="H321" i="11"/>
  <c r="I321" i="11" s="1"/>
  <c r="I492" i="11" s="1"/>
  <c r="H408" i="11"/>
  <c r="H492" i="11"/>
  <c r="V426" i="11" a="1"/>
  <c r="V426" i="11" s="1"/>
  <c r="U426" i="11" a="1"/>
  <c r="U426" i="11" s="1"/>
  <c r="V427" i="11" a="1"/>
  <c r="V427" i="11" s="1"/>
  <c r="U427" i="11" a="1"/>
  <c r="U427" i="11" s="1"/>
  <c r="H237" i="11"/>
  <c r="Z239" i="11" a="1"/>
  <c r="Z239" i="11" s="1"/>
  <c r="O409" i="11" l="1"/>
  <c r="M409" i="11"/>
  <c r="N409" i="11"/>
  <c r="O238" i="11"/>
  <c r="R238" i="11" s="1"/>
  <c r="M238" i="11"/>
  <c r="N238" i="11"/>
  <c r="Q238" i="11" s="1"/>
  <c r="N323" i="11"/>
  <c r="Q239" i="11"/>
  <c r="K323" i="11" s="1"/>
  <c r="O494" i="11"/>
  <c r="R410" i="11"/>
  <c r="M494" i="11"/>
  <c r="M323" i="11"/>
  <c r="O323" i="11"/>
  <c r="R239" i="11"/>
  <c r="L323" i="11" s="1"/>
  <c r="L494" i="11"/>
  <c r="N494" i="11"/>
  <c r="J237" i="11"/>
  <c r="U238" i="11" a="1"/>
  <c r="U238" i="11" s="1"/>
  <c r="W238" i="11" s="1" a="1"/>
  <c r="W238" i="11" s="1"/>
  <c r="J408" i="11"/>
  <c r="L409" i="11"/>
  <c r="L238" i="11"/>
  <c r="W239" i="11" a="1"/>
  <c r="W239" i="11" s="1"/>
  <c r="Y239" i="11" a="1"/>
  <c r="Y239" i="11" s="1"/>
  <c r="V238" i="11" a="1"/>
  <c r="V238" i="11" s="1"/>
  <c r="Z238" i="11" s="1" a="1"/>
  <c r="Z238" i="11" s="1"/>
  <c r="H320" i="11"/>
  <c r="I320" i="11" s="1"/>
  <c r="I491" i="11" s="1"/>
  <c r="H491" i="11"/>
  <c r="H407" i="11"/>
  <c r="X427" i="11" a="1"/>
  <c r="X427" i="11" s="1"/>
  <c r="Z427" i="11" a="1"/>
  <c r="Z427" i="11" s="1"/>
  <c r="W426" i="11" a="1"/>
  <c r="W426" i="11" s="1"/>
  <c r="Y426" i="11" a="1"/>
  <c r="Y426" i="11" s="1"/>
  <c r="W427" i="11" a="1"/>
  <c r="W427" i="11" s="1"/>
  <c r="Y427" i="11" a="1"/>
  <c r="Y427" i="11" s="1"/>
  <c r="Z426" i="11" a="1"/>
  <c r="Z426" i="11" s="1"/>
  <c r="X426" i="11" a="1"/>
  <c r="X426" i="11" s="1"/>
  <c r="H236" i="11"/>
  <c r="O408" i="11" l="1"/>
  <c r="M408" i="11"/>
  <c r="N408" i="11"/>
  <c r="O237" i="11"/>
  <c r="M237" i="11"/>
  <c r="N237" i="11"/>
  <c r="O493" i="11"/>
  <c r="R409" i="11"/>
  <c r="L493" i="11" s="1"/>
  <c r="M322" i="11"/>
  <c r="M493" i="11"/>
  <c r="L322" i="11"/>
  <c r="U237" i="11" a="1"/>
  <c r="U237" i="11" s="1"/>
  <c r="W237" i="11" s="1" a="1"/>
  <c r="W237" i="11" s="1"/>
  <c r="Y238" i="11" a="1"/>
  <c r="Y238" i="11" s="1"/>
  <c r="N493" i="11"/>
  <c r="O322" i="11"/>
  <c r="J236" i="11"/>
  <c r="N322" i="11"/>
  <c r="K322" i="11"/>
  <c r="J407" i="11"/>
  <c r="L408" i="11"/>
  <c r="L237" i="11"/>
  <c r="X238" i="11" a="1"/>
  <c r="X238" i="11" s="1"/>
  <c r="V237" i="11" a="1"/>
  <c r="V237" i="11" s="1"/>
  <c r="Z237" i="11" s="1" a="1"/>
  <c r="Z237" i="11" s="1"/>
  <c r="AA426" i="11"/>
  <c r="AB427" i="11"/>
  <c r="H319" i="11"/>
  <c r="I319" i="11" s="1"/>
  <c r="I490" i="11" s="1"/>
  <c r="H490" i="11"/>
  <c r="H406" i="11"/>
  <c r="U425" i="11" a="1"/>
  <c r="U425" i="11" s="1"/>
  <c r="V425" i="11" a="1"/>
  <c r="V425" i="11" s="1"/>
  <c r="AB426" i="11"/>
  <c r="AA427" i="11"/>
  <c r="H235" i="11"/>
  <c r="O407" i="11" l="1"/>
  <c r="R407" i="11" s="1"/>
  <c r="N407" i="11"/>
  <c r="M407" i="11"/>
  <c r="O236" i="11"/>
  <c r="N236" i="11"/>
  <c r="Q236" i="11" s="1"/>
  <c r="M236" i="11"/>
  <c r="M492" i="11"/>
  <c r="O492" i="11"/>
  <c r="R408" i="11"/>
  <c r="M321" i="11"/>
  <c r="N321" i="11"/>
  <c r="Q237" i="11"/>
  <c r="K321" i="11" s="1"/>
  <c r="O321" i="11"/>
  <c r="R237" i="11"/>
  <c r="L321" i="11" s="1"/>
  <c r="Y237" i="11" a="1"/>
  <c r="Y237" i="11" s="1"/>
  <c r="L492" i="11"/>
  <c r="U236" i="11" a="1"/>
  <c r="U236" i="11" s="1"/>
  <c r="Y236" i="11" s="1" a="1"/>
  <c r="Y236" i="11" s="1"/>
  <c r="N492" i="11"/>
  <c r="J235" i="11"/>
  <c r="J406" i="11"/>
  <c r="L407" i="11"/>
  <c r="AC427" i="11"/>
  <c r="K427" i="11" s="1"/>
  <c r="L236" i="11"/>
  <c r="X237" i="11" a="1"/>
  <c r="X237" i="11" s="1"/>
  <c r="AC426" i="11"/>
  <c r="K426" i="11" s="1"/>
  <c r="H318" i="11"/>
  <c r="I318" i="11" s="1"/>
  <c r="I489" i="11" s="1"/>
  <c r="H405" i="11"/>
  <c r="H489" i="11"/>
  <c r="U424" i="11" a="1"/>
  <c r="U424" i="11" s="1"/>
  <c r="V424" i="11" a="1"/>
  <c r="V424" i="11" s="1"/>
  <c r="Z425" i="11" a="1"/>
  <c r="Z425" i="11" s="1"/>
  <c r="X425" i="11" a="1"/>
  <c r="X425" i="11" s="1"/>
  <c r="Y425" i="11" a="1"/>
  <c r="Y425" i="11" s="1"/>
  <c r="W425" i="11" a="1"/>
  <c r="W425" i="11" s="1"/>
  <c r="V236" i="11" a="1"/>
  <c r="V236" i="11" s="1"/>
  <c r="H234" i="11"/>
  <c r="O406" i="11" l="1"/>
  <c r="M406" i="11"/>
  <c r="N406" i="11"/>
  <c r="O235" i="11"/>
  <c r="N235" i="11"/>
  <c r="Q235" i="11" s="1"/>
  <c r="M235" i="11"/>
  <c r="M491" i="11"/>
  <c r="M320" i="11"/>
  <c r="N491" i="11"/>
  <c r="O320" i="11"/>
  <c r="R236" i="11"/>
  <c r="L320" i="11" s="1"/>
  <c r="L491" i="11"/>
  <c r="K320" i="11"/>
  <c r="N320" i="11"/>
  <c r="W236" i="11" a="1"/>
  <c r="W236" i="11" s="1"/>
  <c r="U235" i="11" a="1"/>
  <c r="U235" i="11" s="1"/>
  <c r="W235" i="11" s="1" a="1"/>
  <c r="W235" i="11" s="1"/>
  <c r="O491" i="11"/>
  <c r="J234" i="11"/>
  <c r="J405" i="11"/>
  <c r="L406" i="11"/>
  <c r="L235" i="11"/>
  <c r="AB425" i="11"/>
  <c r="AA425" i="11"/>
  <c r="H317" i="11"/>
  <c r="I317" i="11" s="1"/>
  <c r="I488" i="11" s="1"/>
  <c r="H404" i="11"/>
  <c r="H488" i="11"/>
  <c r="V423" i="11" a="1"/>
  <c r="V423" i="11" s="1"/>
  <c r="U423" i="11" a="1"/>
  <c r="U423" i="11" s="1"/>
  <c r="Z424" i="11" a="1"/>
  <c r="Z424" i="11" s="1"/>
  <c r="X424" i="11" a="1"/>
  <c r="X424" i="11" s="1"/>
  <c r="Y424" i="11" a="1"/>
  <c r="Y424" i="11" s="1"/>
  <c r="W424" i="11" a="1"/>
  <c r="W424" i="11" s="1"/>
  <c r="Z236" i="11" a="1"/>
  <c r="Z236" i="11" s="1"/>
  <c r="X236" i="11" a="1"/>
  <c r="X236" i="11" s="1"/>
  <c r="H233" i="11"/>
  <c r="V235" i="11" a="1"/>
  <c r="V235" i="11" s="1"/>
  <c r="O405" i="11" l="1"/>
  <c r="M405" i="11"/>
  <c r="N405" i="11"/>
  <c r="O234" i="11"/>
  <c r="M234" i="11"/>
  <c r="N234" i="11"/>
  <c r="Q234" i="11" s="1"/>
  <c r="M490" i="11"/>
  <c r="M319" i="11"/>
  <c r="O319" i="11"/>
  <c r="R235" i="11"/>
  <c r="L319" i="11" s="1"/>
  <c r="N490" i="11"/>
  <c r="O490" i="11"/>
  <c r="R406" i="11"/>
  <c r="L490" i="11" s="1"/>
  <c r="R234" i="11"/>
  <c r="Y235" i="11" a="1"/>
  <c r="Y235" i="11" s="1"/>
  <c r="K319" i="11"/>
  <c r="N319" i="11"/>
  <c r="J233" i="11"/>
  <c r="J404" i="11"/>
  <c r="L405" i="11"/>
  <c r="AC425" i="11"/>
  <c r="L234" i="11"/>
  <c r="U234" i="11" a="1"/>
  <c r="U234" i="11" s="1"/>
  <c r="Y234" i="11" s="1" a="1"/>
  <c r="Y234" i="11" s="1"/>
  <c r="H316" i="11"/>
  <c r="I316" i="11" s="1"/>
  <c r="I487" i="11" s="1"/>
  <c r="H487" i="11"/>
  <c r="H403" i="11"/>
  <c r="AA424" i="11"/>
  <c r="AB424" i="11"/>
  <c r="W423" i="11" a="1"/>
  <c r="W423" i="11" s="1"/>
  <c r="Y423" i="11" a="1"/>
  <c r="Y423" i="11" s="1"/>
  <c r="V422" i="11" a="1"/>
  <c r="V422" i="11" s="1"/>
  <c r="U422" i="11" a="1"/>
  <c r="U422" i="11" s="1"/>
  <c r="X423" i="11" a="1"/>
  <c r="X423" i="11" s="1"/>
  <c r="Z423" i="11" a="1"/>
  <c r="Z423" i="11" s="1"/>
  <c r="X235" i="11" a="1"/>
  <c r="X235" i="11" s="1"/>
  <c r="Z235" i="11" a="1"/>
  <c r="Z235" i="11" s="1"/>
  <c r="V234" i="11" a="1"/>
  <c r="V234" i="11" s="1"/>
  <c r="H232" i="11"/>
  <c r="O404" i="11" l="1"/>
  <c r="N404" i="11"/>
  <c r="M404" i="11"/>
  <c r="O233" i="11"/>
  <c r="R233" i="11" s="1"/>
  <c r="N233" i="11"/>
  <c r="M233" i="11"/>
  <c r="N489" i="11"/>
  <c r="O489" i="11"/>
  <c r="R405" i="11"/>
  <c r="M318" i="11"/>
  <c r="M489" i="11"/>
  <c r="L318" i="11"/>
  <c r="K318" i="11"/>
  <c r="O318" i="11"/>
  <c r="L489" i="11"/>
  <c r="N318" i="11"/>
  <c r="J403" i="11"/>
  <c r="J232" i="11"/>
  <c r="W234" i="11" a="1"/>
  <c r="W234" i="11" s="1"/>
  <c r="L404" i="11"/>
  <c r="L233" i="11"/>
  <c r="U233" i="11" a="1"/>
  <c r="U233" i="11" s="1"/>
  <c r="W233" i="11" s="1" a="1"/>
  <c r="W233" i="11" s="1"/>
  <c r="AC424" i="11"/>
  <c r="K424" i="11" s="1"/>
  <c r="H315" i="11"/>
  <c r="I315" i="11" s="1"/>
  <c r="I486" i="11" s="1"/>
  <c r="H486" i="11"/>
  <c r="H402" i="11"/>
  <c r="AB423" i="11"/>
  <c r="Y422" i="11" a="1"/>
  <c r="Y422" i="11" s="1"/>
  <c r="W422" i="11" a="1"/>
  <c r="W422" i="11" s="1"/>
  <c r="Z422" i="11" a="1"/>
  <c r="Z422" i="11" s="1"/>
  <c r="X422" i="11" a="1"/>
  <c r="X422" i="11" s="1"/>
  <c r="AA423" i="11"/>
  <c r="U421" i="11" a="1"/>
  <c r="U421" i="11" s="1"/>
  <c r="V421" i="11" a="1"/>
  <c r="V421" i="11" s="1"/>
  <c r="Z234" i="11" a="1"/>
  <c r="Z234" i="11" s="1"/>
  <c r="X234" i="11" a="1"/>
  <c r="X234" i="11" s="1"/>
  <c r="V233" i="11" a="1"/>
  <c r="V233" i="11" s="1"/>
  <c r="H231" i="11"/>
  <c r="O232" i="11" l="1"/>
  <c r="N232" i="11"/>
  <c r="M232" i="11"/>
  <c r="O403" i="11"/>
  <c r="M403" i="11"/>
  <c r="N403" i="11"/>
  <c r="M488" i="11"/>
  <c r="N488" i="11"/>
  <c r="O488" i="11"/>
  <c r="R404" i="11"/>
  <c r="M317" i="11"/>
  <c r="N317" i="11"/>
  <c r="Q233" i="11"/>
  <c r="K317" i="11" s="1"/>
  <c r="U232" i="11" a="1"/>
  <c r="U232" i="11" s="1"/>
  <c r="Y232" i="11" s="1" a="1"/>
  <c r="Y232" i="11" s="1"/>
  <c r="L317" i="11"/>
  <c r="O317" i="11"/>
  <c r="L488" i="11"/>
  <c r="J402" i="11"/>
  <c r="J231" i="11"/>
  <c r="Y233" i="11" a="1"/>
  <c r="Y233" i="11" s="1"/>
  <c r="L403" i="11"/>
  <c r="L232" i="11"/>
  <c r="AB422" i="11"/>
  <c r="H314" i="11"/>
  <c r="I314" i="11" s="1"/>
  <c r="I485" i="11" s="1"/>
  <c r="H485" i="11"/>
  <c r="H401" i="11"/>
  <c r="Z421" i="11" a="1"/>
  <c r="Z421" i="11" s="1"/>
  <c r="X421" i="11" a="1"/>
  <c r="X421" i="11" s="1"/>
  <c r="AA422" i="11"/>
  <c r="W421" i="11" a="1"/>
  <c r="W421" i="11" s="1"/>
  <c r="Y421" i="11" a="1"/>
  <c r="Y421" i="11" s="1"/>
  <c r="V420" i="11" a="1"/>
  <c r="V420" i="11" s="1"/>
  <c r="U420" i="11" a="1"/>
  <c r="U420" i="11" s="1"/>
  <c r="AC423" i="11"/>
  <c r="K423" i="11" s="1"/>
  <c r="J507" i="11" s="1"/>
  <c r="X233" i="11" a="1"/>
  <c r="X233" i="11" s="1"/>
  <c r="Z233" i="11" a="1"/>
  <c r="Z233" i="11" s="1"/>
  <c r="H230" i="11"/>
  <c r="V232" i="11" a="1"/>
  <c r="V232" i="11" s="1"/>
  <c r="O231" i="11" l="1"/>
  <c r="R231" i="11" s="1"/>
  <c r="N231" i="11"/>
  <c r="M231" i="11"/>
  <c r="O402" i="11"/>
  <c r="M402" i="11"/>
  <c r="N402" i="11"/>
  <c r="N316" i="11"/>
  <c r="Q232" i="11"/>
  <c r="K316" i="11" s="1"/>
  <c r="O316" i="11"/>
  <c r="R232" i="11"/>
  <c r="O487" i="11"/>
  <c r="R403" i="11"/>
  <c r="L487" i="11" s="1"/>
  <c r="M487" i="11"/>
  <c r="M316" i="11"/>
  <c r="L316" i="11"/>
  <c r="W232" i="11" a="1"/>
  <c r="W232" i="11" s="1"/>
  <c r="U231" i="11" a="1"/>
  <c r="U231" i="11" s="1"/>
  <c r="W231" i="11" s="1" a="1"/>
  <c r="W231" i="11" s="1"/>
  <c r="N487" i="11"/>
  <c r="J401" i="11"/>
  <c r="J230" i="11"/>
  <c r="AC422" i="11"/>
  <c r="K422" i="11" s="1"/>
  <c r="J506" i="11" s="1"/>
  <c r="L402" i="11"/>
  <c r="L231" i="11"/>
  <c r="AA421" i="11"/>
  <c r="H313" i="11"/>
  <c r="I313" i="11" s="1"/>
  <c r="I484" i="11" s="1"/>
  <c r="H484" i="11"/>
  <c r="H400" i="11"/>
  <c r="AB421" i="11"/>
  <c r="Y420" i="11" a="1"/>
  <c r="Y420" i="11" s="1"/>
  <c r="W420" i="11" a="1"/>
  <c r="W420" i="11" s="1"/>
  <c r="Z420" i="11" a="1"/>
  <c r="Z420" i="11" s="1"/>
  <c r="X420" i="11" a="1"/>
  <c r="X420" i="11" s="1"/>
  <c r="V419" i="11" a="1"/>
  <c r="V419" i="11" s="1"/>
  <c r="U419" i="11" a="1"/>
  <c r="U419" i="11" s="1"/>
  <c r="X232" i="11" a="1"/>
  <c r="X232" i="11" s="1"/>
  <c r="Z232" i="11" a="1"/>
  <c r="Z232" i="11" s="1"/>
  <c r="V231" i="11" a="1"/>
  <c r="V231" i="11" s="1"/>
  <c r="H229" i="11"/>
  <c r="O230" i="11" l="1"/>
  <c r="M230" i="11"/>
  <c r="N230" i="11"/>
  <c r="O401" i="11"/>
  <c r="R401" i="11" s="1"/>
  <c r="N401" i="11"/>
  <c r="M401" i="11"/>
  <c r="M486" i="11"/>
  <c r="M315" i="11"/>
  <c r="N315" i="11"/>
  <c r="Q231" i="11"/>
  <c r="K315" i="11" s="1"/>
  <c r="N486" i="11"/>
  <c r="O486" i="11"/>
  <c r="R402" i="11"/>
  <c r="L486" i="11" s="1"/>
  <c r="Y231" i="11" a="1"/>
  <c r="Y231" i="11" s="1"/>
  <c r="U230" i="11" a="1"/>
  <c r="U230" i="11" s="1"/>
  <c r="W230" i="11" s="1" a="1"/>
  <c r="W230" i="11" s="1"/>
  <c r="L315" i="11"/>
  <c r="O315" i="11"/>
  <c r="J400" i="11"/>
  <c r="J229" i="11"/>
  <c r="L401" i="11"/>
  <c r="L230" i="11"/>
  <c r="AC421" i="11"/>
  <c r="K421" i="11" s="1"/>
  <c r="J505" i="11" s="1"/>
  <c r="H312" i="11"/>
  <c r="I312" i="11" s="1"/>
  <c r="I483" i="11" s="1"/>
  <c r="H483" i="11"/>
  <c r="H399" i="11"/>
  <c r="W419" i="11" a="1"/>
  <c r="W419" i="11" s="1"/>
  <c r="Y419" i="11" a="1"/>
  <c r="Y419" i="11" s="1"/>
  <c r="V418" i="11" a="1"/>
  <c r="V418" i="11" s="1"/>
  <c r="U418" i="11" a="1"/>
  <c r="U418" i="11" s="1"/>
  <c r="Z419" i="11" a="1"/>
  <c r="Z419" i="11" s="1"/>
  <c r="X419" i="11" a="1"/>
  <c r="X419" i="11" s="1"/>
  <c r="AB420" i="11"/>
  <c r="AA420" i="11"/>
  <c r="X231" i="11" a="1"/>
  <c r="X231" i="11" s="1"/>
  <c r="Z231" i="11" a="1"/>
  <c r="Z231" i="11" s="1"/>
  <c r="H228" i="11"/>
  <c r="V230" i="11" a="1"/>
  <c r="V230" i="11" s="1"/>
  <c r="O229" i="11" l="1"/>
  <c r="M229" i="11"/>
  <c r="N229" i="11"/>
  <c r="O400" i="11"/>
  <c r="M400" i="11"/>
  <c r="N400" i="11"/>
  <c r="N314" i="11"/>
  <c r="Q230" i="11"/>
  <c r="K314" i="11" s="1"/>
  <c r="O314" i="11"/>
  <c r="R230" i="11"/>
  <c r="M314" i="11"/>
  <c r="M485" i="11"/>
  <c r="N485" i="11"/>
  <c r="Y230" i="11" a="1"/>
  <c r="Y230" i="11" s="1"/>
  <c r="L485" i="11"/>
  <c r="L314" i="11"/>
  <c r="O485" i="11"/>
  <c r="U229" i="11" a="1"/>
  <c r="U229" i="11" s="1"/>
  <c r="W229" i="11" s="1" a="1"/>
  <c r="W229" i="11" s="1"/>
  <c r="J399" i="11"/>
  <c r="J228" i="11"/>
  <c r="L400" i="11"/>
  <c r="L229" i="11"/>
  <c r="AA419" i="11"/>
  <c r="H311" i="11"/>
  <c r="I311" i="11" s="1"/>
  <c r="I482" i="11" s="1"/>
  <c r="H398" i="11"/>
  <c r="H482" i="11"/>
  <c r="AB419" i="11"/>
  <c r="Z418" i="11" a="1"/>
  <c r="Z418" i="11" s="1"/>
  <c r="X418" i="11" a="1"/>
  <c r="X418" i="11" s="1"/>
  <c r="AC420" i="11"/>
  <c r="K420" i="11" s="1"/>
  <c r="U417" i="11" a="1"/>
  <c r="U417" i="11" s="1"/>
  <c r="V417" i="11" a="1"/>
  <c r="V417" i="11" s="1"/>
  <c r="W418" i="11" a="1"/>
  <c r="W418" i="11" s="1"/>
  <c r="Y418" i="11" a="1"/>
  <c r="Y418" i="11" s="1"/>
  <c r="X230" i="11" a="1"/>
  <c r="X230" i="11" s="1"/>
  <c r="Z230" i="11" a="1"/>
  <c r="Z230" i="11" s="1"/>
  <c r="H227" i="11"/>
  <c r="V229" i="11" a="1"/>
  <c r="V229" i="11" s="1"/>
  <c r="P420" i="11" l="1"/>
  <c r="J504" i="11" s="1"/>
  <c r="O228" i="11"/>
  <c r="R228" i="11" s="1"/>
  <c r="N228" i="11"/>
  <c r="Q228" i="11" s="1"/>
  <c r="M228" i="11"/>
  <c r="O399" i="11"/>
  <c r="N399" i="11"/>
  <c r="M399" i="11"/>
  <c r="N313" i="11"/>
  <c r="Q229" i="11"/>
  <c r="K313" i="11" s="1"/>
  <c r="O313" i="11"/>
  <c r="R229" i="11"/>
  <c r="M313" i="11"/>
  <c r="M484" i="11"/>
  <c r="O484" i="11"/>
  <c r="R400" i="11"/>
  <c r="L484" i="11" s="1"/>
  <c r="L313" i="11"/>
  <c r="U228" i="11" a="1"/>
  <c r="U228" i="11" s="1"/>
  <c r="W228" i="11" s="1" a="1"/>
  <c r="W228" i="11" s="1"/>
  <c r="N484" i="11"/>
  <c r="Y229" i="11" a="1"/>
  <c r="Y229" i="11" s="1"/>
  <c r="J398" i="11"/>
  <c r="J227" i="11"/>
  <c r="L399" i="11"/>
  <c r="L228" i="11"/>
  <c r="AC419" i="11"/>
  <c r="K419" i="11" s="1"/>
  <c r="H310" i="11"/>
  <c r="I310" i="11" s="1"/>
  <c r="I481" i="11" s="1"/>
  <c r="H397" i="11"/>
  <c r="H481" i="11"/>
  <c r="AA418" i="11"/>
  <c r="Z417" i="11" a="1"/>
  <c r="Z417" i="11" s="1"/>
  <c r="X417" i="11" a="1"/>
  <c r="X417" i="11" s="1"/>
  <c r="Y417" i="11" a="1"/>
  <c r="Y417" i="11" s="1"/>
  <c r="W417" i="11" a="1"/>
  <c r="W417" i="11" s="1"/>
  <c r="U416" i="11" a="1"/>
  <c r="U416" i="11" s="1"/>
  <c r="V416" i="11" a="1"/>
  <c r="V416" i="11" s="1"/>
  <c r="AB418" i="11"/>
  <c r="Z229" i="11" a="1"/>
  <c r="Z229" i="11" s="1"/>
  <c r="X229" i="11" a="1"/>
  <c r="X229" i="11" s="1"/>
  <c r="H226" i="11"/>
  <c r="V228" i="11" a="1"/>
  <c r="V228" i="11" s="1"/>
  <c r="P419" i="11" l="1"/>
  <c r="J503" i="11" s="1"/>
  <c r="O227" i="11"/>
  <c r="M227" i="11"/>
  <c r="N227" i="11"/>
  <c r="O398" i="11"/>
  <c r="R398" i="11" s="1"/>
  <c r="M398" i="11"/>
  <c r="N398" i="11"/>
  <c r="O483" i="11"/>
  <c r="R399" i="11"/>
  <c r="M483" i="11"/>
  <c r="N483" i="11"/>
  <c r="M312" i="11"/>
  <c r="Y228" i="11" a="1"/>
  <c r="Y228" i="11" s="1"/>
  <c r="U227" i="11" a="1"/>
  <c r="U227" i="11" s="1"/>
  <c r="W227" i="11" s="1" a="1"/>
  <c r="W227" i="11" s="1"/>
  <c r="L483" i="11"/>
  <c r="L312" i="11"/>
  <c r="K312" i="11"/>
  <c r="O312" i="11"/>
  <c r="N312" i="11"/>
  <c r="J226" i="11"/>
  <c r="J397" i="11"/>
  <c r="L398" i="11"/>
  <c r="L227" i="11"/>
  <c r="AC418" i="11"/>
  <c r="K418" i="11" s="1"/>
  <c r="H309" i="11"/>
  <c r="I309" i="11" s="1"/>
  <c r="I480" i="11" s="1"/>
  <c r="H396" i="11"/>
  <c r="H480" i="11"/>
  <c r="AA417" i="11"/>
  <c r="Z416" i="11" a="1"/>
  <c r="Z416" i="11" s="1"/>
  <c r="X416" i="11" a="1"/>
  <c r="X416" i="11" s="1"/>
  <c r="W416" i="11" a="1"/>
  <c r="W416" i="11" s="1"/>
  <c r="Y416" i="11" a="1"/>
  <c r="Y416" i="11" s="1"/>
  <c r="V415" i="11" a="1"/>
  <c r="V415" i="11" s="1"/>
  <c r="U415" i="11" a="1"/>
  <c r="U415" i="11" s="1"/>
  <c r="AB417" i="11"/>
  <c r="X228" i="11" a="1"/>
  <c r="X228" i="11" s="1"/>
  <c r="Z228" i="11" a="1"/>
  <c r="Z228" i="11" s="1"/>
  <c r="H225" i="11"/>
  <c r="V227" i="11" a="1"/>
  <c r="V227" i="11" s="1"/>
  <c r="P418" i="11" l="1"/>
  <c r="J502" i="11" s="1"/>
  <c r="O397" i="11"/>
  <c r="R397" i="11" s="1"/>
  <c r="N397" i="11"/>
  <c r="M397" i="11"/>
  <c r="O226" i="11"/>
  <c r="N226" i="11"/>
  <c r="M226" i="11"/>
  <c r="O311" i="11"/>
  <c r="R227" i="11"/>
  <c r="M311" i="11"/>
  <c r="N311" i="11"/>
  <c r="Q227" i="11"/>
  <c r="K311" i="11" s="1"/>
  <c r="M482" i="11"/>
  <c r="L482" i="11"/>
  <c r="L311" i="11"/>
  <c r="O482" i="11"/>
  <c r="Y227" i="11" a="1"/>
  <c r="Y227" i="11" s="1"/>
  <c r="N482" i="11"/>
  <c r="U226" i="11" a="1"/>
  <c r="U226" i="11" s="1"/>
  <c r="Y226" i="11" s="1" a="1"/>
  <c r="Y226" i="11" s="1"/>
  <c r="J396" i="11"/>
  <c r="J225" i="11"/>
  <c r="L397" i="11"/>
  <c r="L226" i="11"/>
  <c r="AC417" i="11"/>
  <c r="K417" i="11" s="1"/>
  <c r="AA416" i="11"/>
  <c r="H308" i="11"/>
  <c r="I308" i="11" s="1"/>
  <c r="I479" i="11" s="1"/>
  <c r="H479" i="11"/>
  <c r="H395" i="11"/>
  <c r="U397" i="11" a="1"/>
  <c r="U397" i="11" s="1"/>
  <c r="V397" i="11" a="1"/>
  <c r="V397" i="11" s="1"/>
  <c r="W415" i="11" a="1"/>
  <c r="W415" i="11" s="1"/>
  <c r="Y415" i="11" a="1"/>
  <c r="Y415" i="11" s="1"/>
  <c r="Z415" i="11" a="1"/>
  <c r="Z415" i="11" s="1"/>
  <c r="X415" i="11" a="1"/>
  <c r="X415" i="11" s="1"/>
  <c r="U414" i="11" a="1"/>
  <c r="U414" i="11" s="1"/>
  <c r="V414" i="11" a="1"/>
  <c r="V414" i="11" s="1"/>
  <c r="AB416" i="11"/>
  <c r="X227" i="11" a="1"/>
  <c r="X227" i="11" s="1"/>
  <c r="Z227" i="11" a="1"/>
  <c r="Z227" i="11" s="1"/>
  <c r="H224" i="11"/>
  <c r="V226" i="11" a="1"/>
  <c r="V226" i="11" s="1"/>
  <c r="Q226" i="11" l="1"/>
  <c r="O225" i="11"/>
  <c r="M225" i="11"/>
  <c r="N225" i="11"/>
  <c r="Q225" i="11" s="1"/>
  <c r="O396" i="11"/>
  <c r="N396" i="11"/>
  <c r="M396" i="11"/>
  <c r="P417" i="11"/>
  <c r="J501" i="11" s="1"/>
  <c r="M481" i="11"/>
  <c r="N481" i="11"/>
  <c r="O310" i="11"/>
  <c r="R226" i="11"/>
  <c r="M310" i="11"/>
  <c r="W226" i="11" a="1"/>
  <c r="W226" i="11" s="1"/>
  <c r="L481" i="11"/>
  <c r="O481" i="11"/>
  <c r="K310" i="11"/>
  <c r="N310" i="11"/>
  <c r="L310" i="11"/>
  <c r="U225" i="11" a="1"/>
  <c r="U225" i="11" s="1"/>
  <c r="W225" i="11" s="1" a="1"/>
  <c r="W225" i="11" s="1"/>
  <c r="J395" i="11"/>
  <c r="J224" i="11"/>
  <c r="L396" i="11"/>
  <c r="L225" i="11"/>
  <c r="AC416" i="11"/>
  <c r="K416" i="11" s="1"/>
  <c r="H307" i="11"/>
  <c r="I307" i="11" s="1"/>
  <c r="I478" i="11" s="1"/>
  <c r="H478" i="11"/>
  <c r="H394" i="11"/>
  <c r="X397" i="11" a="1"/>
  <c r="X397" i="11" s="1"/>
  <c r="Z397" i="11" a="1"/>
  <c r="Z397" i="11" s="1"/>
  <c r="Y397" i="11" a="1"/>
  <c r="Y397" i="11" s="1"/>
  <c r="W397" i="11" a="1"/>
  <c r="W397" i="11" s="1"/>
  <c r="V396" i="11" a="1"/>
  <c r="V396" i="11" s="1"/>
  <c r="U396" i="11" a="1"/>
  <c r="U396" i="11" s="1"/>
  <c r="AB415" i="11"/>
  <c r="V413" i="11" a="1"/>
  <c r="V413" i="11" s="1"/>
  <c r="U413" i="11" a="1"/>
  <c r="U413" i="11" s="1"/>
  <c r="AA415" i="11"/>
  <c r="Z414" i="11" a="1"/>
  <c r="Z414" i="11" s="1"/>
  <c r="X414" i="11" a="1"/>
  <c r="X414" i="11" s="1"/>
  <c r="Y414" i="11" a="1"/>
  <c r="Y414" i="11" s="1"/>
  <c r="W414" i="11" a="1"/>
  <c r="W414" i="11" s="1"/>
  <c r="Z226" i="11" a="1"/>
  <c r="Z226" i="11" s="1"/>
  <c r="X226" i="11" a="1"/>
  <c r="X226" i="11" s="1"/>
  <c r="V225" i="11" a="1"/>
  <c r="V225" i="11" s="1"/>
  <c r="H223" i="11"/>
  <c r="O224" i="11" l="1"/>
  <c r="R224" i="11" s="1"/>
  <c r="N224" i="11"/>
  <c r="M224" i="11"/>
  <c r="O395" i="11"/>
  <c r="M395" i="11"/>
  <c r="N395" i="11"/>
  <c r="Q416" i="11"/>
  <c r="K500" i="11" s="1"/>
  <c r="P416" i="11"/>
  <c r="J500" i="11" s="1"/>
  <c r="O309" i="11"/>
  <c r="R225" i="11"/>
  <c r="M309" i="11"/>
  <c r="M480" i="11"/>
  <c r="O480" i="11"/>
  <c r="R396" i="11"/>
  <c r="L480" i="11" s="1"/>
  <c r="R395" i="11"/>
  <c r="L309" i="11"/>
  <c r="K309" i="11"/>
  <c r="Y225" i="11" a="1"/>
  <c r="Y225" i="11" s="1"/>
  <c r="N309" i="11"/>
  <c r="N480" i="11"/>
  <c r="J223" i="11"/>
  <c r="J394" i="11"/>
  <c r="L395" i="11"/>
  <c r="L224" i="11"/>
  <c r="U224" i="11" a="1"/>
  <c r="U224" i="11" s="1"/>
  <c r="W224" i="11" s="1" a="1"/>
  <c r="W224" i="11" s="1"/>
  <c r="AC415" i="11"/>
  <c r="K415" i="11" s="1"/>
  <c r="AB397" i="11"/>
  <c r="Z396" i="11" a="1"/>
  <c r="Z396" i="11" s="1"/>
  <c r="X396" i="11" a="1"/>
  <c r="X396" i="11" s="1"/>
  <c r="U395" i="11" a="1"/>
  <c r="U395" i="11" s="1"/>
  <c r="V395" i="11" a="1"/>
  <c r="V395" i="11" s="1"/>
  <c r="H306" i="11"/>
  <c r="I306" i="11" s="1"/>
  <c r="I477" i="11" s="1"/>
  <c r="H477" i="11"/>
  <c r="H393" i="11"/>
  <c r="AA397" i="11"/>
  <c r="W396" i="11" a="1"/>
  <c r="W396" i="11" s="1"/>
  <c r="Y396" i="11" a="1"/>
  <c r="Y396" i="11" s="1"/>
  <c r="AB414" i="11"/>
  <c r="V412" i="11" a="1"/>
  <c r="V412" i="11" s="1"/>
  <c r="U412" i="11" a="1"/>
  <c r="U412" i="11" s="1"/>
  <c r="Y413" i="11" a="1"/>
  <c r="Y413" i="11" s="1"/>
  <c r="W413" i="11" a="1"/>
  <c r="W413" i="11" s="1"/>
  <c r="X413" i="11" a="1"/>
  <c r="X413" i="11" s="1"/>
  <c r="Z413" i="11" a="1"/>
  <c r="Z413" i="11" s="1"/>
  <c r="AA414" i="11"/>
  <c r="X225" i="11" a="1"/>
  <c r="X225" i="11" s="1"/>
  <c r="Z225" i="11" a="1"/>
  <c r="Z225" i="11" s="1"/>
  <c r="H222" i="11"/>
  <c r="V224" i="11" a="1"/>
  <c r="V224" i="11" s="1"/>
  <c r="O394" i="11" l="1"/>
  <c r="M394" i="11"/>
  <c r="N394" i="11"/>
  <c r="U223" i="11" a="1"/>
  <c r="U223" i="11" s="1"/>
  <c r="O223" i="11"/>
  <c r="N223" i="11"/>
  <c r="M223" i="11"/>
  <c r="Q415" i="11"/>
  <c r="K499" i="11" s="1"/>
  <c r="P415" i="11"/>
  <c r="J499" i="11" s="1"/>
  <c r="N479" i="11"/>
  <c r="M308" i="11"/>
  <c r="N308" i="11"/>
  <c r="Q224" i="11"/>
  <c r="K308" i="11" s="1"/>
  <c r="M479" i="11"/>
  <c r="L308" i="11"/>
  <c r="L479" i="11"/>
  <c r="O308" i="11"/>
  <c r="O479" i="11"/>
  <c r="J393" i="11"/>
  <c r="J222" i="11"/>
  <c r="L394" i="11"/>
  <c r="Y224" i="11" a="1"/>
  <c r="Y224" i="11" s="1"/>
  <c r="L223" i="11"/>
  <c r="AB413" i="11"/>
  <c r="AC397" i="11"/>
  <c r="K397" i="11" s="1"/>
  <c r="AA396" i="11"/>
  <c r="AB396" i="11"/>
  <c r="AA413" i="11"/>
  <c r="V394" i="11" a="1"/>
  <c r="V394" i="11" s="1"/>
  <c r="U394" i="11" a="1"/>
  <c r="U394" i="11" s="1"/>
  <c r="Z395" i="11" a="1"/>
  <c r="Z395" i="11" s="1"/>
  <c r="X395" i="11" a="1"/>
  <c r="X395" i="11" s="1"/>
  <c r="H305" i="11"/>
  <c r="I305" i="11" s="1"/>
  <c r="I476" i="11" s="1"/>
  <c r="H476" i="11"/>
  <c r="H392" i="11"/>
  <c r="AC414" i="11"/>
  <c r="K414" i="11" s="1"/>
  <c r="W395" i="11" a="1"/>
  <c r="W395" i="11" s="1"/>
  <c r="Y395" i="11" a="1"/>
  <c r="Y395" i="11" s="1"/>
  <c r="U411" i="11" a="1"/>
  <c r="U411" i="11" s="1"/>
  <c r="V411" i="11" a="1"/>
  <c r="V411" i="11" s="1"/>
  <c r="W412" i="11" a="1"/>
  <c r="W412" i="11" s="1"/>
  <c r="Y412" i="11" a="1"/>
  <c r="Y412" i="11" s="1"/>
  <c r="Z412" i="11" a="1"/>
  <c r="Z412" i="11" s="1"/>
  <c r="X412" i="11" a="1"/>
  <c r="X412" i="11" s="1"/>
  <c r="Y223" i="11" a="1"/>
  <c r="Y223" i="11" s="1"/>
  <c r="W223" i="11" a="1"/>
  <c r="W223" i="11" s="1"/>
  <c r="X224" i="11" a="1"/>
  <c r="X224" i="11" s="1"/>
  <c r="Z224" i="11" a="1"/>
  <c r="Z224" i="11" s="1"/>
  <c r="H221" i="11"/>
  <c r="V223" i="11" a="1"/>
  <c r="V223" i="11" s="1"/>
  <c r="O222" i="11" l="1"/>
  <c r="R222" i="11" s="1"/>
  <c r="M222" i="11"/>
  <c r="N222" i="11"/>
  <c r="O393" i="11"/>
  <c r="N393" i="11"/>
  <c r="M393" i="11"/>
  <c r="P397" i="11"/>
  <c r="J481" i="11" s="1"/>
  <c r="Q397" i="11"/>
  <c r="K481" i="11" s="1"/>
  <c r="Q414" i="11"/>
  <c r="K498" i="11" s="1"/>
  <c r="P414" i="11"/>
  <c r="J498" i="11" s="1"/>
  <c r="N307" i="11"/>
  <c r="Q223" i="11"/>
  <c r="K307" i="11" s="1"/>
  <c r="N478" i="11"/>
  <c r="O478" i="11"/>
  <c r="R394" i="11"/>
  <c r="M478" i="11"/>
  <c r="M307" i="11"/>
  <c r="O307" i="11"/>
  <c r="R223" i="11"/>
  <c r="L307" i="11" s="1"/>
  <c r="L478" i="11"/>
  <c r="J392" i="11"/>
  <c r="J221" i="11"/>
  <c r="L393" i="11"/>
  <c r="L222" i="11"/>
  <c r="U222" i="11" a="1"/>
  <c r="U222" i="11" s="1"/>
  <c r="W222" i="11" s="1" a="1"/>
  <c r="W222" i="11" s="1"/>
  <c r="AC413" i="11"/>
  <c r="K413" i="11" s="1"/>
  <c r="AB412" i="11"/>
  <c r="AC396" i="11"/>
  <c r="K396" i="11" s="1"/>
  <c r="AA395" i="11"/>
  <c r="Y394" i="11" a="1"/>
  <c r="Y394" i="11" s="1"/>
  <c r="W394" i="11" a="1"/>
  <c r="W394" i="11" s="1"/>
  <c r="X394" i="11" a="1"/>
  <c r="X394" i="11" s="1"/>
  <c r="Z394" i="11" a="1"/>
  <c r="Z394" i="11" s="1"/>
  <c r="AA412" i="11"/>
  <c r="U393" i="11" a="1"/>
  <c r="U393" i="11" s="1"/>
  <c r="V393" i="11" a="1"/>
  <c r="V393" i="11" s="1"/>
  <c r="H304" i="11"/>
  <c r="I304" i="11" s="1"/>
  <c r="I475" i="11" s="1"/>
  <c r="H475" i="11"/>
  <c r="H391" i="11"/>
  <c r="AB395" i="11"/>
  <c r="W411" i="11" a="1"/>
  <c r="W411" i="11" s="1"/>
  <c r="Y411" i="11" a="1"/>
  <c r="Y411" i="11" s="1"/>
  <c r="U410" i="11" a="1"/>
  <c r="U410" i="11" s="1"/>
  <c r="V410" i="11" a="1"/>
  <c r="V410" i="11" s="1"/>
  <c r="X411" i="11" a="1"/>
  <c r="X411" i="11" s="1"/>
  <c r="Z411" i="11" a="1"/>
  <c r="Z411" i="11" s="1"/>
  <c r="X223" i="11" a="1"/>
  <c r="X223" i="11" s="1"/>
  <c r="Z223" i="11" a="1"/>
  <c r="Z223" i="11" s="1"/>
  <c r="V222" i="11" a="1"/>
  <c r="V222" i="11" s="1"/>
  <c r="H220" i="11"/>
  <c r="O221" i="11" l="1"/>
  <c r="N221" i="11"/>
  <c r="M221" i="11"/>
  <c r="O392" i="11"/>
  <c r="N392" i="11"/>
  <c r="M392" i="11"/>
  <c r="Q396" i="11"/>
  <c r="K480" i="11" s="1"/>
  <c r="P396" i="11"/>
  <c r="J480" i="11" s="1"/>
  <c r="Q413" i="11"/>
  <c r="K497" i="11" s="1"/>
  <c r="P413" i="11"/>
  <c r="J497" i="11" s="1"/>
  <c r="N306" i="11"/>
  <c r="Q222" i="11"/>
  <c r="K306" i="11" s="1"/>
  <c r="M306" i="11"/>
  <c r="M477" i="11"/>
  <c r="N477" i="11"/>
  <c r="O477" i="11"/>
  <c r="R393" i="11"/>
  <c r="L477" i="11" s="1"/>
  <c r="R392" i="11"/>
  <c r="R221" i="11"/>
  <c r="U221" i="11" a="1"/>
  <c r="U221" i="11" s="1"/>
  <c r="Y221" i="11" s="1" a="1"/>
  <c r="Y221" i="11" s="1"/>
  <c r="O306" i="11"/>
  <c r="L306" i="11"/>
  <c r="J220" i="11"/>
  <c r="J391" i="11"/>
  <c r="L392" i="11"/>
  <c r="Y222" i="11" a="1"/>
  <c r="Y222" i="11" s="1"/>
  <c r="AC412" i="11"/>
  <c r="K412" i="11" s="1"/>
  <c r="L221" i="11"/>
  <c r="AA411" i="11"/>
  <c r="AB394" i="11"/>
  <c r="AC395" i="11"/>
  <c r="K395" i="11" s="1"/>
  <c r="AA394" i="11"/>
  <c r="X393" i="11" a="1"/>
  <c r="X393" i="11" s="1"/>
  <c r="Z393" i="11" a="1"/>
  <c r="Z393" i="11" s="1"/>
  <c r="Y393" i="11" a="1"/>
  <c r="Y393" i="11" s="1"/>
  <c r="W393" i="11" a="1"/>
  <c r="W393" i="11" s="1"/>
  <c r="H303" i="11"/>
  <c r="I303" i="11" s="1"/>
  <c r="I474" i="11" s="1"/>
  <c r="H474" i="11"/>
  <c r="H390" i="11"/>
  <c r="V392" i="11" a="1"/>
  <c r="V392" i="11" s="1"/>
  <c r="U392" i="11" a="1"/>
  <c r="U392" i="11" s="1"/>
  <c r="AB411" i="11"/>
  <c r="Z410" i="11" a="1"/>
  <c r="Z410" i="11" s="1"/>
  <c r="X410" i="11" a="1"/>
  <c r="X410" i="11" s="1"/>
  <c r="V409" i="11" a="1"/>
  <c r="V409" i="11" s="1"/>
  <c r="U409" i="11" a="1"/>
  <c r="U409" i="11" s="1"/>
  <c r="Y410" i="11" a="1"/>
  <c r="Y410" i="11" s="1"/>
  <c r="W410" i="11" a="1"/>
  <c r="W410" i="11" s="1"/>
  <c r="X222" i="11" a="1"/>
  <c r="X222" i="11" s="1"/>
  <c r="Z222" i="11" a="1"/>
  <c r="Z222" i="11" s="1"/>
  <c r="V221" i="11" a="1"/>
  <c r="V221" i="11" s="1"/>
  <c r="H219" i="11"/>
  <c r="O391" i="11" l="1"/>
  <c r="M391" i="11"/>
  <c r="N391" i="11"/>
  <c r="O220" i="11"/>
  <c r="M220" i="11"/>
  <c r="N220" i="11"/>
  <c r="Q395" i="11"/>
  <c r="K479" i="11" s="1"/>
  <c r="P395" i="11"/>
  <c r="J479" i="11" s="1"/>
  <c r="Q412" i="11"/>
  <c r="K496" i="11" s="1"/>
  <c r="P412" i="11"/>
  <c r="J496" i="11" s="1"/>
  <c r="M305" i="11"/>
  <c r="N305" i="11"/>
  <c r="Q221" i="11"/>
  <c r="K305" i="11" s="1"/>
  <c r="M476" i="11"/>
  <c r="L476" i="11"/>
  <c r="L305" i="11"/>
  <c r="O305" i="11"/>
  <c r="U220" i="11" a="1"/>
  <c r="U220" i="11" s="1"/>
  <c r="W220" i="11" s="1" a="1"/>
  <c r="W220" i="11" s="1"/>
  <c r="W221" i="11" a="1"/>
  <c r="W221" i="11" s="1"/>
  <c r="O476" i="11"/>
  <c r="N476" i="11"/>
  <c r="J390" i="11"/>
  <c r="J219" i="11"/>
  <c r="L391" i="11"/>
  <c r="AC411" i="11"/>
  <c r="K411" i="11" s="1"/>
  <c r="L220" i="11"/>
  <c r="AC394" i="11"/>
  <c r="K394" i="11" s="1"/>
  <c r="AB393" i="11"/>
  <c r="H302" i="11"/>
  <c r="I302" i="11" s="1"/>
  <c r="I473" i="11" s="1"/>
  <c r="H473" i="11"/>
  <c r="H389" i="11"/>
  <c r="U391" i="11" a="1"/>
  <c r="U391" i="11" s="1"/>
  <c r="V391" i="11" a="1"/>
  <c r="V391" i="11" s="1"/>
  <c r="AA393" i="11"/>
  <c r="Y392" i="11" a="1"/>
  <c r="Y392" i="11" s="1"/>
  <c r="W392" i="11" a="1"/>
  <c r="W392" i="11" s="1"/>
  <c r="X392" i="11" a="1"/>
  <c r="X392" i="11" s="1"/>
  <c r="Z392" i="11" a="1"/>
  <c r="Z392" i="11" s="1"/>
  <c r="AB410" i="11"/>
  <c r="AA410" i="11"/>
  <c r="Y409" i="11" a="1"/>
  <c r="Y409" i="11" s="1"/>
  <c r="W409" i="11" a="1"/>
  <c r="W409" i="11" s="1"/>
  <c r="U408" i="11" a="1"/>
  <c r="U408" i="11" s="1"/>
  <c r="V408" i="11" a="1"/>
  <c r="V408" i="11" s="1"/>
  <c r="Z409" i="11" a="1"/>
  <c r="Z409" i="11" s="1"/>
  <c r="X409" i="11" a="1"/>
  <c r="X409" i="11" s="1"/>
  <c r="Z221" i="11" a="1"/>
  <c r="Z221" i="11" s="1"/>
  <c r="X221" i="11" a="1"/>
  <c r="X221" i="11" s="1"/>
  <c r="V220" i="11" a="1"/>
  <c r="V220" i="11" s="1"/>
  <c r="H218" i="11"/>
  <c r="O219" i="11" l="1"/>
  <c r="M219" i="11"/>
  <c r="N219" i="11"/>
  <c r="O390" i="11"/>
  <c r="N390" i="11"/>
  <c r="M390" i="11"/>
  <c r="P394" i="11"/>
  <c r="J478" i="11" s="1"/>
  <c r="Q394" i="11"/>
  <c r="K478" i="11" s="1"/>
  <c r="P411" i="11"/>
  <c r="J495" i="11" s="1"/>
  <c r="Q411" i="11"/>
  <c r="K495" i="11" s="1"/>
  <c r="O475" i="11"/>
  <c r="R391" i="11"/>
  <c r="M475" i="11"/>
  <c r="N475" i="11"/>
  <c r="N304" i="11"/>
  <c r="Q220" i="11"/>
  <c r="K304" i="11" s="1"/>
  <c r="M304" i="11"/>
  <c r="O304" i="11"/>
  <c r="R220" i="11"/>
  <c r="U219" i="11" a="1"/>
  <c r="U219" i="11" s="1"/>
  <c r="W219" i="11" s="1" a="1"/>
  <c r="W219" i="11" s="1"/>
  <c r="Y220" i="11" a="1"/>
  <c r="Y220" i="11" s="1"/>
  <c r="L304" i="11"/>
  <c r="L475" i="11"/>
  <c r="J218" i="11"/>
  <c r="J389" i="11"/>
  <c r="L390" i="11"/>
  <c r="L219" i="11"/>
  <c r="AC410" i="11"/>
  <c r="K410" i="11" s="1"/>
  <c r="AC393" i="11"/>
  <c r="K393" i="11" s="1"/>
  <c r="AB392" i="11"/>
  <c r="AA392" i="11"/>
  <c r="X391" i="11" a="1"/>
  <c r="X391" i="11" s="1"/>
  <c r="Z391" i="11" a="1"/>
  <c r="Z391" i="11" s="1"/>
  <c r="W391" i="11" a="1"/>
  <c r="W391" i="11" s="1"/>
  <c r="Y391" i="11" a="1"/>
  <c r="Y391" i="11" s="1"/>
  <c r="H301" i="11"/>
  <c r="I301" i="11" s="1"/>
  <c r="I472" i="11" s="1"/>
  <c r="H472" i="11"/>
  <c r="H388" i="11"/>
  <c r="V390" i="11" a="1"/>
  <c r="V390" i="11" s="1"/>
  <c r="U390" i="11" a="1"/>
  <c r="U390" i="11" s="1"/>
  <c r="V407" i="11" a="1"/>
  <c r="V407" i="11" s="1"/>
  <c r="U407" i="11" a="1"/>
  <c r="U407" i="11" s="1"/>
  <c r="AB409" i="11"/>
  <c r="Z408" i="11" a="1"/>
  <c r="Z408" i="11" s="1"/>
  <c r="X408" i="11" a="1"/>
  <c r="X408" i="11" s="1"/>
  <c r="Y408" i="11" a="1"/>
  <c r="Y408" i="11" s="1"/>
  <c r="W408" i="11" a="1"/>
  <c r="W408" i="11" s="1"/>
  <c r="AA409" i="11"/>
  <c r="X220" i="11" a="1"/>
  <c r="X220" i="11" s="1"/>
  <c r="Z220" i="11" a="1"/>
  <c r="Z220" i="11" s="1"/>
  <c r="H217" i="11"/>
  <c r="V219" i="11" a="1"/>
  <c r="V219" i="11" s="1"/>
  <c r="O218" i="11" l="1"/>
  <c r="N218" i="11"/>
  <c r="M218" i="11"/>
  <c r="O389" i="11"/>
  <c r="N389" i="11"/>
  <c r="M389" i="11"/>
  <c r="Q219" i="11"/>
  <c r="K303" i="11" s="1"/>
  <c r="P410" i="11"/>
  <c r="J494" i="11" s="1"/>
  <c r="Q410" i="11"/>
  <c r="K494" i="11" s="1"/>
  <c r="Q393" i="11"/>
  <c r="K477" i="11" s="1"/>
  <c r="P393" i="11"/>
  <c r="J477" i="11" s="1"/>
  <c r="N474" i="11"/>
  <c r="O474" i="11"/>
  <c r="R390" i="11"/>
  <c r="M474" i="11"/>
  <c r="M303" i="11"/>
  <c r="O303" i="11"/>
  <c r="R219" i="11"/>
  <c r="Y219" i="11" a="1"/>
  <c r="Y219" i="11" s="1"/>
  <c r="L474" i="11"/>
  <c r="U218" i="11" a="1"/>
  <c r="U218" i="11" s="1"/>
  <c r="Y218" i="11" s="1" a="1"/>
  <c r="Y218" i="11" s="1"/>
  <c r="L303" i="11"/>
  <c r="N303" i="11"/>
  <c r="J388" i="11"/>
  <c r="J217" i="11"/>
  <c r="L389" i="11"/>
  <c r="L218" i="11"/>
  <c r="AC392" i="11"/>
  <c r="K392" i="11" s="1"/>
  <c r="AB391" i="11"/>
  <c r="U389" i="11" a="1"/>
  <c r="U389" i="11" s="1"/>
  <c r="V389" i="11" a="1"/>
  <c r="V389" i="11" s="1"/>
  <c r="AA391" i="11"/>
  <c r="H300" i="11"/>
  <c r="I300" i="11" s="1"/>
  <c r="I471" i="11" s="1"/>
  <c r="H471" i="11"/>
  <c r="H387" i="11"/>
  <c r="W390" i="11" a="1"/>
  <c r="W390" i="11" s="1"/>
  <c r="Y390" i="11" a="1"/>
  <c r="Y390" i="11" s="1"/>
  <c r="X390" i="11" a="1"/>
  <c r="X390" i="11" s="1"/>
  <c r="Z390" i="11" a="1"/>
  <c r="Z390" i="11" s="1"/>
  <c r="AB408" i="11"/>
  <c r="AC409" i="11"/>
  <c r="K409" i="11" s="1"/>
  <c r="V406" i="11" a="1"/>
  <c r="V406" i="11" s="1"/>
  <c r="U406" i="11" a="1"/>
  <c r="U406" i="11" s="1"/>
  <c r="AA408" i="11"/>
  <c r="W407" i="11" a="1"/>
  <c r="W407" i="11" s="1"/>
  <c r="Y407" i="11" a="1"/>
  <c r="Y407" i="11" s="1"/>
  <c r="Z407" i="11" a="1"/>
  <c r="Z407" i="11" s="1"/>
  <c r="X407" i="11" a="1"/>
  <c r="X407" i="11" s="1"/>
  <c r="X219" i="11" a="1"/>
  <c r="X219" i="11" s="1"/>
  <c r="Z219" i="11" a="1"/>
  <c r="Z219" i="11" s="1"/>
  <c r="H216" i="11"/>
  <c r="V218" i="11" a="1"/>
  <c r="V218" i="11" s="1"/>
  <c r="O217" i="11" l="1"/>
  <c r="M217" i="11"/>
  <c r="N217" i="11"/>
  <c r="O388" i="11"/>
  <c r="N388" i="11"/>
  <c r="M388" i="11"/>
  <c r="P409" i="11"/>
  <c r="J493" i="11" s="1"/>
  <c r="Q409" i="11"/>
  <c r="K493" i="11" s="1"/>
  <c r="Q392" i="11"/>
  <c r="K476" i="11" s="1"/>
  <c r="P392" i="11"/>
  <c r="J476" i="11" s="1"/>
  <c r="O473" i="11"/>
  <c r="R389" i="11"/>
  <c r="O302" i="11"/>
  <c r="R218" i="11"/>
  <c r="N302" i="11"/>
  <c r="Q218" i="11"/>
  <c r="K302" i="11" s="1"/>
  <c r="M302" i="11"/>
  <c r="M473" i="11"/>
  <c r="N473" i="11"/>
  <c r="R388" i="11"/>
  <c r="W218" i="11" a="1"/>
  <c r="W218" i="11" s="1"/>
  <c r="L302" i="11"/>
  <c r="L473" i="11"/>
  <c r="J216" i="11"/>
  <c r="J387" i="11"/>
  <c r="L388" i="11"/>
  <c r="L217" i="11"/>
  <c r="U217" i="11" a="1"/>
  <c r="U217" i="11" s="1"/>
  <c r="Y217" i="11" s="1" a="1"/>
  <c r="Y217" i="11" s="1"/>
  <c r="AC391" i="11"/>
  <c r="K391" i="11" s="1"/>
  <c r="AC408" i="11"/>
  <c r="K408" i="11" s="1"/>
  <c r="AA390" i="11"/>
  <c r="AA407" i="11"/>
  <c r="AB407" i="11"/>
  <c r="H299" i="11"/>
  <c r="I299" i="11" s="1"/>
  <c r="I470" i="11" s="1"/>
  <c r="H470" i="11"/>
  <c r="H386" i="11"/>
  <c r="U388" i="11" a="1"/>
  <c r="U388" i="11" s="1"/>
  <c r="V388" i="11" a="1"/>
  <c r="V388" i="11" s="1"/>
  <c r="AB390" i="11"/>
  <c r="Z389" i="11" a="1"/>
  <c r="Z389" i="11" s="1"/>
  <c r="X389" i="11" a="1"/>
  <c r="X389" i="11" s="1"/>
  <c r="Y389" i="11" a="1"/>
  <c r="Y389" i="11" s="1"/>
  <c r="W389" i="11" a="1"/>
  <c r="W389" i="11" s="1"/>
  <c r="Y406" i="11" a="1"/>
  <c r="Y406" i="11" s="1"/>
  <c r="W406" i="11" a="1"/>
  <c r="W406" i="11" s="1"/>
  <c r="X406" i="11" a="1"/>
  <c r="X406" i="11" s="1"/>
  <c r="Z406" i="11" a="1"/>
  <c r="Z406" i="11" s="1"/>
  <c r="V405" i="11" a="1"/>
  <c r="V405" i="11" s="1"/>
  <c r="U405" i="11" a="1"/>
  <c r="U405" i="11" s="1"/>
  <c r="Z218" i="11" a="1"/>
  <c r="Z218" i="11" s="1"/>
  <c r="X218" i="11" a="1"/>
  <c r="X218" i="11" s="1"/>
  <c r="H215" i="11"/>
  <c r="V217" i="11" a="1"/>
  <c r="V217" i="11" s="1"/>
  <c r="O216" i="11" l="1"/>
  <c r="M216" i="11"/>
  <c r="N216" i="11"/>
  <c r="O387" i="11"/>
  <c r="M387" i="11"/>
  <c r="N387" i="11"/>
  <c r="Q408" i="11"/>
  <c r="K492" i="11" s="1"/>
  <c r="P408" i="11"/>
  <c r="J492" i="11" s="1"/>
  <c r="P391" i="11"/>
  <c r="J475" i="11" s="1"/>
  <c r="Q391" i="11"/>
  <c r="K475" i="11" s="1"/>
  <c r="M472" i="11"/>
  <c r="N472" i="11"/>
  <c r="M301" i="11"/>
  <c r="N301" i="11"/>
  <c r="Q217" i="11"/>
  <c r="K301" i="11" s="1"/>
  <c r="O301" i="11"/>
  <c r="R217" i="11"/>
  <c r="L301" i="11" s="1"/>
  <c r="R387" i="11"/>
  <c r="L472" i="11"/>
  <c r="O472" i="11"/>
  <c r="U216" i="11" a="1"/>
  <c r="U216" i="11" s="1"/>
  <c r="Y216" i="11" s="1" a="1"/>
  <c r="Y216" i="11" s="1"/>
  <c r="J215" i="11"/>
  <c r="J386" i="11"/>
  <c r="W217" i="11" a="1"/>
  <c r="W217" i="11" s="1"/>
  <c r="L387" i="11"/>
  <c r="L216" i="11"/>
  <c r="AC407" i="11"/>
  <c r="K407" i="11" s="1"/>
  <c r="AB406" i="11"/>
  <c r="AC390" i="11"/>
  <c r="K390" i="11" s="1"/>
  <c r="AA406" i="11"/>
  <c r="AB389" i="11"/>
  <c r="Y388" i="11" a="1"/>
  <c r="Y388" i="11" s="1"/>
  <c r="W388" i="11" a="1"/>
  <c r="W388" i="11" s="1"/>
  <c r="AA389" i="11"/>
  <c r="H298" i="11"/>
  <c r="I298" i="11" s="1"/>
  <c r="I469" i="11" s="1"/>
  <c r="H385" i="11"/>
  <c r="H469" i="11"/>
  <c r="U387" i="11" a="1"/>
  <c r="U387" i="11" s="1"/>
  <c r="V387" i="11" a="1"/>
  <c r="V387" i="11" s="1"/>
  <c r="X388" i="11" a="1"/>
  <c r="X388" i="11" s="1"/>
  <c r="Z388" i="11" a="1"/>
  <c r="Z388" i="11" s="1"/>
  <c r="Z405" i="11" a="1"/>
  <c r="Z405" i="11" s="1"/>
  <c r="X405" i="11" a="1"/>
  <c r="X405" i="11" s="1"/>
  <c r="V404" i="11" a="1"/>
  <c r="V404" i="11" s="1"/>
  <c r="U404" i="11" a="1"/>
  <c r="U404" i="11" s="1"/>
  <c r="Y405" i="11" a="1"/>
  <c r="Y405" i="11" s="1"/>
  <c r="W405" i="11" a="1"/>
  <c r="W405" i="11" s="1"/>
  <c r="X217" i="11" a="1"/>
  <c r="X217" i="11" s="1"/>
  <c r="Z217" i="11" a="1"/>
  <c r="Z217" i="11" s="1"/>
  <c r="H214" i="11"/>
  <c r="V216" i="11" a="1"/>
  <c r="V216" i="11" s="1"/>
  <c r="O386" i="11" l="1"/>
  <c r="N386" i="11"/>
  <c r="M386" i="11"/>
  <c r="O215" i="11"/>
  <c r="R215" i="11" s="1"/>
  <c r="N215" i="11"/>
  <c r="M215" i="11"/>
  <c r="Q216" i="11"/>
  <c r="K300" i="11" s="1"/>
  <c r="Q390" i="11"/>
  <c r="K474" i="11" s="1"/>
  <c r="P390" i="11"/>
  <c r="J474" i="11" s="1"/>
  <c r="P407" i="11"/>
  <c r="J491" i="11" s="1"/>
  <c r="Q407" i="11"/>
  <c r="K491" i="11" s="1"/>
  <c r="M471" i="11"/>
  <c r="N471" i="11"/>
  <c r="M300" i="11"/>
  <c r="O300" i="11"/>
  <c r="R216" i="11"/>
  <c r="L300" i="11" s="1"/>
  <c r="L471" i="11"/>
  <c r="N300" i="11"/>
  <c r="O471" i="11"/>
  <c r="W216" i="11" a="1"/>
  <c r="W216" i="11" s="1"/>
  <c r="U215" i="11" a="1"/>
  <c r="U215" i="11" s="1"/>
  <c r="Y215" i="11" s="1" a="1"/>
  <c r="Y215" i="11" s="1"/>
  <c r="J214" i="11"/>
  <c r="J385" i="11"/>
  <c r="L386" i="11"/>
  <c r="L215" i="11"/>
  <c r="AC406" i="11"/>
  <c r="K406" i="11" s="1"/>
  <c r="AC389" i="11"/>
  <c r="K389" i="11" s="1"/>
  <c r="AA388" i="11"/>
  <c r="W387" i="11" a="1"/>
  <c r="W387" i="11" s="1"/>
  <c r="Y387" i="11" a="1"/>
  <c r="Y387" i="11" s="1"/>
  <c r="H297" i="11"/>
  <c r="I297" i="11" s="1"/>
  <c r="I468" i="11" s="1"/>
  <c r="H384" i="11"/>
  <c r="H468" i="11"/>
  <c r="AB388" i="11"/>
  <c r="U386" i="11" a="1"/>
  <c r="U386" i="11" s="1"/>
  <c r="V386" i="11" a="1"/>
  <c r="V386" i="11" s="1"/>
  <c r="X387" i="11" a="1"/>
  <c r="X387" i="11" s="1"/>
  <c r="Z387" i="11" a="1"/>
  <c r="Z387" i="11" s="1"/>
  <c r="Y404" i="11" a="1"/>
  <c r="Y404" i="11" s="1"/>
  <c r="W404" i="11" a="1"/>
  <c r="W404" i="11" s="1"/>
  <c r="Z404" i="11" a="1"/>
  <c r="Z404" i="11" s="1"/>
  <c r="X404" i="11" a="1"/>
  <c r="X404" i="11" s="1"/>
  <c r="AA405" i="11"/>
  <c r="V403" i="11" a="1"/>
  <c r="V403" i="11" s="1"/>
  <c r="U403" i="11" a="1"/>
  <c r="U403" i="11" s="1"/>
  <c r="AB405" i="11"/>
  <c r="X216" i="11" a="1"/>
  <c r="X216" i="11" s="1"/>
  <c r="Z216" i="11" a="1"/>
  <c r="Z216" i="11" s="1"/>
  <c r="V215" i="11" a="1"/>
  <c r="V215" i="11" s="1"/>
  <c r="H213" i="11"/>
  <c r="O385" i="11" l="1"/>
  <c r="N385" i="11"/>
  <c r="M385" i="11"/>
  <c r="O214" i="11"/>
  <c r="R214" i="11" s="1"/>
  <c r="N214" i="11"/>
  <c r="M214" i="11"/>
  <c r="P389" i="11"/>
  <c r="J473" i="11" s="1"/>
  <c r="Q389" i="11"/>
  <c r="K473" i="11" s="1"/>
  <c r="P406" i="11"/>
  <c r="J490" i="11" s="1"/>
  <c r="Q406" i="11"/>
  <c r="K490" i="11" s="1"/>
  <c r="N299" i="11"/>
  <c r="Q215" i="11"/>
  <c r="K299" i="11" s="1"/>
  <c r="O470" i="11"/>
  <c r="R386" i="11"/>
  <c r="M470" i="11"/>
  <c r="M299" i="11"/>
  <c r="R385" i="11"/>
  <c r="W215" i="11" a="1"/>
  <c r="W215" i="11" s="1"/>
  <c r="L299" i="11"/>
  <c r="O299" i="11"/>
  <c r="U214" i="11" a="1"/>
  <c r="U214" i="11" s="1"/>
  <c r="W214" i="11" s="1" a="1"/>
  <c r="W214" i="11" s="1"/>
  <c r="N470" i="11"/>
  <c r="L470" i="11"/>
  <c r="J213" i="11"/>
  <c r="J384" i="11"/>
  <c r="L385" i="11"/>
  <c r="L214" i="11"/>
  <c r="AC388" i="11"/>
  <c r="K388" i="11" s="1"/>
  <c r="AC405" i="11"/>
  <c r="K405" i="11" s="1"/>
  <c r="AA387" i="11"/>
  <c r="AB387" i="11"/>
  <c r="AA404" i="11"/>
  <c r="H296" i="11"/>
  <c r="I296" i="11" s="1"/>
  <c r="I467" i="11" s="1"/>
  <c r="H467" i="11"/>
  <c r="H383" i="11"/>
  <c r="X386" i="11" a="1"/>
  <c r="X386" i="11" s="1"/>
  <c r="Z386" i="11" a="1"/>
  <c r="Z386" i="11" s="1"/>
  <c r="W386" i="11" a="1"/>
  <c r="W386" i="11" s="1"/>
  <c r="Y386" i="11" a="1"/>
  <c r="Y386" i="11" s="1"/>
  <c r="V385" i="11" a="1"/>
  <c r="V385" i="11" s="1"/>
  <c r="U385" i="11" a="1"/>
  <c r="U385" i="11" s="1"/>
  <c r="AB404" i="11"/>
  <c r="W403" i="11" a="1"/>
  <c r="W403" i="11" s="1"/>
  <c r="Y403" i="11" a="1"/>
  <c r="Y403" i="11" s="1"/>
  <c r="Z403" i="11" a="1"/>
  <c r="Z403" i="11" s="1"/>
  <c r="X403" i="11" a="1"/>
  <c r="X403" i="11" s="1"/>
  <c r="V402" i="11" a="1"/>
  <c r="V402" i="11" s="1"/>
  <c r="U402" i="11" a="1"/>
  <c r="U402" i="11" s="1"/>
  <c r="Z215" i="11" a="1"/>
  <c r="Z215" i="11" s="1"/>
  <c r="X215" i="11" a="1"/>
  <c r="X215" i="11" s="1"/>
  <c r="H212" i="11"/>
  <c r="V214" i="11" a="1"/>
  <c r="V214" i="11" s="1"/>
  <c r="O384" i="11" l="1"/>
  <c r="M384" i="11"/>
  <c r="N384" i="11"/>
  <c r="O213" i="11"/>
  <c r="M213" i="11"/>
  <c r="N213" i="11"/>
  <c r="Q405" i="11"/>
  <c r="K489" i="11" s="1"/>
  <c r="P405" i="11"/>
  <c r="J489" i="11" s="1"/>
  <c r="P388" i="11"/>
  <c r="J472" i="11" s="1"/>
  <c r="Q388" i="11"/>
  <c r="K472" i="11" s="1"/>
  <c r="N298" i="11"/>
  <c r="Q214" i="11"/>
  <c r="K298" i="11" s="1"/>
  <c r="M298" i="11"/>
  <c r="M469" i="11"/>
  <c r="N469" i="11"/>
  <c r="R213" i="11"/>
  <c r="Y214" i="11" a="1"/>
  <c r="Y214" i="11" s="1"/>
  <c r="L469" i="11"/>
  <c r="L298" i="11"/>
  <c r="O298" i="11"/>
  <c r="O469" i="11"/>
  <c r="U213" i="11" a="1"/>
  <c r="U213" i="11" s="1"/>
  <c r="W213" i="11" s="1" a="1"/>
  <c r="W213" i="11" s="1"/>
  <c r="J212" i="11"/>
  <c r="J383" i="11"/>
  <c r="L384" i="11"/>
  <c r="AC404" i="11"/>
  <c r="K404" i="11" s="1"/>
  <c r="L213" i="11"/>
  <c r="AC387" i="11"/>
  <c r="K387" i="11" s="1"/>
  <c r="H295" i="11"/>
  <c r="I295" i="11" s="1"/>
  <c r="I466" i="11" s="1"/>
  <c r="H466" i="11"/>
  <c r="H382" i="11"/>
  <c r="V384" i="11" a="1"/>
  <c r="V384" i="11" s="1"/>
  <c r="U384" i="11" a="1"/>
  <c r="U384" i="11" s="1"/>
  <c r="W385" i="11" a="1"/>
  <c r="W385" i="11" s="1"/>
  <c r="Y385" i="11" a="1"/>
  <c r="Y385" i="11" s="1"/>
  <c r="Z385" i="11" a="1"/>
  <c r="Z385" i="11" s="1"/>
  <c r="X385" i="11" a="1"/>
  <c r="X385" i="11" s="1"/>
  <c r="AA386" i="11"/>
  <c r="AB386" i="11"/>
  <c r="AB403" i="11"/>
  <c r="AA403" i="11"/>
  <c r="V401" i="11" a="1"/>
  <c r="V401" i="11" s="1"/>
  <c r="U401" i="11" a="1"/>
  <c r="U401" i="11" s="1"/>
  <c r="Y402" i="11" a="1"/>
  <c r="Y402" i="11" s="1"/>
  <c r="W402" i="11" a="1"/>
  <c r="W402" i="11" s="1"/>
  <c r="Z402" i="11" a="1"/>
  <c r="Z402" i="11" s="1"/>
  <c r="X402" i="11" a="1"/>
  <c r="X402" i="11" s="1"/>
  <c r="Z214" i="11" a="1"/>
  <c r="Z214" i="11" s="1"/>
  <c r="X214" i="11" a="1"/>
  <c r="X214" i="11" s="1"/>
  <c r="H111" i="11"/>
  <c r="H211" i="11"/>
  <c r="V213" i="11" a="1"/>
  <c r="V213" i="11" s="1"/>
  <c r="O383" i="11" l="1"/>
  <c r="M383" i="11"/>
  <c r="N383" i="11"/>
  <c r="O212" i="11"/>
  <c r="M212" i="11"/>
  <c r="N212" i="11"/>
  <c r="Q213" i="11"/>
  <c r="K297" i="11" s="1"/>
  <c r="P387" i="11"/>
  <c r="J471" i="11" s="1"/>
  <c r="Q387" i="11"/>
  <c r="K471" i="11" s="1"/>
  <c r="P404" i="11"/>
  <c r="J488" i="11" s="1"/>
  <c r="Q404" i="11"/>
  <c r="K488" i="11" s="1"/>
  <c r="M297" i="11"/>
  <c r="N468" i="11"/>
  <c r="M468" i="11"/>
  <c r="O468" i="11"/>
  <c r="R384" i="11"/>
  <c r="L468" i="11" s="1"/>
  <c r="R383" i="11"/>
  <c r="Y213" i="11" a="1"/>
  <c r="Y213" i="11" s="1"/>
  <c r="L297" i="11"/>
  <c r="N297" i="11"/>
  <c r="O297" i="11"/>
  <c r="U212" i="11" a="1"/>
  <c r="U212" i="11" s="1"/>
  <c r="Y212" i="11" s="1" a="1"/>
  <c r="Y212" i="11" s="1"/>
  <c r="J382" i="11"/>
  <c r="J211" i="11"/>
  <c r="L383" i="11"/>
  <c r="L212" i="11"/>
  <c r="AC403" i="11"/>
  <c r="K403" i="11" s="1"/>
  <c r="AA385" i="11"/>
  <c r="AB385" i="11"/>
  <c r="AB402" i="11"/>
  <c r="AC386" i="11"/>
  <c r="K386" i="11" s="1"/>
  <c r="V383" i="11" a="1"/>
  <c r="V383" i="11" s="1"/>
  <c r="U383" i="11" a="1"/>
  <c r="U383" i="11" s="1"/>
  <c r="Y384" i="11" a="1"/>
  <c r="Y384" i="11" s="1"/>
  <c r="W384" i="11" a="1"/>
  <c r="W384" i="11" s="1"/>
  <c r="X384" i="11" a="1"/>
  <c r="X384" i="11" s="1"/>
  <c r="Z384" i="11" a="1"/>
  <c r="Z384" i="11" s="1"/>
  <c r="V400" i="11" a="1"/>
  <c r="V400" i="11" s="1"/>
  <c r="U400" i="11" a="1"/>
  <c r="U400" i="11" s="1"/>
  <c r="W401" i="11" a="1"/>
  <c r="W401" i="11" s="1"/>
  <c r="Y401" i="11" a="1"/>
  <c r="Y401" i="11" s="1"/>
  <c r="X401" i="11" a="1"/>
  <c r="X401" i="11" s="1"/>
  <c r="Z401" i="11" a="1"/>
  <c r="Z401" i="11" s="1"/>
  <c r="AA402" i="11"/>
  <c r="X213" i="11" a="1"/>
  <c r="X213" i="11" s="1"/>
  <c r="Z213" i="11" a="1"/>
  <c r="Z213" i="11" s="1"/>
  <c r="V212" i="11" a="1"/>
  <c r="V212" i="11" s="1"/>
  <c r="O382" i="11" l="1"/>
  <c r="M382" i="11"/>
  <c r="N382" i="11"/>
  <c r="O211" i="11"/>
  <c r="N211" i="11"/>
  <c r="M211" i="11"/>
  <c r="Q386" i="11"/>
  <c r="K470" i="11" s="1"/>
  <c r="P386" i="11"/>
  <c r="Q403" i="11"/>
  <c r="K487" i="11" s="1"/>
  <c r="P403" i="11"/>
  <c r="J487" i="11" s="1"/>
  <c r="O296" i="11"/>
  <c r="R212" i="11"/>
  <c r="M467" i="11"/>
  <c r="N467" i="11"/>
  <c r="M296" i="11"/>
  <c r="N296" i="11"/>
  <c r="Q212" i="11"/>
  <c r="K296" i="11" s="1"/>
  <c r="L467" i="11"/>
  <c r="R382" i="11"/>
  <c r="W212" i="11" a="1"/>
  <c r="W212" i="11" s="1"/>
  <c r="O467" i="11"/>
  <c r="L296" i="11"/>
  <c r="J470" i="11"/>
  <c r="L382" i="11"/>
  <c r="U211" i="11" a="1"/>
  <c r="U211" i="11" s="1"/>
  <c r="W211" i="11" s="1" a="1"/>
  <c r="W211" i="11" s="1"/>
  <c r="L211" i="11"/>
  <c r="AC402" i="11"/>
  <c r="K402" i="11" s="1"/>
  <c r="AB384" i="11"/>
  <c r="AC385" i="11"/>
  <c r="K385" i="11" s="1"/>
  <c r="U382" i="11" a="1"/>
  <c r="U382" i="11" s="1"/>
  <c r="V382" i="11" a="1"/>
  <c r="V382" i="11" s="1"/>
  <c r="V211" i="11" a="1"/>
  <c r="V211" i="11" s="1"/>
  <c r="X211" i="11" s="1" a="1"/>
  <c r="X211" i="11" s="1"/>
  <c r="W383" i="11" a="1"/>
  <c r="W383" i="11" s="1"/>
  <c r="Y383" i="11" a="1"/>
  <c r="Y383" i="11" s="1"/>
  <c r="AA384" i="11"/>
  <c r="X383" i="11" a="1"/>
  <c r="X383" i="11" s="1"/>
  <c r="Z383" i="11" a="1"/>
  <c r="Z383" i="11" s="1"/>
  <c r="AA401" i="11"/>
  <c r="AB401" i="11"/>
  <c r="Y400" i="11" a="1"/>
  <c r="Y400" i="11" s="1"/>
  <c r="W400" i="11" a="1"/>
  <c r="W400" i="11" s="1"/>
  <c r="Z400" i="11" a="1"/>
  <c r="Z400" i="11" s="1"/>
  <c r="X400" i="11" a="1"/>
  <c r="X400" i="11" s="1"/>
  <c r="V399" i="11" a="1"/>
  <c r="V399" i="11" s="1"/>
  <c r="U399" i="11" a="1"/>
  <c r="U399" i="11" s="1"/>
  <c r="X212" i="11" a="1"/>
  <c r="X212" i="11" s="1"/>
  <c r="Z212" i="11" a="1"/>
  <c r="Z212" i="11" s="1"/>
  <c r="AB253" i="11"/>
  <c r="AB262" i="11"/>
  <c r="AB248" i="11"/>
  <c r="AB276" i="11"/>
  <c r="AB284" i="11"/>
  <c r="AB266" i="11"/>
  <c r="AB249" i="11"/>
  <c r="AB280" i="11"/>
  <c r="AB272" i="11"/>
  <c r="AB278" i="11"/>
  <c r="AB288" i="11"/>
  <c r="AB277" i="11"/>
  <c r="AB289" i="11"/>
  <c r="AB237" i="11"/>
  <c r="AB261" i="11"/>
  <c r="AB269" i="11"/>
  <c r="AB246" i="11"/>
  <c r="AB255" i="11"/>
  <c r="AB263" i="11"/>
  <c r="AB258" i="11"/>
  <c r="AB252" i="11"/>
  <c r="AB247" i="11"/>
  <c r="AB264" i="11"/>
  <c r="AB250" i="11"/>
  <c r="AB242" i="11"/>
  <c r="AB268" i="11"/>
  <c r="AA281" i="11"/>
  <c r="AA265" i="11"/>
  <c r="AA267" i="11"/>
  <c r="AA261" i="11"/>
  <c r="AA282" i="11"/>
  <c r="AA276" i="11"/>
  <c r="AA274" i="11"/>
  <c r="AA237" i="11"/>
  <c r="AA278" i="11"/>
  <c r="AA284" i="11"/>
  <c r="AA254" i="11"/>
  <c r="AA269" i="11"/>
  <c r="AA246" i="11"/>
  <c r="AA259" i="11"/>
  <c r="AA255" i="11"/>
  <c r="AA263" i="11"/>
  <c r="AA250" i="11"/>
  <c r="AA242" i="11"/>
  <c r="AA247" i="11"/>
  <c r="AA264" i="11"/>
  <c r="AA244" i="11"/>
  <c r="AA268" i="11"/>
  <c r="Q103" i="11"/>
  <c r="O103" i="11"/>
  <c r="AA231" i="11"/>
  <c r="AB213" i="11"/>
  <c r="P385" i="11" l="1"/>
  <c r="J469" i="11" s="1"/>
  <c r="Q385" i="11"/>
  <c r="K469" i="11" s="1"/>
  <c r="P402" i="11"/>
  <c r="J486" i="11" s="1"/>
  <c r="Q402" i="11"/>
  <c r="K486" i="11" s="1"/>
  <c r="N295" i="11"/>
  <c r="N374" i="11" s="1"/>
  <c r="Q211" i="11"/>
  <c r="K295" i="11" s="1"/>
  <c r="K374" i="11" s="1"/>
  <c r="N466" i="11"/>
  <c r="N545" i="11" s="1"/>
  <c r="M466" i="11"/>
  <c r="M545" i="11" s="1"/>
  <c r="O295" i="11"/>
  <c r="O374" i="11" s="1"/>
  <c r="R211" i="11"/>
  <c r="L295" i="11" s="1"/>
  <c r="L374" i="11" s="1"/>
  <c r="L376" i="11" s="1"/>
  <c r="R322" i="11" s="1"/>
  <c r="M295" i="11"/>
  <c r="M374" i="11" s="1"/>
  <c r="L466" i="11"/>
  <c r="L545" i="11" s="1"/>
  <c r="O466" i="11"/>
  <c r="O545" i="11" s="1"/>
  <c r="Y211" i="11" a="1"/>
  <c r="Y211" i="11" s="1"/>
  <c r="AA211" i="11" s="1"/>
  <c r="AC384" i="11"/>
  <c r="K384" i="11" s="1"/>
  <c r="AC401" i="11"/>
  <c r="K401" i="11" s="1"/>
  <c r="AA383" i="11"/>
  <c r="AB212" i="11"/>
  <c r="X382" i="11" a="1"/>
  <c r="X382" i="11" s="1"/>
  <c r="Z382" i="11" a="1"/>
  <c r="Z382" i="11" s="1"/>
  <c r="W382" i="11" a="1"/>
  <c r="W382" i="11" s="1"/>
  <c r="Y382" i="11" a="1"/>
  <c r="Y382" i="11" s="1"/>
  <c r="Z211" i="11" a="1"/>
  <c r="Z211" i="11" s="1"/>
  <c r="AB211" i="11" s="1"/>
  <c r="AB383" i="11"/>
  <c r="X399" i="11" a="1"/>
  <c r="X399" i="11" s="1"/>
  <c r="Z399" i="11" a="1"/>
  <c r="Z399" i="11" s="1"/>
  <c r="AB400" i="11"/>
  <c r="AA400" i="11"/>
  <c r="W399" i="11" a="1"/>
  <c r="W399" i="11" s="1"/>
  <c r="Y399" i="11" a="1"/>
  <c r="Y399" i="11" s="1"/>
  <c r="U398" i="11" a="1"/>
  <c r="U398" i="11" s="1"/>
  <c r="V398" i="11" a="1"/>
  <c r="V398" i="11" s="1"/>
  <c r="AC250" i="11"/>
  <c r="K250" i="11" s="1"/>
  <c r="J334" i="11" s="1"/>
  <c r="AC269" i="11"/>
  <c r="K269" i="11" s="1"/>
  <c r="AC278" i="11"/>
  <c r="K278" i="11" s="1"/>
  <c r="AC264" i="11"/>
  <c r="K264" i="11" s="1"/>
  <c r="AC261" i="11"/>
  <c r="K261" i="11" s="1"/>
  <c r="AC247" i="11"/>
  <c r="K247" i="11" s="1"/>
  <c r="AC237" i="11"/>
  <c r="K237" i="11" s="1"/>
  <c r="P237" i="11" s="1"/>
  <c r="AC284" i="11"/>
  <c r="K284" i="11" s="1"/>
  <c r="AC276" i="11"/>
  <c r="K276" i="11" s="1"/>
  <c r="AC263" i="11"/>
  <c r="K263" i="11" s="1"/>
  <c r="AC268" i="11"/>
  <c r="K268" i="11" s="1"/>
  <c r="AC255" i="11"/>
  <c r="K255" i="11" s="1"/>
  <c r="AC242" i="11"/>
  <c r="K242" i="11" s="1"/>
  <c r="AC246" i="11"/>
  <c r="K246" i="11" s="1"/>
  <c r="AA249" i="11"/>
  <c r="AC249" i="11" s="1"/>
  <c r="K249" i="11" s="1"/>
  <c r="AB270" i="11"/>
  <c r="AB240" i="11"/>
  <c r="AB281" i="11"/>
  <c r="AC281" i="11" s="1"/>
  <c r="K281" i="11" s="1"/>
  <c r="AA256" i="11"/>
  <c r="AA270" i="11"/>
  <c r="AB273" i="11"/>
  <c r="AB254" i="11"/>
  <c r="AC254" i="11" s="1"/>
  <c r="AA277" i="11"/>
  <c r="AC277" i="11" s="1"/>
  <c r="K277" i="11" s="1"/>
  <c r="AA252" i="11"/>
  <c r="AC252" i="11" s="1"/>
  <c r="K252" i="11" s="1"/>
  <c r="J336" i="11" s="1"/>
  <c r="AA289" i="11"/>
  <c r="AC289" i="11" s="1"/>
  <c r="AA219" i="11"/>
  <c r="AA239" i="11"/>
  <c r="AA285" i="11"/>
  <c r="AA286" i="11"/>
  <c r="AB244" i="11"/>
  <c r="AC244" i="11" s="1"/>
  <c r="K244" i="11" s="1"/>
  <c r="AB259" i="11"/>
  <c r="AC259" i="11" s="1"/>
  <c r="K259" i="11" s="1"/>
  <c r="AA266" i="11"/>
  <c r="AB257" i="11"/>
  <c r="AB232" i="11"/>
  <c r="AA253" i="11"/>
  <c r="AC253" i="11" s="1"/>
  <c r="K253" i="11" s="1"/>
  <c r="AB271" i="11"/>
  <c r="AA288" i="11"/>
  <c r="AC288" i="11" s="1"/>
  <c r="K288" i="11" s="1"/>
  <c r="AA262" i="11"/>
  <c r="AC262" i="11" s="1"/>
  <c r="K262" i="11" s="1"/>
  <c r="AA248" i="11"/>
  <c r="AC248" i="11" s="1"/>
  <c r="K248" i="11" s="1"/>
  <c r="AA280" i="11"/>
  <c r="AC280" i="11" s="1"/>
  <c r="K280" i="11" s="1"/>
  <c r="AB279" i="11"/>
  <c r="AB286" i="11"/>
  <c r="AB274" i="11"/>
  <c r="AB265" i="11"/>
  <c r="AA271" i="11"/>
  <c r="AA243" i="11"/>
  <c r="AB282" i="11"/>
  <c r="AB285" i="11"/>
  <c r="AB243" i="11"/>
  <c r="AB256" i="11"/>
  <c r="AA258" i="11"/>
  <c r="AC258" i="11" s="1"/>
  <c r="K258" i="11" s="1"/>
  <c r="AA260" i="11"/>
  <c r="AA251" i="11"/>
  <c r="AB260" i="11"/>
  <c r="AB251" i="11"/>
  <c r="AA257" i="11"/>
  <c r="AA245" i="11"/>
  <c r="AA240" i="11"/>
  <c r="AA287" i="11"/>
  <c r="AA241" i="11"/>
  <c r="AB239" i="11"/>
  <c r="AB241" i="11"/>
  <c r="AB267" i="11"/>
  <c r="AA272" i="11"/>
  <c r="AC272" i="11" s="1"/>
  <c r="K272" i="11" s="1"/>
  <c r="AB283" i="11"/>
  <c r="AA275" i="11"/>
  <c r="AB245" i="11"/>
  <c r="AB275" i="11"/>
  <c r="AB287" i="11"/>
  <c r="AA273" i="11"/>
  <c r="AA279" i="11"/>
  <c r="AA238" i="11"/>
  <c r="AA283" i="11"/>
  <c r="AB238" i="11"/>
  <c r="AB214" i="11"/>
  <c r="AA222" i="11"/>
  <c r="AA224" i="11"/>
  <c r="AA226" i="11"/>
  <c r="AA235" i="11"/>
  <c r="AA232" i="11"/>
  <c r="AB234" i="11"/>
  <c r="AA221" i="11"/>
  <c r="AB236" i="11"/>
  <c r="AB225" i="11"/>
  <c r="AB219" i="11"/>
  <c r="AB224" i="11"/>
  <c r="AB231" i="11"/>
  <c r="AB218" i="11"/>
  <c r="AB235" i="11"/>
  <c r="AA217" i="11"/>
  <c r="AA220" i="11"/>
  <c r="AB223" i="11"/>
  <c r="AA218" i="11"/>
  <c r="AB233" i="11"/>
  <c r="AB217" i="11"/>
  <c r="AB227" i="11"/>
  <c r="AB226" i="11"/>
  <c r="AB221" i="11"/>
  <c r="AA223" i="11"/>
  <c r="AA215" i="11"/>
  <c r="AA228" i="11"/>
  <c r="AB230" i="11"/>
  <c r="AA213" i="11"/>
  <c r="AC213" i="11" s="1"/>
  <c r="AA230" i="11"/>
  <c r="AB220" i="11"/>
  <c r="AB229" i="11"/>
  <c r="AB215" i="11"/>
  <c r="AB228" i="11"/>
  <c r="AA212" i="11"/>
  <c r="AA233" i="11"/>
  <c r="AA225" i="11"/>
  <c r="AA234" i="11"/>
  <c r="AA227" i="11"/>
  <c r="AA229" i="11"/>
  <c r="AA214" i="11"/>
  <c r="AB222" i="11"/>
  <c r="AB216" i="11"/>
  <c r="AA216" i="11"/>
  <c r="AA236" i="11"/>
  <c r="P248" i="11" l="1"/>
  <c r="J332" i="11" s="1"/>
  <c r="P249" i="11"/>
  <c r="J333" i="11" s="1"/>
  <c r="P247" i="11"/>
  <c r="J331" i="11" s="1"/>
  <c r="P246" i="11"/>
  <c r="J330" i="11" s="1"/>
  <c r="P242" i="11"/>
  <c r="J326" i="11" s="1"/>
  <c r="P401" i="11"/>
  <c r="Q401" i="11"/>
  <c r="K485" i="11" s="1"/>
  <c r="Q384" i="11"/>
  <c r="K468" i="11" s="1"/>
  <c r="P384" i="11"/>
  <c r="J468" i="11" s="1"/>
  <c r="P244" i="11"/>
  <c r="J328" i="11" s="1"/>
  <c r="K376" i="11"/>
  <c r="Q321" i="11" s="1"/>
  <c r="R296" i="11"/>
  <c r="R295" i="11"/>
  <c r="R324" i="11"/>
  <c r="R302" i="11"/>
  <c r="R306" i="11"/>
  <c r="R310" i="11"/>
  <c r="R298" i="11"/>
  <c r="R319" i="11"/>
  <c r="R299" i="11"/>
  <c r="R314" i="11"/>
  <c r="R303" i="11"/>
  <c r="R307" i="11"/>
  <c r="R311" i="11"/>
  <c r="R315" i="11"/>
  <c r="R320" i="11"/>
  <c r="R300" i="11"/>
  <c r="R304" i="11"/>
  <c r="R308" i="11"/>
  <c r="R312" i="11"/>
  <c r="R316" i="11"/>
  <c r="R321" i="11"/>
  <c r="R297" i="11"/>
  <c r="R301" i="11"/>
  <c r="R305" i="11"/>
  <c r="R309" i="11"/>
  <c r="R313" i="11"/>
  <c r="R317" i="11"/>
  <c r="R323" i="11"/>
  <c r="R318" i="11"/>
  <c r="K213" i="11"/>
  <c r="J485" i="11"/>
  <c r="J321" i="11"/>
  <c r="AB382" i="11"/>
  <c r="AC383" i="11"/>
  <c r="K383" i="11" s="1"/>
  <c r="AC256" i="11"/>
  <c r="K256" i="11" s="1"/>
  <c r="AA382" i="11"/>
  <c r="AA399" i="11"/>
  <c r="AB399" i="11"/>
  <c r="AC400" i="11"/>
  <c r="K400" i="11" s="1"/>
  <c r="Z398" i="11" a="1"/>
  <c r="Z398" i="11" s="1"/>
  <c r="X398" i="11" a="1"/>
  <c r="X398" i="11" s="1"/>
  <c r="Y398" i="11" a="1"/>
  <c r="Y398" i="11" s="1"/>
  <c r="W398" i="11" a="1"/>
  <c r="W398" i="11" s="1"/>
  <c r="AC275" i="11"/>
  <c r="K275" i="11" s="1"/>
  <c r="AC220" i="11"/>
  <c r="K220" i="11" s="1"/>
  <c r="P220" i="11" s="1"/>
  <c r="AC223" i="11"/>
  <c r="K223" i="11" s="1"/>
  <c r="P223" i="11" s="1"/>
  <c r="AC251" i="11"/>
  <c r="K251" i="11" s="1"/>
  <c r="J335" i="11" s="1"/>
  <c r="AC238" i="11"/>
  <c r="K238" i="11" s="1"/>
  <c r="P238" i="11" s="1"/>
  <c r="AC216" i="11"/>
  <c r="K216" i="11" s="1"/>
  <c r="P216" i="11" s="1"/>
  <c r="AC243" i="11"/>
  <c r="K243" i="11" s="1"/>
  <c r="AC229" i="11"/>
  <c r="K229" i="11" s="1"/>
  <c r="P229" i="11" s="1"/>
  <c r="AC221" i="11"/>
  <c r="K221" i="11" s="1"/>
  <c r="P221" i="11" s="1"/>
  <c r="AC236" i="11"/>
  <c r="K236" i="11" s="1"/>
  <c r="P236" i="11" s="1"/>
  <c r="AC214" i="11"/>
  <c r="K214" i="11" s="1"/>
  <c r="P214" i="11" s="1"/>
  <c r="AC241" i="11"/>
  <c r="K241" i="11" s="1"/>
  <c r="AC235" i="11"/>
  <c r="K235" i="11" s="1"/>
  <c r="P235" i="11" s="1"/>
  <c r="AC228" i="11"/>
  <c r="K228" i="11" s="1"/>
  <c r="P228" i="11" s="1"/>
  <c r="AC260" i="11"/>
  <c r="K260" i="11" s="1"/>
  <c r="AC218" i="11"/>
  <c r="K218" i="11" s="1"/>
  <c r="P218" i="11" s="1"/>
  <c r="AC287" i="11"/>
  <c r="K287" i="11" s="1"/>
  <c r="AC267" i="11"/>
  <c r="K267" i="11" s="1"/>
  <c r="AC226" i="11"/>
  <c r="K226" i="11" s="1"/>
  <c r="P226" i="11" s="1"/>
  <c r="AC285" i="11"/>
  <c r="K285" i="11" s="1"/>
  <c r="AC257" i="11"/>
  <c r="K257" i="11" s="1"/>
  <c r="AC227" i="11"/>
  <c r="K227" i="11" s="1"/>
  <c r="P227" i="11" s="1"/>
  <c r="AC211" i="11"/>
  <c r="K211" i="11" s="1"/>
  <c r="AC234" i="11"/>
  <c r="K234" i="11" s="1"/>
  <c r="P234" i="11" s="1"/>
  <c r="AC245" i="11"/>
  <c r="K245" i="11" s="1"/>
  <c r="AC282" i="11"/>
  <c r="K282" i="11" s="1"/>
  <c r="AC265" i="11"/>
  <c r="K265" i="11" s="1"/>
  <c r="AC240" i="11"/>
  <c r="K240" i="11" s="1"/>
  <c r="P240" i="11" s="1"/>
  <c r="AC239" i="11"/>
  <c r="K239" i="11" s="1"/>
  <c r="P239" i="11" s="1"/>
  <c r="AC274" i="11"/>
  <c r="K274" i="11" s="1"/>
  <c r="AC271" i="11"/>
  <c r="K271" i="11" s="1"/>
  <c r="AC270" i="11"/>
  <c r="K270" i="11" s="1"/>
  <c r="AC217" i="11"/>
  <c r="K217" i="11" s="1"/>
  <c r="P217" i="11" s="1"/>
  <c r="AC230" i="11"/>
  <c r="K230" i="11" s="1"/>
  <c r="P230" i="11" s="1"/>
  <c r="AC233" i="11"/>
  <c r="K233" i="11" s="1"/>
  <c r="P233" i="11" s="1"/>
  <c r="AC231" i="11"/>
  <c r="K231" i="11" s="1"/>
  <c r="P231" i="11" s="1"/>
  <c r="AC286" i="11"/>
  <c r="K286" i="11" s="1"/>
  <c r="AC224" i="11"/>
  <c r="K224" i="11" s="1"/>
  <c r="P224" i="11" s="1"/>
  <c r="AC232" i="11"/>
  <c r="K232" i="11" s="1"/>
  <c r="P232" i="11" s="1"/>
  <c r="AC273" i="11"/>
  <c r="K273" i="11" s="1"/>
  <c r="AC222" i="11"/>
  <c r="K222" i="11" s="1"/>
  <c r="P222" i="11" s="1"/>
  <c r="AC279" i="11"/>
  <c r="K279" i="11" s="1"/>
  <c r="AC266" i="11"/>
  <c r="K266" i="11" s="1"/>
  <c r="AC212" i="11"/>
  <c r="K212" i="11" s="1"/>
  <c r="P212" i="11" s="1"/>
  <c r="AC219" i="11"/>
  <c r="K219" i="11" s="1"/>
  <c r="P219" i="11" s="1"/>
  <c r="AC215" i="11"/>
  <c r="K215" i="11" s="1"/>
  <c r="P215" i="11" s="1"/>
  <c r="AC225" i="11"/>
  <c r="K225" i="11" s="1"/>
  <c r="P225" i="11" s="1"/>
  <c r="AC283" i="11"/>
  <c r="K283" i="11" s="1"/>
  <c r="U189" i="11"/>
  <c r="Q333" i="11" l="1"/>
  <c r="Q335" i="11"/>
  <c r="Q331" i="11"/>
  <c r="Q324" i="11"/>
  <c r="Q327" i="11"/>
  <c r="Q313" i="11"/>
  <c r="Q322" i="11"/>
  <c r="Q301" i="11"/>
  <c r="Q297" i="11"/>
  <c r="Q302" i="11"/>
  <c r="Q320" i="11"/>
  <c r="Q312" i="11"/>
  <c r="Q303" i="11"/>
  <c r="Q317" i="11"/>
  <c r="Q316" i="11"/>
  <c r="Q311" i="11"/>
  <c r="Q314" i="11"/>
  <c r="Q306" i="11"/>
  <c r="Q318" i="11"/>
  <c r="Q300" i="11"/>
  <c r="Q307" i="11"/>
  <c r="Q295" i="11"/>
  <c r="P245" i="11"/>
  <c r="J329" i="11" s="1"/>
  <c r="P241" i="11"/>
  <c r="J325" i="11" s="1"/>
  <c r="Q296" i="11"/>
  <c r="P213" i="11"/>
  <c r="J297" i="11" s="1"/>
  <c r="Q329" i="11"/>
  <c r="Q310" i="11"/>
  <c r="Q334" i="11"/>
  <c r="Q400" i="11"/>
  <c r="K484" i="11" s="1"/>
  <c r="P400" i="11"/>
  <c r="J484" i="11" s="1"/>
  <c r="Q298" i="11"/>
  <c r="Q332" i="11"/>
  <c r="P243" i="11"/>
  <c r="J327" i="11" s="1"/>
  <c r="Q323" i="11"/>
  <c r="Q319" i="11"/>
  <c r="Q330" i="11"/>
  <c r="Q309" i="11"/>
  <c r="Q315" i="11"/>
  <c r="Q304" i="11"/>
  <c r="Q328" i="11"/>
  <c r="Q305" i="11"/>
  <c r="Q308" i="11"/>
  <c r="Q299" i="11"/>
  <c r="Q326" i="11"/>
  <c r="P383" i="11"/>
  <c r="J467" i="11" s="1"/>
  <c r="Q383" i="11"/>
  <c r="K467" i="11" s="1"/>
  <c r="T194" i="11"/>
  <c r="P211" i="11"/>
  <c r="J295" i="11" s="1"/>
  <c r="R325" i="11"/>
  <c r="R329" i="11"/>
  <c r="R333" i="11"/>
  <c r="R337" i="11"/>
  <c r="R341" i="11"/>
  <c r="R345" i="11"/>
  <c r="R349" i="11"/>
  <c r="R353" i="11"/>
  <c r="R357" i="11"/>
  <c r="R361" i="11"/>
  <c r="R365" i="11"/>
  <c r="R369" i="11"/>
  <c r="R373" i="11"/>
  <c r="R326" i="11"/>
  <c r="R330" i="11"/>
  <c r="R334" i="11"/>
  <c r="R338" i="11"/>
  <c r="R342" i="11"/>
  <c r="R346" i="11"/>
  <c r="R350" i="11"/>
  <c r="R354" i="11"/>
  <c r="R358" i="11"/>
  <c r="R362" i="11"/>
  <c r="R366" i="11"/>
  <c r="R370" i="11"/>
  <c r="R327" i="11"/>
  <c r="R331" i="11"/>
  <c r="R335" i="11"/>
  <c r="R339" i="11"/>
  <c r="R343" i="11"/>
  <c r="R347" i="11"/>
  <c r="R351" i="11"/>
  <c r="R355" i="11"/>
  <c r="R359" i="11"/>
  <c r="R363" i="11"/>
  <c r="R367" i="11"/>
  <c r="R371" i="11"/>
  <c r="R328" i="11"/>
  <c r="R332" i="11"/>
  <c r="R336" i="11"/>
  <c r="R340" i="11"/>
  <c r="R344" i="11"/>
  <c r="R348" i="11"/>
  <c r="R352" i="11"/>
  <c r="R356" i="11"/>
  <c r="R360" i="11"/>
  <c r="R364" i="11"/>
  <c r="R368" i="11"/>
  <c r="R372" i="11"/>
  <c r="Q338" i="11"/>
  <c r="Q342" i="11"/>
  <c r="Q346" i="11"/>
  <c r="Q350" i="11"/>
  <c r="Q354" i="11"/>
  <c r="Q358" i="11"/>
  <c r="Q362" i="11"/>
  <c r="Q366" i="11"/>
  <c r="Q370" i="11"/>
  <c r="Q339" i="11"/>
  <c r="Q343" i="11"/>
  <c r="Q347" i="11"/>
  <c r="Q351" i="11"/>
  <c r="Q355" i="11"/>
  <c r="Q359" i="11"/>
  <c r="Q363" i="11"/>
  <c r="Q367" i="11"/>
  <c r="Q371" i="11"/>
  <c r="Q336" i="11"/>
  <c r="Q340" i="11"/>
  <c r="Q344" i="11"/>
  <c r="Q348" i="11"/>
  <c r="Q352" i="11"/>
  <c r="Q356" i="11"/>
  <c r="Q360" i="11"/>
  <c r="Q364" i="11"/>
  <c r="Q368" i="11"/>
  <c r="Q372" i="11"/>
  <c r="Q325" i="11"/>
  <c r="Q337" i="11"/>
  <c r="Q341" i="11"/>
  <c r="Q345" i="11"/>
  <c r="Q349" i="11"/>
  <c r="Q353" i="11"/>
  <c r="Q357" i="11"/>
  <c r="Q361" i="11"/>
  <c r="Q365" i="11"/>
  <c r="Q369" i="11"/>
  <c r="Q373" i="11"/>
  <c r="J303" i="11"/>
  <c r="J308" i="11"/>
  <c r="J314" i="11"/>
  <c r="J309" i="11"/>
  <c r="J315" i="11"/>
  <c r="J319" i="11"/>
  <c r="J305" i="11"/>
  <c r="J322" i="11"/>
  <c r="J307" i="11"/>
  <c r="J299" i="11"/>
  <c r="J316" i="11"/>
  <c r="J317" i="11"/>
  <c r="J324" i="11"/>
  <c r="J318" i="11"/>
  <c r="J302" i="11"/>
  <c r="J313" i="11"/>
  <c r="J304" i="11"/>
  <c r="J310" i="11"/>
  <c r="J298" i="11"/>
  <c r="J296" i="11"/>
  <c r="J306" i="11"/>
  <c r="J301" i="11"/>
  <c r="J323" i="11"/>
  <c r="J311" i="11"/>
  <c r="J312" i="11"/>
  <c r="J320" i="11"/>
  <c r="J300" i="11"/>
  <c r="AC382" i="11"/>
  <c r="K382" i="11" s="1"/>
  <c r="AC399" i="11"/>
  <c r="K399" i="11" s="1"/>
  <c r="AA398" i="11"/>
  <c r="AB398" i="11"/>
  <c r="P399" i="11" l="1"/>
  <c r="J483" i="11" s="1"/>
  <c r="Q399" i="11"/>
  <c r="K483" i="11" s="1"/>
  <c r="Q382" i="11"/>
  <c r="K466" i="11" s="1"/>
  <c r="P382" i="11"/>
  <c r="J466" i="11" s="1"/>
  <c r="J374" i="11"/>
  <c r="J376" i="11" s="1"/>
  <c r="Q374" i="11"/>
  <c r="R374" i="11"/>
  <c r="L547" i="11"/>
  <c r="AC398" i="11"/>
  <c r="P326" i="11" l="1"/>
  <c r="P328" i="11"/>
  <c r="P330" i="11"/>
  <c r="P332" i="11"/>
  <c r="P334" i="11"/>
  <c r="P327" i="11"/>
  <c r="P331" i="11"/>
  <c r="P335" i="11"/>
  <c r="P329" i="11"/>
  <c r="P333" i="11"/>
  <c r="K398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523" i="11"/>
  <c r="R540" i="11"/>
  <c r="R517" i="11"/>
  <c r="R535" i="11"/>
  <c r="R527" i="11"/>
  <c r="R499" i="11"/>
  <c r="R542" i="11"/>
  <c r="R508" i="11"/>
  <c r="R521" i="11"/>
  <c r="R537" i="11"/>
  <c r="R534" i="11"/>
  <c r="R504" i="11"/>
  <c r="R498" i="11"/>
  <c r="R533" i="11"/>
  <c r="R507" i="11"/>
  <c r="R513" i="11"/>
  <c r="R503" i="11"/>
  <c r="R524" i="11"/>
  <c r="R536" i="11"/>
  <c r="R541" i="11"/>
  <c r="R526" i="11"/>
  <c r="R519" i="11"/>
  <c r="R515" i="11"/>
  <c r="R539" i="11"/>
  <c r="R532" i="11"/>
  <c r="R525" i="11"/>
  <c r="R520" i="11"/>
  <c r="R530" i="11"/>
  <c r="R505" i="11"/>
  <c r="R544" i="11"/>
  <c r="R528" i="11"/>
  <c r="R501" i="11"/>
  <c r="R511" i="11"/>
  <c r="R531" i="11"/>
  <c r="R510" i="11"/>
  <c r="R514" i="11"/>
  <c r="R538" i="11"/>
  <c r="R522" i="11"/>
  <c r="R506" i="11"/>
  <c r="R502" i="11"/>
  <c r="R543" i="11"/>
  <c r="R509" i="11"/>
  <c r="R516" i="11"/>
  <c r="R497" i="11"/>
  <c r="R512" i="11"/>
  <c r="R500" i="11"/>
  <c r="R518" i="11"/>
  <c r="R529" i="11"/>
  <c r="R496" i="11"/>
  <c r="P299" i="11"/>
  <c r="P303" i="11"/>
  <c r="P307" i="11"/>
  <c r="P311" i="11"/>
  <c r="P315" i="11"/>
  <c r="P319" i="11"/>
  <c r="P323" i="11"/>
  <c r="P339" i="11"/>
  <c r="P343" i="11"/>
  <c r="P347" i="11"/>
  <c r="P351" i="11"/>
  <c r="P355" i="11"/>
  <c r="P359" i="11"/>
  <c r="P363" i="11"/>
  <c r="P367" i="11"/>
  <c r="P371" i="11"/>
  <c r="P296" i="11"/>
  <c r="P300" i="11"/>
  <c r="P304" i="11"/>
  <c r="P308" i="11"/>
  <c r="P312" i="11"/>
  <c r="P316" i="11"/>
  <c r="P320" i="11"/>
  <c r="P324" i="11"/>
  <c r="P336" i="11"/>
  <c r="P340" i="11"/>
  <c r="P344" i="11"/>
  <c r="P348" i="11"/>
  <c r="P352" i="11"/>
  <c r="P356" i="11"/>
  <c r="P360" i="11"/>
  <c r="P364" i="11"/>
  <c r="P368" i="11"/>
  <c r="P372" i="11"/>
  <c r="P297" i="11"/>
  <c r="P301" i="11"/>
  <c r="P305" i="11"/>
  <c r="P309" i="11"/>
  <c r="P313" i="11"/>
  <c r="P317" i="11"/>
  <c r="P321" i="11"/>
  <c r="P325" i="11"/>
  <c r="P337" i="11"/>
  <c r="P341" i="11"/>
  <c r="P345" i="11"/>
  <c r="P349" i="11"/>
  <c r="P353" i="11"/>
  <c r="P357" i="11"/>
  <c r="P361" i="11"/>
  <c r="P365" i="11"/>
  <c r="P369" i="11"/>
  <c r="P373" i="11"/>
  <c r="P298" i="11"/>
  <c r="P302" i="11"/>
  <c r="P306" i="11"/>
  <c r="P310" i="11"/>
  <c r="P314" i="11"/>
  <c r="P318" i="11"/>
  <c r="P322" i="11"/>
  <c r="P338" i="11"/>
  <c r="P342" i="11"/>
  <c r="P346" i="11"/>
  <c r="P350" i="11"/>
  <c r="P354" i="11"/>
  <c r="P358" i="11"/>
  <c r="P362" i="11"/>
  <c r="P366" i="11"/>
  <c r="P370" i="11"/>
  <c r="P295" i="11"/>
  <c r="Q398" i="11" l="1"/>
  <c r="K482" i="11" s="1"/>
  <c r="K545" i="11" s="1"/>
  <c r="K547" i="11" s="1"/>
  <c r="P398" i="11"/>
  <c r="J482" i="11" s="1"/>
  <c r="J545" i="11" s="1"/>
  <c r="J547" i="11" s="1"/>
  <c r="P374" i="11"/>
  <c r="R545" i="11"/>
  <c r="Q484" i="11" l="1"/>
  <c r="Q531" i="11"/>
  <c r="Q523" i="11"/>
  <c r="Q501" i="11"/>
  <c r="Q508" i="11"/>
  <c r="Q503" i="11"/>
  <c r="Q529" i="11"/>
  <c r="Q536" i="11"/>
  <c r="Q500" i="11"/>
  <c r="Q517" i="11"/>
  <c r="Q520" i="11"/>
  <c r="Q497" i="11"/>
  <c r="Q498" i="11"/>
  <c r="Q512" i="11"/>
  <c r="Q543" i="11"/>
  <c r="Q513" i="11"/>
  <c r="Q540" i="11"/>
  <c r="Q526" i="11"/>
  <c r="Q535" i="11"/>
  <c r="Q521" i="11"/>
  <c r="Q474" i="11"/>
  <c r="Q539" i="11"/>
  <c r="Q514" i="11"/>
  <c r="Q518" i="11"/>
  <c r="Q544" i="11"/>
  <c r="Q528" i="11"/>
  <c r="Q507" i="11"/>
  <c r="Q522" i="11"/>
  <c r="Q534" i="11"/>
  <c r="Q511" i="11"/>
  <c r="Q524" i="11"/>
  <c r="Q510" i="11"/>
  <c r="Q532" i="11"/>
  <c r="Q516" i="11"/>
  <c r="Q502" i="11"/>
  <c r="Q519" i="11"/>
  <c r="Q505" i="11"/>
  <c r="Q542" i="11"/>
  <c r="Q537" i="11"/>
  <c r="Q469" i="11"/>
  <c r="Q475" i="11"/>
  <c r="Q485" i="11"/>
  <c r="Q515" i="11"/>
  <c r="Q481" i="11"/>
  <c r="Q476" i="11"/>
  <c r="Q486" i="11"/>
  <c r="Q473" i="11"/>
  <c r="Q494" i="11"/>
  <c r="Q477" i="11"/>
  <c r="Q504" i="11"/>
  <c r="Q490" i="11"/>
  <c r="Q533" i="11"/>
  <c r="Q499" i="11"/>
  <c r="Q466" i="11"/>
  <c r="Q491" i="11"/>
  <c r="Q470" i="11"/>
  <c r="Q530" i="11"/>
  <c r="Q487" i="11"/>
  <c r="Q467" i="11"/>
  <c r="Q482" i="11"/>
  <c r="Q478" i="11"/>
  <c r="Q471" i="11"/>
  <c r="Q479" i="11"/>
  <c r="Q495" i="11"/>
  <c r="Q541" i="11"/>
  <c r="Q488" i="11"/>
  <c r="Q492" i="11"/>
  <c r="Q538" i="11"/>
  <c r="Q527" i="11"/>
  <c r="Q468" i="11"/>
  <c r="Q483" i="11"/>
  <c r="Q496" i="11"/>
  <c r="Q480" i="11"/>
  <c r="Q506" i="11"/>
  <c r="Q472" i="11"/>
  <c r="Q493" i="11"/>
  <c r="Q525" i="11"/>
  <c r="Q489" i="11"/>
  <c r="Q509" i="11"/>
  <c r="P504" i="11"/>
  <c r="P517" i="11"/>
  <c r="P506" i="11"/>
  <c r="P505" i="11"/>
  <c r="P529" i="11"/>
  <c r="P539" i="11"/>
  <c r="P544" i="11"/>
  <c r="P534" i="11"/>
  <c r="P524" i="11"/>
  <c r="P532" i="11"/>
  <c r="P507" i="11"/>
  <c r="P496" i="11"/>
  <c r="P494" i="11"/>
  <c r="P490" i="11"/>
  <c r="P486" i="11"/>
  <c r="P482" i="11"/>
  <c r="P478" i="11"/>
  <c r="P474" i="11"/>
  <c r="P470" i="11"/>
  <c r="P466" i="11"/>
  <c r="P503" i="11"/>
  <c r="P519" i="11"/>
  <c r="P495" i="11"/>
  <c r="P479" i="11"/>
  <c r="P467" i="11"/>
  <c r="P509" i="11"/>
  <c r="P541" i="11"/>
  <c r="P536" i="11"/>
  <c r="P511" i="11"/>
  <c r="P521" i="11"/>
  <c r="P508" i="11"/>
  <c r="P531" i="11"/>
  <c r="P523" i="11"/>
  <c r="P530" i="11"/>
  <c r="P500" i="11"/>
  <c r="P525" i="11"/>
  <c r="P497" i="11"/>
  <c r="P493" i="11"/>
  <c r="P489" i="11"/>
  <c r="P485" i="11"/>
  <c r="P481" i="11"/>
  <c r="P477" i="11"/>
  <c r="P473" i="11"/>
  <c r="P469" i="11"/>
  <c r="P513" i="11"/>
  <c r="P538" i="11"/>
  <c r="P483" i="11"/>
  <c r="P471" i="11"/>
  <c r="P522" i="11"/>
  <c r="P535" i="11"/>
  <c r="P520" i="11"/>
  <c r="P528" i="11"/>
  <c r="P527" i="11"/>
  <c r="P502" i="11"/>
  <c r="P537" i="11"/>
  <c r="P512" i="11"/>
  <c r="P542" i="11"/>
  <c r="P526" i="11"/>
  <c r="P543" i="11"/>
  <c r="P540" i="11"/>
  <c r="P498" i="11"/>
  <c r="P492" i="11"/>
  <c r="P488" i="11"/>
  <c r="P484" i="11"/>
  <c r="P480" i="11"/>
  <c r="P476" i="11"/>
  <c r="P472" i="11"/>
  <c r="P468" i="11"/>
  <c r="P514" i="11"/>
  <c r="P533" i="11"/>
  <c r="P515" i="11"/>
  <c r="P501" i="11"/>
  <c r="P499" i="11"/>
  <c r="P516" i="11"/>
  <c r="P518" i="11"/>
  <c r="P510" i="11"/>
  <c r="P491" i="11"/>
  <c r="P487" i="11"/>
  <c r="P475" i="11"/>
  <c r="Q545" i="11" l="1"/>
  <c r="P545" i="11"/>
</calcChain>
</file>

<file path=xl/sharedStrings.xml><?xml version="1.0" encoding="utf-8"?>
<sst xmlns="http://schemas.openxmlformats.org/spreadsheetml/2006/main" count="12967" uniqueCount="2457">
  <si>
    <t>A</t>
  </si>
  <si>
    <t>B</t>
  </si>
  <si>
    <t>C</t>
  </si>
  <si>
    <t>H =</t>
  </si>
  <si>
    <t>Hệ số vượt tải</t>
  </si>
  <si>
    <t>Cao độ</t>
  </si>
  <si>
    <t>Hệ số k</t>
  </si>
  <si>
    <t xml:space="preserve"> + X, Y: kích thước công trình theo 2 phương X, Y</t>
  </si>
  <si>
    <t>Dạng 1</t>
  </si>
  <si>
    <t>r =</t>
  </si>
  <si>
    <t>c =</t>
  </si>
  <si>
    <t>Dạng 2</t>
  </si>
  <si>
    <t>z</t>
  </si>
  <si>
    <t>-</t>
  </si>
  <si>
    <t>TT</t>
  </si>
  <si>
    <t>Các lớp vật liệu sàn</t>
  </si>
  <si>
    <t>Vùng áp lực gió</t>
  </si>
  <si>
    <t>Cấp công trình</t>
  </si>
  <si>
    <t>I.A</t>
  </si>
  <si>
    <t>Cấp I</t>
  </si>
  <si>
    <t xml:space="preserve"> 5.1.</t>
  </si>
  <si>
    <t>I.B</t>
  </si>
  <si>
    <t>Cấp II</t>
  </si>
  <si>
    <t>II.A</t>
  </si>
  <si>
    <t>Cấp III</t>
  </si>
  <si>
    <t>II.B</t>
  </si>
  <si>
    <t>Cấp IV</t>
  </si>
  <si>
    <t>III.A</t>
  </si>
  <si>
    <t>III.B</t>
  </si>
  <si>
    <t xml:space="preserve"> Cao độ đỉnh mái</t>
  </si>
  <si>
    <t>IV.A</t>
  </si>
  <si>
    <t xml:space="preserve"> Cao độ mặt đất</t>
  </si>
  <si>
    <t>IV.B</t>
  </si>
  <si>
    <t xml:space="preserve"> Giá trị thành phần tĩnh của tải trọng gió W ở độ cao z</t>
  </si>
  <si>
    <r>
      <t xml:space="preserve">Trong đó/ </t>
    </r>
    <r>
      <rPr>
        <i/>
        <sz val="9"/>
        <color indexed="10"/>
        <rFont val="Tahoma"/>
        <family val="2"/>
      </rPr>
      <t>There in</t>
    </r>
  </si>
  <si>
    <t>h</t>
  </si>
  <si>
    <t>(m)</t>
  </si>
  <si>
    <t xml:space="preserve"> 5.2.</t>
  </si>
  <si>
    <t>M</t>
  </si>
  <si>
    <t>Bảng 4 - Hệ số tương quan không gian áp lực động của tải trọng gió</t>
  </si>
  <si>
    <t>Thông số</t>
  </si>
  <si>
    <t>Cận dưới</t>
  </si>
  <si>
    <t>Cận trên</t>
  </si>
  <si>
    <t>Nội suy</t>
  </si>
  <si>
    <t>Lần 1 - Nội suy theo chiều rộng đón gió</t>
  </si>
  <si>
    <r>
      <t>n</t>
    </r>
    <r>
      <rPr>
        <vertAlign val="subscript"/>
        <sz val="11"/>
        <color indexed="18"/>
        <rFont val="Symbol"/>
        <family val="1"/>
        <charset val="2"/>
      </rPr>
      <t>1</t>
    </r>
    <r>
      <rPr>
        <sz val="11"/>
        <color indexed="18"/>
        <rFont val="Symbol"/>
        <family val="1"/>
        <charset val="2"/>
      </rPr>
      <t xml:space="preserve"> =</t>
    </r>
  </si>
  <si>
    <t>Lần 2 - Nội suy theo chiều cao khối công trình</t>
  </si>
  <si>
    <t>Dạng 
địa hình</t>
  </si>
  <si>
    <t>độ cao và dạng địa hình lấy theo bảng 5</t>
  </si>
  <si>
    <t>(*) k là hệ số kể đến sự thay đổi của áp lực gió theo</t>
  </si>
  <si>
    <t>Sàn tầng</t>
  </si>
  <si>
    <t>Đường cong</t>
  </si>
  <si>
    <t>BẢNG TRA HỆ SỐ ĐỘNG LỰC</t>
  </si>
  <si>
    <r>
      <t>y=0.857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0.1316</t>
    </r>
  </si>
  <si>
    <r>
      <t>y=0.6583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0.1808</t>
    </r>
    <r>
      <rPr>
        <b/>
        <sz val="12"/>
        <rFont val=".VnTime"/>
        <family val="2"/>
      </rPr>
      <t/>
    </r>
  </si>
  <si>
    <r>
      <t>y=0.346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0.2791</t>
    </r>
    <r>
      <rPr>
        <b/>
        <sz val="12"/>
        <rFont val=".VnTime"/>
        <family val="2"/>
      </rPr>
      <t/>
    </r>
  </si>
  <si>
    <r>
      <t>y=0.356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-0.07</t>
    </r>
  </si>
  <si>
    <r>
      <t>y=0.5979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-0.0899</t>
    </r>
  </si>
  <si>
    <r>
      <t>y=0.944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-0.1399</t>
    </r>
  </si>
  <si>
    <t>Hàm số</t>
  </si>
  <si>
    <t>Tra các hệ số tải trọng gió theo chiều cao nhà</t>
  </si>
  <si>
    <t>1. Hệ số k kể đến sự thay đổi áp lực gió theo độ cao (cột 3,5,10...) và dạng địa hình (hàng A,B,C)</t>
  </si>
  <si>
    <t>2. Hệ số áp lực động của tải trọng gió z theo độ cao (cột 3,5,10...) và dạng địa hình (hàng A,B,C)</t>
  </si>
  <si>
    <r>
      <t>e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</si>
  <si>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</si>
  <si>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2</t>
    </r>
  </si>
  <si>
    <r>
      <t>f</t>
    </r>
    <r>
      <rPr>
        <b/>
        <vertAlign val="subscript"/>
        <sz val="10"/>
        <color theme="8" tint="-0.499984740745262"/>
        <rFont val="Tahoma"/>
        <family val="2"/>
      </rPr>
      <t>L</t>
    </r>
  </si>
  <si>
    <r>
      <t>Áp lực gió
(daN/m</t>
    </r>
    <r>
      <rPr>
        <b/>
        <vertAlign val="superscript"/>
        <sz val="10"/>
        <color theme="8" tint="-0.499984740745262"/>
        <rFont val="Tahoma"/>
        <family val="2"/>
      </rPr>
      <t>2</t>
    </r>
    <r>
      <rPr>
        <b/>
        <sz val="10"/>
        <color theme="8" tint="-0.499984740745262"/>
        <rFont val="Tahoma"/>
        <family val="2"/>
      </rPr>
      <t>)</t>
    </r>
  </si>
  <si>
    <t>Hàm tra cứu và nội suy xác định hệ số tương quan không gian áp lực động</t>
  </si>
  <si>
    <t>Theo chiều rộng</t>
  </si>
  <si>
    <t>Theo chiều cao</t>
  </si>
  <si>
    <t>Giá trị tra bảng</t>
  </si>
  <si>
    <t>Cận dưới (a1)</t>
  </si>
  <si>
    <t>Cận trên (a2)</t>
  </si>
  <si>
    <t>Cận dưới (b1)</t>
  </si>
  <si>
    <t>Cận trên (b2)</t>
  </si>
  <si>
    <t>a1</t>
  </si>
  <si>
    <t>a2</t>
  </si>
  <si>
    <t>b1</t>
  </si>
  <si>
    <t>b2</t>
  </si>
  <si>
    <t>a1 x b1</t>
  </si>
  <si>
    <t>a1 x b2</t>
  </si>
  <si>
    <t>a2 x b1</t>
  </si>
  <si>
    <t>a2 x b2</t>
  </si>
  <si>
    <t>Lần 1</t>
  </si>
  <si>
    <t>Lần 2</t>
  </si>
  <si>
    <t>Dạng 3</t>
  </si>
  <si>
    <t>Chuyển vị tỷ đối</t>
  </si>
  <si>
    <t>Nội suy tuyến tính</t>
  </si>
  <si>
    <t>h (m)</t>
  </si>
  <si>
    <t>Chiều cao tầng</t>
  </si>
  <si>
    <t>Chiều cao dầm</t>
  </si>
  <si>
    <t>Loại phòng</t>
  </si>
  <si>
    <t>Loại công trình</t>
  </si>
  <si>
    <t>Toàn phần</t>
  </si>
  <si>
    <t>Dài hạn</t>
  </si>
  <si>
    <t>Phòng ngủ</t>
  </si>
  <si>
    <t>Khách sạn, bệnh viện, trại giam</t>
  </si>
  <si>
    <t>Nhà ở kiểu căn hộ</t>
  </si>
  <si>
    <t>Bếp, phòng giặt</t>
  </si>
  <si>
    <t>Văn phòng, phòng thí nghiệm</t>
  </si>
  <si>
    <t>Phòng đọc sách</t>
  </si>
  <si>
    <t>Có đặt giá sách</t>
  </si>
  <si>
    <t>Không đặt giá sách</t>
  </si>
  <si>
    <t>Trường học nội trú</t>
  </si>
  <si>
    <t>Nhà hưu trí</t>
  </si>
  <si>
    <t>Nhà trẻ, mẫu giáo, trường học</t>
  </si>
  <si>
    <t>Trại giam, nhà máy</t>
  </si>
  <si>
    <t>Cơ sở nghiên cứu khoa học</t>
  </si>
  <si>
    <t>Trụ sở cơ quan, ngân hàng</t>
  </si>
  <si>
    <t>Trường học, bệnh viện</t>
  </si>
  <si>
    <t>Sàn chịu tải</t>
  </si>
  <si>
    <t>Nhà hàng</t>
  </si>
  <si>
    <t>Ăn uống, giải khát</t>
  </si>
  <si>
    <t>Triển lãm, trưng bày, cửa hàng</t>
  </si>
  <si>
    <t>Phòng kỹ thuật …  bao gồm thiết bị</t>
  </si>
  <si>
    <t>Có ghế gắn cố định</t>
  </si>
  <si>
    <t>Không có ghế gắn cố định</t>
  </si>
  <si>
    <t>Phòng hội họp, phòng đợi</t>
  </si>
  <si>
    <t>Phòng khiêu vũ, phòng hòa nhạc</t>
  </si>
  <si>
    <t>Phòng thể thao, khán đài</t>
  </si>
  <si>
    <t>Sân khấu</t>
  </si>
  <si>
    <t>Kho</t>
  </si>
  <si>
    <t>Kho sách lưu trữ</t>
  </si>
  <si>
    <t>Kho sách thư viện</t>
  </si>
  <si>
    <t>Kho giấy</t>
  </si>
  <si>
    <t>Kho lạnh</t>
  </si>
  <si>
    <t>Phòng học</t>
  </si>
  <si>
    <t>Trường học</t>
  </si>
  <si>
    <t>Xưởng</t>
  </si>
  <si>
    <t>Xưởng đúc</t>
  </si>
  <si>
    <t>Phòng lớn có lắp máy và có đường đi lại</t>
  </si>
  <si>
    <t>Các loại nhà</t>
  </si>
  <si>
    <t>Phòng áp mái</t>
  </si>
  <si>
    <t>Ban công và lôgia</t>
  </si>
  <si>
    <t>Tải trọng phân bố đều trên từng dải trên diện tích rộng 0,8m dọc theo lan can, ban công, lôgia</t>
  </si>
  <si>
    <t>Sảnh, phòng giải lao</t>
  </si>
  <si>
    <t>Tải trọng phân bố đều trên toàn bộ diện tích ban công, lôgia</t>
  </si>
  <si>
    <t>Phòng vệ sinh</t>
  </si>
  <si>
    <t>Phòng ăn, phòng khách</t>
  </si>
  <si>
    <t>Phòng vệ sinh, phòng giặt</t>
  </si>
  <si>
    <t>Kho, ban công, lôgia</t>
  </si>
  <si>
    <t>Phòng ngủ, phòng bếp, phòng kỹ thuật</t>
  </si>
  <si>
    <t>Xưởng sửa chữa xe có trọng tải &lt; 2500kg</t>
  </si>
  <si>
    <t>Phòng hòa nhạc, khiêu vũ, thể thao</t>
  </si>
  <si>
    <t>Phòng  đọc, phòng đợi</t>
  </si>
  <si>
    <t>Nhà hàng, phòng họp, phòng khán giả</t>
  </si>
  <si>
    <t>Gác lửng</t>
  </si>
  <si>
    <t>Trại chăn nuôi</t>
  </si>
  <si>
    <t>Gia súc nhỏ</t>
  </si>
  <si>
    <t>Gia súc lớn</t>
  </si>
  <si>
    <t>Mái bằng có sử dụng</t>
  </si>
  <si>
    <t>Phần mái có thể tập trung đông người</t>
  </si>
  <si>
    <t>Phần mái dùng để nghỉ ngơi</t>
  </si>
  <si>
    <t>Các công trình khác</t>
  </si>
  <si>
    <t>Mái bằng không sử dụng</t>
  </si>
  <si>
    <t>Mái ngói, mái tôn và các mái tương tự chỉ có người đi lại sửa chữa</t>
  </si>
  <si>
    <t>Mái bằng, mái dốc BT cốt thép, trần BT lắp ghép chỉ có người đi lại sửa chữa</t>
  </si>
  <si>
    <t>Sàn nhà ga và bến tàu</t>
  </si>
  <si>
    <t>Garage ôtô</t>
  </si>
  <si>
    <r>
      <t xml:space="preserve">Đường cho xe chạy, dốc lên xuống dùng cho  xe con, xe khách và xe tải nhẹ có tổng khối lượng </t>
    </r>
    <r>
      <rPr>
        <sz val="10"/>
        <rFont val="Calibri"/>
        <family val="2"/>
      </rPr>
      <t>≤</t>
    </r>
    <r>
      <rPr>
        <sz val="10"/>
        <rFont val="Tahoma"/>
        <family val="2"/>
      </rPr>
      <t>2500kg</t>
    </r>
  </si>
  <si>
    <t>Nhà nghỉ, nhà điều dưỡng…</t>
  </si>
  <si>
    <t>Nhà nghỉ, nhà điều dưỡng</t>
  </si>
  <si>
    <t>Khách sạn, bệnh viện</t>
  </si>
  <si>
    <t>Nhà trẻ, mẫu giáo</t>
  </si>
  <si>
    <t>Nhà cao tầng</t>
  </si>
  <si>
    <t>Cơ quan, trường học</t>
  </si>
  <si>
    <t>Nhà hưu trí, nhà điều dưỡng</t>
  </si>
  <si>
    <t>Phòng nồi hơi,… kể cả khối lượng máy</t>
  </si>
  <si>
    <t>Cầu thang, hành lang thông các phòng</t>
  </si>
  <si>
    <t>STT</t>
  </si>
  <si>
    <t>Địa danh</t>
  </si>
  <si>
    <t>Quận Ba Đình</t>
  </si>
  <si>
    <t>Quận Cầu Giấy</t>
  </si>
  <si>
    <t>Quận Đống Đa</t>
  </si>
  <si>
    <t>Quận Hoàn Kiếm</t>
  </si>
  <si>
    <t>Quận Hoàng Mai</t>
  </si>
  <si>
    <t>Quận Long Biên</t>
  </si>
  <si>
    <t>Quận Tây Hồ</t>
  </si>
  <si>
    <t>Quận Thanh Xuân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</si>
  <si>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</si>
  <si>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</si>
  <si>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</si>
  <si>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</si>
  <si>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</si>
  <si>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</si>
  <si>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</si>
  <si>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</si>
  <si>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</si>
  <si>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</si>
  <si>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</si>
  <si>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</si>
  <si>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Quận Bình Thạnh</t>
  </si>
  <si>
    <t>Quận Gò Vấp</t>
  </si>
  <si>
    <t>Quận Phú Nhuận</t>
  </si>
  <si>
    <t>Quận Tân Bình</t>
  </si>
  <si>
    <t>Quận Thủ Đức</t>
  </si>
  <si>
    <t>Huyện Đông Anh</t>
  </si>
  <si>
    <t>Huyện Gia Lâm</t>
  </si>
  <si>
    <t>Huyện Sóc Sơn</t>
  </si>
  <si>
    <t>Huyện Thanh Trì</t>
  </si>
  <si>
    <t>Huyện Từ Liêm</t>
  </si>
  <si>
    <t>Huyện Bình Chánh</t>
  </si>
  <si>
    <t>Huyện Cần Giờ</t>
  </si>
  <si>
    <t>Huyện Củ Chi</t>
  </si>
  <si>
    <t>Huyện Hóc Môn</t>
  </si>
  <si>
    <t>Huyện Nhà Bè</t>
  </si>
  <si>
    <t>V.B</t>
  </si>
  <si>
    <t>24. Gia Lai</t>
  </si>
  <si>
    <t>35. Kon Tum</t>
  </si>
  <si>
    <t>40. Long An</t>
  </si>
  <si>
    <t>Quận Hồng Bàng</t>
  </si>
  <si>
    <t>Quận Kiến An</t>
  </si>
  <si>
    <t>Quận Lê Chân</t>
  </si>
  <si>
    <t>Quận Ngô Quyền</t>
  </si>
  <si>
    <t>Thị xã Đồ Sơn</t>
  </si>
  <si>
    <t>Huyện An Lão</t>
  </si>
  <si>
    <t>Huyện Bạch Long Vĩ</t>
  </si>
  <si>
    <t>Huyện Cát Hải</t>
  </si>
  <si>
    <t>Huyện Hải An</t>
  </si>
  <si>
    <t>Huyện Kiến Thuỵ</t>
  </si>
  <si>
    <t>Huyện Tiên Lãng</t>
  </si>
  <si>
    <t>Huyện Vĩnh Bảo</t>
  </si>
  <si>
    <t>Quận Hải Châu</t>
  </si>
  <si>
    <t>Quận Liên Chiểu</t>
  </si>
  <si>
    <t>Quận Ngũ Hành Sơn</t>
  </si>
  <si>
    <t>Quận Sơn Trà</t>
  </si>
  <si>
    <t>Quận Thanh Khê</t>
  </si>
  <si>
    <t>Huyện Hòa Vang</t>
  </si>
  <si>
    <t>Quận Bình Thủy</t>
  </si>
  <si>
    <t>Quận Cái Răng</t>
  </si>
  <si>
    <t>Quận Ninh Kiều</t>
  </si>
  <si>
    <t>Quận Ô Môn</t>
  </si>
  <si>
    <t>Huyện Cờ Đỏ</t>
  </si>
  <si>
    <t>Huyện Phong Điền</t>
  </si>
  <si>
    <t>Huyện Thốt Nốt</t>
  </si>
  <si>
    <t>Huyện Vĩnh Thạnh</t>
  </si>
  <si>
    <t>Thành phố Long Xuyên</t>
  </si>
  <si>
    <t>Thị xã Châu Đốc</t>
  </si>
  <si>
    <t>Huyện An Phú</t>
  </si>
  <si>
    <t>Huyện Châu Phú</t>
  </si>
  <si>
    <t>Huyện Châu Thành</t>
  </si>
  <si>
    <t>Huyện Chợ Mới</t>
  </si>
  <si>
    <t>Huyện Phú Tân</t>
  </si>
  <si>
    <t>Huyện Tân Châu</t>
  </si>
  <si>
    <t>Huyện Thoại Sơn</t>
  </si>
  <si>
    <t>Huyện Tri Tôn</t>
  </si>
  <si>
    <t>Huyện Tịnh Biên</t>
  </si>
  <si>
    <t>Thành phố Vũng Tàu</t>
  </si>
  <si>
    <t>Thị xã Bà Rịa</t>
  </si>
  <si>
    <t>Huyện Châu Đức</t>
  </si>
  <si>
    <t>Huyện Côn Đảo</t>
  </si>
  <si>
    <t>Huyện Đất Đỏ</t>
  </si>
  <si>
    <t>Huyện Long Điền</t>
  </si>
  <si>
    <t>Huyện Tân Thành</t>
  </si>
  <si>
    <t>Huyện Xuyên Mộc</t>
  </si>
  <si>
    <t>Thị xã Bạc Liêu</t>
  </si>
  <si>
    <t>Huyện Giá Rai</t>
  </si>
  <si>
    <t>Huyện Hồng Dân</t>
  </si>
  <si>
    <t>Huyện Vĩnh Lợi</t>
  </si>
  <si>
    <t>Thị xã Bắc Giang</t>
  </si>
  <si>
    <t>Huyện Hiệp Hoà</t>
  </si>
  <si>
    <t>Huyện Lạng Giang</t>
  </si>
  <si>
    <t>Huyện Lục Nam</t>
  </si>
  <si>
    <t>Huyện Lục Ngạn</t>
  </si>
  <si>
    <t>Huyện Sơn Động</t>
  </si>
  <si>
    <t>Huyện Tân Yên</t>
  </si>
  <si>
    <t>Huyện Việt Yên</t>
  </si>
  <si>
    <t>Huyện Yên Dũng</t>
  </si>
  <si>
    <t>Huyện Yên Thế</t>
  </si>
  <si>
    <t>10. Bắc Kạn</t>
  </si>
  <si>
    <t>Thị xã Bắc Kạn</t>
  </si>
  <si>
    <t>Huyện Ba Bể</t>
  </si>
  <si>
    <t>Huyện Bạch Thông</t>
  </si>
  <si>
    <t>Huyện Chợ Đồn</t>
  </si>
  <si>
    <t>Huyện Na Rì</t>
  </si>
  <si>
    <t>Huyện Ngân Sơn</t>
  </si>
  <si>
    <t>11. Bắc Ninh</t>
  </si>
  <si>
    <t>Thị xã Bắc Ninh</t>
  </si>
  <si>
    <t>Huyện Gia Bình</t>
  </si>
  <si>
    <t>Huyện Quế Võ</t>
  </si>
  <si>
    <t>Huyện Thuận Thành</t>
  </si>
  <si>
    <t>Huyện Tiên Du</t>
  </si>
  <si>
    <t>Huyện Từ Sơn</t>
  </si>
  <si>
    <t>Huyện Yên Phong</t>
  </si>
  <si>
    <t>Thị xã Bến Tre</t>
  </si>
  <si>
    <t>Huyện Ba Tri</t>
  </si>
  <si>
    <t>Huyện Bình Đại</t>
  </si>
  <si>
    <t>Huyện Chợ Lách</t>
  </si>
  <si>
    <t>Huyện Giồng Chôm</t>
  </si>
  <si>
    <t>Huyện Mỏ Cầy</t>
  </si>
  <si>
    <t>Huyện Thạnh Phú</t>
  </si>
  <si>
    <t>Thị xã Thủ Dầu Một</t>
  </si>
  <si>
    <t>Huyện Bến Cát</t>
  </si>
  <si>
    <t>Huyện Dầu Tiếng</t>
  </si>
  <si>
    <t>Huyện Dĩ An</t>
  </si>
  <si>
    <t>Huyện Phú Giáo</t>
  </si>
  <si>
    <t>Huyện Tân Uyên</t>
  </si>
  <si>
    <t>Huyện Thuận An</t>
  </si>
  <si>
    <t>14. Bình Định</t>
  </si>
  <si>
    <t>Thành phố Quy Nhơn</t>
  </si>
  <si>
    <t>Huyện An Nhơn</t>
  </si>
  <si>
    <t>Huyện Hoài Ân</t>
  </si>
  <si>
    <t>Huyện Hoài Nhơn</t>
  </si>
  <si>
    <t>Huyện Phù Cát</t>
  </si>
  <si>
    <t>Huyện Phù Mỹ</t>
  </si>
  <si>
    <t>Huyện Tây Sơn</t>
  </si>
  <si>
    <t>Huyện Vân Canh</t>
  </si>
  <si>
    <t>Thị xã Đồng Xoài</t>
  </si>
  <si>
    <t>Huyện Bình Long</t>
  </si>
  <si>
    <t>Huyện Bù Đăng</t>
  </si>
  <si>
    <t>Huyện Bù Đốp</t>
  </si>
  <si>
    <t>Huyện Chơn Thành</t>
  </si>
  <si>
    <t>Huyện Đồng Phú</t>
  </si>
  <si>
    <t>Huyện Lộc Ninh</t>
  </si>
  <si>
    <t>16. Bình Thuận</t>
  </si>
  <si>
    <t>Thành phố Phan Thiết</t>
  </si>
  <si>
    <t>Huyện Bắc Bình</t>
  </si>
  <si>
    <t>Huyện Đức Linh</t>
  </si>
  <si>
    <t>Huyện Hàm Tân</t>
  </si>
  <si>
    <t>Huyện Hàm Thuận Bắc</t>
  </si>
  <si>
    <t>Huyện Hàm Thuận Nam</t>
  </si>
  <si>
    <t>Huyện Phú Quí</t>
  </si>
  <si>
    <t>Huyện Tánh Linh</t>
  </si>
  <si>
    <t>Huyện Tuy Phong</t>
  </si>
  <si>
    <t>17. Cà Mau</t>
  </si>
  <si>
    <t>Thành phố Cà Mau</t>
  </si>
  <si>
    <t>Huyện Đầm Dơi</t>
  </si>
  <si>
    <t>Huyện Năm Căn</t>
  </si>
  <si>
    <t>Huyện Ngọc Hiển</t>
  </si>
  <si>
    <t>Huyện Thới Bình</t>
  </si>
  <si>
    <t>Huyện Trần Văn Thời</t>
  </si>
  <si>
    <t>Huyện U Minh</t>
  </si>
  <si>
    <t>18. Cao Bằng</t>
  </si>
  <si>
    <t>Thị xã Cao Bằng</t>
  </si>
  <si>
    <t>Huyện Bảo Lâm</t>
  </si>
  <si>
    <t>Huyện Bảo Lạc</t>
  </si>
  <si>
    <t>Huyện Hà Quảng</t>
  </si>
  <si>
    <t>Huyện Hạ Lang</t>
  </si>
  <si>
    <t>Huyện Hòa An</t>
  </si>
  <si>
    <t>Huyện Nguyên Bình</t>
  </si>
  <si>
    <t>Huyện Phục Hòa</t>
  </si>
  <si>
    <t>Huyện Quảng Uyên</t>
  </si>
  <si>
    <t>Huyện Thạch An</t>
  </si>
  <si>
    <t>Huyện Thông Nông</t>
  </si>
  <si>
    <t>Huyện Trà Lĩnh</t>
  </si>
  <si>
    <t>Huyện Trùng Khánh</t>
  </si>
  <si>
    <t>19. Đăk Lăk</t>
  </si>
  <si>
    <t>Thành phố Buôn Ma Thuột</t>
  </si>
  <si>
    <t>Huyện Buôn Đôn</t>
  </si>
  <si>
    <t>Huyện CM'gar</t>
  </si>
  <si>
    <t>Huyện Ea H'leo</t>
  </si>
  <si>
    <t>Huyện Ea Kar</t>
  </si>
  <si>
    <t>Huyện Ea Súp</t>
  </si>
  <si>
    <t>Huyện Krông Ana</t>
  </si>
  <si>
    <t>Huyện Krông Bông</t>
  </si>
  <si>
    <t>Huyện Krông Búk</t>
  </si>
  <si>
    <t>Huyện Krông Năng</t>
  </si>
  <si>
    <t>Huyện Krông Pắk</t>
  </si>
  <si>
    <t>Huyện Lăk</t>
  </si>
  <si>
    <t>Huyện M'Đrắk</t>
  </si>
  <si>
    <t>20. Đăk Nông</t>
  </si>
  <si>
    <t>Huyện Đắk Mil</t>
  </si>
  <si>
    <t>Huyện Đắk Nông</t>
  </si>
  <si>
    <t>Huyện Đắk RLấp</t>
  </si>
  <si>
    <t>Huyện Đắk Song</t>
  </si>
  <si>
    <t>Huyện Krông Nô</t>
  </si>
  <si>
    <t>21. Điện Biên</t>
  </si>
  <si>
    <t>Thành phố Điện Biên Phủ</t>
  </si>
  <si>
    <t>Thị xã Lai Châu</t>
  </si>
  <si>
    <t>Huyện Điện Biên</t>
  </si>
  <si>
    <t>Huyện Điện Biên Đông</t>
  </si>
  <si>
    <t>Huyện Tủa Chùa</t>
  </si>
  <si>
    <t>Huyện Tuần Giáo</t>
  </si>
  <si>
    <t>22. Đồng Nai</t>
  </si>
  <si>
    <t>Thành phố Biên Hoà</t>
  </si>
  <si>
    <t>Thị xã Long Khánh</t>
  </si>
  <si>
    <t>Huyện Cẩm Mỹ</t>
  </si>
  <si>
    <t>Huyện Định Quán</t>
  </si>
  <si>
    <t>Huyện Long Thành</t>
  </si>
  <si>
    <t>Huyện Nhơn Trạch</t>
  </si>
  <si>
    <t>Huyện Tân Phú</t>
  </si>
  <si>
    <t>Huyện Thống Nhất</t>
  </si>
  <si>
    <t>Huyện Trảng Bom</t>
  </si>
  <si>
    <t>Huyện Vĩnh Cừu</t>
  </si>
  <si>
    <t>Huyện Xuân Lộc</t>
  </si>
  <si>
    <t>23. Đồng Tháp</t>
  </si>
  <si>
    <t>Thị xã Cao Lãnh</t>
  </si>
  <si>
    <t>Thị xã Sa Đéc</t>
  </si>
  <si>
    <t>Huyện Cao Lãnh</t>
  </si>
  <si>
    <t>Huyện Hồng Ngự</t>
  </si>
  <si>
    <t>Huyện Lai Vung</t>
  </si>
  <si>
    <t>Huyện Lấp Vò</t>
  </si>
  <si>
    <t>Huyện Tam Nông</t>
  </si>
  <si>
    <t>Huyện Tân Hồng</t>
  </si>
  <si>
    <t>Huyện Thanh Bình</t>
  </si>
  <si>
    <t>Thành phố Plei Ku</t>
  </si>
  <si>
    <t>Thị xã An Khê</t>
  </si>
  <si>
    <t>Huyện Ayun Pa</t>
  </si>
  <si>
    <t>Huyện Đăk Đoa</t>
  </si>
  <si>
    <t>Huyện Đăk Pơ</t>
  </si>
  <si>
    <t>Huyện Đức Cơ</t>
  </si>
  <si>
    <t>Huyện Ia Grai</t>
  </si>
  <si>
    <t>Huyện Ia Pơ</t>
  </si>
  <si>
    <t>Huyện K'Bang</t>
  </si>
  <si>
    <t>Huyện Kông Chro</t>
  </si>
  <si>
    <t>Huyện Krông Pa</t>
  </si>
  <si>
    <t>Huyện Mang Yang.</t>
  </si>
  <si>
    <t>25. Hà Giang</t>
  </si>
  <si>
    <t>Thị xã Hà Giang</t>
  </si>
  <si>
    <t>Huyện Bắc Mê</t>
  </si>
  <si>
    <t>Huyện Bắc Quang</t>
  </si>
  <si>
    <t>Huyện Đồng Văn</t>
  </si>
  <si>
    <t>Huyện Hoàng Su Phì</t>
  </si>
  <si>
    <t>Huyện Mèo Vạc</t>
  </si>
  <si>
    <t>Huyện Quang Bình</t>
  </si>
  <si>
    <t>Huyện Quản Bạ</t>
  </si>
  <si>
    <t>Huyện Vị Xuyên</t>
  </si>
  <si>
    <t>Huyện Xín Mần</t>
  </si>
  <si>
    <t>Huyện Yên Minh</t>
  </si>
  <si>
    <t>26. Hà Nam</t>
  </si>
  <si>
    <t>Thị xã Phủ Lý</t>
  </si>
  <si>
    <t>Huyện Bình Lục</t>
  </si>
  <si>
    <t>Huyện Duy Tiên</t>
  </si>
  <si>
    <t>Huyện Kim Bảng</t>
  </si>
  <si>
    <t>Huyện Lý Nhân</t>
  </si>
  <si>
    <t>Huyện Thanh Liêm</t>
  </si>
  <si>
    <t>27. Hà Tây</t>
  </si>
  <si>
    <t>Thị xã Hà Đông</t>
  </si>
  <si>
    <t>Thị xã Sơn Tây</t>
  </si>
  <si>
    <t>Huyện Ba Vì</t>
  </si>
  <si>
    <t>Huyện Hoài Đức</t>
  </si>
  <si>
    <t>Huyện Mỹ Đức</t>
  </si>
  <si>
    <t>Huyện Phú Xuyên</t>
  </si>
  <si>
    <t>Huyện Phúc Thọ</t>
  </si>
  <si>
    <t>Huyện Quốc Oai</t>
  </si>
  <si>
    <t>Huyện Thạch Thất</t>
  </si>
  <si>
    <t>Huyện Thanh Oai</t>
  </si>
  <si>
    <t>28. Hà Tĩnh</t>
  </si>
  <si>
    <t>Thị xã Hà Tĩnh</t>
  </si>
  <si>
    <t>Thị xã Hồng Lĩnh</t>
  </si>
  <si>
    <t>Huyện Can Lộc</t>
  </si>
  <si>
    <t>Huyện Cẩm Xuyên</t>
  </si>
  <si>
    <t>Huyện Đức Thọ</t>
  </si>
  <si>
    <t>Huyện Kỳ Anh</t>
  </si>
  <si>
    <t>Huyện Nghi Xuân</t>
  </si>
  <si>
    <t>Huyện Thạch Hà</t>
  </si>
  <si>
    <t>Huyện Vũ Quang</t>
  </si>
  <si>
    <t>Huyện Bình Giang</t>
  </si>
  <si>
    <t>Huyện Cẩm Giàng</t>
  </si>
  <si>
    <t>Huyện Chí Linh</t>
  </si>
  <si>
    <t>Huyện Gia Lộc</t>
  </si>
  <si>
    <t>Huyện Kim Thành</t>
  </si>
  <si>
    <t>Huyện Kinh Môn</t>
  </si>
  <si>
    <t>Huyện Nam Sách</t>
  </si>
  <si>
    <t>Huyện Ninh Giang</t>
  </si>
  <si>
    <t>Huyện Thanh Hà</t>
  </si>
  <si>
    <t>Huyện Thanh Miện</t>
  </si>
  <si>
    <t>Huyện Tứ Kỳ</t>
  </si>
  <si>
    <t>30. Hậu Giang</t>
  </si>
  <si>
    <t>Thị xã Vị Thanh</t>
  </si>
  <si>
    <t>Huyện Châu Thành A</t>
  </si>
  <si>
    <t>Huyện Long Mỹ</t>
  </si>
  <si>
    <t>Huyện Phụng Hiệp</t>
  </si>
  <si>
    <t>Huyện Vị Thuỷ</t>
  </si>
  <si>
    <t>Thị xã Hoà Bình</t>
  </si>
  <si>
    <t>Huyện Cao Phong</t>
  </si>
  <si>
    <t>Huyện Đà Bắc</t>
  </si>
  <si>
    <t>Huyện Kim Bôi</t>
  </si>
  <si>
    <t>Huyện Kỳ Sơn</t>
  </si>
  <si>
    <t>Huyện Lạc Sơn</t>
  </si>
  <si>
    <t>Huyện Lạc Thuỷ</t>
  </si>
  <si>
    <t>Huyện Luơng Sơn</t>
  </si>
  <si>
    <t>Huyện Mai Châu</t>
  </si>
  <si>
    <t>Huyện Tân Lạc</t>
  </si>
  <si>
    <t>Huyện Yên Thuỷ</t>
  </si>
  <si>
    <t>Huyện Ân Thi</t>
  </si>
  <si>
    <t>Huyện Khoái Châu</t>
  </si>
  <si>
    <t>Huyện Kim Động</t>
  </si>
  <si>
    <t>Huyện Mỹ Hào</t>
  </si>
  <si>
    <t>Huyện Phù Cừ</t>
  </si>
  <si>
    <t>Huyện Tiên Lữ</t>
  </si>
  <si>
    <t>Huyện Văn Giang</t>
  </si>
  <si>
    <t>Huyện Văn Lâm</t>
  </si>
  <si>
    <t>Huyện Yên Mỹ</t>
  </si>
  <si>
    <t>33. Khánh Hoà</t>
  </si>
  <si>
    <t>Thành phố Nha Trang</t>
  </si>
  <si>
    <t>Thị xã Cam Ranh</t>
  </si>
  <si>
    <t>Huyện Diên Khánh</t>
  </si>
  <si>
    <t>Huyện Khánh Sơn</t>
  </si>
  <si>
    <t>Huyện Khánh Vĩnh</t>
  </si>
  <si>
    <t>Huyện Ninh Hòa</t>
  </si>
  <si>
    <t>Huyện Vạn Ninh</t>
  </si>
  <si>
    <t>34. Kiên Giang</t>
  </si>
  <si>
    <t>Thị xã Hà Tiên</t>
  </si>
  <si>
    <t>Thị xã Rạch Giá</t>
  </si>
  <si>
    <t>Huyện An Biên</t>
  </si>
  <si>
    <t>Huyện An Minh</t>
  </si>
  <si>
    <t>Huyện Giồng Riềng</t>
  </si>
  <si>
    <t>Huyện Gò Quao</t>
  </si>
  <si>
    <t>Huyện Hòn Đất</t>
  </si>
  <si>
    <t>Huyện Kiên Hải</t>
  </si>
  <si>
    <t>Huyện Phú Quốc</t>
  </si>
  <si>
    <t>Huyện Tân Hiệp</t>
  </si>
  <si>
    <t>Huyện Vĩnh Thuận</t>
  </si>
  <si>
    <t>Thị xã Kon Tum</t>
  </si>
  <si>
    <t>Huyện Đắk Glei</t>
  </si>
  <si>
    <t>Huyện Đắk Hà</t>
  </si>
  <si>
    <t>Huyện Đắk Tô</t>
  </si>
  <si>
    <t>Huyện Kon Plong</t>
  </si>
  <si>
    <t>Huyện Kon Rẫy</t>
  </si>
  <si>
    <t>Huyện Ngọc Hồi</t>
  </si>
  <si>
    <t>Huyện Sa Thầy</t>
  </si>
  <si>
    <t>36. Lai Châu</t>
  </si>
  <si>
    <t>Huyện Phong Thổ</t>
  </si>
  <si>
    <t>Huyện Sìn Hồ</t>
  </si>
  <si>
    <t>Huyện Than Uyên</t>
  </si>
  <si>
    <t>37. Lạng Sơn</t>
  </si>
  <si>
    <t>Thành phố Lạng Sơn</t>
  </si>
  <si>
    <t>Huyện Bắc Sơn</t>
  </si>
  <si>
    <t>Huyện Bình Gia</t>
  </si>
  <si>
    <t>Huyện Cao Lộc</t>
  </si>
  <si>
    <t>Huyện Chi Lăng</t>
  </si>
  <si>
    <t>Huyện Đình Lập</t>
  </si>
  <si>
    <t>Huyện Hữu Lũng</t>
  </si>
  <si>
    <t>Huyện Lộc Bình</t>
  </si>
  <si>
    <t>Huyện Tràng Định</t>
  </si>
  <si>
    <t>Huyện Văn Lãng</t>
  </si>
  <si>
    <t>Huyện Văn Quan</t>
  </si>
  <si>
    <t>38. Lào Cai</t>
  </si>
  <si>
    <t>Thị xã Lào Cai</t>
  </si>
  <si>
    <t>Huyện Bắc Hà</t>
  </si>
  <si>
    <t>Huyện Bảo Thắng</t>
  </si>
  <si>
    <t>Huyện Bảo Yên</t>
  </si>
  <si>
    <t>Huyện Bát Xát</t>
  </si>
  <si>
    <t>Huyện Sa Pa</t>
  </si>
  <si>
    <t>Huyện Văn Bàn</t>
  </si>
  <si>
    <t>Huyện Xi Ma Cai</t>
  </si>
  <si>
    <t>39. Lâm Đồng</t>
  </si>
  <si>
    <t>Thành phố Đà Lạt</t>
  </si>
  <si>
    <t>Thị xã Bảo Lộc</t>
  </si>
  <si>
    <t>Huyện Cát Tiên</t>
  </si>
  <si>
    <t>Huyện Di Linh</t>
  </si>
  <si>
    <t>Huyện Đa Huoai</t>
  </si>
  <si>
    <t>Huyện Đa Tẻh</t>
  </si>
  <si>
    <t>Huyện Đức Trọng</t>
  </si>
  <si>
    <t>Huyện Lâm Hà</t>
  </si>
  <si>
    <t>Thị xã Tân An</t>
  </si>
  <si>
    <t>Huyện Bến Lức</t>
  </si>
  <si>
    <t>Huyện Cần Giuộc</t>
  </si>
  <si>
    <t>Huyện Đức Hoà</t>
  </si>
  <si>
    <t>Huyện Đức Huệ</t>
  </si>
  <si>
    <t>Huyện Mộc Hoá</t>
  </si>
  <si>
    <t>Huyện Tân Thạnh</t>
  </si>
  <si>
    <t>Huyện Tân Trụ</t>
  </si>
  <si>
    <t>Huyện Thạnh Hoá</t>
  </si>
  <si>
    <t>Huyện Thủ Thừa</t>
  </si>
  <si>
    <t>41. Nam Định</t>
  </si>
  <si>
    <t>Thành phố Nam Định</t>
  </si>
  <si>
    <t>Huyện Giao Thủy</t>
  </si>
  <si>
    <t>Huyện Hải Hậu</t>
  </si>
  <si>
    <t>Huyện Mỹ Lộc</t>
  </si>
  <si>
    <t>Huyện Nam Trực</t>
  </si>
  <si>
    <t>Huyện Trực Ninh</t>
  </si>
  <si>
    <t>Huyện Vụ Bản</t>
  </si>
  <si>
    <t>42. Nghệ An</t>
  </si>
  <si>
    <t>Thành phố Vinh</t>
  </si>
  <si>
    <t>Thị xã Cửa Lò</t>
  </si>
  <si>
    <t>Huyện Anh Sơn</t>
  </si>
  <si>
    <t>Huyện Con Cuông</t>
  </si>
  <si>
    <t>Huyện Diễn Châu</t>
  </si>
  <si>
    <t>Huyện Nam Đàn</t>
  </si>
  <si>
    <t>Huyện Nghi Lộc</t>
  </si>
  <si>
    <t>Huyện Nghĩa Đàn</t>
  </si>
  <si>
    <t>Huyện Quế Phong</t>
  </si>
  <si>
    <t>Huyện Quỳ Châu</t>
  </si>
  <si>
    <t>Huyện Quỳ Hợp</t>
  </si>
  <si>
    <t>Huyện Tân Kỳ</t>
  </si>
  <si>
    <t>Huyện Yên Thành</t>
  </si>
  <si>
    <t>43. Ninh Bình</t>
  </si>
  <si>
    <t>Thị xã Ninh Bình</t>
  </si>
  <si>
    <t>Thị xã Tam Điệp</t>
  </si>
  <si>
    <t>Huyện Gia Viễn</t>
  </si>
  <si>
    <t>Huyện Kim Sơn</t>
  </si>
  <si>
    <t>Huyện Nho Quan</t>
  </si>
  <si>
    <t>Huyện Yên Khánh</t>
  </si>
  <si>
    <t>Huyện Yên Mô</t>
  </si>
  <si>
    <t>44. Ninh Thuận</t>
  </si>
  <si>
    <t>Thị xã Phan Rang Tháp Chàm</t>
  </si>
  <si>
    <t>Huyện Bác ái</t>
  </si>
  <si>
    <t>Huyện Ninh Hải</t>
  </si>
  <si>
    <t>Huyện Ninh Sơn</t>
  </si>
  <si>
    <t>45. Phú Thọ</t>
  </si>
  <si>
    <t>Thành phố Việt Trì</t>
  </si>
  <si>
    <t>Thị xã Phú Thọ</t>
  </si>
  <si>
    <t>Huyện Đoan Hùng</t>
  </si>
  <si>
    <t>Huyện Hạ Hoà</t>
  </si>
  <si>
    <t>Huyện Lâm Thao</t>
  </si>
  <si>
    <t>Huyện Phù Ninh</t>
  </si>
  <si>
    <t>Huyện Sông Thao</t>
  </si>
  <si>
    <t>Huyện Thanh Ba</t>
  </si>
  <si>
    <t>Huyện Thanh Sơn</t>
  </si>
  <si>
    <t>Huyện Thanh Thuỷ</t>
  </si>
  <si>
    <t>Huyện Yên Lập</t>
  </si>
  <si>
    <t>46. Phú Yên</t>
  </si>
  <si>
    <t>Thị xã Tuy Hoà</t>
  </si>
  <si>
    <t>Huyện Đồng Xuân</t>
  </si>
  <si>
    <t>Huyện Phú Hòa</t>
  </si>
  <si>
    <t>Huyện Sông Cầu</t>
  </si>
  <si>
    <t>Huyện Sông Hinh</t>
  </si>
  <si>
    <t>Huyện Sơn Hoà</t>
  </si>
  <si>
    <t>Huyện Tuy An</t>
  </si>
  <si>
    <t>Huyện Tuy Ho</t>
  </si>
  <si>
    <t>47. Quảng Bình</t>
  </si>
  <si>
    <t>Thị xã Đồng Hới</t>
  </si>
  <si>
    <t>Huyện Bố Trạch</t>
  </si>
  <si>
    <t>Huyện Lệ Thuỷ</t>
  </si>
  <si>
    <t>Huyện Minh Hoá</t>
  </si>
  <si>
    <t>Huyện Quảng Ninh</t>
  </si>
  <si>
    <t>Huyện Quảng Trạch</t>
  </si>
  <si>
    <t>Huyện Tuyên Hoá</t>
  </si>
  <si>
    <t>48. Quảng Nam</t>
  </si>
  <si>
    <t>Thị xã Tam Kỳ</t>
  </si>
  <si>
    <t>Thị xã Hội An</t>
  </si>
  <si>
    <t>Huyện Bắc Trà My</t>
  </si>
  <si>
    <t>Huyện Duy Xuyên</t>
  </si>
  <si>
    <t>Huyện Đại Lộc</t>
  </si>
  <si>
    <t>Huyện Điện Bàn</t>
  </si>
  <si>
    <t>Huyện Đông Giang</t>
  </si>
  <si>
    <t>Huyện Hiệp Đức</t>
  </si>
  <si>
    <t>Huyện Nam Giang</t>
  </si>
  <si>
    <t>Huyện Nam Trà My</t>
  </si>
  <si>
    <t>Huyện Núi Thành</t>
  </si>
  <si>
    <t>Huyện Quế Sơn</t>
  </si>
  <si>
    <t>Huyện Tây Giang</t>
  </si>
  <si>
    <t>Huyện Thăng Bình</t>
  </si>
  <si>
    <t>Thị xã Quảng Ngãi</t>
  </si>
  <si>
    <t>Huyện Ba Tơ</t>
  </si>
  <si>
    <t>Huyện Bình Sơn</t>
  </si>
  <si>
    <t>Huyện Đức Phổ</t>
  </si>
  <si>
    <t>Huyện Lý Sơn</t>
  </si>
  <si>
    <t>Huyện Minh Long</t>
  </si>
  <si>
    <t>Huyện Mộ Đức</t>
  </si>
  <si>
    <t>Huyện Nghĩa Hành</t>
  </si>
  <si>
    <t>Huyện Sơn Hà</t>
  </si>
  <si>
    <t>Huyện Sơn Tây</t>
  </si>
  <si>
    <t>Huyện Sơn Tịnh</t>
  </si>
  <si>
    <t>Huyện Tây Trà</t>
  </si>
  <si>
    <t>Huyện Trà Bồng</t>
  </si>
  <si>
    <t>50. Quảng Ninh</t>
  </si>
  <si>
    <t>Thành phố Hạ Long</t>
  </si>
  <si>
    <t>Thị xã Cẩm Phả</t>
  </si>
  <si>
    <t>Thị xã Móng Cái</t>
  </si>
  <si>
    <t>Thị xã Uông Bí</t>
  </si>
  <si>
    <t>Huyện Ba Chẽ</t>
  </si>
  <si>
    <t>Huyện Bình Liêu</t>
  </si>
  <si>
    <t>Huyện Cô Tô</t>
  </si>
  <si>
    <t>Huyện Đầm Hà</t>
  </si>
  <si>
    <t>Huyện Đông Triều</t>
  </si>
  <si>
    <t>Huyện Hải Hà</t>
  </si>
  <si>
    <t>Huyện Hải Ninh</t>
  </si>
  <si>
    <t>Huyện Hoành Bồ</t>
  </si>
  <si>
    <t>Huyện Tiên Yên</t>
  </si>
  <si>
    <t>Huyện Vân Đồn</t>
  </si>
  <si>
    <t>51. Quảng Trị</t>
  </si>
  <si>
    <t>Thị xã Đông Hà</t>
  </si>
  <si>
    <t>Thị xã Quảng Trị</t>
  </si>
  <si>
    <t>Huyện Cam Lộ</t>
  </si>
  <si>
    <t>Huyện Đa Krông</t>
  </si>
  <si>
    <t>Huyện Gio Linh</t>
  </si>
  <si>
    <t>Huyện Hải Lăng</t>
  </si>
  <si>
    <t>Huyện Triệu Phong</t>
  </si>
  <si>
    <t>Huyện Vĩnh Linh</t>
  </si>
  <si>
    <t>52. Sóc Trăng</t>
  </si>
  <si>
    <t>Thị xã Sóc Trăng</t>
  </si>
  <si>
    <t>Huyện Cù Lao Dung</t>
  </si>
  <si>
    <t>Huyện Kế Sách</t>
  </si>
  <si>
    <t>Huyện Long Phú</t>
  </si>
  <si>
    <t>Huyện Mỹ Tú</t>
  </si>
  <si>
    <t>Huyện Mỹ Xuyên</t>
  </si>
  <si>
    <t>Huyện Ngã Năm</t>
  </si>
  <si>
    <t>Huyện Thạnh Trị</t>
  </si>
  <si>
    <t>Huyện Vĩnh Châu</t>
  </si>
  <si>
    <t>53. Sơn La</t>
  </si>
  <si>
    <t>Thị xã Sơn La</t>
  </si>
  <si>
    <t>Huyện Bắc Yên</t>
  </si>
  <si>
    <t>Huyện Mai Sơn</t>
  </si>
  <si>
    <t>Huyện Mộc Châu</t>
  </si>
  <si>
    <t>Huyện Phù Yên</t>
  </si>
  <si>
    <t>Huyện Quỳnh Nhai</t>
  </si>
  <si>
    <t>Huyện Sông Mã</t>
  </si>
  <si>
    <t>Huyện Sốp Cộp</t>
  </si>
  <si>
    <t>Huyện Thuận Châu</t>
  </si>
  <si>
    <t>Huyện Yên Châu</t>
  </si>
  <si>
    <t>54. Tây Ninh</t>
  </si>
  <si>
    <t>Thị xã Tây Ninh</t>
  </si>
  <si>
    <t>Huyện Bến Cầu</t>
  </si>
  <si>
    <t>Huyện Gò Dầu</t>
  </si>
  <si>
    <t>Huyện Hoà Thành</t>
  </si>
  <si>
    <t>Huyện Tân Biên</t>
  </si>
  <si>
    <t>Huyện Trảng Bàng</t>
  </si>
  <si>
    <t>55. Thái Bình</t>
  </si>
  <si>
    <t>Thành phố Thái Bình</t>
  </si>
  <si>
    <t>Huyện Quỳnh Phụ</t>
  </si>
  <si>
    <t>Huyện Thái Thuỵ</t>
  </si>
  <si>
    <t>Huyện Tiền Hải</t>
  </si>
  <si>
    <t>56. Thái Nguyên</t>
  </si>
  <si>
    <t>Thành phố Thái Nguyên</t>
  </si>
  <si>
    <t>Thị xã Sông Công</t>
  </si>
  <si>
    <t>Huyện Đại Từ</t>
  </si>
  <si>
    <t>Huyện Định Hoá</t>
  </si>
  <si>
    <t>Huyện Đồng Hỷ</t>
  </si>
  <si>
    <t>Huyện Phổ Yên</t>
  </si>
  <si>
    <t>Huyện Phú Bình</t>
  </si>
  <si>
    <t>Huyện Võ Nhai</t>
  </si>
  <si>
    <t>57. Thanh Hóa</t>
  </si>
  <si>
    <t>Thành phố Thanh Hoá</t>
  </si>
  <si>
    <t>Thị xã Bỉm Sơn</t>
  </si>
  <si>
    <t>Thị xã Sầm Sơn</t>
  </si>
  <si>
    <t>Huyện Cẩm Thuỷ</t>
  </si>
  <si>
    <t>Huyện Đông Sơn</t>
  </si>
  <si>
    <t>Huyện Hà Trung</t>
  </si>
  <si>
    <t>Huyện Hậu Lộc</t>
  </si>
  <si>
    <t>Huyện Hoằng Hoá</t>
  </si>
  <si>
    <t>Huyện Lang Chánh</t>
  </si>
  <si>
    <t>Huyện Nga Sơn</t>
  </si>
  <si>
    <t>Huyện Ngọc Lặc</t>
  </si>
  <si>
    <t>Huyện Nông Cống</t>
  </si>
  <si>
    <t>Huyện Quan Hoá</t>
  </si>
  <si>
    <t>Huyện Quan Sơn</t>
  </si>
  <si>
    <t>Huyện Thạch Thành</t>
  </si>
  <si>
    <t>Huyện Thọ Xuân</t>
  </si>
  <si>
    <t>Huyện Thiệu Hoá</t>
  </si>
  <si>
    <t>Huyện Tĩnh Gia</t>
  </si>
  <si>
    <t>Huyện Triệu Sơn</t>
  </si>
  <si>
    <t>Huyện Vĩnh Lộc</t>
  </si>
  <si>
    <t>Huyện Yên Định</t>
  </si>
  <si>
    <t>58. Thừa Thiên Huế</t>
  </si>
  <si>
    <t>Thành phố Huế</t>
  </si>
  <si>
    <t>Huyện Nam Đông</t>
  </si>
  <si>
    <t>Huyện Phú Lộc</t>
  </si>
  <si>
    <t>Huyện Phú Vang</t>
  </si>
  <si>
    <t>Huyện Quảng Điền</t>
  </si>
  <si>
    <t>59. Tiền Giang</t>
  </si>
  <si>
    <t>Thành phố Mỹ Tho</t>
  </si>
  <si>
    <t>Thị xã Gò Công</t>
  </si>
  <si>
    <t>Huyện Cái Bè</t>
  </si>
  <si>
    <t>Huyện Cai Lậy</t>
  </si>
  <si>
    <t>Huyện Chợ Gạo</t>
  </si>
  <si>
    <t>Huyện Gò Công Đông</t>
  </si>
  <si>
    <t>Huyện Gò Công Tây</t>
  </si>
  <si>
    <t>60. Trà Vinh</t>
  </si>
  <si>
    <t>Thị xã Trà Vinh</t>
  </si>
  <si>
    <t>Huyện Cầu Kè</t>
  </si>
  <si>
    <t>Huyện Cầu Ngang</t>
  </si>
  <si>
    <t>Huyện Duyên Hải</t>
  </si>
  <si>
    <t>Huyện Tiểu Cần</t>
  </si>
  <si>
    <t>Huyện Trà Cú</t>
  </si>
  <si>
    <t>61. Tuyên Quang</t>
  </si>
  <si>
    <t>Thị xã Tuyên Quang</t>
  </si>
  <si>
    <t>Huyện Chiêm Hoá</t>
  </si>
  <si>
    <t>Huyện Hàm Yên</t>
  </si>
  <si>
    <t>Huyện Nà Hang</t>
  </si>
  <si>
    <t>Huyện Yên Sơn</t>
  </si>
  <si>
    <t>Thị xã Vĩnh Long</t>
  </si>
  <si>
    <t>Huyện Bình Minh</t>
  </si>
  <si>
    <t>Huyện Long Hồ</t>
  </si>
  <si>
    <t>Huyện Mang Thít</t>
  </si>
  <si>
    <t>Huyện Tam Bình</t>
  </si>
  <si>
    <t>Huyện Trà Ôn</t>
  </si>
  <si>
    <t>Huyện Vũng Liêm</t>
  </si>
  <si>
    <t>63. Vĩnh Phúc</t>
  </si>
  <si>
    <t>Thị xã Phúc Yên</t>
  </si>
  <si>
    <t>Thị xã Vĩnh Yên</t>
  </si>
  <si>
    <t>Huyện Bình Xuyên</t>
  </si>
  <si>
    <t>Huyện Lập Thạch</t>
  </si>
  <si>
    <t>Huyện Mê Linh</t>
  </si>
  <si>
    <t>Huyện Yên Lạc</t>
  </si>
  <si>
    <t>64. Yên Bái</t>
  </si>
  <si>
    <t>Thành phố Yên Bái</t>
  </si>
  <si>
    <t>Thị xã Nghĩa Lộ</t>
  </si>
  <si>
    <t>Huyện Lục Yên</t>
  </si>
  <si>
    <t>Huyện Mù Căng Chải</t>
  </si>
  <si>
    <t>Huyện Trạm Tấu</t>
  </si>
  <si>
    <t>Huyện Trấn Yên</t>
  </si>
  <si>
    <t>Huyện Văn Chấn</t>
  </si>
  <si>
    <t>Huyện Văn Yên</t>
  </si>
  <si>
    <t>Huyện Yên Bình</t>
  </si>
  <si>
    <t>Quận Hai Bà Trưng</t>
  </si>
  <si>
    <t>Tỉnh, thành phố</t>
  </si>
  <si>
    <t>Huyện An Dương</t>
  </si>
  <si>
    <t>Huyện Thủy Nguyên</t>
  </si>
  <si>
    <t>Huyện Hoàng Sa</t>
  </si>
  <si>
    <t>01. Thủ đô Hà Nội</t>
  </si>
  <si>
    <t>02. TP Hồ Chí Minh</t>
  </si>
  <si>
    <t>03. TP Hải Phòng</t>
  </si>
  <si>
    <t>04. TP Đà Nẵng</t>
  </si>
  <si>
    <t>05. TP Cần Thơ</t>
  </si>
  <si>
    <t>06. An Giang</t>
  </si>
  <si>
    <t>07. Bà Rịa Vũng Tàu</t>
  </si>
  <si>
    <t>08. Bạc Liêu</t>
  </si>
  <si>
    <t>09. Bắc Giang</t>
  </si>
  <si>
    <t>Huyện Phước Long</t>
  </si>
  <si>
    <t>12. Bến Tre</t>
  </si>
  <si>
    <t>Huyện Lương Tài</t>
  </si>
  <si>
    <t>13. Bình Dương</t>
  </si>
  <si>
    <t>Huyện Chương Mỹ</t>
  </si>
  <si>
    <t>Huyện Hương Khê</t>
  </si>
  <si>
    <t>Huyện Hương Sơn</t>
  </si>
  <si>
    <t>29. Hải Dương</t>
  </si>
  <si>
    <t>Thành phố Hải Dương</t>
  </si>
  <si>
    <t>Huyện Kiên Lương</t>
  </si>
  <si>
    <t>Huyện Đơn Dương</t>
  </si>
  <si>
    <t>Huyện Lạc Dương</t>
  </si>
  <si>
    <t>Huyện Đô Lương</t>
  </si>
  <si>
    <t>Huyện Thanh Chương</t>
  </si>
  <si>
    <t>Huyện Tương Dương</t>
  </si>
  <si>
    <t>Huyện Dương Minh Châu</t>
  </si>
  <si>
    <t>Huyện Kiến Xương</t>
  </si>
  <si>
    <t>Huyện Phú Lương</t>
  </si>
  <si>
    <t>Huyện Quảng Xương</t>
  </si>
  <si>
    <t>Huyện Hương Thuỷ</t>
  </si>
  <si>
    <t>Huyện Hương Trà</t>
  </si>
  <si>
    <t>Huyện Sơn Dương</t>
  </si>
  <si>
    <t>Huyện Tam Dương</t>
  </si>
  <si>
    <t>15. Bình Phước</t>
  </si>
  <si>
    <t>Huyện Tuy Phước</t>
  </si>
  <si>
    <t>Huyện Cái Nước</t>
  </si>
  <si>
    <t>Huyện Cầu Đước</t>
  </si>
  <si>
    <t>Huyện Ninh Phước</t>
  </si>
  <si>
    <t>Huyện Phước Sơn</t>
  </si>
  <si>
    <t>Huyện Tiên Phước</t>
  </si>
  <si>
    <t>Huyện Hướng Hoá</t>
  </si>
  <si>
    <t>Huyện Bá Thước</t>
  </si>
  <si>
    <t>Huyện A Lưới</t>
  </si>
  <si>
    <t>Huyện Tân Phước</t>
  </si>
  <si>
    <t>Huyện Cư Jút</t>
  </si>
  <si>
    <t>Huyện Tháp Mười</t>
  </si>
  <si>
    <t>Huyện Chư Prông</t>
  </si>
  <si>
    <t>Huyện Chư Păh</t>
  </si>
  <si>
    <t>Huyện Chư Sê</t>
  </si>
  <si>
    <t>Huyện Thường Tín</t>
  </si>
  <si>
    <t>Huyện Đan Phượng</t>
  </si>
  <si>
    <t>Huyện Ứng Hoà</t>
  </si>
  <si>
    <t>31. Hòa Bình</t>
  </si>
  <si>
    <t>Thị xã Hưng Yên</t>
  </si>
  <si>
    <t>32. Hưng Yên</t>
  </si>
  <si>
    <t>Huyện Mường Tè</t>
  </si>
  <si>
    <t>Huyện Mường Lay</t>
  </si>
  <si>
    <t>Huyện Mường Nhé</t>
  </si>
  <si>
    <t>Huyện Trường Sa</t>
  </si>
  <si>
    <t>Huyện Tam Đường</t>
  </si>
  <si>
    <t>Huyện Mường Khương</t>
  </si>
  <si>
    <t>Huyện Xuân Trường</t>
  </si>
  <si>
    <t>Huyện Mường La</t>
  </si>
  <si>
    <t>Huyện Mường Lát</t>
  </si>
  <si>
    <t>Huyện Thường Xuân</t>
  </si>
  <si>
    <t>Huyện Vĩnh Tường</t>
  </si>
  <si>
    <t>Huyện Ý Yên</t>
  </si>
  <si>
    <t>Huyện Nghĩa Hưng</t>
  </si>
  <si>
    <t>Huyện Tân Hưng</t>
  </si>
  <si>
    <t>Huyện Vĩnh Hưng</t>
  </si>
  <si>
    <t>Huyện Quỳnh Lưu</t>
  </si>
  <si>
    <t>Huyện Hưng Nguyên</t>
  </si>
  <si>
    <t>Huyện Hoa Lư</t>
  </si>
  <si>
    <t>49. Quảng Ngãi</t>
  </si>
  <si>
    <t>Huyện Tư Nghĩa</t>
  </si>
  <si>
    <t>Huyện Yên Hưng</t>
  </si>
  <si>
    <t>Huyện Vũ Thư</t>
  </si>
  <si>
    <t>Huyện Đông Hưng</t>
  </si>
  <si>
    <t>Huyện Hưng Hà</t>
  </si>
  <si>
    <t>Huyện Như Thanh</t>
  </si>
  <si>
    <t>Huyện Như Xuân</t>
  </si>
  <si>
    <t>Huyện Công Long</t>
  </si>
  <si>
    <t>62. Vĩnh Long</t>
  </si>
  <si>
    <t>d</t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</si>
  <si>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F1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</si>
  <si>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F2</t>
    </r>
    <r>
      <rPr>
        <b/>
        <sz val="12"/>
        <rFont val=".VnTime"/>
        <family val="2"/>
      </rPr>
      <t/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</si>
  <si>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F3</t>
    </r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</si>
  <si>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</si>
  <si>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</si>
  <si>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</si>
  <si>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W</t>
    </r>
    <r>
      <rPr>
        <b/>
        <vertAlign val="subscript"/>
        <sz val="11"/>
        <rFont val="Calibri"/>
        <family val="2"/>
        <scheme val="minor"/>
      </rPr>
      <t>1p</t>
    </r>
  </si>
  <si>
    <r>
      <t>W</t>
    </r>
    <r>
      <rPr>
        <b/>
        <vertAlign val="subscript"/>
        <sz val="11"/>
        <rFont val="Calibri"/>
        <family val="2"/>
        <scheme val="minor"/>
      </rPr>
      <t>2p</t>
    </r>
  </si>
  <si>
    <r>
      <t>W</t>
    </r>
    <r>
      <rPr>
        <b/>
        <vertAlign val="subscript"/>
        <sz val="11"/>
        <rFont val="Calibri"/>
        <family val="2"/>
        <scheme val="minor"/>
      </rPr>
      <t>3p</t>
    </r>
  </si>
  <si>
    <t xml:space="preserve">Giá trị thành phần động của tải trọng gió ở độ cao z :  </t>
  </si>
  <si>
    <t>: Giá trị tiêu chuẩn thành phần động của tải trọng gió tác dụng</t>
  </si>
  <si>
    <t>: Giá trị thành phần tĩnh của tải trọng gió tại cao độ tầng thứ j</t>
  </si>
  <si>
    <t>: Hệ số áp lực động của tải trọng gió ở độ cao z (Tra bảng 8 -</t>
  </si>
  <si>
    <t>: Hệ số tương quan không gian áp lực động của tải trọng gió.</t>
  </si>
  <si>
    <t xml:space="preserve"> 5.2.1.</t>
  </si>
  <si>
    <t xml:space="preserve"> 5.2.2.</t>
  </si>
  <si>
    <t>Thành phần động theo phương X</t>
  </si>
  <si>
    <t>Thành phần động theo phương Y</t>
  </si>
  <si>
    <t xml:space="preserve"> (3.15)</t>
  </si>
  <si>
    <t>Loại nền đất</t>
  </si>
  <si>
    <t>S</t>
  </si>
  <si>
    <t>Ký hiệu</t>
  </si>
  <si>
    <t>Giá trị</t>
  </si>
  <si>
    <t xml:space="preserve">b </t>
  </si>
  <si>
    <t>q</t>
  </si>
  <si>
    <t xml:space="preserve"> (3.13)</t>
  </si>
  <si>
    <t xml:space="preserve"> (3.14)</t>
  </si>
  <si>
    <t xml:space="preserve"> (3.16)</t>
  </si>
  <si>
    <t>Bảng 3.1 Các loại nền đất:</t>
  </si>
  <si>
    <t>Loại</t>
  </si>
  <si>
    <t>MÔ TẢ</t>
  </si>
  <si>
    <t>Các tham số</t>
  </si>
  <si>
    <t>Vs,30(m/s)</t>
  </si>
  <si>
    <r>
      <t>N</t>
    </r>
    <r>
      <rPr>
        <b/>
        <vertAlign val="subscript"/>
        <sz val="12"/>
        <rFont val="Times New Roman"/>
        <family val="1"/>
      </rPr>
      <t>SPT</t>
    </r>
  </si>
  <si>
    <t>Đá hoặc các kiến tạo địa chất khác tựa đá, kể cả các đất</t>
  </si>
  <si>
    <t>&gt; 800</t>
  </si>
  <si>
    <t>Toạ độ</t>
  </si>
  <si>
    <t>Gia tốc nền (*)</t>
  </si>
  <si>
    <t>yếu hơn trên bề mặt với bề dày lớn nhất là 5m</t>
  </si>
  <si>
    <t>Kinh độ</t>
  </si>
  <si>
    <t>Vĩ độ</t>
  </si>
  <si>
    <t>Đất cát, cuội sỏi rất chặt hoặc đất sét rất cứng có bề</t>
  </si>
  <si>
    <t>360-800</t>
  </si>
  <si>
    <t>&gt; 50</t>
  </si>
  <si>
    <t>&gt; 250</t>
  </si>
  <si>
    <t xml:space="preserve">dày it nhất hàng chục mét, tính chất cơ học tăng dần </t>
  </si>
  <si>
    <t>theo độ sâu</t>
  </si>
  <si>
    <t>(P. Cống Vị)</t>
  </si>
  <si>
    <t>Đất cát cuội sỏi chặt, chặt vừa hoặc đất sét cứng có bề</t>
  </si>
  <si>
    <t>180-360</t>
  </si>
  <si>
    <t>15-50</t>
  </si>
  <si>
    <t>70-250</t>
  </si>
  <si>
    <t>(P. Quan Hoa)</t>
  </si>
  <si>
    <t>dày lớn từ hàng chục đến hàng trăm mét</t>
  </si>
  <si>
    <t>(P. Thổ Quan)</t>
  </si>
  <si>
    <t>D</t>
  </si>
  <si>
    <t xml:space="preserve">Đất rời, trạng thái từ xốp đến chặt vừa ( có hoặc không </t>
  </si>
  <si>
    <t>&lt; 180</t>
  </si>
  <si>
    <t>&lt; 15</t>
  </si>
  <si>
    <t>&lt; 70</t>
  </si>
  <si>
    <t>(P. Lê Đại Hành)</t>
  </si>
  <si>
    <t>xen kẹp vài lớp đất dính ) hoặc có đa phần đất dình</t>
  </si>
  <si>
    <t>(P. Hàng Trống)</t>
  </si>
  <si>
    <t>trạng thái từ mềm đến cứng vừa</t>
  </si>
  <si>
    <t>(P. Phương Mai)</t>
  </si>
  <si>
    <t>E</t>
  </si>
  <si>
    <t xml:space="preserve">Địa tầng bao gồm lớp đất trầm tích sông ở trên mặt với </t>
  </si>
  <si>
    <t>(P. Ngọc Thuỵ)</t>
  </si>
  <si>
    <t xml:space="preserve">bề dày trong khoảng 5-20m có giá trị tốc độ truyền sóng </t>
  </si>
  <si>
    <t>(P. Nhật Tân)</t>
  </si>
  <si>
    <t>như loại C, D và bên dưới là các đất cứng hơn với tốc độ</t>
  </si>
  <si>
    <t>(P. Thanh Xuân Bắc)</t>
  </si>
  <si>
    <t>truyền sóng vs &gt; 800 m/s</t>
  </si>
  <si>
    <t>(TT. Đông Anh)</t>
  </si>
  <si>
    <t>(TT. Trâu Quỳ)</t>
  </si>
  <si>
    <t>B¶ng 3.2 : Gi¸ trÞ cña c¸c tham sè m« t¶ c¸c phæ ph¶n øng ®µn håi</t>
  </si>
  <si>
    <t>(TT. Sóc Sơn)</t>
  </si>
  <si>
    <t>TB(s)</t>
  </si>
  <si>
    <t>TC(s)</t>
  </si>
  <si>
    <t>TD(s)</t>
  </si>
  <si>
    <t>(TT. Văn Điển)</t>
  </si>
  <si>
    <t>(TT. Cầu Diễn)</t>
  </si>
  <si>
    <t>(P. Bến Nghé)</t>
  </si>
  <si>
    <t>(P. An Phú)</t>
  </si>
  <si>
    <t>(P. 4)</t>
  </si>
  <si>
    <t>(P. 12)</t>
  </si>
  <si>
    <t>Bảng 5.1 : Giá trị cơ bản của hệ số ứng xử q0 cho hệ có sự đều đặn theo mặt đứng</t>
  </si>
  <si>
    <t>(P. 8)</t>
  </si>
  <si>
    <t>Loại kết cấu</t>
  </si>
  <si>
    <t>DCM</t>
  </si>
  <si>
    <t>DCH</t>
  </si>
  <si>
    <t>(P. 1)</t>
  </si>
  <si>
    <t>Hệ khung, hệ hỗn hợp, hệ tường kép</t>
  </si>
  <si>
    <t>(P. Phú Mỹ)</t>
  </si>
  <si>
    <t>Hệ không thuộc hệ tường kép</t>
  </si>
  <si>
    <t>(P. 11)</t>
  </si>
  <si>
    <t>Hệ dễ xoắn</t>
  </si>
  <si>
    <t>(P. Hiệp Phú)</t>
  </si>
  <si>
    <t>Hệ con lắc ngược</t>
  </si>
  <si>
    <t>(P. 14)</t>
  </si>
  <si>
    <t>(P. 10)</t>
  </si>
  <si>
    <t>Chú ý: với loại nhà không đều đặn theo mặt đứng, giá trị của qo cần được giảm xuống 20%</t>
  </si>
  <si>
    <t>(P. Tân Chánh Hiệp)</t>
  </si>
  <si>
    <r>
      <t>a</t>
    </r>
    <r>
      <rPr>
        <sz val="12"/>
        <rFont val="Times New Roman"/>
        <family val="1"/>
      </rPr>
      <t xml:space="preserve">1 và </t>
    </r>
    <r>
      <rPr>
        <sz val="12"/>
        <rFont val="Symbol"/>
        <family val="1"/>
        <charset val="2"/>
      </rPr>
      <t>a</t>
    </r>
    <r>
      <rPr>
        <sz val="12"/>
        <rFont val="Times New Roman"/>
        <family val="1"/>
      </rPr>
      <t>u được xác định như sau:</t>
    </r>
  </si>
  <si>
    <t>§Æc ®iÓm kÕt cÊu</t>
  </si>
  <si>
    <r>
      <t>a</t>
    </r>
    <r>
      <rPr>
        <vertAlign val="subscript"/>
        <sz val="12"/>
        <rFont val=".VnTime"/>
        <family val="2"/>
      </rPr>
      <t>u</t>
    </r>
    <r>
      <rPr>
        <sz val="12"/>
        <rFont val="Arial"/>
        <family val="2"/>
      </rPr>
      <t>/</t>
    </r>
    <r>
      <rPr>
        <sz val="12"/>
        <rFont val="Symbol"/>
        <family val="1"/>
        <charset val="2"/>
      </rPr>
      <t>a</t>
    </r>
    <r>
      <rPr>
        <vertAlign val="subscript"/>
        <sz val="12"/>
        <rFont val=".VnTime"/>
        <family val="2"/>
      </rPr>
      <t>1</t>
    </r>
  </si>
  <si>
    <t>Quận Tân Phú</t>
  </si>
  <si>
    <t>(P. Bình Thọ)</t>
  </si>
  <si>
    <t>(TT. An Lạc)</t>
  </si>
  <si>
    <t>(TT. Cần Giờ)</t>
  </si>
  <si>
    <t>(TT. Củ Chi)</t>
  </si>
  <si>
    <t>(TT. Hóc Môn)</t>
  </si>
  <si>
    <t>(TT. Nhà Bè)</t>
  </si>
  <si>
    <t>chọn</t>
  </si>
  <si>
    <r>
      <t>a</t>
    </r>
    <r>
      <rPr>
        <vertAlign val="subscript"/>
        <sz val="12"/>
        <rFont val="Symbol"/>
        <family val="1"/>
        <charset val="2"/>
      </rPr>
      <t>u</t>
    </r>
    <r>
      <rPr>
        <sz val="12"/>
        <rFont val="Symbol"/>
        <family val="1"/>
        <charset val="2"/>
      </rPr>
      <t>/a</t>
    </r>
    <r>
      <rPr>
        <vertAlign val="subscript"/>
        <sz val="12"/>
        <rFont val="Symbol"/>
        <family val="1"/>
        <charset val="2"/>
      </rPr>
      <t xml:space="preserve">1  </t>
    </r>
    <r>
      <rPr>
        <sz val="12"/>
        <rFont val="Symbol"/>
        <family val="1"/>
        <charset val="2"/>
      </rPr>
      <t xml:space="preserve"> =</t>
    </r>
  </si>
  <si>
    <t>( ≤ 1.5 )</t>
  </si>
  <si>
    <t>(P. Hoàng Văn Thụ)</t>
  </si>
  <si>
    <t>(P. Trần Thành Ngọ)</t>
  </si>
  <si>
    <t>Hệ số kw phản ánh dạng phá hoại thường gặp trong hệ kết cấu có tường và xđ như sau</t>
  </si>
  <si>
    <t>Đặc điểm kết cấu</t>
  </si>
  <si>
    <r>
      <t>k</t>
    </r>
    <r>
      <rPr>
        <vertAlign val="subscript"/>
        <sz val="12"/>
        <rFont val="Times New Roman"/>
        <family val="1"/>
      </rPr>
      <t>w</t>
    </r>
    <r>
      <rPr>
        <sz val="12"/>
        <rFont val=".VnTime"/>
        <family val="2"/>
      </rPr>
      <t/>
    </r>
  </si>
  <si>
    <t>(P. Cát Dài)</t>
  </si>
  <si>
    <t xml:space="preserve">    - Hệ khung hoặc hệ kết cấu hỗn hợp tương đương với khung:</t>
  </si>
  <si>
    <t>(P. Máy Tơ)</t>
  </si>
  <si>
    <t xml:space="preserve">    - Hệ tường hoặc hệ kết cấu hỗn hợp tương đương với tường và</t>
  </si>
  <si>
    <r>
      <t xml:space="preserve">(1 + </t>
    </r>
    <r>
      <rPr>
        <sz val="12"/>
        <rFont val="Symbol"/>
        <family val="1"/>
        <charset val="2"/>
      </rPr>
      <t>a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)/3</t>
    </r>
  </si>
  <si>
    <t>(P. Vạn Sơn)</t>
  </si>
  <si>
    <t xml:space="preserve">      hệ kết cấu dễ xoắn   </t>
  </si>
  <si>
    <t>(TT.  An Dương)</t>
  </si>
  <si>
    <t xml:space="preserve">           k =</t>
  </si>
  <si>
    <t>(TT. An Lão)</t>
  </si>
  <si>
    <t>trong đó ao - là tỷ số kích thước các tường trong hệ kết cấu</t>
  </si>
  <si>
    <t>(Bạch Long Vĩ)</t>
  </si>
  <si>
    <r>
      <t>a</t>
    </r>
    <r>
      <rPr>
        <sz val="12"/>
        <rFont val="Arial"/>
        <family val="2"/>
      </rPr>
      <t xml:space="preserve">o =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h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/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l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</t>
    </r>
  </si>
  <si>
    <t>(TT. Cát Bà)</t>
  </si>
  <si>
    <t>trong đó:</t>
  </si>
  <si>
    <t>(TT. Núi Đôi)</t>
  </si>
  <si>
    <r>
      <t xml:space="preserve">                  h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cao của tường thứ i</t>
    </r>
  </si>
  <si>
    <r>
      <t xml:space="preserve">                  l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dài của tường thứ i</t>
    </r>
  </si>
  <si>
    <t>(TT. Núi Đèo)</t>
  </si>
  <si>
    <t>(TT. Tiên Lãng)</t>
  </si>
  <si>
    <t>Bảng tính toán các hàm S, T</t>
  </si>
  <si>
    <t>(TT. Vĩnh Bao)</t>
  </si>
  <si>
    <r>
      <t>a</t>
    </r>
    <r>
      <rPr>
        <vertAlign val="subscript"/>
        <sz val="12"/>
        <rFont val="Times New Roman"/>
        <family val="1"/>
      </rPr>
      <t>gR</t>
    </r>
  </si>
  <si>
    <t>(P. Hai Châu)</t>
  </si>
  <si>
    <t>(P. Hoà Khánh)</t>
  </si>
  <si>
    <r>
      <t xml:space="preserve">  g</t>
    </r>
    <r>
      <rPr>
        <vertAlign val="subscript"/>
        <sz val="12"/>
        <rFont val="Times New Roman"/>
        <family val="1"/>
      </rPr>
      <t xml:space="preserve">1 </t>
    </r>
  </si>
  <si>
    <t>(P. Hoà Hai)</t>
  </si>
  <si>
    <r>
      <t>a</t>
    </r>
    <r>
      <rPr>
        <vertAlign val="subscript"/>
        <sz val="12"/>
        <rFont val="Times New Roman"/>
        <family val="1"/>
      </rPr>
      <t>g</t>
    </r>
  </si>
  <si>
    <t>(P. An Hai Đông)</t>
  </si>
  <si>
    <t>(P. Chính Gián)</t>
  </si>
  <si>
    <r>
      <t>q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</t>
    </r>
  </si>
  <si>
    <t>(TT. Hoà Thọ)</t>
  </si>
  <si>
    <t>(Đao)</t>
  </si>
  <si>
    <r>
      <t>k</t>
    </r>
    <r>
      <rPr>
        <vertAlign val="subscript"/>
        <sz val="12"/>
        <rFont val="Times New Roman"/>
        <family val="1"/>
      </rPr>
      <t>w</t>
    </r>
  </si>
  <si>
    <t>(TT. Cờ Đỏ)</t>
  </si>
  <si>
    <t>(TT. Thạch An)</t>
  </si>
  <si>
    <t>(TT. Thốt Nốt)</t>
  </si>
  <si>
    <t>(TT. Thới Lai)</t>
  </si>
  <si>
    <t>(P. Mỹ Bình)</t>
  </si>
  <si>
    <t>(P. Châu Phú A)</t>
  </si>
  <si>
    <t>(TT. An Phú)</t>
  </si>
  <si>
    <t>(TT. Cái Dầu)</t>
  </si>
  <si>
    <t>(TT. An Châu)</t>
  </si>
  <si>
    <t>(TT. Chợ Mới)</t>
  </si>
  <si>
    <t>(TT. Chợ Vàm)</t>
  </si>
  <si>
    <t>(TT. Tân Châu)</t>
  </si>
  <si>
    <t>(TT. Núi Sập)</t>
  </si>
  <si>
    <t>(TT. Tri Tôn)</t>
  </si>
  <si>
    <t>(TT. Nhà Bàng)</t>
  </si>
  <si>
    <t>(P. Phước Hiệp)</t>
  </si>
  <si>
    <t>(TT. Ngãi Giao)</t>
  </si>
  <si>
    <t>(Côn Đao)</t>
  </si>
  <si>
    <t>(TT. Đất Đỏ)</t>
  </si>
  <si>
    <t>(TT. Long Điền)</t>
  </si>
  <si>
    <t>(TT. Phú Mỹ)</t>
  </si>
  <si>
    <t>(TT. Phước Bửu)</t>
  </si>
  <si>
    <t>(P. 3)</t>
  </si>
  <si>
    <t>(TT. Gành Hào)</t>
  </si>
  <si>
    <t>(TT. Giá Rai)</t>
  </si>
  <si>
    <t>(TT. Ngan Dừa)</t>
  </si>
  <si>
    <t>(TT. Phước Long)</t>
  </si>
  <si>
    <t>(TT. Hoà Bình)</t>
  </si>
  <si>
    <t>(P. Trần Phú)</t>
  </si>
  <si>
    <t>(TT. Thắng)</t>
  </si>
  <si>
    <t>(TT. Vôi)</t>
  </si>
  <si>
    <t>(TT. Đồi Ngô)</t>
  </si>
  <si>
    <t>(TT. Chũ)</t>
  </si>
  <si>
    <t>(TT. Cao Thượng)</t>
  </si>
  <si>
    <t>(TT. Bích Động)</t>
  </si>
  <si>
    <t>(TT. Neo)</t>
  </si>
  <si>
    <t>(TT. Cầu Gồ)</t>
  </si>
  <si>
    <t>(P. Phùng Chí Kiên)</t>
  </si>
  <si>
    <t>(TT. Chợ Rã)</t>
  </si>
  <si>
    <t>(TT. Phủ Thông)</t>
  </si>
  <si>
    <t>(TT. Bằng Lũng)</t>
  </si>
  <si>
    <t>(TT. Yên Lạc)</t>
  </si>
  <si>
    <t>(TT. Ngân Sơn)</t>
  </si>
  <si>
    <t>(Bộc Bố)</t>
  </si>
  <si>
    <t>(P. Vũ Ninh)</t>
  </si>
  <si>
    <t>(TT. Gia Bình)</t>
  </si>
  <si>
    <t>(TT. Thứa)</t>
  </si>
  <si>
    <t>(TT. Phố Mới)</t>
  </si>
  <si>
    <t>(TT. Hồ)</t>
  </si>
  <si>
    <t>(TT. Lim)</t>
  </si>
  <si>
    <t>(TT. Từ Sơn)</t>
  </si>
  <si>
    <t>(TT. Chờ)</t>
  </si>
  <si>
    <t>(TT. Ba Tri)</t>
  </si>
  <si>
    <t>(TT. Bình Đại)</t>
  </si>
  <si>
    <t>(TT. Châu Thành)</t>
  </si>
  <si>
    <t>(TT. Chợ Lách)</t>
  </si>
  <si>
    <t>(TT. Giồng Trôm)</t>
  </si>
  <si>
    <t>(TT. Mỏ Cầy)</t>
  </si>
  <si>
    <t>(TT. Thạnh Phú)</t>
  </si>
  <si>
    <t>(P. Hiệp Thành)</t>
  </si>
  <si>
    <t>(TT. Mỹ Phước)</t>
  </si>
  <si>
    <t>(TT. Dầu Tiếng)</t>
  </si>
  <si>
    <t>(TT. Dĩ An)</t>
  </si>
  <si>
    <t>(TT. Phước Vĩnh)</t>
  </si>
  <si>
    <t>(TT. Uyên Hưng)</t>
  </si>
  <si>
    <t>(TT. Lái Thiêu)</t>
  </si>
  <si>
    <t>(P. Lê Lợi)</t>
  </si>
  <si>
    <t>(TT. Bình Định)</t>
  </si>
  <si>
    <t>(TT. Tăng Bạt Hổ)</t>
  </si>
  <si>
    <t>(TT. Bồng Sơn)</t>
  </si>
  <si>
    <t>(TT. Ngô Mây)</t>
  </si>
  <si>
    <t>(TT. Phù Mỹ)</t>
  </si>
  <si>
    <t>(TT. Phú Phong)</t>
  </si>
  <si>
    <t>(TT. Tuy Phước)</t>
  </si>
  <si>
    <t>(TT. Vân Canh)</t>
  </si>
  <si>
    <t>(TT. Vĩnh Thạnh)</t>
  </si>
  <si>
    <t>(P. Tân Phú)</t>
  </si>
  <si>
    <t>(TT. An Lộc)</t>
  </si>
  <si>
    <t>(TT. Đức Phong)</t>
  </si>
  <si>
    <t>(TT. Lộc Ninh)</t>
  </si>
  <si>
    <t>(TT. Chơn Thành)</t>
  </si>
  <si>
    <t>(TT. Đồng Phú)</t>
  </si>
  <si>
    <t>(TT. Thác Mơ)</t>
  </si>
  <si>
    <t>(P. Đức Thắng)</t>
  </si>
  <si>
    <t>(TT. Chợ Lầu)</t>
  </si>
  <si>
    <t>(TT. Võ Xu)</t>
  </si>
  <si>
    <t>(TT. La Gi)</t>
  </si>
  <si>
    <t>(TT. Ma Lâm)</t>
  </si>
  <si>
    <t>(TT. Thuận Nam)</t>
  </si>
  <si>
    <t>(TT. Phú Quý)</t>
  </si>
  <si>
    <t>(TT. Lạc Tánh)</t>
  </si>
  <si>
    <t>(TT. Liên Hương)</t>
  </si>
  <si>
    <t>(P. 5)</t>
  </si>
  <si>
    <t>(TT. Cái Nước)</t>
  </si>
  <si>
    <t>(TT. Đầm Dơi)</t>
  </si>
  <si>
    <t>(TT. Năm Căn)</t>
  </si>
  <si>
    <t>(TT. Cái Đôi Vòm)</t>
  </si>
  <si>
    <t>(TT. Thới Bình)</t>
  </si>
  <si>
    <t>(TT. Trần Văn Thời)</t>
  </si>
  <si>
    <t>(TT. U Minh)</t>
  </si>
  <si>
    <t>(P. Hợp Giang)</t>
  </si>
  <si>
    <t>(TT. Bao Lâm)</t>
  </si>
  <si>
    <t>(TT. Bao Lạc)</t>
  </si>
  <si>
    <t>(TT. Hà Quang)</t>
  </si>
  <si>
    <t>(TT. Hạ Lang)</t>
  </si>
  <si>
    <t>(TT. Nước Hai)</t>
  </si>
  <si>
    <t>(TT. Nguyên Bình)</t>
  </si>
  <si>
    <t>(TT. Tà Lùng)</t>
  </si>
  <si>
    <t>(TT. Quang Uyên)</t>
  </si>
  <si>
    <t>(TT. Đông Khê)</t>
  </si>
  <si>
    <t>(TT. Thông Nông)</t>
  </si>
  <si>
    <t>(TT. Hùng Quốc)</t>
  </si>
  <si>
    <t>(TT.Trùng Khánh)</t>
  </si>
  <si>
    <t>(P. Tự An)</t>
  </si>
  <si>
    <t>(TT. Buôn Đôn)</t>
  </si>
  <si>
    <t>(TT. Quang Phú)</t>
  </si>
  <si>
    <t>(TT. Ea Drăng)</t>
  </si>
  <si>
    <t>(TT. Ea Kar)</t>
  </si>
  <si>
    <t>(TT. Ea Sút)</t>
  </si>
  <si>
    <t>(TT. Buôn Trấp)</t>
  </si>
  <si>
    <t>(TT. Krông Kmar)</t>
  </si>
  <si>
    <t>(TT. Buôn Hồ)</t>
  </si>
  <si>
    <t>(TT. KRông Năng)</t>
  </si>
  <si>
    <t>(TT. Phước An)</t>
  </si>
  <si>
    <t>(TT. Liên Sơn)</t>
  </si>
  <si>
    <t>(TT. M'Đrắk)</t>
  </si>
  <si>
    <t>(TT. Ea T'Ling)</t>
  </si>
  <si>
    <t>(TT. Đăk Mil)</t>
  </si>
  <si>
    <t>(TT. Gia Nghĩa)</t>
  </si>
  <si>
    <t>(TT. Kiến Đức)</t>
  </si>
  <si>
    <t>(TT. Đăk Song)</t>
  </si>
  <si>
    <t>(TT. Đắk Mân)</t>
  </si>
  <si>
    <t>(P. Him Lam)</t>
  </si>
  <si>
    <t>(P. Na Lay)</t>
  </si>
  <si>
    <t>(TT. Mường Thanh)</t>
  </si>
  <si>
    <t>(TT. Điện Biên Đông)</t>
  </si>
  <si>
    <t>(TT. Mường Lay)</t>
  </si>
  <si>
    <t>(TT. Tủa Chùa)</t>
  </si>
  <si>
    <t>(TT. Tuần Giáo)</t>
  </si>
  <si>
    <t>(P. Thanh Bình)</t>
  </si>
  <si>
    <t>(TT. Xuân Lộc)</t>
  </si>
  <si>
    <t>(TT. Trang Bom)</t>
  </si>
  <si>
    <t>(TT. Định Quán)</t>
  </si>
  <si>
    <t>(TT. Long Thành)</t>
  </si>
  <si>
    <t>(TT. Nhơn Trạch)</t>
  </si>
  <si>
    <t>(TT. Tân Phú)</t>
  </si>
  <si>
    <t>(TT. Vĩnh An)</t>
  </si>
  <si>
    <t>(TT. Gia Ray)</t>
  </si>
  <si>
    <t>(TT. Mỹ Thọ)</t>
  </si>
  <si>
    <t>(TT. Cái Tàu Hạ)</t>
  </si>
  <si>
    <t>(TT. Hồng Ngự)</t>
  </si>
  <si>
    <t>(TT. Lai Vung)</t>
  </si>
  <si>
    <t>(TT. Lấp Vò)</t>
  </si>
  <si>
    <t>(TT. Tràm Chim)</t>
  </si>
  <si>
    <t>(TT. Sa Rài)</t>
  </si>
  <si>
    <t>(TT. Thanh Bình)</t>
  </si>
  <si>
    <t>(TT. Mỹ An)</t>
  </si>
  <si>
    <t>(P. Diên Hồng)</t>
  </si>
  <si>
    <t>(TT. An Khê)</t>
  </si>
  <si>
    <t>(TT. Ayun Pa)</t>
  </si>
  <si>
    <t>(TT. Phú Hoà)</t>
  </si>
  <si>
    <t>(TT. Chư Prông)</t>
  </si>
  <si>
    <t>(TT. Chư sê)</t>
  </si>
  <si>
    <t>(TT.  Đak Đoa)</t>
  </si>
  <si>
    <t>(Đak Pơ)</t>
  </si>
  <si>
    <t>(TT. Chư Ty)</t>
  </si>
  <si>
    <t>(TT. Ia Kha)</t>
  </si>
  <si>
    <t>(Kim Tân)</t>
  </si>
  <si>
    <t>(TT. Kbang)</t>
  </si>
  <si>
    <t>(TT. Kông Chro)</t>
  </si>
  <si>
    <t>(TT. Phú Túc)</t>
  </si>
  <si>
    <t>(TT. Kon Dơng)</t>
  </si>
  <si>
    <t>(TT. Bắc Mê)</t>
  </si>
  <si>
    <t>(TT. Việt Quang)</t>
  </si>
  <si>
    <t>(TT. Đồng Văn)</t>
  </si>
  <si>
    <t>(TT. Vinh Quang)</t>
  </si>
  <si>
    <t>(TT. Mèo Vạc)</t>
  </si>
  <si>
    <t>(Yên Bình)</t>
  </si>
  <si>
    <t>(TT. Tam Sơn)</t>
  </si>
  <si>
    <t>(TT. Vị Xuyên)</t>
  </si>
  <si>
    <t>(TT. Cốc Pài)</t>
  </si>
  <si>
    <t>(TT. Yên Minh)</t>
  </si>
  <si>
    <t>(P. Quang Trung)</t>
  </si>
  <si>
    <t>(TT. Bình Mỹ)</t>
  </si>
  <si>
    <t>(TT. Hòa Mạc)</t>
  </si>
  <si>
    <t>(TT. Quế)</t>
  </si>
  <si>
    <t>(TT. Vĩnh Trụ)</t>
  </si>
  <si>
    <t>(TT. Thanh Liêm)</t>
  </si>
  <si>
    <t>(P. Nguyễn Trãi)</t>
  </si>
  <si>
    <t>(TT. Ba Vì)</t>
  </si>
  <si>
    <t>(TT. Chúc Sơn)</t>
  </si>
  <si>
    <t>(TT. Phùng)</t>
  </si>
  <si>
    <t>(TT. Trôi)</t>
  </si>
  <si>
    <t>(TT. Tế Tiêu)</t>
  </si>
  <si>
    <t>(TT. Phú Xuyên)</t>
  </si>
  <si>
    <t>(TT. Phúc Thọ)</t>
  </si>
  <si>
    <t>(TT. Quốc Oai)</t>
  </si>
  <si>
    <t>(TT. Liên Quan)</t>
  </si>
  <si>
    <t>(TT. Kim Bài)</t>
  </si>
  <si>
    <t>(TT. Thường Tín)</t>
  </si>
  <si>
    <t>(TT. Vân Đình)</t>
  </si>
  <si>
    <t>(P. Bắc Hà)</t>
  </si>
  <si>
    <t>(P. Nam Hồng)</t>
  </si>
  <si>
    <t>(TT. Nghèn)</t>
  </si>
  <si>
    <t>(TT. Cẩm Xuyên)</t>
  </si>
  <si>
    <t>(TT. Đức Thọ)</t>
  </si>
  <si>
    <t>(TT. Hương Khê)</t>
  </si>
  <si>
    <t>(TT. Phố Châu)</t>
  </si>
  <si>
    <t>(TT. Kỳ Anh)</t>
  </si>
  <si>
    <t>(TT. Nghi Xuân)</t>
  </si>
  <si>
    <t>(TT. Cày)</t>
  </si>
  <si>
    <t>(TT. Vũ Quang)</t>
  </si>
  <si>
    <t>(TT. Kẻ Sặt)</t>
  </si>
  <si>
    <t>(TT. Lai Cách)</t>
  </si>
  <si>
    <t>(T.T Sao Đỏ)</t>
  </si>
  <si>
    <t>(TT. Gia Lộc)</t>
  </si>
  <si>
    <t>(TT. Phú Thái)</t>
  </si>
  <si>
    <t>(TT. An Lưu)</t>
  </si>
  <si>
    <t>(TT. Nam Sách)</t>
  </si>
  <si>
    <t>(TT. Ninh Giang)</t>
  </si>
  <si>
    <t>(TT. Thanh Hà)</t>
  </si>
  <si>
    <t>(TT. Thanh Miện)</t>
  </si>
  <si>
    <t>(TT. Tứ Kỳ)</t>
  </si>
  <si>
    <t>(P.5)</t>
  </si>
  <si>
    <t>(TT. Ngã Sáu)</t>
  </si>
  <si>
    <t>(TT. Tân Thuận)</t>
  </si>
  <si>
    <t>(TT. Long Mỹ)</t>
  </si>
  <si>
    <t>(TT. Phụng Hiệp)</t>
  </si>
  <si>
    <t>(TT. Nàng Màu)</t>
  </si>
  <si>
    <t>(P. Phương Lâm)</t>
  </si>
  <si>
    <t>(TT. Cao Phong)</t>
  </si>
  <si>
    <t>(TT.  Đà Bắc)</t>
  </si>
  <si>
    <t>(TT. Bo)</t>
  </si>
  <si>
    <t>(TT. Kỳ sơn)</t>
  </si>
  <si>
    <t>(TT. Vụ Ban)</t>
  </si>
  <si>
    <t>(TT. Chi Nê)</t>
  </si>
  <si>
    <t>(TT. Lương Sơn)</t>
  </si>
  <si>
    <t>(TT. Mai Châu)</t>
  </si>
  <si>
    <t>(TT. Mường Khến)</t>
  </si>
  <si>
    <t>(TT. Hàng Trạm)</t>
  </si>
  <si>
    <t>(P. Minh Khai)</t>
  </si>
  <si>
    <t>(TT. Ân Thi)</t>
  </si>
  <si>
    <t>(TT. Khoái Châu)</t>
  </si>
  <si>
    <t>(TT. Lương Hội)</t>
  </si>
  <si>
    <t>(TT. Bần Yên Nhân)</t>
  </si>
  <si>
    <t>(TT. Trần Cao)</t>
  </si>
  <si>
    <t>(TT. Vương)</t>
  </si>
  <si>
    <t>(TT. Văn Giang)</t>
  </si>
  <si>
    <t>(TT. Như Quỳnh)</t>
  </si>
  <si>
    <t>(TT. Yên Mỹ)</t>
  </si>
  <si>
    <t>(P. Tân Lập)</t>
  </si>
  <si>
    <t>(P. Ba Ngoi)</t>
  </si>
  <si>
    <t>(TT. Diên Khánh)</t>
  </si>
  <si>
    <t>(TT. Tô Hạp)</t>
  </si>
  <si>
    <t>(TT. Khánh Vĩnh)</t>
  </si>
  <si>
    <t>(TT. Ninh Hoà)</t>
  </si>
  <si>
    <t>(TT. Vạn Giã)</t>
  </si>
  <si>
    <t>(P. Đông Hồ)</t>
  </si>
  <si>
    <t>(P. Vĩnh Thanh Vân)</t>
  </si>
  <si>
    <t>(TT. Thứ Ba)</t>
  </si>
  <si>
    <t>(TT. Thứ Mười Một)</t>
  </si>
  <si>
    <t>(TT. Minh Lương)</t>
  </si>
  <si>
    <t>(TT. Giồng  Riềng)</t>
  </si>
  <si>
    <t>(TT. Gò Quao)</t>
  </si>
  <si>
    <t>(TT. Hòn Đất)</t>
  </si>
  <si>
    <t>(TT. Kiên Lương)</t>
  </si>
  <si>
    <t>(TT. Dương Đông)</t>
  </si>
  <si>
    <t>(TT. Tân Hiệp)</t>
  </si>
  <si>
    <t>(TT. Vĩnh Thuận)</t>
  </si>
  <si>
    <t>(P. Thắng Lợi)</t>
  </si>
  <si>
    <t>(TT. Đắk Glei)</t>
  </si>
  <si>
    <t>(TT. Đắk Hà)</t>
  </si>
  <si>
    <t>(TT. Đắk Tô)</t>
  </si>
  <si>
    <t>(Kon Leng)</t>
  </si>
  <si>
    <t>(TT. Tân Lập)</t>
  </si>
  <si>
    <t>(TT. Plei Kần)</t>
  </si>
  <si>
    <t>(TT. Sa Thầy)</t>
  </si>
  <si>
    <t>(TT. Mường Tè)</t>
  </si>
  <si>
    <t>(TT. Phong Thổ)</t>
  </si>
  <si>
    <t>(TT. Sìn Hồ)</t>
  </si>
  <si>
    <t>(TT. Tam Đường)</t>
  </si>
  <si>
    <t>(TT. Than Uyên)</t>
  </si>
  <si>
    <t>(P. Vĩnh Trại)</t>
  </si>
  <si>
    <t>(TT. Bắc Sơn)</t>
  </si>
  <si>
    <t>(TT. Bình Gia)</t>
  </si>
  <si>
    <t>(TT. Cao Lộc)</t>
  </si>
  <si>
    <t>(TT. Đồng Mỏ)</t>
  </si>
  <si>
    <t>(TT. Đình lập)</t>
  </si>
  <si>
    <t>(TT. Hữu Lũng)</t>
  </si>
  <si>
    <t>(TT. Lộc Bình)</t>
  </si>
  <si>
    <t>(TT. Thất Khê)</t>
  </si>
  <si>
    <t>(TT. Na Sầm)</t>
  </si>
  <si>
    <t>(TT. Văn Quan)</t>
  </si>
  <si>
    <t>(P. Cốc Lừu)</t>
  </si>
  <si>
    <t>(P. Pom Hán)</t>
  </si>
  <si>
    <t>(TT. Bắc Hà)</t>
  </si>
  <si>
    <t>(TT. Phố Lu)</t>
  </si>
  <si>
    <t>(TT. Phố Ràng)</t>
  </si>
  <si>
    <t>(TT. Bát Sát)</t>
  </si>
  <si>
    <t>(TT. Mường Khương)</t>
  </si>
  <si>
    <t>(TT. Sa Pa)</t>
  </si>
  <si>
    <t>(TT. Khánh Yên)</t>
  </si>
  <si>
    <t>(Si Ma Cai)</t>
  </si>
  <si>
    <t>(P. B'Lao)</t>
  </si>
  <si>
    <t>(TT. Lộc Thắng)</t>
  </si>
  <si>
    <t>(TT. Đồng Nai)</t>
  </si>
  <si>
    <t>(TT. Di Linh)</t>
  </si>
  <si>
    <t>(TT. Ma Đa Gui)</t>
  </si>
  <si>
    <t>(TT. Đạ Tẻh)</t>
  </si>
  <si>
    <t>(TT. Thạnh Mỹ )</t>
  </si>
  <si>
    <t>(TT. Liên Nghĩa)</t>
  </si>
  <si>
    <t>(TT. Đinh Văn)</t>
  </si>
  <si>
    <t>(TT. Lạc Dương)</t>
  </si>
  <si>
    <t>(TT. Bến Lức)</t>
  </si>
  <si>
    <t>(TT. Cần Giuộc)</t>
  </si>
  <si>
    <t>(TT. Cần Đước)</t>
  </si>
  <si>
    <t>(TT. Tầm Vu)</t>
  </si>
  <si>
    <t>(TT. Hậu Nghĩa)</t>
  </si>
  <si>
    <t>(TT. Đông Thành)</t>
  </si>
  <si>
    <t>(TT. Mộc Hoá)</t>
  </si>
  <si>
    <t>(TT. Tân Hưng)</t>
  </si>
  <si>
    <t>(TT. Tân Thạnh)</t>
  </si>
  <si>
    <t>(TT. Tân Trụ)</t>
  </si>
  <si>
    <t>(TT. Thạnh Hóa)</t>
  </si>
  <si>
    <t>(TT. Thủ Thừa)</t>
  </si>
  <si>
    <t>(TT. Vĩnh Hưng)</t>
  </si>
  <si>
    <t>(P. Ngô Quyền)</t>
  </si>
  <si>
    <t>(TT. Ngô Đồng)</t>
  </si>
  <si>
    <t>(TT. Yên Định)</t>
  </si>
  <si>
    <t>(TT. Mỹ Lộc)</t>
  </si>
  <si>
    <t>(TT. Nam Trực)</t>
  </si>
  <si>
    <t>(TT. Liễu Đề)</t>
  </si>
  <si>
    <t>(TT. Cổ Lễ)</t>
  </si>
  <si>
    <t>(TT. Gôi)</t>
  </si>
  <si>
    <t>(TT. Xuân Ngọc)</t>
  </si>
  <si>
    <t>(TT. Lâm)</t>
  </si>
  <si>
    <t>(P. Lê Mao)</t>
  </si>
  <si>
    <t>(P. Nghi Thuỷ)</t>
  </si>
  <si>
    <t>(TT. Anh Sơn)</t>
  </si>
  <si>
    <t>(TT. Con Cuông)</t>
  </si>
  <si>
    <t>(TT. Diễn Châu)</t>
  </si>
  <si>
    <t>(TT. Đô Lương)</t>
  </si>
  <si>
    <t>(TT. Hưng Nguyên)</t>
  </si>
  <si>
    <t>(TT. Mường Xén)</t>
  </si>
  <si>
    <t>(TT. Nam Đàn)</t>
  </si>
  <si>
    <t>(TT. Quán Hành)</t>
  </si>
  <si>
    <t>(TT. Thái Hoà)</t>
  </si>
  <si>
    <t>(TT. Kim Sơn)</t>
  </si>
  <si>
    <t>(TT. Quỳ Châu)</t>
  </si>
  <si>
    <t>(TT. Quỳ Hợp)</t>
  </si>
  <si>
    <t>(TT. Cầu Giát)</t>
  </si>
  <si>
    <t>(TT. Tân Kỳ)</t>
  </si>
  <si>
    <t>(TT. Thanh Chương)</t>
  </si>
  <si>
    <t>(P. Bắc Sơn)</t>
  </si>
  <si>
    <t>(TT. Me)</t>
  </si>
  <si>
    <t>(TT. Hoa Lư)</t>
  </si>
  <si>
    <t>(TT. Phát Diệm)</t>
  </si>
  <si>
    <t>(TT. Nho Quan)</t>
  </si>
  <si>
    <t>(TT. Yên Ninh)</t>
  </si>
  <si>
    <t>(TT. Yên Thịnh)</t>
  </si>
  <si>
    <t>(P. Mỹ Hương)</t>
  </si>
  <si>
    <t>(TT. Bác ái)</t>
  </si>
  <si>
    <t>(TT. Khánh Hai)</t>
  </si>
  <si>
    <t>(TT. Phước Dân)</t>
  </si>
  <si>
    <t>(TT. Tân Sơn)</t>
  </si>
  <si>
    <t>(P. Thọ Sơn)</t>
  </si>
  <si>
    <t>(P. Âu Cơ)</t>
  </si>
  <si>
    <t>(TT. Đoan Hùng)</t>
  </si>
  <si>
    <t>(TT. Hạ Hoà)</t>
  </si>
  <si>
    <t>(TT. Lâm Thao)</t>
  </si>
  <si>
    <t>(TT. Phong Châu)</t>
  </si>
  <si>
    <t>(TT. Sông Thao)</t>
  </si>
  <si>
    <t>(TT. Hưng Hoá)</t>
  </si>
  <si>
    <t>(TT. Thanh Ba)</t>
  </si>
  <si>
    <t>(TT. Thanh Sơn)</t>
  </si>
  <si>
    <t>(TT. Thanh Thuỷ)</t>
  </si>
  <si>
    <t>(TT.Yên Lập)</t>
  </si>
  <si>
    <t>(TT. La Hai)</t>
  </si>
  <si>
    <t>(Hoà Mỹ Đông)</t>
  </si>
  <si>
    <t>(TT. Sông Cầu)</t>
  </si>
  <si>
    <t>(TT. Hai Riêng)</t>
  </si>
  <si>
    <t>(TT. Củng Sơn)</t>
  </si>
  <si>
    <t>(TT. Chí Thạnh)</t>
  </si>
  <si>
    <t>(TT. Phú Lâm)</t>
  </si>
  <si>
    <t>(P. Hai Đình)</t>
  </si>
  <si>
    <t>(TT. Hoàn Lão)</t>
  </si>
  <si>
    <t>(TT. Kiến Giang)</t>
  </si>
  <si>
    <t>(TT. Quy Đạt)</t>
  </si>
  <si>
    <t>(TT. Quán Hầu)</t>
  </si>
  <si>
    <t>(TT. Ba Đồn)</t>
  </si>
  <si>
    <t>(TT. Đồng Lê)</t>
  </si>
  <si>
    <t>(P. An Xuân)</t>
  </si>
  <si>
    <t>(P. Minh An)</t>
  </si>
  <si>
    <t>(TT. Trà My)</t>
  </si>
  <si>
    <t>(TT. Nam Phước)</t>
  </si>
  <si>
    <t>(TT. ái Nghĩa)</t>
  </si>
  <si>
    <t>(TT. Vĩnh Điện)</t>
  </si>
  <si>
    <t>(TT. P Rao)</t>
  </si>
  <si>
    <t>(TT. Tân An)</t>
  </si>
  <si>
    <t>(TT. Thạch Mỹ)</t>
  </si>
  <si>
    <t>(Trà Mai)</t>
  </si>
  <si>
    <t>(TT. Núi Thành)</t>
  </si>
  <si>
    <t>(TT. Khâm Đức)</t>
  </si>
  <si>
    <t>(TT. Đông Phú)</t>
  </si>
  <si>
    <t>(Plăng)</t>
  </si>
  <si>
    <t>(TT. Hà Lam)</t>
  </si>
  <si>
    <t>(TT. Tiên Kỳ)</t>
  </si>
  <si>
    <t>(P. Trần Hưng Đạo)</t>
  </si>
  <si>
    <t>(TT. Ba Tơ)</t>
  </si>
  <si>
    <t>(TT. Châu ổ)</t>
  </si>
  <si>
    <t>(TT. Đức Phổ)</t>
  </si>
  <si>
    <t>(TT. Lý Sơn)</t>
  </si>
  <si>
    <t>(TT. Long Hiệp)</t>
  </si>
  <si>
    <t>(TT. Mộ Đức)</t>
  </si>
  <si>
    <t>(TT. Chợ Chùa)</t>
  </si>
  <si>
    <t>(TT. Di Lăng)</t>
  </si>
  <si>
    <t>(Sơn Dung)</t>
  </si>
  <si>
    <t>(TT. Sơn Tịnh)</t>
  </si>
  <si>
    <t>(TT. Trà Xuân)</t>
  </si>
  <si>
    <t>(TT. La Hà)</t>
  </si>
  <si>
    <t>(P. Hồng Gai)</t>
  </si>
  <si>
    <t>(P. Cẩm Thành)</t>
  </si>
  <si>
    <t>(P. Trưng Vương)</t>
  </si>
  <si>
    <t>(TT. Ba Chẽ)</t>
  </si>
  <si>
    <t>(TT. Bình Liêu)</t>
  </si>
  <si>
    <t>(TT. Đầm Hà)</t>
  </si>
  <si>
    <t>(TT. Đông Triều)</t>
  </si>
  <si>
    <t>(TT. Quang Hà)</t>
  </si>
  <si>
    <t>(TT. Trới)</t>
  </si>
  <si>
    <t>(TT. Tiên Yên)</t>
  </si>
  <si>
    <t>(TT. Cái Rồng)</t>
  </si>
  <si>
    <t>(TT. Quang Yên)</t>
  </si>
  <si>
    <t>(TT. Cam Lộ)</t>
  </si>
  <si>
    <t>(TT. Đa Krông)</t>
  </si>
  <si>
    <t>(TT. Gio Linh)</t>
  </si>
  <si>
    <t>(TT. Hai Lăng)</t>
  </si>
  <si>
    <t>(TT. Khe Sanh)</t>
  </si>
  <si>
    <t>(TT. ái Tử)</t>
  </si>
  <si>
    <t>(TT. Hồ Xá)</t>
  </si>
  <si>
    <t>(P. 2)</t>
  </si>
  <si>
    <t>(TT. Vĩnh Châu)</t>
  </si>
  <si>
    <t>(TT. Kế Sách)</t>
  </si>
  <si>
    <t>(TT. Long Phú)</t>
  </si>
  <si>
    <t>(TT. Huỳnh Hữu Nghĩa)</t>
  </si>
  <si>
    <t>(TT. Mỹ Xuyên)</t>
  </si>
  <si>
    <t>(TT. Ngã Năm)</t>
  </si>
  <si>
    <t>(TT. Phú Lộc)</t>
  </si>
  <si>
    <t>(P. Chiềng Lề)</t>
  </si>
  <si>
    <t>(TT. Bắc Yên)</t>
  </si>
  <si>
    <t>(TT. Hát Lót)</t>
  </si>
  <si>
    <t>(TT. Mộc Châu)</t>
  </si>
  <si>
    <t>(TT. Mường La)</t>
  </si>
  <si>
    <t>(TT. Phù Yên)</t>
  </si>
  <si>
    <t>(TT. Quỳnh Nhai)</t>
  </si>
  <si>
    <t>(TT. Sông Mã)</t>
  </si>
  <si>
    <t>(TT. Sốp Cộp)</t>
  </si>
  <si>
    <t>(TT. Thuận Châu)</t>
  </si>
  <si>
    <t>(TT. Yên Châu)</t>
  </si>
  <si>
    <t>(TT. Bến Cầu)</t>
  </si>
  <si>
    <t>(TT. Dương Minh Châu)</t>
  </si>
  <si>
    <t>(TT. Gò Dầu)</t>
  </si>
  <si>
    <t>(TT. Hoà Thành)</t>
  </si>
  <si>
    <t>(TT. Tân Biên)</t>
  </si>
  <si>
    <t>(TT. Trang Bàng)</t>
  </si>
  <si>
    <t>(P. Lê Hồng Phong)</t>
  </si>
  <si>
    <t>(TT. Đông Hưng)</t>
  </si>
  <si>
    <t>(TT. Hưng Hà)</t>
  </si>
  <si>
    <t>(TT. Kiến Xương)</t>
  </si>
  <si>
    <t>(TT. Quỳnh Côi)</t>
  </si>
  <si>
    <t>(TT. Diêm Điền)</t>
  </si>
  <si>
    <t>(TT. Tiền Hai)</t>
  </si>
  <si>
    <t>(TT. Vũ Thư)</t>
  </si>
  <si>
    <t>(P. Tân Quang)</t>
  </si>
  <si>
    <t>(TT. Đại Từ)</t>
  </si>
  <si>
    <t>(TT. Chợ Chu)</t>
  </si>
  <si>
    <t>(TT. Chùa Hang)</t>
  </si>
  <si>
    <t>(TT. Ba Hàng)</t>
  </si>
  <si>
    <t>(TT. úc Sơn)</t>
  </si>
  <si>
    <t>(TT. Đu)</t>
  </si>
  <si>
    <t>(TT. Đình Ca)</t>
  </si>
  <si>
    <t>(P. Điện Biên)</t>
  </si>
  <si>
    <t>(TT. Cành Nàng)</t>
  </si>
  <si>
    <t>(TT. Cẩm Thuỷ)</t>
  </si>
  <si>
    <t>(TT. Rừng Thông )</t>
  </si>
  <si>
    <t>(TT. Hà Trung)</t>
  </si>
  <si>
    <t>(TT. Hậu Lộc)</t>
  </si>
  <si>
    <t>(TT. Bút Sơn)</t>
  </si>
  <si>
    <t>(TT. Lang Chánh)</t>
  </si>
  <si>
    <t>(TT. Mường Lát)</t>
  </si>
  <si>
    <t>(TT. Nga Sơn)</t>
  </si>
  <si>
    <t>(TT. Ngọc Lạc)</t>
  </si>
  <si>
    <t>(TT. Như Thanh)</t>
  </si>
  <si>
    <t>(TT. Yên Cát)</t>
  </si>
  <si>
    <t>(TT. Nông Cống)</t>
  </si>
  <si>
    <t>(TT. Quang Xương)</t>
  </si>
  <si>
    <t>(TT. Quan Hoá)</t>
  </si>
  <si>
    <t>(TT. Quan Sơn )</t>
  </si>
  <si>
    <t>(TT. Kim Tân)</t>
  </si>
  <si>
    <t>(TT. Thọ Xuân)</t>
  </si>
  <si>
    <t>(TT. Thường Xuân)</t>
  </si>
  <si>
    <t>(TT. Vạn Hà)</t>
  </si>
  <si>
    <t>(TT. Tĩnh Gia)</t>
  </si>
  <si>
    <t>(TT. Triệu Sơn)</t>
  </si>
  <si>
    <t>(TT. Vĩnh Lộc)</t>
  </si>
  <si>
    <t>(TT. Quán lão)</t>
  </si>
  <si>
    <t>(P. Phú Hội)</t>
  </si>
  <si>
    <t>(TT. A Lưới)</t>
  </si>
  <si>
    <t>(TT. Phú Bài)</t>
  </si>
  <si>
    <t>(TT. Tứ Hạ)</t>
  </si>
  <si>
    <t>(TT. Khe Tre)</t>
  </si>
  <si>
    <t>(TT. Phú Vang)</t>
  </si>
  <si>
    <t>(TT. Phong Điền)</t>
  </si>
  <si>
    <t>(TT. Sịa)</t>
  </si>
  <si>
    <t>(TT. Cái Bè)</t>
  </si>
  <si>
    <t>(TT. Cai Lậy)</t>
  </si>
  <si>
    <t>(TT. Chợ Gạo)</t>
  </si>
  <si>
    <t>(TT. Tân Hoà)</t>
  </si>
  <si>
    <t>(TT. Vĩnh Bình)</t>
  </si>
  <si>
    <t>(TT. Càng Long)</t>
  </si>
  <si>
    <t>(TT. Cầu Kè)</t>
  </si>
  <si>
    <t>(TT. Cầu Ngang)</t>
  </si>
  <si>
    <t>(TT. Duyên Hai)</t>
  </si>
  <si>
    <t>(TT. Tiểu Cần)</t>
  </si>
  <si>
    <t>(TT. Trà Cú)</t>
  </si>
  <si>
    <t>(P. Minh Xuân)</t>
  </si>
  <si>
    <t>(TT. Tân Yên)</t>
  </si>
  <si>
    <t>(TT. Na Hang)</t>
  </si>
  <si>
    <t>(TT. Sơn Dương)</t>
  </si>
  <si>
    <t>(TT. Yên Sơn)</t>
  </si>
  <si>
    <t>(TT. Cái Vồn)</t>
  </si>
  <si>
    <t>(TT. Long Hồ)</t>
  </si>
  <si>
    <t>(TT. Cái Nhum)</t>
  </si>
  <si>
    <t>(TT. Tam Bình)</t>
  </si>
  <si>
    <t>(TT. Trà Ôn)</t>
  </si>
  <si>
    <t>(TT. Vũng Liêm)</t>
  </si>
  <si>
    <t>(TT. Phúc Yên)</t>
  </si>
  <si>
    <t>(P. Liên Bao)</t>
  </si>
  <si>
    <t>(TT. Hương Canh)</t>
  </si>
  <si>
    <t>(TT. Lập Thạch)</t>
  </si>
  <si>
    <t>(TT. Tam Dương)</t>
  </si>
  <si>
    <t>(TT. Vĩnh Tường)</t>
  </si>
  <si>
    <t>(P. Nguyễn Thái Học)</t>
  </si>
  <si>
    <t>(P. Trung Tâm)</t>
  </si>
  <si>
    <t>(TT. Yên Thế)</t>
  </si>
  <si>
    <t>(TT. Mù Căng Chai)</t>
  </si>
  <si>
    <t>(TT. Trạm tấu)</t>
  </si>
  <si>
    <t>(TT. Cổ Phúc)</t>
  </si>
  <si>
    <t>(TTNT. Liên Sơn)</t>
  </si>
  <si>
    <t>(TT. Mậu A)</t>
  </si>
  <si>
    <t>(TT. Yên Bình)</t>
  </si>
  <si>
    <t>(*) - Đỉnh gia tốc nền agR đã được quy đổi theo gia tốc trọng trưường g</t>
  </si>
  <si>
    <t>Địa điểm đo</t>
  </si>
  <si>
    <t>Quận Hải An</t>
  </si>
  <si>
    <t>Huyện Đông Hai</t>
  </si>
  <si>
    <t>Huyện Pắc Nặm</t>
  </si>
  <si>
    <t>Thị Xã Cam Đường</t>
  </si>
  <si>
    <t>Cu (Pa)</t>
  </si>
  <si>
    <t>Phổ thiết kế không thứ nguyên</t>
  </si>
  <si>
    <t xml:space="preserve"> 6.2.</t>
  </si>
  <si>
    <t xml:space="preserve"> 6.2.1.</t>
  </si>
  <si>
    <t xml:space="preserve"> 6.2.2.</t>
  </si>
  <si>
    <t>VÙNG ÁP LỰC GIÓ</t>
  </si>
  <si>
    <t>Địa diểm đo</t>
  </si>
  <si>
    <t>Bảng tra Tải trọng gió - Động đất - Lãnh thổ Việt Nam</t>
  </si>
  <si>
    <t>Hệ số tầm quan trọng</t>
  </si>
  <si>
    <t>Giá trị cơ bản của hệ số ứng xử</t>
  </si>
  <si>
    <t>q =</t>
  </si>
  <si>
    <t>b</t>
  </si>
  <si>
    <t>(3.15)</t>
  </si>
  <si>
    <t>(3.16)</t>
  </si>
  <si>
    <t>Frame system, dual system, coupled wall system</t>
  </si>
  <si>
    <t>3.0 * au/a1</t>
  </si>
  <si>
    <t>Uncoupled wall system</t>
  </si>
  <si>
    <t>Torsionally flexible system</t>
  </si>
  <si>
    <t>Inverted pendulum system</t>
  </si>
  <si>
    <t>Structural type</t>
  </si>
  <si>
    <r>
      <t>4.5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</si>
  <si>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r>
      <t>4.0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</si>
  <si>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t>Nhà một tầng</t>
  </si>
  <si>
    <t>Khung nhiều tầng, một nhịp</t>
  </si>
  <si>
    <t>Khung nhiều tầng, nhiều nhịp</t>
  </si>
  <si>
    <t>Hệ kết cấu hỗn hợp tương đương với khung</t>
  </si>
  <si>
    <t>Hệ tường kép</t>
  </si>
  <si>
    <t>Hệ kết cấu hỗn hợp tương đương với tường</t>
  </si>
  <si>
    <t>One-storey buildings</t>
  </si>
  <si>
    <t>Multistorey, one-bay frames</t>
  </si>
  <si>
    <t>Multistorey, multi-bay frames</t>
  </si>
  <si>
    <t>Frame-equivalent dual structures</t>
  </si>
  <si>
    <t>Hệ tường chỉ có 2 tường không phải là tường kép</t>
  </si>
  <si>
    <t>Các hệ tường không phải là tường kép</t>
  </si>
  <si>
    <t>Wall systems with only two uncoupled walls per horizontal direction</t>
  </si>
  <si>
    <t>Other uncoupled wall systems</t>
  </si>
  <si>
    <t>Coupled wall systems</t>
  </si>
  <si>
    <t>Wall-equivalent dual systems</t>
  </si>
  <si>
    <t>Hệ khung hoặc hệ kết cấu hỗn hợp tương đương với khung</t>
  </si>
  <si>
    <t>Hệ tường hoặc hệ kết cấu hỗn hợp tương đương với tường</t>
  </si>
  <si>
    <t>Frames or frame-equivalent dual systems</t>
  </si>
  <si>
    <t>Wall or wall-equivalent dual systems</t>
  </si>
  <si>
    <t xml:space="preserve"> Hệ kết cấu tương đương</t>
  </si>
  <si>
    <t>Cấp dẻo trung bình</t>
  </si>
  <si>
    <t>Dutility class medium</t>
  </si>
  <si>
    <t>Cấp dẻo cao</t>
  </si>
  <si>
    <t>Dutility class high</t>
  </si>
  <si>
    <t xml:space="preserve"> Phân loại kết cấu</t>
  </si>
  <si>
    <t>T (s)</t>
  </si>
  <si>
    <t>Hệ số đều đặn mặt đứng</t>
  </si>
  <si>
    <r>
      <t>(*) Loại đất nền (Tra Bảng 3.1)/</t>
    </r>
    <r>
      <rPr>
        <i/>
        <sz val="10"/>
        <color rgb="FFC00000"/>
        <rFont val="Calibri"/>
        <family val="2"/>
        <scheme val="minor"/>
      </rPr>
      <t xml:space="preserve"> Ground type (Refer Table 3.1)</t>
    </r>
  </si>
  <si>
    <r>
      <rPr>
        <sz val="11"/>
        <rFont val="Calibri"/>
        <family val="2"/>
        <scheme val="minor"/>
      </rPr>
      <t>(Tra Bảng 3.2)</t>
    </r>
    <r>
      <rPr>
        <i/>
        <sz val="10"/>
        <color rgb="FFC00000"/>
        <rFont val="Calibri"/>
        <family val="2"/>
        <scheme val="minor"/>
      </rPr>
      <t xml:space="preserve">/ Value of parameters describing the recommended </t>
    </r>
  </si>
  <si>
    <t>elastic response spectra (Refer Table 3.2)</t>
  </si>
  <si>
    <t xml:space="preserve"> Các hệ số liên quan</t>
  </si>
  <si>
    <t xml:space="preserve"> Giá trị cơ bản của hệ số ứng xử</t>
  </si>
  <si>
    <t xml:space="preserve"> Đỉnh gia tốc nền tham chiếu</t>
  </si>
  <si>
    <t>TE(s)</t>
  </si>
  <si>
    <t>TF(s)</t>
  </si>
  <si>
    <t>(**) Tham số mô tả các phổ phản ứng đàn hồi</t>
  </si>
  <si>
    <t xml:space="preserve">Tham số mô tả phổ phản ứng đàn hồi (Bảng 3.2)/ </t>
  </si>
  <si>
    <t>T&lt;TB</t>
  </si>
  <si>
    <t>TB&lt;T&lt;TC</t>
  </si>
  <si>
    <t>TC&lt;T&lt;TD</t>
  </si>
  <si>
    <t>TD&lt;T&lt;TE</t>
  </si>
  <si>
    <t>TE&lt;T</t>
  </si>
  <si>
    <t>Cvij</t>
  </si>
  <si>
    <t>®</t>
  </si>
  <si>
    <t>(*) Loại đất nền (Tra bảng 3.1)/</t>
  </si>
  <si>
    <t>English</t>
  </si>
  <si>
    <t>Lớp gạch lát</t>
  </si>
  <si>
    <t>Lớp vật liệu chống thấm</t>
  </si>
  <si>
    <t>Lớp vật liệu cách nhiệt</t>
  </si>
  <si>
    <t>Lớp đất trồng cây</t>
  </si>
  <si>
    <t>Mặt bậc thang lát đá</t>
  </si>
  <si>
    <t>Bậc thang xây gạch</t>
  </si>
  <si>
    <t>Bản thang bê tông cốt thép</t>
  </si>
  <si>
    <t>Các lớp cấu tạo mặt đường</t>
  </si>
  <si>
    <t>Tile layer</t>
  </si>
  <si>
    <t>Waterproofing material layers</t>
  </si>
  <si>
    <t>Heat-insulated material layers</t>
  </si>
  <si>
    <t>Tilth layers</t>
  </si>
  <si>
    <t>Stairs surface paved by stone</t>
  </si>
  <si>
    <t>Stairs built by bricks</t>
  </si>
  <si>
    <t>Staircase's slab by RC</t>
  </si>
  <si>
    <t>Road surface's forming layers</t>
  </si>
  <si>
    <t>Bedrooms</t>
  </si>
  <si>
    <t>Room types</t>
  </si>
  <si>
    <t>Building types and features</t>
  </si>
  <si>
    <t>Dining rooms, lounge rooms</t>
  </si>
  <si>
    <t>Toilets</t>
  </si>
  <si>
    <t>Kitchens, laudry rooms</t>
  </si>
  <si>
    <t>Offices, laboratories</t>
  </si>
  <si>
    <t>Boiler rooms,... including mass of machines</t>
  </si>
  <si>
    <t>Technical rooms,... including mass of machines</t>
  </si>
  <si>
    <t>Reading rooms</t>
  </si>
  <si>
    <t>Shops and restaurants</t>
  </si>
  <si>
    <t>Meeting rooms, waiting rooms</t>
  </si>
  <si>
    <t>Dancing rooms, concert hall</t>
  </si>
  <si>
    <t>Gymnasiums, spectator stands</t>
  </si>
  <si>
    <t>Stages</t>
  </si>
  <si>
    <t>Warehouses</t>
  </si>
  <si>
    <t>Classrooms</t>
  </si>
  <si>
    <t>Factories, workshops</t>
  </si>
  <si>
    <t>Attic rooms</t>
  </si>
  <si>
    <t>Balcony and terrasse</t>
  </si>
  <si>
    <t>Entrance halls, lobbies</t>
  </si>
  <si>
    <t>Stairs, corridors connecting to other rooms</t>
  </si>
  <si>
    <t>Mezzanines</t>
  </si>
  <si>
    <t>Livestock farms</t>
  </si>
  <si>
    <t>Roof which can be used</t>
  </si>
  <si>
    <t>Unused roofs</t>
  </si>
  <si>
    <t>Platforms of railway and subway stations</t>
  </si>
  <si>
    <t>Garages</t>
  </si>
  <si>
    <t>Hotel, hospital, prisons</t>
  </si>
  <si>
    <t>Dwelling house</t>
  </si>
  <si>
    <t>Kindergartens, maternity schools</t>
  </si>
  <si>
    <t>Boarding schools</t>
  </si>
  <si>
    <t>Resort houses, sanitarium</t>
  </si>
  <si>
    <t>Old people homes</t>
  </si>
  <si>
    <t>Kindergartens, maternity schools, schools</t>
  </si>
  <si>
    <t>Hotels, hospitals</t>
  </si>
  <si>
    <t>Prisons, factories</t>
  </si>
  <si>
    <t>Office buildings, banks</t>
  </si>
  <si>
    <t>Schools, hospitals</t>
  </si>
  <si>
    <t>Research institutions</t>
  </si>
  <si>
    <t>Multi-story buildings</t>
  </si>
  <si>
    <t>Old people homes, sanatoriums</t>
  </si>
  <si>
    <t>With bookshelves</t>
  </si>
  <si>
    <t>Without bookshelves</t>
  </si>
  <si>
    <t>Shops, showrooms, exhibitions</t>
  </si>
  <si>
    <t>Restaurants, Food and drinks</t>
  </si>
  <si>
    <t>With fixed seats</t>
  </si>
  <si>
    <t>Without fixed seats</t>
  </si>
  <si>
    <t>Archives (full loaded)</t>
  </si>
  <si>
    <t>Bookstores in a library</t>
  </si>
  <si>
    <t>Paper stores</t>
  </si>
  <si>
    <t>Freezing stores</t>
  </si>
  <si>
    <t>Schools</t>
  </si>
  <si>
    <t>Foundry</t>
  </si>
  <si>
    <t>Large workshops with machines and paths inside</t>
  </si>
  <si>
    <t>All kind of buildings</t>
  </si>
  <si>
    <t>Loads evenly distributed on bands of 0.8 m wide along balustrade, balcony, loggia</t>
  </si>
  <si>
    <t xml:space="preserve">Loads evenly distributed on the whole area of 
balcony, loggia </t>
  </si>
  <si>
    <t>Toilets, laundries</t>
  </si>
  <si>
    <t>Bedrooms, kitchens, technical servicing rooms</t>
  </si>
  <si>
    <t>Restaurants, meeting halls, auditoria</t>
  </si>
  <si>
    <t>Concert halls, dancing halls, gymnasias</t>
  </si>
  <si>
    <t>Stores, balconies, loggias</t>
  </si>
  <si>
    <t>Workshops servicing vehicles with weight &lt; 2500 kg</t>
  </si>
  <si>
    <t>Small livestock</t>
  </si>
  <si>
    <t>Big livestock</t>
  </si>
  <si>
    <t>Part of roof that can accommodate a crowd of people</t>
  </si>
  <si>
    <t>Part of roof used for relaxation</t>
  </si>
  <si>
    <t>Other parts</t>
  </si>
  <si>
    <t>Tile roof, fibrocement roof, steel sheeting or similar roofs not for people walking but only repairing</t>
  </si>
  <si>
    <t>Reinforced concrete deck roof and sloped roof, gutter, canopy, not for people walking but only repairing</t>
  </si>
  <si>
    <t>Motorways with ramps used for cars, buses and light trucks with total weight under 2500 kg</t>
  </si>
  <si>
    <t>Loại nhà và công trình</t>
  </si>
  <si>
    <t>Phòng động cơ,… kể cả khối lượng máy</t>
  </si>
  <si>
    <t>Engine rooms,… including mass of machines</t>
  </si>
  <si>
    <t>Office buildings, schools</t>
  </si>
  <si>
    <t>kN</t>
  </si>
  <si>
    <r>
      <rPr>
        <b/>
        <sz val="10"/>
        <rFont val="Symbol"/>
        <family val="1"/>
        <charset val="2"/>
      </rPr>
      <t>g</t>
    </r>
    <r>
      <rPr>
        <b/>
        <sz val="10"/>
        <rFont val="Calibri"/>
        <family val="2"/>
        <scheme val="minor"/>
      </rPr>
      <t xml:space="preserve"> (kN/m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</si>
  <si>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t>(mm)</t>
  </si>
  <si>
    <r>
      <t>(kN/m</t>
    </r>
    <r>
      <rPr>
        <vertAlign val="superscript"/>
        <sz val="13"/>
        <rFont val="Times New Roman"/>
        <family val="1"/>
      </rPr>
      <t>3</t>
    </r>
    <r>
      <rPr>
        <sz val="13"/>
        <rFont val="Times New Roman"/>
        <family val="1"/>
      </rPr>
      <t>)</t>
    </r>
  </si>
  <si>
    <r>
      <t>(kN/m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</si>
  <si>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</t>
    </r>
    <r>
      <rPr>
        <b/>
        <sz val="13"/>
        <rFont val="Symbol"/>
        <family val="1"/>
        <charset val="2"/>
      </rPr>
      <t>g</t>
    </r>
  </si>
  <si>
    <t>4.80/m</t>
  </si>
  <si>
    <t>2.40/m</t>
  </si>
  <si>
    <t>4.00/m</t>
  </si>
  <si>
    <t>5.00/m</t>
  </si>
  <si>
    <r>
      <rPr>
        <sz val="10"/>
        <rFont val="Calibri"/>
        <family val="2"/>
      </rPr>
      <t>≥</t>
    </r>
    <r>
      <rPr>
        <sz val="10"/>
        <rFont val="Tahoma"/>
        <family val="2"/>
      </rPr>
      <t>2.00</t>
    </r>
  </si>
  <si>
    <r>
      <rPr>
        <sz val="10"/>
        <rFont val="Calibri"/>
        <family val="2"/>
      </rPr>
      <t>≥</t>
    </r>
    <r>
      <rPr>
        <sz val="10"/>
        <rFont val="Tahoma"/>
        <family val="2"/>
      </rPr>
      <t>5.00</t>
    </r>
  </si>
  <si>
    <t>≥1.80</t>
  </si>
  <si>
    <t>≥0.70</t>
  </si>
  <si>
    <t>: mm</t>
  </si>
  <si>
    <r>
      <t>: kN/m</t>
    </r>
    <r>
      <rPr>
        <vertAlign val="superscript"/>
        <sz val="13"/>
        <rFont val="Times New Roman"/>
        <family val="1"/>
      </rPr>
      <t>3</t>
    </r>
  </si>
  <si>
    <r>
      <t>g</t>
    </r>
    <r>
      <rPr>
        <vertAlign val="superscript"/>
        <sz val="13"/>
        <rFont val="Times New Roman"/>
        <family val="1"/>
      </rPr>
      <t>tc</t>
    </r>
  </si>
  <si>
    <r>
      <t xml:space="preserve"> kN/m</t>
    </r>
    <r>
      <rPr>
        <vertAlign val="superscript"/>
        <sz val="13"/>
        <rFont val="Times New Roman"/>
        <family val="1"/>
      </rPr>
      <t>2</t>
    </r>
  </si>
  <si>
    <r>
      <t>g</t>
    </r>
    <r>
      <rPr>
        <vertAlign val="superscript"/>
        <sz val="13"/>
        <rFont val="Times New Roman"/>
        <family val="1"/>
      </rPr>
      <t>tt</t>
    </r>
  </si>
  <si>
    <r>
      <t>G</t>
    </r>
    <r>
      <rPr>
        <vertAlign val="superscript"/>
        <sz val="13"/>
        <rFont val="Times New Roman"/>
        <family val="1"/>
      </rPr>
      <t>tc</t>
    </r>
  </si>
  <si>
    <r>
      <t>G</t>
    </r>
    <r>
      <rPr>
        <vertAlign val="superscript"/>
        <sz val="13"/>
        <rFont val="Times New Roman"/>
        <family val="1"/>
      </rPr>
      <t>tt</t>
    </r>
  </si>
  <si>
    <r>
      <t>p</t>
    </r>
    <r>
      <rPr>
        <vertAlign val="superscript"/>
        <sz val="13"/>
        <rFont val="Times New Roman"/>
        <family val="1"/>
      </rPr>
      <t>tc</t>
    </r>
  </si>
  <si>
    <r>
      <t>p</t>
    </r>
    <r>
      <rPr>
        <vertAlign val="superscript"/>
        <sz val="13"/>
        <rFont val="Times New Roman"/>
        <family val="1"/>
      </rPr>
      <t>tt</t>
    </r>
  </si>
  <si>
    <t>Ngôn ngữ dùng:</t>
  </si>
  <si>
    <t>(d)</t>
  </si>
  <si>
    <t>(g)</t>
  </si>
  <si>
    <t>(n)</t>
  </si>
  <si>
    <t>n</t>
  </si>
  <si>
    <t>II.</t>
  </si>
  <si>
    <t>I.</t>
  </si>
  <si>
    <t>III.</t>
  </si>
  <si>
    <t>IV.</t>
  </si>
  <si>
    <t>Chức năng của các phòng trong công trình</t>
  </si>
  <si>
    <t xml:space="preserve"> V.</t>
  </si>
  <si>
    <t>1.</t>
  </si>
  <si>
    <t>2.</t>
  </si>
  <si>
    <r>
      <t>T</t>
    </r>
    <r>
      <rPr>
        <vertAlign val="subscript"/>
        <sz val="11"/>
        <rFont val="Calibri"/>
        <family val="2"/>
        <scheme val="minor"/>
      </rPr>
      <t>X</t>
    </r>
    <r>
      <rPr>
        <sz val="11"/>
        <rFont val="Calibri"/>
        <family val="2"/>
        <scheme val="minor"/>
      </rPr>
      <t xml:space="preserve"> (kN)</t>
    </r>
  </si>
  <si>
    <r>
      <t>T</t>
    </r>
    <r>
      <rPr>
        <vertAlign val="subscript"/>
        <sz val="11"/>
        <rFont val="Calibri"/>
        <family val="2"/>
        <scheme val="minor"/>
      </rPr>
      <t>Y</t>
    </r>
    <r>
      <rPr>
        <sz val="11"/>
        <rFont val="Calibri"/>
        <family val="2"/>
        <scheme val="minor"/>
      </rPr>
      <t xml:space="preserve"> (kN)</t>
    </r>
  </si>
  <si>
    <t>Thành phần động (kN)</t>
  </si>
  <si>
    <t>(3.13)</t>
  </si>
  <si>
    <t xml:space="preserve"> VI.</t>
  </si>
  <si>
    <t xml:space="preserve"> 6.1.</t>
  </si>
  <si>
    <t>Phổ thiết kế</t>
  </si>
  <si>
    <t>Phổ phản ứng</t>
  </si>
  <si>
    <t>Phổ chuyển vị</t>
  </si>
  <si>
    <t>(3.14)</t>
  </si>
  <si>
    <t xml:space="preserve"> 6.2.3.</t>
  </si>
  <si>
    <t>Cầu thang:</t>
  </si>
  <si>
    <t>Chiều cao</t>
  </si>
  <si>
    <t xml:space="preserve"> Hệ kết cấu tương đương:</t>
  </si>
  <si>
    <t xml:space="preserve"> Phân loại kết cấu: </t>
  </si>
  <si>
    <t>Cấp công trình:</t>
  </si>
  <si>
    <t>Tỉnh-TP:</t>
  </si>
  <si>
    <t>Phương d.đ</t>
  </si>
  <si>
    <t>X</t>
  </si>
  <si>
    <t>Y</t>
  </si>
  <si>
    <t>Floor level</t>
  </si>
  <si>
    <t>Level</t>
  </si>
  <si>
    <t>*</t>
  </si>
  <si>
    <t>(kN)</t>
  </si>
  <si>
    <t>Loại nền đất:</t>
  </si>
  <si>
    <t>3.</t>
  </si>
  <si>
    <t>4.</t>
  </si>
  <si>
    <t>5.</t>
  </si>
  <si>
    <t>6.</t>
  </si>
  <si>
    <t>7.</t>
  </si>
  <si>
    <r>
      <t>p</t>
    </r>
    <r>
      <rPr>
        <vertAlign val="superscript"/>
        <sz val="13"/>
        <rFont val="Times New Roman"/>
        <family val="1"/>
      </rPr>
      <t xml:space="preserve">tc </t>
    </r>
    <r>
      <rPr>
        <sz val="13"/>
        <rFont val="Times New Roman"/>
        <family val="1"/>
      </rPr>
      <t>(kN/m2)</t>
    </r>
  </si>
  <si>
    <r>
      <t>p</t>
    </r>
    <r>
      <rPr>
        <vertAlign val="superscript"/>
        <sz val="13"/>
        <rFont val="Times New Roman"/>
        <family val="1"/>
      </rPr>
      <t xml:space="preserve">tt </t>
    </r>
    <r>
      <rPr>
        <sz val="13"/>
        <rFont val="Times New Roman"/>
        <family val="1"/>
      </rPr>
      <t>(kN/m2)</t>
    </r>
  </si>
  <si>
    <t>Lớp vữa trát+lót</t>
  </si>
  <si>
    <t>Trần treo+thiết bị kỹ thuật</t>
  </si>
  <si>
    <t>Plastering+leaning mortar layers</t>
  </si>
  <si>
    <t>Suspended ceiling+technical equip.</t>
  </si>
  <si>
    <t>Story</t>
  </si>
  <si>
    <t>Height</t>
  </si>
  <si>
    <t>Elevation</t>
  </si>
  <si>
    <t>SimilarTo</t>
  </si>
  <si>
    <t>None</t>
  </si>
  <si>
    <t>BASE</t>
  </si>
  <si>
    <t>Diaphragm</t>
  </si>
  <si>
    <t>Mode</t>
  </si>
  <si>
    <t>UX</t>
  </si>
  <si>
    <t>UY</t>
  </si>
  <si>
    <t>UZ</t>
  </si>
  <si>
    <t>RX</t>
  </si>
  <si>
    <t>RY</t>
  </si>
  <si>
    <t>RZ</t>
  </si>
  <si>
    <t>D1</t>
  </si>
  <si>
    <t>Period</t>
  </si>
  <si>
    <t>SumUX</t>
  </si>
  <si>
    <t>SumUY</t>
  </si>
  <si>
    <t>SumUZ</t>
  </si>
  <si>
    <t>SumRX</t>
  </si>
  <si>
    <t>SumRY</t>
  </si>
  <si>
    <t>SumRZ</t>
  </si>
  <si>
    <t>MassX</t>
  </si>
  <si>
    <t>MassY</t>
  </si>
  <si>
    <t>MMI</t>
  </si>
  <si>
    <t>XM</t>
  </si>
  <si>
    <t>YM</t>
  </si>
  <si>
    <t>I. THÔNG TIN CHUNG</t>
  </si>
  <si>
    <t>Tiêu chuẩn áp dụng</t>
  </si>
  <si>
    <t>TCVN 2737:1995</t>
  </si>
  <si>
    <t>TCVN  9386: 2012</t>
  </si>
  <si>
    <t>II. TĨNH TẢI</t>
  </si>
  <si>
    <r>
      <t>Chiều cao bậc thang -  h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</si>
  <si>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r>
      <t>Chiều rộng bậc thang - b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</si>
  <si>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t>Chiều dày</t>
  </si>
  <si>
    <t>Tĩnh tải:</t>
  </si>
  <si>
    <t>Hoạt tải:</t>
  </si>
  <si>
    <t>Gió:</t>
  </si>
  <si>
    <t>Động đất:</t>
  </si>
  <si>
    <t>Quận-Huyện:</t>
  </si>
  <si>
    <t>Dạng địa hình</t>
  </si>
  <si>
    <t>Cấp dẻo thiết kế:</t>
  </si>
  <si>
    <t>Dạng kết cấu:</t>
  </si>
  <si>
    <t>TCVN 9386: 2012</t>
  </si>
  <si>
    <t>TCXD 299: 1999</t>
  </si>
  <si>
    <t>Chiều dày cấu kiện gợi ý</t>
  </si>
  <si>
    <t>Tầng</t>
  </si>
  <si>
    <t>Khối lượng</t>
  </si>
  <si>
    <t>III.2.THÔNG SỐ MODE TÍNH GIÓ ĐỘNG</t>
  </si>
  <si>
    <t>II.2.Tải tường:</t>
  </si>
  <si>
    <t>Các dạng dao động riêng của công trình</t>
  </si>
  <si>
    <t>Tần số (fi)</t>
  </si>
  <si>
    <t>Chu kì (Ti)</t>
  </si>
  <si>
    <t>Phần trăm KL phương X</t>
  </si>
  <si>
    <t>Phần trăm KL phương Y</t>
  </si>
  <si>
    <t>Phương</t>
  </si>
  <si>
    <t>Check</t>
  </si>
  <si>
    <t>Phương X</t>
  </si>
  <si>
    <t>Phương Y</t>
  </si>
  <si>
    <t>Mode 1</t>
  </si>
  <si>
    <t>Mode 2</t>
  </si>
  <si>
    <t>Mode 3</t>
  </si>
  <si>
    <t>Giá trị độ giảm loga dao động δ :</t>
  </si>
  <si>
    <t>Vùng gió</t>
  </si>
  <si>
    <t>m</t>
  </si>
  <si>
    <t>* Tường đôi phân bố trên sàn</t>
  </si>
  <si>
    <t>* Tường đơn phân bố trên sàn</t>
  </si>
  <si>
    <r>
      <t>C</t>
    </r>
    <r>
      <rPr>
        <vertAlign val="subscript"/>
        <sz val="11"/>
        <rFont val="Times New Roman"/>
        <family val="1"/>
      </rPr>
      <t>đẩy</t>
    </r>
    <r>
      <rPr>
        <sz val="11"/>
        <rFont val="Times New Roman"/>
        <family val="1"/>
      </rPr>
      <t>=</t>
    </r>
  </si>
  <si>
    <r>
      <t>C</t>
    </r>
    <r>
      <rPr>
        <vertAlign val="subscript"/>
        <sz val="11"/>
        <rFont val="Times New Roman"/>
        <family val="1"/>
      </rPr>
      <t xml:space="preserve">hút </t>
    </r>
    <r>
      <rPr>
        <sz val="11"/>
        <rFont val="Times New Roman"/>
        <family val="1"/>
      </rPr>
      <t>=</t>
    </r>
    <r>
      <rPr>
        <vertAlign val="subscript"/>
        <sz val="11"/>
        <rFont val="Times New Roman"/>
        <family val="1"/>
      </rPr>
      <t xml:space="preserve"> </t>
    </r>
  </si>
  <si>
    <r>
      <t xml:space="preserve">Hệ thống tiêu chuẩn  ASCE 7-10/ </t>
    </r>
    <r>
      <rPr>
        <i/>
        <sz val="13"/>
        <rFont val="Times New Roman"/>
        <family val="1"/>
      </rPr>
      <t>code ASCE 7-10</t>
    </r>
  </si>
  <si>
    <r>
      <t>H</t>
    </r>
    <r>
      <rPr>
        <vertAlign val="subscript"/>
        <sz val="13"/>
        <rFont val="Times New Roman"/>
        <family val="1"/>
      </rPr>
      <t>đ</t>
    </r>
    <r>
      <rPr>
        <sz val="13"/>
        <rFont val="Times New Roman"/>
        <family val="1"/>
      </rPr>
      <t xml:space="preserve"> =</t>
    </r>
  </si>
  <si>
    <r>
      <t>W = n * W</t>
    </r>
    <r>
      <rPr>
        <vertAlign val="subscript"/>
        <sz val="13"/>
        <rFont val="Times New Roman"/>
        <family val="1"/>
      </rPr>
      <t>o</t>
    </r>
    <r>
      <rPr>
        <sz val="13"/>
        <rFont val="Times New Roman"/>
        <family val="1"/>
      </rPr>
      <t xml:space="preserve"> * k * C</t>
    </r>
  </si>
  <si>
    <r>
      <t xml:space="preserve">C 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</t>
    </r>
  </si>
  <si>
    <r>
      <t xml:space="preserve">C 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</t>
    </r>
  </si>
  <si>
    <t>Cao độ mặt đất:</t>
  </si>
  <si>
    <t>Mass(kN)</t>
  </si>
  <si>
    <r>
      <t>W</t>
    </r>
    <r>
      <rPr>
        <b/>
        <vertAlign val="subscript"/>
        <sz val="12"/>
        <rFont val="Times New Roman"/>
        <family val="1"/>
      </rPr>
      <t>p (ji)</t>
    </r>
    <r>
      <rPr>
        <b/>
        <sz val="12"/>
        <rFont val="Times New Roman"/>
        <family val="1"/>
      </rPr>
      <t xml:space="preserve"> = M</t>
    </r>
    <r>
      <rPr>
        <b/>
        <vertAlign val="subscript"/>
        <sz val="12"/>
        <rFont val="Times New Roman"/>
        <family val="1"/>
      </rPr>
      <t>j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x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y</t>
    </r>
    <r>
      <rPr>
        <b/>
        <vertAlign val="subscript"/>
        <sz val="12"/>
        <rFont val="Times New Roman"/>
        <family val="1"/>
      </rPr>
      <t>j i</t>
    </r>
  </si>
  <si>
    <r>
      <t xml:space="preserve"> - M</t>
    </r>
    <r>
      <rPr>
        <vertAlign val="subscript"/>
        <sz val="13"/>
        <rFont val="Times New Roman"/>
        <family val="1"/>
      </rPr>
      <t>j</t>
    </r>
    <r>
      <rPr>
        <sz val="13"/>
        <rFont val="Times New Roman"/>
        <family val="1"/>
      </rPr>
      <t xml:space="preserve"> </t>
    </r>
  </si>
  <si>
    <r>
      <t xml:space="preserve"> -</t>
    </r>
    <r>
      <rPr>
        <sz val="13"/>
        <rFont val="Symbol"/>
        <family val="1"/>
        <charset val="2"/>
      </rPr>
      <t xml:space="preserve"> x</t>
    </r>
    <r>
      <rPr>
        <vertAlign val="subscript"/>
        <sz val="13"/>
        <rFont val="Calibri"/>
        <family val="2"/>
        <scheme val="minor"/>
      </rPr>
      <t>i</t>
    </r>
    <r>
      <rPr>
        <sz val="11"/>
        <rFont val="Calibri"/>
        <family val="2"/>
        <scheme val="minor"/>
      </rPr>
      <t/>
    </r>
  </si>
  <si>
    <r>
      <t xml:space="preserve">: Hệ số động lực, phụ thuộc vào </t>
    </r>
    <r>
      <rPr>
        <sz val="12"/>
        <rFont val="Symbol"/>
        <family val="1"/>
        <charset val="2"/>
      </rPr>
      <t>e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ứng với dạng dao động thứ i</t>
    </r>
  </si>
  <si>
    <r>
      <t xml:space="preserve"> - </t>
    </r>
    <r>
      <rPr>
        <sz val="13"/>
        <rFont val="Symbol"/>
        <family val="1"/>
        <charset val="2"/>
      </rPr>
      <t>y</t>
    </r>
    <r>
      <rPr>
        <vertAlign val="subscript"/>
        <sz val="13"/>
        <rFont val="Calibri"/>
        <family val="2"/>
        <scheme val="minor"/>
      </rPr>
      <t>i</t>
    </r>
  </si>
  <si>
    <r>
      <t xml:space="preserve"> - 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</t>
    </r>
  </si>
  <si>
    <r>
      <t>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=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* </t>
    </r>
    <r>
      <rPr>
        <sz val="12"/>
        <rFont val="Symbol"/>
        <family val="1"/>
        <charset val="2"/>
      </rPr>
      <t>z</t>
    </r>
    <r>
      <rPr>
        <vertAlign val="subscript"/>
        <sz val="12"/>
        <rFont val="Times New Roman"/>
        <family val="1"/>
      </rPr>
      <t xml:space="preserve"> i</t>
    </r>
    <r>
      <rPr>
        <sz val="12"/>
        <rFont val="Times New Roman"/>
        <family val="1"/>
      </rPr>
      <t xml:space="preserve"> * n </t>
    </r>
  </si>
  <si>
    <r>
      <t xml:space="preserve"> -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</t>
    </r>
  </si>
  <si>
    <t xml:space="preserve"> - z</t>
  </si>
  <si>
    <t xml:space="preserve"> - n</t>
  </si>
  <si>
    <r>
      <t>T</t>
    </r>
    <r>
      <rPr>
        <b/>
        <vertAlign val="subscript"/>
        <sz val="12"/>
        <rFont val="Times New Roman"/>
        <family val="1"/>
      </rPr>
      <t>X1</t>
    </r>
  </si>
  <si>
    <r>
      <t>T</t>
    </r>
    <r>
      <rPr>
        <b/>
        <vertAlign val="subscript"/>
        <sz val="12"/>
        <rFont val="Times New Roman"/>
        <family val="1"/>
      </rPr>
      <t>X2</t>
    </r>
  </si>
  <si>
    <r>
      <t>T</t>
    </r>
    <r>
      <rPr>
        <b/>
        <vertAlign val="subscript"/>
        <sz val="12"/>
        <rFont val="Times New Roman"/>
        <family val="1"/>
      </rPr>
      <t>X3</t>
    </r>
  </si>
  <si>
    <r>
      <t>T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</si>
  <si>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</si>
  <si>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Y1</t>
    </r>
  </si>
  <si>
    <r>
      <t>T</t>
    </r>
    <r>
      <rPr>
        <b/>
        <vertAlign val="subscript"/>
        <sz val="12"/>
        <rFont val="Times New Roman"/>
        <family val="1"/>
      </rPr>
      <t>Y2</t>
    </r>
  </si>
  <si>
    <r>
      <t>T</t>
    </r>
    <r>
      <rPr>
        <b/>
        <vertAlign val="subscript"/>
        <sz val="12"/>
        <rFont val="Times New Roman"/>
        <family val="1"/>
      </rPr>
      <t>Y3</t>
    </r>
  </si>
  <si>
    <r>
      <t>T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</si>
  <si>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</si>
  <si>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L</t>
    </r>
    <r>
      <rPr>
        <b/>
        <sz val="12"/>
        <rFont val="Times New Roman"/>
        <family val="1"/>
      </rPr>
      <t xml:space="preserve"> (Hz)</t>
    </r>
  </si>
  <si>
    <r>
      <t>f</t>
    </r>
    <r>
      <rPr>
        <b/>
        <vertAlign val="subscript"/>
        <sz val="12"/>
        <rFont val="Times New Roman"/>
        <family val="1"/>
      </rPr>
      <t>X1</t>
    </r>
  </si>
  <si>
    <r>
      <t>f</t>
    </r>
    <r>
      <rPr>
        <b/>
        <vertAlign val="subscript"/>
        <sz val="12"/>
        <rFont val="Times New Roman"/>
        <family val="1"/>
      </rPr>
      <t>X2</t>
    </r>
  </si>
  <si>
    <r>
      <t>f</t>
    </r>
    <r>
      <rPr>
        <b/>
        <vertAlign val="subscript"/>
        <sz val="12"/>
        <rFont val="Times New Roman"/>
        <family val="1"/>
      </rPr>
      <t>X3</t>
    </r>
  </si>
  <si>
    <r>
      <t>f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</si>
  <si>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</si>
  <si>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Y1</t>
    </r>
  </si>
  <si>
    <r>
      <t>f</t>
    </r>
    <r>
      <rPr>
        <b/>
        <vertAlign val="subscript"/>
        <sz val="12"/>
        <rFont val="Times New Roman"/>
        <family val="1"/>
      </rPr>
      <t>Y2</t>
    </r>
  </si>
  <si>
    <r>
      <t>f</t>
    </r>
    <r>
      <rPr>
        <b/>
        <vertAlign val="subscript"/>
        <sz val="12"/>
        <rFont val="Times New Roman"/>
        <family val="1"/>
      </rPr>
      <t>Y3</t>
    </r>
  </si>
  <si>
    <r>
      <t>f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</si>
  <si>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</si>
  <si>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X1</t>
    </r>
  </si>
  <si>
    <r>
      <t>x</t>
    </r>
    <r>
      <rPr>
        <b/>
        <vertAlign val="subscript"/>
        <sz val="12"/>
        <rFont val="Times New Roman"/>
        <family val="1"/>
      </rPr>
      <t>X2</t>
    </r>
  </si>
  <si>
    <r>
      <t>x</t>
    </r>
    <r>
      <rPr>
        <b/>
        <vertAlign val="subscript"/>
        <sz val="12"/>
        <rFont val="Times New Roman"/>
        <family val="1"/>
      </rPr>
      <t>X3</t>
    </r>
  </si>
  <si>
    <r>
      <t>x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</si>
  <si>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</si>
  <si>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Y1</t>
    </r>
  </si>
  <si>
    <r>
      <t>x</t>
    </r>
    <r>
      <rPr>
        <b/>
        <vertAlign val="subscript"/>
        <sz val="12"/>
        <rFont val="Times New Roman"/>
        <family val="1"/>
      </rPr>
      <t>Y2</t>
    </r>
  </si>
  <si>
    <r>
      <t>x</t>
    </r>
    <r>
      <rPr>
        <b/>
        <vertAlign val="subscript"/>
        <sz val="12"/>
        <rFont val="Times New Roman"/>
        <family val="1"/>
      </rPr>
      <t>Y3</t>
    </r>
  </si>
  <si>
    <r>
      <t>x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</si>
  <si>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</si>
  <si>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t>III.3.MODE HIỆU DỤNG TÍNH TOÁN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</si>
  <si>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X1</t>
    </r>
  </si>
  <si>
    <t>Dạng d.đ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</si>
  <si>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</si>
  <si>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</si>
  <si>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</si>
  <si>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</si>
  <si>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Y1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</si>
  <si>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</si>
  <si>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</si>
  <si>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</si>
  <si>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</si>
  <si>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Giá trị giới hạn của tần số f</t>
    </r>
    <r>
      <rPr>
        <vertAlign val="subscript"/>
        <sz val="11"/>
        <rFont val="Times New Roman"/>
        <family val="1"/>
      </rPr>
      <t>L</t>
    </r>
    <r>
      <rPr>
        <sz val="11"/>
        <rFont val="Times New Roman"/>
        <family val="1"/>
      </rPr>
      <t>(Hz)</t>
    </r>
  </si>
  <si>
    <r>
      <t>W</t>
    </r>
    <r>
      <rPr>
        <b/>
        <vertAlign val="subscript"/>
        <sz val="12"/>
        <rFont val="Calibri"/>
        <family val="2"/>
        <scheme val="minor"/>
      </rPr>
      <t>Fj</t>
    </r>
    <r>
      <rPr>
        <b/>
        <sz val="12"/>
        <rFont val="Calibri"/>
        <family val="2"/>
        <scheme val="minor"/>
      </rPr>
      <t xml:space="preserve">  (kN)</t>
    </r>
  </si>
  <si>
    <r>
      <t>r</t>
    </r>
    <r>
      <rPr>
        <b/>
        <vertAlign val="subscript"/>
        <sz val="12"/>
        <rFont val="Calibri"/>
        <family val="2"/>
        <scheme val="minor"/>
      </rPr>
      <t>i</t>
    </r>
  </si>
  <si>
    <r>
      <t>c</t>
    </r>
    <r>
      <rPr>
        <b/>
        <vertAlign val="subscript"/>
        <sz val="12"/>
        <rFont val="Calibri"/>
        <family val="2"/>
        <scheme val="minor"/>
      </rPr>
      <t>i</t>
    </r>
  </si>
  <si>
    <r>
      <t>n</t>
    </r>
    <r>
      <rPr>
        <b/>
        <vertAlign val="subscript"/>
        <sz val="12"/>
        <rFont val="Calibri"/>
        <family val="2"/>
        <scheme val="minor"/>
      </rPr>
      <t>1</t>
    </r>
  </si>
  <si>
    <r>
      <t>y</t>
    </r>
    <r>
      <rPr>
        <b/>
        <vertAlign val="subscript"/>
        <sz val="12"/>
        <rFont val="Calibri"/>
        <family val="2"/>
        <scheme val="minor"/>
      </rPr>
      <t>j1</t>
    </r>
  </si>
  <si>
    <r>
      <t>y</t>
    </r>
    <r>
      <rPr>
        <b/>
        <vertAlign val="subscript"/>
        <sz val="12"/>
        <rFont val="Calibri"/>
        <family val="2"/>
        <scheme val="minor"/>
      </rPr>
      <t>j2</t>
    </r>
  </si>
  <si>
    <r>
      <t>y</t>
    </r>
    <r>
      <rPr>
        <b/>
        <vertAlign val="subscript"/>
        <sz val="12"/>
        <rFont val="Calibri"/>
        <family val="2"/>
        <scheme val="minor"/>
      </rPr>
      <t>j3</t>
    </r>
  </si>
  <si>
    <t>mode</t>
  </si>
  <si>
    <t>tang</t>
  </si>
  <si>
    <t>Phuong</t>
  </si>
  <si>
    <t>T02</t>
  </si>
  <si>
    <t>Số tầng</t>
  </si>
  <si>
    <t>Số mode</t>
  </si>
  <si>
    <t>Mã hiệu</t>
  </si>
  <si>
    <r>
      <t>W</t>
    </r>
    <r>
      <rPr>
        <b/>
        <vertAlign val="subscript"/>
        <sz val="12"/>
        <rFont val="Times New Roman"/>
        <family val="1"/>
      </rPr>
      <t>1p</t>
    </r>
  </si>
  <si>
    <r>
      <t>W</t>
    </r>
    <r>
      <rPr>
        <b/>
        <vertAlign val="subscript"/>
        <sz val="12"/>
        <rFont val="Times New Roman"/>
        <family val="1"/>
      </rPr>
      <t>2p</t>
    </r>
  </si>
  <si>
    <r>
      <t>W</t>
    </r>
    <r>
      <rPr>
        <b/>
        <vertAlign val="subscript"/>
        <sz val="12"/>
        <rFont val="Times New Roman"/>
        <family val="1"/>
      </rPr>
      <t>3p</t>
    </r>
  </si>
  <si>
    <r>
      <t>y</t>
    </r>
    <r>
      <rPr>
        <b/>
        <vertAlign val="subscript"/>
        <sz val="12"/>
        <rFont val="Symbol"/>
        <family val="1"/>
        <charset val="2"/>
      </rPr>
      <t>1</t>
    </r>
  </si>
  <si>
    <r>
      <t>y</t>
    </r>
    <r>
      <rPr>
        <b/>
        <vertAlign val="subscript"/>
        <sz val="12"/>
        <rFont val="Symbol"/>
        <family val="1"/>
        <charset val="2"/>
      </rPr>
      <t>2</t>
    </r>
  </si>
  <si>
    <r>
      <t>y</t>
    </r>
    <r>
      <rPr>
        <b/>
        <vertAlign val="subscript"/>
        <sz val="12"/>
        <rFont val="Symbol"/>
        <family val="1"/>
        <charset val="2"/>
      </rPr>
      <t>3</t>
    </r>
  </si>
  <si>
    <r>
      <t>W</t>
    </r>
    <r>
      <rPr>
        <b/>
        <vertAlign val="subscript"/>
        <sz val="12"/>
        <rFont val="Times New Roman"/>
        <family val="1"/>
      </rPr>
      <t>Fj</t>
    </r>
    <r>
      <rPr>
        <b/>
        <sz val="12"/>
        <rFont val="Times New Roman"/>
        <family val="1"/>
      </rPr>
      <t xml:space="preserve">  (kN)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</si>
  <si>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1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</si>
  <si>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2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</si>
  <si>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3</t>
    </r>
  </si>
  <si>
    <r>
      <t xml:space="preserve"> (daN/m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</si>
  <si>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Với các thành phần nằm ngang của tác động động đất, phổ thiết kế đàn hồi 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 được xác định bằng các công thức sau:</t>
    </r>
  </si>
  <si>
    <r>
      <t>0 ≤ T ≤ T</t>
    </r>
    <r>
      <rPr>
        <vertAlign val="subscript"/>
        <sz val="13"/>
        <rFont val="Times New Roman"/>
        <family val="1"/>
      </rPr>
      <t xml:space="preserve">B 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</si>
  <si>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</si>
  <si>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>(T)</t>
    </r>
  </si>
  <si>
    <r>
      <t>T</t>
    </r>
    <r>
      <rPr>
        <vertAlign val="subscript"/>
        <sz val="13"/>
        <rFont val="Times New Roman"/>
        <family val="1"/>
      </rPr>
      <t>B</t>
    </r>
  </si>
  <si>
    <r>
      <t>T</t>
    </r>
    <r>
      <rPr>
        <vertAlign val="subscript"/>
        <sz val="13"/>
        <rFont val="Times New Roman"/>
        <family val="1"/>
      </rPr>
      <t>C</t>
    </r>
  </si>
  <si>
    <r>
      <t>T</t>
    </r>
    <r>
      <rPr>
        <vertAlign val="subscript"/>
        <sz val="13"/>
        <rFont val="Times New Roman"/>
        <family val="1"/>
      </rPr>
      <t>D</t>
    </r>
  </si>
  <si>
    <r>
      <t>T</t>
    </r>
    <r>
      <rPr>
        <vertAlign val="subscript"/>
        <sz val="13"/>
        <rFont val="Times New Roman"/>
        <family val="1"/>
      </rPr>
      <t>B</t>
    </r>
    <r>
      <rPr>
        <sz val="13"/>
        <rFont val="Times New Roman"/>
        <family val="1"/>
      </rPr>
      <t xml:space="preserve"> ≤ T ≤ T</t>
    </r>
    <r>
      <rPr>
        <vertAlign val="subscript"/>
        <sz val="13"/>
        <rFont val="Times New Roman"/>
        <family val="1"/>
      </rPr>
      <t xml:space="preserve">C </t>
    </r>
  </si>
  <si>
    <r>
      <t>T</t>
    </r>
    <r>
      <rPr>
        <vertAlign val="subscript"/>
        <sz val="13"/>
        <rFont val="Calibri"/>
        <family val="2"/>
        <scheme val="minor"/>
      </rPr>
      <t>C</t>
    </r>
    <r>
      <rPr>
        <sz val="13"/>
        <rFont val="Calibri"/>
        <family val="2"/>
        <scheme val="minor"/>
      </rPr>
      <t xml:space="preserve"> ≤ T ≤ T</t>
    </r>
    <r>
      <rPr>
        <vertAlign val="subscript"/>
        <sz val="13"/>
        <rFont val="Calibri"/>
        <family val="2"/>
        <scheme val="minor"/>
      </rPr>
      <t>D</t>
    </r>
  </si>
  <si>
    <r>
      <t>T</t>
    </r>
    <r>
      <rPr>
        <vertAlign val="subscript"/>
        <sz val="13"/>
        <rFont val="Calibri"/>
        <family val="2"/>
        <scheme val="minor"/>
      </rPr>
      <t>D</t>
    </r>
    <r>
      <rPr>
        <sz val="13"/>
        <rFont val="Calibri"/>
        <family val="2"/>
        <scheme val="minor"/>
      </rPr>
      <t xml:space="preserve"> ≤ T</t>
    </r>
    <r>
      <rPr>
        <vertAlign val="subscript"/>
        <sz val="13"/>
        <rFont val="Calibri"/>
        <family val="2"/>
        <scheme val="minor"/>
      </rPr>
      <t xml:space="preserve"> </t>
    </r>
  </si>
  <si>
    <r>
      <t>a</t>
    </r>
    <r>
      <rPr>
        <vertAlign val="subscript"/>
        <sz val="13"/>
        <rFont val=".VnTime"/>
        <family val="2"/>
      </rPr>
      <t>u</t>
    </r>
    <r>
      <rPr>
        <sz val="13"/>
        <rFont val="Arial"/>
        <family val="2"/>
      </rPr>
      <t>/</t>
    </r>
    <r>
      <rPr>
        <sz val="13"/>
        <rFont val="Symbol"/>
        <family val="1"/>
        <charset val="2"/>
      </rPr>
      <t>a</t>
    </r>
    <r>
      <rPr>
        <vertAlign val="subscript"/>
        <sz val="13"/>
        <rFont val=".VnTime"/>
        <family val="2"/>
      </rPr>
      <t xml:space="preserve">1 </t>
    </r>
    <r>
      <rPr>
        <sz val="13"/>
        <rFont val="Calibri"/>
        <family val="2"/>
        <scheme val="minor"/>
      </rPr>
      <t>=</t>
    </r>
  </si>
  <si>
    <r>
      <rPr>
        <sz val="13"/>
        <rFont val="Symbol"/>
        <family val="1"/>
        <charset val="2"/>
      </rPr>
      <t>b</t>
    </r>
    <r>
      <rPr>
        <sz val="13"/>
        <rFont val="Calibri"/>
        <family val="2"/>
        <scheme val="minor"/>
      </rPr>
      <t xml:space="preserve"> =</t>
    </r>
  </si>
  <si>
    <r>
      <rPr>
        <sz val="13"/>
        <rFont val="Symbol"/>
        <family val="1"/>
        <charset val="2"/>
      </rPr>
      <t>a</t>
    </r>
    <r>
      <rPr>
        <vertAlign val="subscript"/>
        <sz val="13"/>
        <rFont val="Calibri"/>
        <family val="2"/>
        <scheme val="minor"/>
      </rPr>
      <t>1</t>
    </r>
    <r>
      <rPr>
        <sz val="13"/>
        <rFont val="Calibri"/>
        <family val="2"/>
        <scheme val="minor"/>
      </rPr>
      <t xml:space="preserve"> =</t>
    </r>
  </si>
  <si>
    <r>
      <t>a</t>
    </r>
    <r>
      <rPr>
        <vertAlign val="subscript"/>
        <sz val="13"/>
        <rFont val="Times New Roman"/>
        <family val="1"/>
      </rPr>
      <t>gR</t>
    </r>
    <r>
      <rPr>
        <sz val="13"/>
        <rFont val="Times New Roman"/>
        <family val="1"/>
      </rPr>
      <t xml:space="preserve"> =</t>
    </r>
  </si>
  <si>
    <r>
      <t>a</t>
    </r>
    <r>
      <rPr>
        <vertAlign val="subscript"/>
        <sz val="13"/>
        <rFont val="Times New Roman"/>
        <family val="1"/>
      </rPr>
      <t>g</t>
    </r>
    <r>
      <rPr>
        <sz val="13"/>
        <rFont val="Times New Roman"/>
        <family val="1"/>
      </rPr>
      <t xml:space="preserve"> =</t>
    </r>
  </si>
  <si>
    <r>
      <t>T</t>
    </r>
    <r>
      <rPr>
        <vertAlign val="subscript"/>
        <sz val="12"/>
        <rFont val="Times New Roman"/>
        <family val="1"/>
      </rPr>
      <t xml:space="preserve">B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</si>
  <si>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C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</si>
  <si>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D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</si>
  <si>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E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</si>
  <si>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F </t>
    </r>
    <r>
      <rPr>
        <sz val="12"/>
        <rFont val="Times New Roman"/>
        <family val="1"/>
      </rPr>
      <t>(s)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</si>
  <si>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(T) w/o </t>
    </r>
    <r>
      <rPr>
        <i/>
        <sz val="13"/>
        <rFont val="Symbol"/>
        <family val="1"/>
        <charset val="2"/>
      </rPr>
      <t>b</t>
    </r>
  </si>
  <si>
    <r>
      <t>(***) 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</t>
    </r>
  </si>
  <si>
    <t>Giới hạn dưới của chu kì, ứng với đoạn nằm ngang của phổ phản ứng gia tốc</t>
  </si>
  <si>
    <t>Giới hạn trên của chu kì, ứng với đoạn nằm ngang của phổ phản ứng gia tốc</t>
  </si>
  <si>
    <t>Giá trị xác định điểm bắt đầu của phần phản ứng dịch chuyển không đổi trong phổ phản ứng</t>
  </si>
  <si>
    <t>Hệ số điều chỉnh độ cản với giá trị tham chiếu n=1 đối với độ cản nhớt 5%</t>
  </si>
  <si>
    <t>Hệ số ứng xử với cận dưới của nền thiết kế theo phương nằm ngang</t>
  </si>
  <si>
    <t>COMB1</t>
  </si>
  <si>
    <t>COMB2</t>
  </si>
  <si>
    <t>COMB3</t>
  </si>
  <si>
    <t>COMB4</t>
  </si>
  <si>
    <t>COMB5</t>
  </si>
  <si>
    <t>COMB6</t>
  </si>
  <si>
    <t>COMB7</t>
  </si>
  <si>
    <t>DL</t>
  </si>
  <si>
    <t>LL</t>
  </si>
  <si>
    <t>WX+</t>
  </si>
  <si>
    <t>WX-</t>
  </si>
  <si>
    <t>WY+</t>
  </si>
  <si>
    <t>WY-</t>
  </si>
  <si>
    <t>EQX</t>
  </si>
  <si>
    <t>EQY</t>
  </si>
  <si>
    <t>(TTGH2 kiểm tra chuyển vị ngang)</t>
  </si>
  <si>
    <r>
      <t>- WDX : Thành phần động của tải trọng gió theo phương X (tổ hợp SRSS của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</si>
  <si>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r>
      <t>- WDY : Thành phần động của tải trọng gió theo phương Y (tổ hợp SRSS của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</si>
  <si>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t>- ENVE : Tổ hợp bao của các tổ hợp: COMB1, COMB2, COMB3, COMB4, COMB5, COMB6, COMB7 (TTGH1)</t>
  </si>
  <si>
    <t>Bảng 3.4: Các giá trị hệ số tổ hợp với hoạt tải trong tải trọng động đất</t>
  </si>
  <si>
    <t>Tác động</t>
  </si>
  <si>
    <r>
      <t>y</t>
    </r>
    <r>
      <rPr>
        <b/>
        <vertAlign val="subscript"/>
        <sz val="11"/>
        <rFont val="Arial"/>
        <family val="2"/>
      </rPr>
      <t>2,i</t>
    </r>
  </si>
  <si>
    <t>Tải trọng đặt lên nhà, loại</t>
  </si>
  <si>
    <t>Loại A: Khu vực nhà ở, gia đình</t>
  </si>
  <si>
    <t>Loại B: Khu vực văn phòng</t>
  </si>
  <si>
    <t>Loại C: Khu vực hội họp</t>
  </si>
  <si>
    <t>Loại D: Khu vực mua bán</t>
  </si>
  <si>
    <t>Loại E: Khu vực kho lưu trữ</t>
  </si>
  <si>
    <t>Loại F: Khu vực giao thông, trọng lượng xe ≤ 30 kN</t>
  </si>
  <si>
    <t>Loại G: Khu vực giao thông, 30 kN ≤ trọng lượng xe ≤ 160 kN</t>
  </si>
  <si>
    <t>Loại H: Mái</t>
  </si>
  <si>
    <r>
      <t>- SW</t>
    </r>
    <r>
      <rPr>
        <vertAlign val="subscript"/>
        <sz val="13"/>
        <rFont val="Times New Roman"/>
        <family val="1"/>
      </rPr>
      <t xml:space="preserve"> </t>
    </r>
    <r>
      <rPr>
        <sz val="13"/>
        <rFont val="Times New Roman"/>
        <family val="1"/>
      </rPr>
      <t>: tải trọng bản thân (khai báo trực tiếp trong Etabs với hệ số vượt tải 1.1)</t>
    </r>
  </si>
  <si>
    <r>
      <t>-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X của dạng d.đ chính thứ 1,2,…n</t>
    </r>
  </si>
  <si>
    <r>
      <t>-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Y của dạng d.đ chính thứ 1,2,…n</t>
    </r>
  </si>
  <si>
    <t>-                                     : Dynamic component of wind load to direction Y of mode 1, mode2… mode n.</t>
  </si>
  <si>
    <t>- SENVEW : Tổ hợp bao của các tổ hợp: SCOM1,SCOMB2, SCOMB3, SCOMB4, SCOMB5</t>
  </si>
  <si>
    <t>- SENVEEQ : Tổ hợp bao của các tổ hợp: SCOM1,SCOMB6, SCOMB7 (TTGH2 kiểm tra chuyển vị ngang)</t>
  </si>
  <si>
    <t>SCOMB1</t>
  </si>
  <si>
    <t>SCOMB2</t>
  </si>
  <si>
    <t>SCOMB3</t>
  </si>
  <si>
    <t>SCOMB4</t>
  </si>
  <si>
    <t>SCOMB5</t>
  </si>
  <si>
    <t>SCOMB6</t>
  </si>
  <si>
    <t>SCOMB7</t>
  </si>
  <si>
    <t>III.1.GIÓ</t>
  </si>
  <si>
    <r>
      <rPr>
        <b/>
        <sz val="10"/>
        <rFont val="Symbol"/>
        <family val="1"/>
        <charset val="2"/>
      </rPr>
      <t>g</t>
    </r>
    <r>
      <rPr>
        <b/>
        <sz val="10"/>
        <rFont val="Times New Roman"/>
        <family val="1"/>
      </rPr>
      <t xml:space="preserve"> (kN/m</t>
    </r>
    <r>
      <rPr>
        <b/>
        <vertAlign val="superscript"/>
        <sz val="10"/>
        <rFont val="Times New Roman"/>
        <family val="1"/>
      </rPr>
      <t>3</t>
    </r>
    <r>
      <rPr>
        <b/>
        <sz val="10"/>
        <rFont val="Times New Roman"/>
        <family val="1"/>
      </rPr>
      <t>)</t>
    </r>
  </si>
  <si>
    <r>
      <t>g</t>
    </r>
    <r>
      <rPr>
        <b/>
        <vertAlign val="superscript"/>
        <sz val="10"/>
        <rFont val="Times New Roman"/>
        <family val="1"/>
      </rPr>
      <t xml:space="preserve">tc </t>
    </r>
    <r>
      <rPr>
        <b/>
        <sz val="10"/>
        <rFont val="Times New Roman"/>
        <family val="1"/>
      </rPr>
      <t>(kN/m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)</t>
    </r>
  </si>
  <si>
    <t>Các lớp vật liệu tường</t>
  </si>
  <si>
    <t>Các loại tường</t>
  </si>
  <si>
    <t>II.1.Kích thước cầu thang:</t>
  </si>
  <si>
    <r>
      <t xml:space="preserve">(**) </t>
    </r>
    <r>
      <rPr>
        <sz val="13"/>
        <rFont val="Symbol"/>
        <family val="1"/>
        <charset val="2"/>
      </rPr>
      <t>a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 xml:space="preserve"> </t>
    </r>
  </si>
  <si>
    <r>
      <t xml:space="preserve">  </t>
    </r>
    <r>
      <rPr>
        <sz val="13"/>
        <rFont val="Symbol"/>
        <family val="1"/>
        <charset val="2"/>
      </rPr>
      <t>g</t>
    </r>
    <r>
      <rPr>
        <vertAlign val="subscript"/>
        <sz val="13"/>
        <rFont val="Times New Roman"/>
        <family val="1"/>
      </rPr>
      <t xml:space="preserve">1 </t>
    </r>
    <r>
      <rPr>
        <sz val="13"/>
        <rFont val="Times New Roman"/>
        <family val="1"/>
      </rPr>
      <t>=</t>
    </r>
  </si>
  <si>
    <r>
      <t>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=</t>
    </r>
  </si>
  <si>
    <r>
      <t>q</t>
    </r>
    <r>
      <rPr>
        <vertAlign val="subscript"/>
        <sz val="13"/>
        <rFont val="Times New Roman"/>
        <family val="1"/>
      </rPr>
      <t>0</t>
    </r>
    <r>
      <rPr>
        <sz val="13"/>
        <rFont val="Times New Roman"/>
        <family val="1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</si>
  <si>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</si>
  <si>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rFont val="Times New Roman"/>
        <family val="1"/>
      </rPr>
      <t>w</t>
    </r>
    <r>
      <rPr>
        <sz val="11"/>
        <rFont val="Times New Roman"/>
        <family val="1"/>
      </rPr>
      <t xml:space="preserve"> =</t>
    </r>
  </si>
  <si>
    <t>Trần ván ép dầm gỗ</t>
  </si>
  <si>
    <t>Trần lưới sắt đắp vữa</t>
  </si>
  <si>
    <t>Tường đơn phân bố trên sàn</t>
  </si>
  <si>
    <t>Tường đôi phân bố trên sàn</t>
  </si>
  <si>
    <t>8.</t>
  </si>
  <si>
    <r>
      <t>(kN/m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>)</t>
    </r>
  </si>
  <si>
    <t>h dầm (m)</t>
  </si>
  <si>
    <t>Ẩn hiện dòng không có dữ liệu</t>
  </si>
  <si>
    <t>Quay về Menu</t>
  </si>
  <si>
    <t>`</t>
  </si>
  <si>
    <t>Combination</t>
  </si>
  <si>
    <t>Lưu ý không được xóa bỏ cột A và cột B</t>
  </si>
  <si>
    <t>Mái tôn hệ xà gồ thép</t>
  </si>
  <si>
    <t>Mái ngói, hệ xà gồ gỗ</t>
  </si>
  <si>
    <t>Mái ngói, hệ xà gồ thép</t>
  </si>
  <si>
    <t>Tile roof, timber beam with ledge strips</t>
  </si>
  <si>
    <t xml:space="preserve">Tile roof, steel beam with ledge strips  </t>
  </si>
  <si>
    <t>Metal sheet roof covering, steel beam with ledge strips</t>
  </si>
  <si>
    <t>Compartment ceiling, timber beam</t>
  </si>
  <si>
    <t>Grille ceiling+leaning mortar layers</t>
  </si>
  <si>
    <t>Glass roof</t>
  </si>
  <si>
    <t>Mái kính</t>
  </si>
  <si>
    <t>Vách kính</t>
  </si>
  <si>
    <t>Glass curtain wall</t>
  </si>
  <si>
    <t>9.</t>
  </si>
  <si>
    <t>10.</t>
  </si>
  <si>
    <t>Hoạt tải xe cứu hỏa</t>
  </si>
  <si>
    <t>firefighting vehicle</t>
  </si>
  <si>
    <t>Toàn bộ công trình</t>
  </si>
  <si>
    <t>All buildings</t>
  </si>
  <si>
    <t>BẢNG XÁC ĐỊNH TẢI TRỌNG VÀ TÁC ĐỘNG</t>
  </si>
  <si>
    <r>
      <t>LL</t>
    </r>
    <r>
      <rPr>
        <vertAlign val="superscript"/>
        <sz val="13"/>
        <rFont val="Times New Roman"/>
        <family val="1"/>
      </rPr>
      <t>tc</t>
    </r>
  </si>
  <si>
    <r>
      <t>LL</t>
    </r>
    <r>
      <rPr>
        <vertAlign val="subscript"/>
        <sz val="13"/>
        <rFont val="Times New Roman"/>
        <family val="1"/>
      </rPr>
      <t>1</t>
    </r>
    <r>
      <rPr>
        <vertAlign val="superscript"/>
        <sz val="13"/>
        <rFont val="Times New Roman"/>
        <family val="1"/>
      </rPr>
      <t>tc</t>
    </r>
  </si>
  <si>
    <r>
      <t>T</t>
    </r>
    <r>
      <rPr>
        <vertAlign val="subscript"/>
        <sz val="13"/>
        <rFont val="Times New Roman"/>
        <family val="1"/>
      </rPr>
      <t>X</t>
    </r>
    <r>
      <rPr>
        <sz val="13"/>
        <rFont val="Times New Roman"/>
        <family val="1"/>
      </rPr>
      <t xml:space="preserve"> = W * Y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</si>
  <si>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Y</t>
    </r>
    <r>
      <rPr>
        <sz val="13"/>
        <rFont val="Times New Roman"/>
        <family val="1"/>
      </rPr>
      <t xml:space="preserve"> = W * X * h</t>
    </r>
    <r>
      <rPr>
        <vertAlign val="subscript"/>
        <sz val="13"/>
        <rFont val="Times New Roman"/>
        <family val="1"/>
      </rPr>
      <t>đón gió</t>
    </r>
  </si>
  <si>
    <t>X(m)</t>
  </si>
  <si>
    <t>Y(m)</t>
  </si>
  <si>
    <r>
      <t>t</t>
    </r>
    <r>
      <rPr>
        <vertAlign val="subscript"/>
        <sz val="11.5"/>
        <rFont val="Times New Roman"/>
        <family val="1"/>
      </rPr>
      <t xml:space="preserve">đẩy </t>
    </r>
    <r>
      <rPr>
        <sz val="11.5"/>
        <rFont val="Times New Roman"/>
        <family val="1"/>
      </rPr>
      <t>(kN/m)</t>
    </r>
  </si>
  <si>
    <r>
      <t>t</t>
    </r>
    <r>
      <rPr>
        <vertAlign val="subscript"/>
        <sz val="11.5"/>
        <rFont val="Calibri"/>
        <family val="2"/>
        <scheme val="minor"/>
      </rPr>
      <t xml:space="preserve">hút </t>
    </r>
    <r>
      <rPr>
        <sz val="11.5"/>
        <rFont val="Times New Roman"/>
        <family val="1"/>
      </rPr>
      <t>(kN/m)</t>
    </r>
  </si>
  <si>
    <r>
      <t>t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 W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</si>
  <si>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 W * h</t>
    </r>
    <r>
      <rPr>
        <vertAlign val="subscript"/>
        <sz val="13"/>
        <rFont val="Times New Roman"/>
        <family val="1"/>
      </rPr>
      <t>đón gió</t>
    </r>
  </si>
  <si>
    <r>
      <t>h</t>
    </r>
    <r>
      <rPr>
        <b/>
        <vertAlign val="subscript"/>
        <sz val="12"/>
        <rFont val="Times New Roman"/>
        <family val="1"/>
      </rPr>
      <t>đón gió</t>
    </r>
  </si>
  <si>
    <t>Chiều cao đón gió</t>
  </si>
  <si>
    <r>
      <t>h</t>
    </r>
    <r>
      <rPr>
        <vertAlign val="subscript"/>
        <sz val="12"/>
        <rFont val="Times New Roman"/>
        <family val="1"/>
      </rPr>
      <t>đón gió</t>
    </r>
    <r>
      <rPr>
        <sz val="12"/>
        <rFont val="Times New Roman"/>
        <family val="1"/>
      </rPr>
      <t>:</t>
    </r>
  </si>
  <si>
    <t>02 lớp trát</t>
  </si>
  <si>
    <t>02 layers of plasted mortar</t>
  </si>
  <si>
    <t>Tường xây gạch đặc</t>
  </si>
  <si>
    <t>Tường xây gạch có lỗ</t>
  </si>
  <si>
    <t>Tường xây gạch xỉ than</t>
  </si>
  <si>
    <t>Tường xây đá hộc</t>
  </si>
  <si>
    <t xml:space="preserve">Solid brick's wall </t>
  </si>
  <si>
    <t>Hollow brick's wall</t>
  </si>
  <si>
    <t>Breeze brick's wall</t>
  </si>
  <si>
    <t>Quarry-stone masonry's wall</t>
  </si>
  <si>
    <t>Hệ số giảm
lỗ cửa</t>
  </si>
  <si>
    <t>Loại chiều cao tường</t>
  </si>
  <si>
    <t>h1 =</t>
  </si>
  <si>
    <t>h2 =</t>
  </si>
  <si>
    <t>h3 =</t>
  </si>
  <si>
    <t>h4 =</t>
  </si>
  <si>
    <t>h5 =</t>
  </si>
  <si>
    <t>h6 =</t>
  </si>
  <si>
    <t>h7 =</t>
  </si>
  <si>
    <t>h8 =</t>
  </si>
  <si>
    <t>h9 =</t>
  </si>
  <si>
    <t>h10 =</t>
  </si>
  <si>
    <t>h dầm =</t>
  </si>
  <si>
    <r>
      <t>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=</t>
    </r>
  </si>
  <si>
    <r>
      <t>(n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)</t>
    </r>
  </si>
  <si>
    <t>PCOMB1</t>
  </si>
  <si>
    <t>PCOMB2</t>
  </si>
  <si>
    <t>PCOMB3</t>
  </si>
  <si>
    <t>PCOMB4</t>
  </si>
  <si>
    <t>PCOMB5</t>
  </si>
  <si>
    <t>PCOMB6</t>
  </si>
  <si>
    <t>PCOMB7</t>
  </si>
  <si>
    <t>CCOMB1</t>
  </si>
  <si>
    <t>CCOMB2</t>
  </si>
  <si>
    <t>CCOMB3</t>
  </si>
  <si>
    <t>CCOMB4</t>
  </si>
  <si>
    <t>CCOMB5</t>
  </si>
  <si>
    <t>CCOMB6</t>
  </si>
  <si>
    <t>CCOMB7</t>
  </si>
  <si>
    <t>Hệ số giảm hoạt tải</t>
  </si>
  <si>
    <t>Huyện Tây Hoà</t>
  </si>
  <si>
    <t>27. Hà Tĩnh</t>
  </si>
  <si>
    <t>28. Hải Dương</t>
  </si>
  <si>
    <t>29. Hậu Giang</t>
  </si>
  <si>
    <t>30. Hòa Bình</t>
  </si>
  <si>
    <t>31. Hưng Yên</t>
  </si>
  <si>
    <t>32. Khánh Hoà</t>
  </si>
  <si>
    <t>33. Kiên Giang</t>
  </si>
  <si>
    <t>34. Kon Tum</t>
  </si>
  <si>
    <t>35. Lai Châu</t>
  </si>
  <si>
    <t>36. Lạng Sơn</t>
  </si>
  <si>
    <t>37. Lào Cai</t>
  </si>
  <si>
    <t>38. Lâm Đồng</t>
  </si>
  <si>
    <t>39. Long An</t>
  </si>
  <si>
    <t>40. Nam Định</t>
  </si>
  <si>
    <t>41. Nghệ An</t>
  </si>
  <si>
    <t>42. Ninh Bình</t>
  </si>
  <si>
    <t>43. Ninh Thuận</t>
  </si>
  <si>
    <t>44. Phú Thọ</t>
  </si>
  <si>
    <t>45. Phú Yên</t>
  </si>
  <si>
    <t>46. Quảng Bình</t>
  </si>
  <si>
    <t>47. Quảng Nam</t>
  </si>
  <si>
    <t>48. Quảng Ngãi</t>
  </si>
  <si>
    <t>49. Quảng Ninh</t>
  </si>
  <si>
    <t>50. Quảng Trị</t>
  </si>
  <si>
    <t>51. Sóc Trăng</t>
  </si>
  <si>
    <t>52. Sơn La</t>
  </si>
  <si>
    <t>53. Tây Ninh</t>
  </si>
  <si>
    <t>54. Thái Bình</t>
  </si>
  <si>
    <t>55. Thái Nguyên</t>
  </si>
  <si>
    <t>56. Thanh Hóa</t>
  </si>
  <si>
    <t>57. Thừa Thiên Huế</t>
  </si>
  <si>
    <t>58. Tiền Giang</t>
  </si>
  <si>
    <t>59. Trà Vinh</t>
  </si>
  <si>
    <t>60. Tuyên Quang</t>
  </si>
  <si>
    <t>61. Vĩnh Long</t>
  </si>
  <si>
    <t>62. Vĩnh Phúc</t>
  </si>
  <si>
    <t>63. Yên Bái</t>
  </si>
  <si>
    <t>Quận Hà Đông</t>
  </si>
  <si>
    <t>Quận Nam Từ Liêm</t>
  </si>
  <si>
    <t>Quận Bắc Từ Liêm</t>
  </si>
  <si>
    <t>Quận Bình Tân</t>
  </si>
  <si>
    <t>Quận Đồ Sơn</t>
  </si>
  <si>
    <t>(Côn Đảo)</t>
  </si>
  <si>
    <t>Thành phố Bắc Giang</t>
  </si>
  <si>
    <t>Thành phố Bắc Kạn</t>
  </si>
  <si>
    <t>Thành phố Bắc Ninh</t>
  </si>
  <si>
    <t>Thị xã Gia Nghĩa</t>
  </si>
  <si>
    <t>Huyện Tuy Đức</t>
  </si>
  <si>
    <t>Huyện Đắk Glong</t>
  </si>
  <si>
    <t>Thị xã Mường Lay</t>
  </si>
  <si>
    <t>Huyện Mường Chà</t>
  </si>
  <si>
    <t>Huyện Mường Ảng</t>
  </si>
  <si>
    <t>Thành phố Cao Lãnh</t>
  </si>
  <si>
    <t>Huyện Ia Pa</t>
  </si>
  <si>
    <t>Huyện Mang Yang</t>
  </si>
  <si>
    <t>Thành phố Phủ Lý</t>
  </si>
  <si>
    <t>Thành phố Hà Tĩnh</t>
  </si>
  <si>
    <t>Thị xã Ngã Bảy</t>
  </si>
  <si>
    <t>Thành phố Hoà Bình</t>
  </si>
  <si>
    <t>(Đảo)</t>
  </si>
  <si>
    <t>Thành phố Rạch Giá</t>
  </si>
  <si>
    <t>Huyện Tu Mơ Rông</t>
  </si>
  <si>
    <t>Thành phố Lào Cai</t>
  </si>
  <si>
    <t>TP.Lào Cai (TX.Cam Đường)</t>
  </si>
  <si>
    <t>Thị xã Thái Hòa</t>
  </si>
  <si>
    <t>TP.Phan Rang Tháp Chàm</t>
  </si>
  <si>
    <t>Huyện Thuận Bắc</t>
  </si>
  <si>
    <t>Huyện Thuận Nam</t>
  </si>
  <si>
    <t>Huyện Cẩm Khê</t>
  </si>
  <si>
    <t>Thành phố Tuy Hoà</t>
  </si>
  <si>
    <t>Huyện Đông Hòa</t>
  </si>
  <si>
    <t>Thành phố Đồng Hới</t>
  </si>
  <si>
    <t>Thành phố Tam Kỳ</t>
  </si>
  <si>
    <t>Thành phố Hội An</t>
  </si>
  <si>
    <t>Huyện Phú Ninh</t>
  </si>
  <si>
    <t>Thành phố Quảng Ngãi</t>
  </si>
  <si>
    <t>Huyện Cồn Cỏ</t>
  </si>
  <si>
    <t>Thành phố Sóc Trăng</t>
  </si>
  <si>
    <t>Thành phố Sơn La</t>
  </si>
  <si>
    <t>Huyện Càng Long</t>
  </si>
  <si>
    <t>Thành phố Vĩnh Yên</t>
  </si>
  <si>
    <t>Lớp vữa tăng cứng bề mặt</t>
  </si>
  <si>
    <t>Lớp sơn công nghiệp chịu mài mòn</t>
  </si>
  <si>
    <t>Mortar base layer</t>
  </si>
  <si>
    <t>Etch primer layer</t>
  </si>
  <si>
    <t>Sơn 3 lớp màu trắng</t>
  </si>
  <si>
    <t>Đường ống kỹ thuật</t>
  </si>
  <si>
    <t>Technique pipe</t>
  </si>
  <si>
    <t>Khung nhôm</t>
  </si>
  <si>
    <t>Aluminum-frame</t>
  </si>
  <si>
    <t>White coat paint</t>
  </si>
  <si>
    <t>Tường gạch bê tông cốt liệu đặc</t>
  </si>
  <si>
    <t>Solid concrete brick's wall</t>
  </si>
  <si>
    <t>Lớp gạch lá nem</t>
  </si>
  <si>
    <t>Building tile layer</t>
  </si>
  <si>
    <t>Lớp bê tông nhẹ tạo dốc</t>
  </si>
  <si>
    <t>Light concrete to slope</t>
  </si>
  <si>
    <t>Lớp tam cấp xây gạch</t>
  </si>
  <si>
    <t>Perron brick's layer</t>
  </si>
  <si>
    <t>Lớp xi măng tạo màng chống thấm</t>
  </si>
  <si>
    <t>Waterproofing mortar layers</t>
  </si>
  <si>
    <t>Lớp bê tông chống thấm</t>
  </si>
  <si>
    <t>Waterproof concrete layer</t>
  </si>
  <si>
    <t>Lớp tôn nền</t>
  </si>
  <si>
    <t>Bank layer</t>
  </si>
  <si>
    <t>Tường gạch không nung (loại 2)</t>
  </si>
  <si>
    <t>Tường gạch không nung (loại 3)</t>
  </si>
  <si>
    <t>Tường gạch không nung (loại 1)</t>
  </si>
  <si>
    <t>Adobe brick's wall (type 1)</t>
  </si>
  <si>
    <t>Adobe brick's wall (type 2)</t>
  </si>
  <si>
    <t>Adobe brick's wall (type 3)</t>
  </si>
  <si>
    <t>Tường xây gạch đặc dày 220</t>
  </si>
  <si>
    <t>Vách kính dày 10</t>
  </si>
  <si>
    <t>Đường cho xe chạy, dốc lên xuống dùng cho  xe con, xe khách và xe tải nhẹ có tổng khối lượng ≤2500kg</t>
  </si>
  <si>
    <t>:  Biên độ của dạng dao động riêng thứ i tại tầng thứ j theo phương x,y (Etabs)</t>
  </si>
  <si>
    <t>: Hệ số xác định theo công thức theo từng phương</t>
  </si>
  <si>
    <r>
      <t>x</t>
    </r>
    <r>
      <rPr>
        <b/>
        <vertAlign val="subscript"/>
        <sz val="12"/>
        <rFont val="Calibri"/>
        <family val="2"/>
        <scheme val="minor"/>
      </rPr>
      <t>j1</t>
    </r>
  </si>
  <si>
    <r>
      <t>x</t>
    </r>
    <r>
      <rPr>
        <b/>
        <vertAlign val="subscript"/>
        <sz val="12"/>
        <rFont val="Calibri"/>
        <family val="2"/>
        <scheme val="minor"/>
      </rPr>
      <t>j2</t>
    </r>
  </si>
  <si>
    <r>
      <t>x</t>
    </r>
    <r>
      <rPr>
        <b/>
        <vertAlign val="subscript"/>
        <sz val="12"/>
        <rFont val="Calibri"/>
        <family val="2"/>
        <scheme val="minor"/>
      </rPr>
      <t>j3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</si>
  <si>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F1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</si>
  <si>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F2</t>
    </r>
    <r>
      <rPr>
        <b/>
        <sz val="12"/>
        <rFont val=".VnTime"/>
        <family val="2"/>
      </rPr>
      <t/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</si>
  <si>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</si>
  <si>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</si>
  <si>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</si>
  <si>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</si>
  <si>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 xml:space="preserve"> - x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>, y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 xml:space="preserve"> </t>
    </r>
  </si>
  <si>
    <t>Tường xây gạch đặc dày 110</t>
  </si>
  <si>
    <t>MAI</t>
  </si>
  <si>
    <t>TUM</t>
  </si>
  <si>
    <t>DCL</t>
  </si>
  <si>
    <t>Cấp dẻo thấp</t>
  </si>
  <si>
    <t>Dutility class low</t>
  </si>
  <si>
    <t>TABLE:  Story Data</t>
  </si>
  <si>
    <t>Name</t>
  </si>
  <si>
    <t>Master Story</t>
  </si>
  <si>
    <t>Similar To</t>
  </si>
  <si>
    <t>Splice Story</t>
  </si>
  <si>
    <t>Yes</t>
  </si>
  <si>
    <t>No</t>
  </si>
  <si>
    <t>TABLE:  Modal Participating Mass Ratios</t>
  </si>
  <si>
    <t>Case</t>
  </si>
  <si>
    <t>Sum UX</t>
  </si>
  <si>
    <t>Sum UY</t>
  </si>
  <si>
    <t>Sum UZ</t>
  </si>
  <si>
    <t>Sum RX</t>
  </si>
  <si>
    <t>Sum RY</t>
  </si>
  <si>
    <t>Sum RZ</t>
  </si>
  <si>
    <t>sec</t>
  </si>
  <si>
    <t>Modal</t>
  </si>
  <si>
    <t>TABLE:  Diaphragm Center of Mass Displacements</t>
  </si>
  <si>
    <t>Load Case/Combo</t>
  </si>
  <si>
    <t>Point</t>
  </si>
  <si>
    <t>Z</t>
  </si>
  <si>
    <t>rad</t>
  </si>
  <si>
    <t>Modal 1</t>
  </si>
  <si>
    <t>Modal 2</t>
  </si>
  <si>
    <t>Modal 3</t>
  </si>
  <si>
    <t>Modal 4</t>
  </si>
  <si>
    <t>Modal 5</t>
  </si>
  <si>
    <t>Modal 6</t>
  </si>
  <si>
    <t>Modal 7</t>
  </si>
  <si>
    <t>Modal 8</t>
  </si>
  <si>
    <t>Modal 9</t>
  </si>
  <si>
    <t>Modal 10</t>
  </si>
  <si>
    <t>Modal 11</t>
  </si>
  <si>
    <t>Modal 12</t>
  </si>
  <si>
    <t>Modal 13</t>
  </si>
  <si>
    <t>Modal 14</t>
  </si>
  <si>
    <t>Modal 15</t>
  </si>
  <si>
    <t>TABLE:  Mass Summary by Diaphragm</t>
  </si>
  <si>
    <t>Mass X</t>
  </si>
  <si>
    <t>Mass Y</t>
  </si>
  <si>
    <t>Mass Moment of Inertia</t>
  </si>
  <si>
    <t>X Mass Center</t>
  </si>
  <si>
    <t>Y Mass Center</t>
  </si>
  <si>
    <t>ton</t>
  </si>
  <si>
    <t>ton-m²</t>
  </si>
  <si>
    <t>Hướng dẫn:</t>
  </si>
  <si>
    <t>1. Chọn phiên bản Etabs muốn nhập dữ liệu, sau đó nhập vào các sheet ở bên trái</t>
  </si>
  <si>
    <t>Phiên bản Etabs chọn xuất dữ liệu:</t>
  </si>
  <si>
    <t>3. Chọn filter để căn chỉnh in ấn ở các sheet bảng tính và print.</t>
  </si>
  <si>
    <t>2. Nhập dữ liệu bổ sung vào các ô màu đỏ: Menu, sheet bảng tính và print</t>
  </si>
  <si>
    <t>Nhập dữ liệu từ Etabs 2013 trở lên vào vùng in</t>
  </si>
  <si>
    <t>Nhập dữ liệu từ Etabs 9.7.4 vào vùng in</t>
  </si>
  <si>
    <t>B1</t>
  </si>
  <si>
    <t>Modal 16</t>
  </si>
  <si>
    <t>Modal 17</t>
  </si>
  <si>
    <t>Modal 18</t>
  </si>
  <si>
    <t>Modal 19</t>
  </si>
  <si>
    <t>Modal 20</t>
  </si>
  <si>
    <t>Lớp bê tông đáy bể bơi</t>
  </si>
  <si>
    <t>Lớp bê tông nắp bể bơi</t>
  </si>
  <si>
    <t>Bottom concrete swimming pool</t>
  </si>
  <si>
    <t>Top concrete swimming pool</t>
  </si>
  <si>
    <t>Nước trong bể bơi</t>
  </si>
  <si>
    <t>Water swimming pool</t>
  </si>
  <si>
    <t>11.</t>
  </si>
  <si>
    <t>38F</t>
  </si>
  <si>
    <t>37F</t>
  </si>
  <si>
    <t>36F</t>
  </si>
  <si>
    <t>35F</t>
  </si>
  <si>
    <t>34F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</si>
  <si>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</si>
  <si>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</si>
  <si>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</si>
  <si>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</si>
  <si>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</si>
  <si>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</si>
  <si>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</si>
  <si>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</si>
  <si>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</si>
  <si>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</si>
  <si>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</si>
  <si>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</si>
  <si>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</si>
  <si>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</si>
  <si>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</si>
  <si>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</si>
  <si>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</si>
  <si>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</si>
  <si>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</si>
  <si>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</si>
  <si>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</si>
  <si>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</si>
  <si>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</si>
  <si>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</si>
  <si>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</si>
  <si>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</si>
  <si>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</si>
  <si>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</si>
  <si>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</si>
  <si>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</si>
  <si>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</si>
  <si>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</si>
  <si>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</si>
  <si>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Tính toán tải trọng 01 căn hộ điển hình</t>
  </si>
  <si>
    <t>Tường 140</t>
  </si>
  <si>
    <t>Tường 100</t>
  </si>
  <si>
    <t>Tải trọng tường 140 (kg/m2)</t>
  </si>
  <si>
    <t>Tải trọng tường 100 (kg/m2)</t>
  </si>
  <si>
    <t>Tổng trọng lượng
(kg)</t>
  </si>
  <si>
    <t>Tổng diện tích căn hộ</t>
  </si>
  <si>
    <t>Etabs 2013 trở lên</t>
  </si>
  <si>
    <t xml:space="preserve">Dạng chuyển vị </t>
  </si>
  <si>
    <t>Modal 21</t>
  </si>
  <si>
    <t>Modal 22</t>
  </si>
  <si>
    <t>Modal 23</t>
  </si>
  <si>
    <t>Modal 24</t>
  </si>
  <si>
    <t>Modal 25</t>
  </si>
  <si>
    <t>Modal 26</t>
  </si>
  <si>
    <t>Modal 27</t>
  </si>
  <si>
    <t>Modal 28</t>
  </si>
  <si>
    <t>Modal 29</t>
  </si>
  <si>
    <t>Modal 30</t>
  </si>
  <si>
    <t>TMAI</t>
  </si>
  <si>
    <t>TTUM</t>
  </si>
  <si>
    <t>T38</t>
  </si>
  <si>
    <t>T2</t>
  </si>
  <si>
    <t>T37</t>
  </si>
  <si>
    <t>T36</t>
  </si>
  <si>
    <t>T35</t>
  </si>
  <si>
    <t>T34</t>
  </si>
  <si>
    <t>T33</t>
  </si>
  <si>
    <t>T32</t>
  </si>
  <si>
    <t>T31</t>
  </si>
  <si>
    <t>T30</t>
  </si>
  <si>
    <t>T29</t>
  </si>
  <si>
    <t>T28</t>
  </si>
  <si>
    <t>T27</t>
  </si>
  <si>
    <t>T26</t>
  </si>
  <si>
    <t>T25</t>
  </si>
  <si>
    <t>T24</t>
  </si>
  <si>
    <t>T23</t>
  </si>
  <si>
    <t>T22</t>
  </si>
  <si>
    <t>T21</t>
  </si>
  <si>
    <t>T20</t>
  </si>
  <si>
    <t>T19</t>
  </si>
  <si>
    <t>T18</t>
  </si>
  <si>
    <t>T17</t>
  </si>
  <si>
    <t>T16</t>
  </si>
  <si>
    <t>T15</t>
  </si>
  <si>
    <t>T14</t>
  </si>
  <si>
    <t>T13</t>
  </si>
  <si>
    <t>T12</t>
  </si>
  <si>
    <t>T11</t>
  </si>
  <si>
    <t>T10</t>
  </si>
  <si>
    <t>T9</t>
  </si>
  <si>
    <t>T8</t>
  </si>
  <si>
    <t>T7</t>
  </si>
  <si>
    <t>T6</t>
  </si>
  <si>
    <t>T5</t>
  </si>
  <si>
    <t>T4</t>
  </si>
  <si>
    <t>T3</t>
  </si>
  <si>
    <t>T1</t>
  </si>
  <si>
    <t>TÝnh to¸n hÖ sè cho tõng cét theo diÖn chÞu t¶i cña cét ®ã. Råi lÊy hÖ sè trung b×nh cho c¶ khối.</t>
  </si>
  <si>
    <t>.§èi víi diÖn chÞu t¶i thuéc c¸c phßng nªu ë c¸c môc 1,2,3,4,5 (TCVN 2737:1995) - phßng lo¹i 1:</t>
  </si>
  <si>
    <t>.§èi víi diÖn chÞu t¶i thuéc c¸c phßng nªu ë c¸c môc 6,7,8,10,12,14 (TCVN 2737:1995) - phßng lo¹i 2:</t>
  </si>
  <si>
    <t>Trong ®ã:</t>
  </si>
  <si>
    <t>.n lµ sè tÇng chÞu t¶i</t>
  </si>
  <si>
    <t>.A - diÖn chÞu t¶i A=a.b</t>
  </si>
  <si>
    <t>HỆ SỐ GIẢM HOẠT TẢI THEO TẦNG</t>
  </si>
  <si>
    <r>
      <t xml:space="preserve">Gi¸ trÞ ho¹t t¶i ®­îc gi¶m b»ng c¸ch nh©n víi hÖ sè 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n</t>
    </r>
    <r>
      <rPr>
        <sz val="13"/>
        <rFont val=".VnArial"/>
        <family val="2"/>
      </rPr>
      <t>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</si>
  <si>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A1</t>
    </r>
    <r>
      <rPr>
        <sz val="13"/>
        <rFont val=".VnArial"/>
        <family val="2"/>
      </rPr>
      <t xml:space="preserve"> - hÖ sè khi tÝnh víi c¸c phßng lo¹i 1: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</si>
  <si>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A2</t>
    </r>
    <r>
      <rPr>
        <sz val="13"/>
        <rFont val=".VnArial"/>
        <family val="2"/>
      </rPr>
      <t xml:space="preserve"> - hÖ sè khi tÝnh víi c¸c phßng lo¹i 2:</t>
    </r>
  </si>
  <si>
    <r>
      <t>.A</t>
    </r>
    <r>
      <rPr>
        <vertAlign val="subscript"/>
        <sz val="13"/>
        <rFont val=".VnArial"/>
        <family val="2"/>
      </rPr>
      <t>1</t>
    </r>
    <r>
      <rPr>
        <sz val="13"/>
        <rFont val=".VnArial"/>
        <family val="2"/>
      </rPr>
      <t xml:space="preserve"> =  9m</t>
    </r>
    <r>
      <rPr>
        <vertAlign val="superscript"/>
        <sz val="13"/>
        <rFont val=".VnArial"/>
        <family val="2"/>
      </rPr>
      <t>2</t>
    </r>
  </si>
  <si>
    <r>
      <t>.A</t>
    </r>
    <r>
      <rPr>
        <vertAlign val="subscript"/>
        <sz val="13"/>
        <rFont val=".VnArial"/>
        <family val="2"/>
      </rPr>
      <t>2</t>
    </r>
    <r>
      <rPr>
        <sz val="13"/>
        <rFont val=".VnArial"/>
        <family val="2"/>
      </rPr>
      <t xml:space="preserve"> = 36m</t>
    </r>
    <r>
      <rPr>
        <vertAlign val="superscript"/>
        <sz val="13"/>
        <rFont val=".VnArial"/>
        <family val="2"/>
      </rPr>
      <t>2</t>
    </r>
  </si>
  <si>
    <r>
      <t>HT tiêu chuẩn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</si>
  <si>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r>
      <t>ψ</t>
    </r>
    <r>
      <rPr>
        <b/>
        <vertAlign val="subscript"/>
        <sz val="13"/>
        <rFont val="Arial"/>
        <family val="2"/>
      </rPr>
      <t>A</t>
    </r>
  </si>
  <si>
    <r>
      <t>ψ</t>
    </r>
    <r>
      <rPr>
        <b/>
        <vertAlign val="subscript"/>
        <sz val="13"/>
        <rFont val="Arial"/>
        <family val="2"/>
      </rPr>
      <t>n2</t>
    </r>
  </si>
  <si>
    <r>
      <t>HT tính toán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</si>
  <si>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t>VIII. Hệ số giảm hoạt tải</t>
  </si>
  <si>
    <t>Theo mục 4.3.4 TCVN 2727:1995 khi tính dầm chính, dầm phụ, bản sàn, cột và móng</t>
  </si>
  <si>
    <t>tải trọng toàn phần trong bảng 3 (TCVN 2737:1995) được phép giảm như sau: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</si>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</sst>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###0;###0"/>
    <numFmt numFmtId="168" formatCode="0.000000"/>
    <numFmt numFmtId="169" formatCode="0&quot; mm&quot;"/>
    <numFmt numFmtId="170" formatCode="0.00&quot; m&quot;"/>
    <numFmt numFmtId="171" formatCode="&quot;Tầng &quot;0"/>
    <numFmt numFmtId="172" formatCode="0.00\ &quot;%&quot;"/>
  </numFmts>
  <fonts count="186">
    <font>
      <sz val="12"/>
      <name val=".vntime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.VnTime"/>
      <family val="2"/>
    </font>
    <font>
      <sz val="8"/>
      <name val=".VnTime"/>
      <family val="2"/>
    </font>
    <font>
      <sz val="10"/>
      <name val=".VnArial"/>
      <family val="2"/>
    </font>
    <font>
      <b/>
      <sz val="10"/>
      <name val="Tahoma"/>
      <family val="2"/>
    </font>
    <font>
      <sz val="10"/>
      <name val="Times New Roman"/>
      <family val="1"/>
    </font>
    <font>
      <sz val="10"/>
      <name val="Tahoma"/>
      <family val="2"/>
    </font>
    <font>
      <u/>
      <sz val="10"/>
      <color indexed="12"/>
      <name val="Tahoma"/>
      <family val="2"/>
    </font>
    <font>
      <b/>
      <sz val="10"/>
      <name val=".VnArial"/>
      <family val="2"/>
    </font>
    <font>
      <i/>
      <sz val="10"/>
      <name val="Tahoma"/>
      <family val="2"/>
    </font>
    <font>
      <b/>
      <sz val="10"/>
      <color indexed="10"/>
      <name val="Tahoma"/>
      <family val="2"/>
    </font>
    <font>
      <sz val="10"/>
      <color indexed="10"/>
      <name val="Tahoma"/>
      <family val="2"/>
    </font>
    <font>
      <b/>
      <sz val="10"/>
      <name val="Symbol"/>
      <family val="1"/>
      <charset val="2"/>
    </font>
    <font>
      <i/>
      <sz val="9"/>
      <color indexed="1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0"/>
      <color indexed="8"/>
      <name val="Tahoma"/>
      <family val="2"/>
    </font>
    <font>
      <sz val="11"/>
      <color indexed="18"/>
      <name val="Symbol"/>
      <family val="1"/>
      <charset val="2"/>
    </font>
    <font>
      <vertAlign val="subscript"/>
      <sz val="11"/>
      <color indexed="18"/>
      <name val="Symbol"/>
      <family val="1"/>
      <charset val="2"/>
    </font>
    <font>
      <b/>
      <sz val="10"/>
      <color rgb="FFC00000"/>
      <name val="Tahoma"/>
      <family val="2"/>
    </font>
    <font>
      <sz val="10"/>
      <color rgb="FFC00000"/>
      <name val="Tahoma"/>
      <family val="2"/>
    </font>
    <font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Tahoma"/>
      <family val="2"/>
    </font>
    <font>
      <sz val="10"/>
      <color theme="8" tint="-0.499984740745262"/>
      <name val="Tahoma"/>
      <family val="2"/>
    </font>
    <font>
      <sz val="11"/>
      <color rgb="FF002060"/>
      <name val="Symbol"/>
      <family val="1"/>
      <charset val="2"/>
    </font>
    <font>
      <b/>
      <sz val="10"/>
      <color theme="8" tint="-0.499984740745262"/>
      <name val="Tahoma"/>
      <family val="2"/>
    </font>
    <font>
      <sz val="10"/>
      <color theme="5" tint="-0.499984740745262"/>
      <name val="Tahoma"/>
      <family val="2"/>
    </font>
    <font>
      <b/>
      <sz val="11"/>
      <color rgb="FF002060"/>
      <name val="Tahoma"/>
      <family val="2"/>
    </font>
    <font>
      <b/>
      <sz val="12"/>
      <name val="Tahoma"/>
      <family val="2"/>
    </font>
    <font>
      <vertAlign val="superscript"/>
      <sz val="10"/>
      <color indexed="10"/>
      <name val="Tahoma"/>
      <family val="2"/>
    </font>
    <font>
      <b/>
      <sz val="16"/>
      <name val="Tahoma"/>
      <family val="2"/>
    </font>
    <font>
      <b/>
      <sz val="10"/>
      <color theme="4" tint="-0.499984740745262"/>
      <name val="Tahoma"/>
      <family val="2"/>
    </font>
    <font>
      <b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Tahoma"/>
      <family val="2"/>
    </font>
    <font>
      <b/>
      <vertAlign val="superscript"/>
      <sz val="10"/>
      <color theme="8" tint="-0.499984740745262"/>
      <name val="Tahoma"/>
      <family val="2"/>
    </font>
    <font>
      <b/>
      <sz val="10"/>
      <color theme="4" tint="-0.499984740745262"/>
      <name val=".VnArial"/>
      <family val="2"/>
    </font>
    <font>
      <sz val="1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2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0"/>
      <color theme="4" tint="-0.499984740745262"/>
      <name val="Tahoma"/>
      <family val="2"/>
    </font>
    <font>
      <sz val="10"/>
      <color theme="7" tint="-0.499984740745262"/>
      <name val="Tahoma"/>
      <family val="2"/>
    </font>
    <font>
      <sz val="10"/>
      <color rgb="FF363636"/>
      <name val="Tahoma"/>
      <family val="2"/>
    </font>
    <font>
      <sz val="10"/>
      <color rgb="FF000000"/>
      <name val="Tahoma"/>
      <family val="2"/>
    </font>
    <font>
      <vertAlign val="subscript"/>
      <sz val="11"/>
      <name val="Calibri"/>
      <family val="2"/>
      <scheme val="minor"/>
    </font>
    <font>
      <b/>
      <sz val="11"/>
      <color indexed="8"/>
      <name val="Tahoma"/>
      <family val="2"/>
    </font>
    <font>
      <sz val="11"/>
      <color indexed="8"/>
      <name val="Tahoma"/>
      <family val="2"/>
    </font>
    <font>
      <sz val="11"/>
      <name val=".VnTime"/>
      <family val="2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2"/>
      <name val=".VnTime"/>
      <family val="2"/>
    </font>
    <font>
      <sz val="12"/>
      <name val=".Vn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name val=".VnArial"/>
      <family val="2"/>
    </font>
    <font>
      <sz val="12"/>
      <color indexed="9"/>
      <name val=".VnArial"/>
      <family val="2"/>
    </font>
    <font>
      <sz val="12"/>
      <name val="Symbol"/>
      <family val="1"/>
      <charset val="2"/>
    </font>
    <font>
      <vertAlign val="subscript"/>
      <sz val="12"/>
      <name val="Times New Roman"/>
      <family val="1"/>
    </font>
    <font>
      <vertAlign val="subscript"/>
      <sz val="12"/>
      <name val=".VnTime"/>
      <family val="2"/>
    </font>
    <font>
      <sz val="12"/>
      <name val="Arial"/>
      <family val="2"/>
    </font>
    <font>
      <vertAlign val="subscript"/>
      <sz val="12"/>
      <name val="Symbol"/>
      <family val="1"/>
      <charset val="2"/>
    </font>
    <font>
      <sz val="12"/>
      <color indexed="10"/>
      <name val="Times New Roman"/>
      <family val="1"/>
    </font>
    <font>
      <i/>
      <sz val="11"/>
      <name val="Calibri"/>
      <family val="2"/>
      <scheme val="minor"/>
    </font>
    <font>
      <b/>
      <i/>
      <sz val="11"/>
      <name val="Tahoma"/>
      <family val="2"/>
    </font>
    <font>
      <i/>
      <sz val="11"/>
      <name val="Tahoma"/>
      <family val="2"/>
    </font>
    <font>
      <sz val="11"/>
      <name val="Times New Roman"/>
      <family val="1"/>
    </font>
    <font>
      <b/>
      <sz val="14"/>
      <color rgb="FFC00000"/>
      <name val="Calibri"/>
      <family val="2"/>
      <scheme val="minor"/>
    </font>
    <font>
      <i/>
      <sz val="11"/>
      <color indexed="8"/>
      <name val="Tahoma"/>
      <family val="2"/>
    </font>
    <font>
      <sz val="12"/>
      <color theme="0"/>
      <name val="Calibri"/>
      <family val="2"/>
      <scheme val="minor"/>
    </font>
    <font>
      <vertAlign val="subscript"/>
      <sz val="12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C00000"/>
      <name val="Times New Roman"/>
      <family val="1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2"/>
      <name val="Tahoma"/>
      <family val="2"/>
    </font>
    <font>
      <sz val="13"/>
      <name val="Times New Roman"/>
      <family val="1"/>
    </font>
    <font>
      <b/>
      <sz val="13"/>
      <name val="Times New Roman"/>
      <family val="1"/>
    </font>
    <font>
      <b/>
      <i/>
      <sz val="13"/>
      <name val="Times New Roman"/>
      <family val="1"/>
    </font>
    <font>
      <vertAlign val="superscript"/>
      <sz val="13"/>
      <name val="Times New Roman"/>
      <family val="1"/>
    </font>
    <font>
      <i/>
      <sz val="13"/>
      <color rgb="FFC00000"/>
      <name val="Times New Roman"/>
      <family val="1"/>
    </font>
    <font>
      <u/>
      <sz val="13"/>
      <color indexed="12"/>
      <name val="Times New Roman"/>
      <family val="1"/>
    </font>
    <font>
      <b/>
      <sz val="13"/>
      <color indexed="10"/>
      <name val="Times New Roman"/>
      <family val="1"/>
    </font>
    <font>
      <u/>
      <sz val="13"/>
      <color rgb="FFFF0000"/>
      <name val="Times New Roman"/>
      <family val="1"/>
    </font>
    <font>
      <sz val="13"/>
      <color rgb="FFFF0000"/>
      <name val="Times New Roman"/>
      <family val="1"/>
    </font>
    <font>
      <sz val="13"/>
      <name val="Symbol"/>
      <family val="1"/>
      <charset val="2"/>
    </font>
    <font>
      <b/>
      <sz val="13"/>
      <name val="Symbol"/>
      <family val="1"/>
      <charset val="2"/>
    </font>
    <font>
      <i/>
      <sz val="12"/>
      <color rgb="FFC00000"/>
      <name val="Times New Roman"/>
      <family val="1"/>
    </font>
    <font>
      <vertAlign val="subscript"/>
      <sz val="13"/>
      <name val="Times New Roman"/>
      <family val="1"/>
    </font>
    <font>
      <sz val="11"/>
      <color rgb="FFFF0000"/>
      <name val="Calibri"/>
      <family val="2"/>
      <scheme val="minor"/>
    </font>
    <font>
      <i/>
      <sz val="9.5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3"/>
      <name val="Calibri"/>
      <family val="2"/>
      <scheme val="minor"/>
    </font>
    <font>
      <sz val="11"/>
      <color theme="2"/>
      <name val="Calibri"/>
      <family val="2"/>
      <scheme val="minor"/>
    </font>
    <font>
      <sz val="10"/>
      <name val="Calibri Light"/>
      <family val="2"/>
      <scheme val="major"/>
    </font>
    <font>
      <i/>
      <sz val="10"/>
      <name val="Calibri Light"/>
      <family val="2"/>
      <scheme val="major"/>
    </font>
    <font>
      <b/>
      <sz val="11"/>
      <name val="Times New Roman"/>
      <family val="1"/>
    </font>
    <font>
      <vertAlign val="subscript"/>
      <sz val="11"/>
      <name val="Times New Roman"/>
      <family val="1"/>
    </font>
    <font>
      <sz val="11"/>
      <color rgb="FF0000FF"/>
      <name val="Times New Roman"/>
      <family val="1"/>
    </font>
    <font>
      <b/>
      <sz val="14"/>
      <name val="Times New Roman"/>
      <family val="1"/>
    </font>
    <font>
      <i/>
      <sz val="13"/>
      <name val="Times New Roman"/>
      <family val="1"/>
    </font>
    <font>
      <sz val="13"/>
      <color rgb="FF0000FF"/>
      <name val="Times New Roman"/>
      <family val="1"/>
    </font>
    <font>
      <i/>
      <sz val="13"/>
      <color theme="5" tint="-0.499984740745262"/>
      <name val="Times New Roman"/>
      <family val="1"/>
    </font>
    <font>
      <i/>
      <sz val="12"/>
      <color theme="5" tint="-0.499984740745262"/>
      <name val="Times New Roman"/>
      <family val="1"/>
    </font>
    <font>
      <sz val="13"/>
      <color theme="5" tint="-0.499984740745262"/>
      <name val="Times New Roman"/>
      <family val="1"/>
    </font>
    <font>
      <i/>
      <sz val="10"/>
      <color theme="5" tint="-0.499984740745262"/>
      <name val="Times New Roman"/>
      <family val="1"/>
    </font>
    <font>
      <i/>
      <sz val="11"/>
      <color theme="5" tint="-0.499984740745262"/>
      <name val="Times New Roman"/>
      <family val="1"/>
    </font>
    <font>
      <b/>
      <sz val="12"/>
      <name val="Symbol"/>
      <family val="1"/>
      <charset val="2"/>
    </font>
    <font>
      <vertAlign val="subscript"/>
      <sz val="13"/>
      <name val="Calibri"/>
      <family val="2"/>
      <scheme val="minor"/>
    </font>
    <font>
      <i/>
      <sz val="11.5"/>
      <color theme="5" tint="-0.499984740745262"/>
      <name val="Times New Roman"/>
      <family val="1"/>
    </font>
    <font>
      <sz val="12"/>
      <color theme="2"/>
      <name val="Times New Roman"/>
      <family val="1"/>
    </font>
    <font>
      <sz val="12"/>
      <color rgb="FF0000FF"/>
      <name val="Times New Roman"/>
      <family val="1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i/>
      <sz val="12"/>
      <color theme="7" tint="-0.499984740745262"/>
      <name val="Times New Roman"/>
      <family val="1"/>
    </font>
    <font>
      <sz val="12"/>
      <color theme="1"/>
      <name val="Times New Roman"/>
      <family val="1"/>
    </font>
    <font>
      <sz val="10"/>
      <name val="Arial"/>
      <family val="2"/>
    </font>
    <font>
      <b/>
      <vertAlign val="superscript"/>
      <sz val="12"/>
      <name val="Times New Roman"/>
      <family val="1"/>
    </font>
    <font>
      <i/>
      <sz val="10"/>
      <color theme="7" tint="-0.499984740745262"/>
      <name val="Times New Roman"/>
      <family val="1"/>
    </font>
    <font>
      <b/>
      <vertAlign val="subscript"/>
      <sz val="12"/>
      <name val="Symbol"/>
      <family val="1"/>
      <charset val="2"/>
    </font>
    <font>
      <sz val="1"/>
      <name val="Times New Roman"/>
      <family val="1"/>
    </font>
    <font>
      <u/>
      <sz val="13"/>
      <name val="Times New Roman"/>
      <family val="1"/>
    </font>
    <font>
      <i/>
      <sz val="13"/>
      <name val="Symbol"/>
      <family val="1"/>
      <charset val="2"/>
    </font>
    <font>
      <sz val="13"/>
      <color rgb="FF002060"/>
      <name val="Times New Roman"/>
      <family val="1"/>
    </font>
    <font>
      <sz val="13"/>
      <color rgb="FF002060"/>
      <name val="Calibri"/>
      <family val="2"/>
      <scheme val="minor"/>
    </font>
    <font>
      <vertAlign val="subscript"/>
      <sz val="13"/>
      <name val=".VnTime"/>
      <family val="2"/>
    </font>
    <font>
      <sz val="13"/>
      <name val="Arial"/>
      <family val="2"/>
    </font>
    <font>
      <u/>
      <sz val="13"/>
      <color indexed="12"/>
      <name val="Calibri"/>
      <family val="2"/>
      <scheme val="minor"/>
    </font>
    <font>
      <b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Arial"/>
      <family val="2"/>
    </font>
    <font>
      <b/>
      <sz val="10"/>
      <name val="Times New Roman"/>
      <family val="1"/>
    </font>
    <font>
      <b/>
      <vertAlign val="superscript"/>
      <sz val="10"/>
      <name val="Times New Roman"/>
      <family val="1"/>
    </font>
    <font>
      <sz val="11"/>
      <name val="Symbol"/>
      <family val="1"/>
      <charset val="2"/>
    </font>
    <font>
      <vertAlign val="superscript"/>
      <sz val="11"/>
      <name val="Times New Roman"/>
      <family val="1"/>
    </font>
    <font>
      <sz val="11"/>
      <color rgb="FFC00000"/>
      <name val="Times New Roman"/>
      <family val="1"/>
    </font>
    <font>
      <b/>
      <sz val="11"/>
      <color rgb="FFC00000"/>
      <name val="Times New Roman"/>
      <family val="1"/>
    </font>
    <font>
      <i/>
      <sz val="13"/>
      <color rgb="FF1F08A6"/>
      <name val="Times New Roman"/>
      <family val="1"/>
    </font>
    <font>
      <sz val="13"/>
      <color rgb="FF1F08A6"/>
      <name val="Times New Roman"/>
      <family val="1"/>
    </font>
    <font>
      <i/>
      <sz val="12"/>
      <color rgb="FF0000FF"/>
      <name val="Times New Roman"/>
      <family val="1"/>
    </font>
    <font>
      <sz val="11.5"/>
      <name val="Times New Roman"/>
      <family val="1"/>
    </font>
    <font>
      <vertAlign val="subscript"/>
      <sz val="11.5"/>
      <name val="Times New Roman"/>
      <family val="1"/>
    </font>
    <font>
      <vertAlign val="subscript"/>
      <sz val="11.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3"/>
      <name val=".VnArial"/>
      <family val="2"/>
    </font>
    <font>
      <vertAlign val="subscript"/>
      <sz val="13"/>
      <name val=".VnArial"/>
      <family val="2"/>
    </font>
    <font>
      <i/>
      <sz val="13"/>
      <name val=".VnArial"/>
      <family val="2"/>
    </font>
    <font>
      <b/>
      <sz val="13"/>
      <name val=".VnArial"/>
      <family val="2"/>
    </font>
    <font>
      <vertAlign val="superscript"/>
      <sz val="13"/>
      <name val=".VnArial"/>
      <family val="2"/>
    </font>
    <font>
      <sz val="13"/>
      <name val="Arial"/>
      <family val="2"/>
      <charset val="163"/>
    </font>
    <font>
      <b/>
      <sz val="13"/>
      <name val="Arial"/>
      <family val="2"/>
    </font>
    <font>
      <b/>
      <vertAlign val="superscript"/>
      <sz val="13"/>
      <name val="Arial"/>
      <family val="2"/>
    </font>
    <font>
      <b/>
      <vertAlign val="subscript"/>
      <sz val="13"/>
      <name val="Arial"/>
      <family val="2"/>
    </font>
    <font>
      <sz val="13"/>
      <color theme="4" tint="-0.249977111117893"/>
      <name val="Arial"/>
      <family val="2"/>
    </font>
    <font>
      <sz val="13"/>
      <color theme="4" tint="-0.249977111117893"/>
      <name val=".VnArial"/>
      <family val="2"/>
    </font>
    <font>
      <sz val="13"/>
      <color theme="1"/>
      <name val="Arial"/>
      <family val="2"/>
    </font>
    <font>
      <sz val="13"/>
      <color theme="5" tint="-0.499984740745262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15">
    <xf numFmtId="0" fontId="0" fillId="0" borderId="0"/>
    <xf numFmtId="0" fontId="73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71" fillId="0" borderId="0"/>
    <xf numFmtId="0" fontId="172" fillId="0" borderId="0"/>
  </cellStyleXfs>
  <cellXfs count="1301">
    <xf numFmtId="0" fontId="0" fillId="0" borderId="0" xfId="0"/>
    <xf numFmtId="0" fontId="19" fillId="3" borderId="0" xfId="0" applyFont="1" applyFill="1" applyAlignment="1">
      <alignment vertical="center" wrapText="1"/>
    </xf>
    <xf numFmtId="0" fontId="19" fillId="3" borderId="0" xfId="0" applyFont="1" applyFill="1" applyAlignment="1" applyProtection="1">
      <alignment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42" fillId="0" borderId="16" xfId="0" applyFont="1" applyBorder="1" applyAlignment="1" applyProtection="1">
      <alignment vertical="center"/>
      <protection hidden="1"/>
    </xf>
    <xf numFmtId="0" fontId="19" fillId="0" borderId="17" xfId="0" applyFont="1" applyBorder="1" applyAlignment="1" applyProtection="1">
      <alignment vertical="center"/>
      <protection hidden="1"/>
    </xf>
    <xf numFmtId="0" fontId="19" fillId="0" borderId="18" xfId="0" applyFont="1" applyBorder="1" applyAlignment="1" applyProtection="1">
      <alignment vertical="center"/>
      <protection hidden="1"/>
    </xf>
    <xf numFmtId="0" fontId="17" fillId="8" borderId="1" xfId="0" applyFont="1" applyFill="1" applyBorder="1" applyAlignment="1" applyProtection="1">
      <alignment horizontal="center" vertical="center"/>
      <protection hidden="1"/>
    </xf>
    <xf numFmtId="0" fontId="19" fillId="3" borderId="27" xfId="0" applyFont="1" applyFill="1" applyBorder="1" applyAlignment="1" applyProtection="1">
      <alignment vertical="center"/>
      <protection hidden="1"/>
    </xf>
    <xf numFmtId="0" fontId="19" fillId="3" borderId="28" xfId="0" applyFont="1" applyFill="1" applyBorder="1" applyAlignment="1" applyProtection="1">
      <alignment vertical="center"/>
      <protection hidden="1"/>
    </xf>
    <xf numFmtId="0" fontId="19" fillId="3" borderId="29" xfId="0" applyFont="1" applyFill="1" applyBorder="1" applyAlignment="1" applyProtection="1">
      <alignment vertical="center"/>
      <protection hidden="1"/>
    </xf>
    <xf numFmtId="164" fontId="39" fillId="3" borderId="27" xfId="0" applyNumberFormat="1" applyFont="1" applyFill="1" applyBorder="1" applyAlignment="1" applyProtection="1">
      <alignment horizontal="left" vertical="center"/>
      <protection hidden="1"/>
    </xf>
    <xf numFmtId="2" fontId="19" fillId="3" borderId="28" xfId="0" applyNumberFormat="1" applyFont="1" applyFill="1" applyBorder="1" applyAlignment="1" applyProtection="1">
      <alignment horizontal="center" vertical="center"/>
      <protection hidden="1"/>
    </xf>
    <xf numFmtId="0" fontId="19" fillId="3" borderId="28" xfId="0" applyFont="1" applyFill="1" applyBorder="1" applyAlignment="1" applyProtection="1">
      <alignment vertical="center" wrapText="1"/>
      <protection hidden="1"/>
    </xf>
    <xf numFmtId="0" fontId="19" fillId="3" borderId="29" xfId="0" applyFont="1" applyFill="1" applyBorder="1" applyAlignment="1" applyProtection="1">
      <alignment vertical="center" wrapText="1"/>
      <protection hidden="1"/>
    </xf>
    <xf numFmtId="0" fontId="19" fillId="20" borderId="1" xfId="0" applyFont="1" applyFill="1" applyBorder="1" applyAlignment="1" applyProtection="1">
      <alignment horizontal="center" vertical="center"/>
      <protection hidden="1"/>
    </xf>
    <xf numFmtId="0" fontId="19" fillId="20" borderId="1" xfId="0" applyFont="1" applyFill="1" applyBorder="1" applyAlignment="1" applyProtection="1">
      <alignment horizontal="left" vertical="center" wrapText="1"/>
      <protection hidden="1"/>
    </xf>
    <xf numFmtId="0" fontId="19" fillId="20" borderId="1" xfId="0" applyFont="1" applyFill="1" applyBorder="1" applyAlignment="1" applyProtection="1">
      <alignment vertical="center" wrapText="1"/>
      <protection hidden="1"/>
    </xf>
    <xf numFmtId="0" fontId="19" fillId="20" borderId="1" xfId="0" applyFont="1" applyFill="1" applyBorder="1" applyAlignment="1" applyProtection="1">
      <alignment horizontal="center"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17" fillId="3" borderId="30" xfId="0" applyFont="1" applyFill="1" applyBorder="1" applyAlignment="1" applyProtection="1">
      <alignment vertical="center"/>
      <protection hidden="1"/>
    </xf>
    <xf numFmtId="0" fontId="17" fillId="3" borderId="0" xfId="0" applyFont="1" applyFill="1" applyAlignment="1" applyProtection="1">
      <alignment vertical="center"/>
      <protection hidden="1"/>
    </xf>
    <xf numFmtId="0" fontId="17" fillId="3" borderId="31" xfId="0" applyFont="1" applyFill="1" applyBorder="1" applyAlignment="1" applyProtection="1">
      <alignment vertical="center"/>
      <protection hidden="1"/>
    </xf>
    <xf numFmtId="0" fontId="39" fillId="15" borderId="1" xfId="0" applyFont="1" applyFill="1" applyBorder="1" applyAlignment="1" applyProtection="1">
      <alignment horizontal="center" vertical="center" wrapText="1"/>
      <protection hidden="1"/>
    </xf>
    <xf numFmtId="0" fontId="39" fillId="15" borderId="20" xfId="0" applyFont="1" applyFill="1" applyBorder="1" applyAlignment="1" applyProtection="1">
      <alignment horizontal="center" vertical="center" wrapText="1"/>
      <protection hidden="1"/>
    </xf>
    <xf numFmtId="0" fontId="39" fillId="15" borderId="14" xfId="0" applyFont="1" applyFill="1" applyBorder="1" applyAlignment="1" applyProtection="1">
      <alignment horizontal="center" vertical="center" wrapText="1"/>
      <protection hidden="1"/>
    </xf>
    <xf numFmtId="0" fontId="34" fillId="15" borderId="14" xfId="0" applyFont="1" applyFill="1" applyBorder="1" applyAlignment="1" applyProtection="1">
      <alignment vertical="center" wrapText="1"/>
      <protection hidden="1"/>
    </xf>
    <xf numFmtId="1" fontId="35" fillId="15" borderId="1" xfId="0" applyNumberFormat="1" applyFont="1" applyFill="1" applyBorder="1" applyAlignment="1" applyProtection="1">
      <alignment horizontal="center" vertical="center" wrapText="1"/>
      <protection hidden="1"/>
    </xf>
    <xf numFmtId="1" fontId="35" fillId="15" borderId="20" xfId="0" applyNumberFormat="1" applyFont="1" applyFill="1" applyBorder="1" applyAlignment="1" applyProtection="1">
      <alignment horizontal="center" vertical="center" wrapText="1"/>
      <protection hidden="1"/>
    </xf>
    <xf numFmtId="0" fontId="19" fillId="3" borderId="30" xfId="0" applyFont="1" applyFill="1" applyBorder="1" applyAlignment="1" applyProtection="1">
      <alignment vertical="center"/>
      <protection hidden="1"/>
    </xf>
    <xf numFmtId="0" fontId="19" fillId="3" borderId="31" xfId="0" applyFont="1" applyFill="1" applyBorder="1" applyAlignment="1" applyProtection="1">
      <alignment vertical="center"/>
      <protection hidden="1"/>
    </xf>
    <xf numFmtId="0" fontId="19" fillId="12" borderId="1" xfId="0" applyFont="1" applyFill="1" applyBorder="1" applyAlignment="1" applyProtection="1">
      <alignment horizontal="center" vertical="center" wrapText="1"/>
      <protection hidden="1"/>
    </xf>
    <xf numFmtId="0" fontId="19" fillId="12" borderId="20" xfId="0" applyFont="1" applyFill="1" applyBorder="1" applyAlignment="1" applyProtection="1">
      <alignment horizontal="center" vertical="center" wrapText="1"/>
      <protection hidden="1"/>
    </xf>
    <xf numFmtId="0" fontId="35" fillId="15" borderId="14" xfId="0" applyFont="1" applyFill="1" applyBorder="1" applyAlignment="1" applyProtection="1">
      <alignment horizontal="center" vertical="center" wrapText="1"/>
      <protection hidden="1"/>
    </xf>
    <xf numFmtId="164" fontId="34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4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19" fillId="3" borderId="45" xfId="0" applyFont="1" applyFill="1" applyBorder="1" applyAlignment="1" applyProtection="1">
      <alignment horizontal="center" vertical="center"/>
      <protection hidden="1"/>
    </xf>
    <xf numFmtId="0" fontId="19" fillId="3" borderId="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19" fillId="3" borderId="31" xfId="0" applyFont="1" applyFill="1" applyBorder="1" applyAlignment="1" applyProtection="1">
      <alignment horizontal="center" vertical="center"/>
      <protection hidden="1"/>
    </xf>
    <xf numFmtId="2" fontId="46" fillId="15" borderId="14" xfId="0" applyNumberFormat="1" applyFont="1" applyFill="1" applyBorder="1" applyAlignment="1" applyProtection="1">
      <alignment horizontal="center" vertical="center"/>
      <protection hidden="1"/>
    </xf>
    <xf numFmtId="2" fontId="46" fillId="15" borderId="1" xfId="0" applyNumberFormat="1" applyFont="1" applyFill="1" applyBorder="1" applyAlignment="1" applyProtection="1">
      <alignment horizontal="center" vertical="center"/>
      <protection hidden="1"/>
    </xf>
    <xf numFmtId="2" fontId="46" fillId="15" borderId="20" xfId="0" applyNumberFormat="1" applyFont="1" applyFill="1" applyBorder="1" applyAlignment="1" applyProtection="1">
      <alignment horizontal="center" vertical="center"/>
      <protection hidden="1"/>
    </xf>
    <xf numFmtId="0" fontId="17" fillId="3" borderId="14" xfId="0" applyFont="1" applyFill="1" applyBorder="1" applyAlignment="1" applyProtection="1">
      <alignment horizontal="center" vertical="center"/>
      <protection hidden="1"/>
    </xf>
    <xf numFmtId="164" fontId="19" fillId="12" borderId="14" xfId="0" applyNumberFormat="1" applyFont="1" applyFill="1" applyBorder="1" applyAlignment="1" applyProtection="1">
      <alignment horizontal="center" vertical="center" wrapText="1"/>
      <protection hidden="1"/>
    </xf>
    <xf numFmtId="164" fontId="19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19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19" fillId="12" borderId="1" xfId="0" applyFont="1" applyFill="1" applyBorder="1" applyAlignment="1" applyProtection="1">
      <alignment vertical="center" wrapText="1"/>
      <protection hidden="1"/>
    </xf>
    <xf numFmtId="0" fontId="19" fillId="18" borderId="1" xfId="0" applyFont="1" applyFill="1" applyBorder="1" applyAlignment="1" applyProtection="1">
      <alignment horizontal="center" vertical="center"/>
      <protection hidden="1"/>
    </xf>
    <xf numFmtId="0" fontId="33" fillId="18" borderId="1" xfId="0" applyFont="1" applyFill="1" applyBorder="1" applyAlignment="1" applyProtection="1">
      <alignment horizontal="left" vertical="center" wrapText="1" shrinkToFit="1"/>
      <protection hidden="1"/>
    </xf>
    <xf numFmtId="0" fontId="33" fillId="18" borderId="1" xfId="0" applyFont="1" applyFill="1" applyBorder="1" applyAlignment="1" applyProtection="1">
      <alignment vertical="center" wrapText="1"/>
      <protection hidden="1"/>
    </xf>
    <xf numFmtId="0" fontId="33" fillId="18" borderId="1" xfId="0" applyFont="1" applyFill="1" applyBorder="1" applyAlignment="1" applyProtection="1">
      <alignment horizontal="center" vertical="center" wrapText="1"/>
      <protection hidden="1"/>
    </xf>
    <xf numFmtId="164" fontId="27" fillId="3" borderId="30" xfId="0" applyNumberFormat="1" applyFont="1" applyFill="1" applyBorder="1" applyAlignment="1" applyProtection="1">
      <alignment horizontal="center" vertical="center"/>
      <protection hidden="1"/>
    </xf>
    <xf numFmtId="2" fontId="28" fillId="3" borderId="0" xfId="0" applyNumberFormat="1" applyFont="1" applyFill="1" applyAlignment="1" applyProtection="1">
      <alignment horizontal="center" vertical="center"/>
      <protection hidden="1"/>
    </xf>
    <xf numFmtId="0" fontId="28" fillId="3" borderId="0" xfId="0" applyFont="1" applyFill="1" applyAlignment="1" applyProtection="1">
      <alignment vertical="center" wrapText="1"/>
      <protection hidden="1"/>
    </xf>
    <xf numFmtId="0" fontId="28" fillId="3" borderId="31" xfId="0" applyFont="1" applyFill="1" applyBorder="1" applyAlignment="1" applyProtection="1">
      <alignment vertical="center" wrapText="1"/>
      <protection hidden="1"/>
    </xf>
    <xf numFmtId="0" fontId="34" fillId="3" borderId="32" xfId="0" applyFont="1" applyFill="1" applyBorder="1" applyAlignment="1" applyProtection="1">
      <alignment vertical="center" wrapText="1"/>
      <protection hidden="1"/>
    </xf>
    <xf numFmtId="0" fontId="34" fillId="3" borderId="4" xfId="0" applyFont="1" applyFill="1" applyBorder="1" applyAlignment="1" applyProtection="1">
      <alignment vertical="center" wrapText="1"/>
      <protection hidden="1"/>
    </xf>
    <xf numFmtId="0" fontId="36" fillId="3" borderId="0" xfId="0" applyFont="1" applyFill="1" applyAlignment="1" applyProtection="1">
      <alignment vertical="center" wrapText="1"/>
      <protection hidden="1"/>
    </xf>
    <xf numFmtId="0" fontId="37" fillId="15" borderId="1" xfId="0" applyFont="1" applyFill="1" applyBorder="1" applyAlignment="1" applyProtection="1">
      <alignment vertical="center" wrapText="1"/>
      <protection hidden="1"/>
    </xf>
    <xf numFmtId="0" fontId="34" fillId="15" borderId="1" xfId="0" applyFont="1" applyFill="1" applyBorder="1" applyAlignment="1" applyProtection="1">
      <alignment horizontal="center" vertical="center" wrapText="1"/>
      <protection hidden="1"/>
    </xf>
    <xf numFmtId="0" fontId="34" fillId="15" borderId="20" xfId="0" applyFont="1" applyFill="1" applyBorder="1" applyAlignment="1" applyProtection="1">
      <alignment horizontal="center" vertical="center" wrapText="1"/>
      <protection hidden="1"/>
    </xf>
    <xf numFmtId="0" fontId="63" fillId="0" borderId="1" xfId="0" applyFont="1" applyBorder="1" applyAlignment="1" applyProtection="1">
      <alignment vertical="center" wrapText="1"/>
      <protection hidden="1"/>
    </xf>
    <xf numFmtId="0" fontId="19" fillId="6" borderId="43" xfId="0" applyFont="1" applyFill="1" applyBorder="1" applyAlignment="1" applyProtection="1">
      <alignment vertical="center"/>
      <protection hidden="1"/>
    </xf>
    <xf numFmtId="0" fontId="19" fillId="6" borderId="11" xfId="0" applyFont="1" applyFill="1" applyBorder="1" applyAlignment="1" applyProtection="1">
      <alignment vertical="center" wrapText="1"/>
      <protection hidden="1"/>
    </xf>
    <xf numFmtId="0" fontId="19" fillId="6" borderId="44" xfId="0" applyFont="1" applyFill="1" applyBorder="1" applyAlignment="1" applyProtection="1">
      <alignment vertical="center" wrapText="1"/>
      <protection hidden="1"/>
    </xf>
    <xf numFmtId="2" fontId="38" fillId="3" borderId="14" xfId="0" applyNumberFormat="1" applyFont="1" applyFill="1" applyBorder="1" applyAlignment="1" applyProtection="1">
      <alignment horizontal="center" vertical="center"/>
      <protection hidden="1"/>
    </xf>
    <xf numFmtId="2" fontId="34" fillId="3" borderId="1" xfId="0" applyNumberFormat="1" applyFont="1" applyFill="1" applyBorder="1" applyAlignment="1" applyProtection="1">
      <alignment horizontal="center" vertical="center" wrapText="1"/>
      <protection hidden="1"/>
    </xf>
    <xf numFmtId="1" fontId="39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19" fillId="6" borderId="30" xfId="0" quotePrefix="1" applyFont="1" applyFill="1" applyBorder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 wrapText="1"/>
      <protection hidden="1"/>
    </xf>
    <xf numFmtId="0" fontId="19" fillId="6" borderId="31" xfId="0" applyFont="1" applyFill="1" applyBorder="1" applyAlignment="1" applyProtection="1">
      <alignment vertical="center" wrapText="1"/>
      <protection hidden="1"/>
    </xf>
    <xf numFmtId="164" fontId="40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40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34" fillId="18" borderId="1" xfId="0" applyFont="1" applyFill="1" applyBorder="1" applyAlignment="1" applyProtection="1">
      <alignment horizontal="left" vertical="center" wrapText="1" shrinkToFit="1"/>
      <protection hidden="1"/>
    </xf>
    <xf numFmtId="0" fontId="34" fillId="18" borderId="1" xfId="0" applyFont="1" applyFill="1" applyBorder="1" applyAlignment="1" applyProtection="1">
      <alignment vertical="center" wrapText="1"/>
      <protection hidden="1"/>
    </xf>
    <xf numFmtId="0" fontId="34" fillId="18" borderId="1" xfId="0" applyFont="1" applyFill="1" applyBorder="1" applyAlignment="1" applyProtection="1">
      <alignment horizontal="center" vertical="center" wrapText="1"/>
      <protection hidden="1"/>
    </xf>
    <xf numFmtId="2" fontId="38" fillId="3" borderId="33" xfId="0" applyNumberFormat="1" applyFont="1" applyFill="1" applyBorder="1" applyAlignment="1" applyProtection="1">
      <alignment horizontal="center" vertical="center"/>
      <protection hidden="1"/>
    </xf>
    <xf numFmtId="164" fontId="41" fillId="3" borderId="12" xfId="0" applyNumberFormat="1" applyFont="1" applyFill="1" applyBorder="1" applyAlignment="1" applyProtection="1">
      <alignment horizontal="center" vertical="center" wrapText="1"/>
      <protection hidden="1"/>
    </xf>
    <xf numFmtId="0" fontId="19" fillId="6" borderId="42" xfId="0" quotePrefix="1" applyFont="1" applyFill="1" applyBorder="1" applyAlignment="1" applyProtection="1">
      <alignment vertical="center"/>
      <protection hidden="1"/>
    </xf>
    <xf numFmtId="0" fontId="19" fillId="6" borderId="34" xfId="0" applyFont="1" applyFill="1" applyBorder="1" applyAlignment="1" applyProtection="1">
      <alignment vertical="center" wrapText="1"/>
      <protection hidden="1"/>
    </xf>
    <xf numFmtId="0" fontId="19" fillId="6" borderId="21" xfId="0" applyFont="1" applyFill="1" applyBorder="1" applyAlignment="1" applyProtection="1">
      <alignment vertical="center" wrapText="1"/>
      <protection hidden="1"/>
    </xf>
    <xf numFmtId="0" fontId="19" fillId="3" borderId="0" xfId="0" applyFont="1" applyFill="1" applyAlignment="1" applyProtection="1">
      <alignment vertical="center" wrapText="1"/>
      <protection hidden="1"/>
    </xf>
    <xf numFmtId="0" fontId="19" fillId="3" borderId="31" xfId="0" applyFont="1" applyFill="1" applyBorder="1" applyAlignment="1" applyProtection="1">
      <alignment vertical="center" wrapText="1"/>
      <protection hidden="1"/>
    </xf>
    <xf numFmtId="164" fontId="34" fillId="3" borderId="14" xfId="0" applyNumberFormat="1" applyFont="1" applyFill="1" applyBorder="1" applyAlignment="1" applyProtection="1">
      <alignment horizontal="center" vertical="center"/>
      <protection hidden="1"/>
    </xf>
    <xf numFmtId="164" fontId="34" fillId="3" borderId="1" xfId="0" applyNumberFormat="1" applyFont="1" applyFill="1" applyBorder="1" applyAlignment="1" applyProtection="1">
      <alignment horizontal="center" vertical="center"/>
      <protection hidden="1"/>
    </xf>
    <xf numFmtId="0" fontId="34" fillId="3" borderId="0" xfId="0" applyFont="1" applyFill="1" applyAlignment="1" applyProtection="1">
      <alignment horizontal="left" vertical="center"/>
      <protection hidden="1"/>
    </xf>
    <xf numFmtId="2" fontId="38" fillId="3" borderId="15" xfId="0" applyNumberFormat="1" applyFont="1" applyFill="1" applyBorder="1" applyAlignment="1" applyProtection="1">
      <alignment horizontal="center" vertical="center"/>
      <protection hidden="1"/>
    </xf>
    <xf numFmtId="164" fontId="32" fillId="3" borderId="22" xfId="0" applyNumberFormat="1" applyFont="1" applyFill="1" applyBorder="1" applyAlignment="1" applyProtection="1">
      <alignment horizontal="center" vertical="center"/>
      <protection hidden="1"/>
    </xf>
    <xf numFmtId="164" fontId="37" fillId="3" borderId="22" xfId="0" applyNumberFormat="1" applyFont="1" applyFill="1" applyBorder="1" applyAlignment="1" applyProtection="1">
      <alignment horizontal="center" vertical="center"/>
      <protection hidden="1"/>
    </xf>
    <xf numFmtId="0" fontId="34" fillId="3" borderId="34" xfId="0" applyFont="1" applyFill="1" applyBorder="1" applyAlignment="1" applyProtection="1">
      <alignment horizontal="left" vertical="center"/>
      <protection hidden="1"/>
    </xf>
    <xf numFmtId="0" fontId="28" fillId="3" borderId="34" xfId="0" applyFont="1" applyFill="1" applyBorder="1" applyAlignment="1" applyProtection="1">
      <alignment vertical="center" wrapText="1"/>
      <protection hidden="1"/>
    </xf>
    <xf numFmtId="0" fontId="19" fillId="3" borderId="34" xfId="0" applyFont="1" applyFill="1" applyBorder="1" applyAlignment="1" applyProtection="1">
      <alignment vertical="center" wrapText="1"/>
      <protection hidden="1"/>
    </xf>
    <xf numFmtId="0" fontId="19" fillId="3" borderId="21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19" fillId="2" borderId="1" xfId="0" quotePrefix="1" applyFont="1" applyFill="1" applyBorder="1" applyAlignment="1" applyProtection="1">
      <alignment horizontal="left" vertical="center"/>
      <protection hidden="1"/>
    </xf>
    <xf numFmtId="0" fontId="19" fillId="0" borderId="4" xfId="0" applyFont="1" applyBorder="1" applyAlignment="1" applyProtection="1">
      <alignment horizontal="center" vertical="center" wrapText="1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/>
      <protection hidden="1"/>
    </xf>
    <xf numFmtId="0" fontId="19" fillId="7" borderId="1" xfId="0" applyFont="1" applyFill="1" applyBorder="1" applyAlignment="1" applyProtection="1">
      <alignment horizontal="center" vertical="center"/>
      <protection hidden="1"/>
    </xf>
    <xf numFmtId="0" fontId="19" fillId="7" borderId="1" xfId="0" applyFont="1" applyFill="1" applyBorder="1" applyAlignment="1" applyProtection="1">
      <alignment vertical="center" wrapText="1"/>
      <protection hidden="1"/>
    </xf>
    <xf numFmtId="0" fontId="19" fillId="7" borderId="1" xfId="0" applyFont="1" applyFill="1" applyBorder="1" applyAlignment="1" applyProtection="1">
      <alignment horizontal="center" vertical="center" wrapText="1"/>
      <protection hidden="1"/>
    </xf>
    <xf numFmtId="0" fontId="63" fillId="0" borderId="1" xfId="0" applyFont="1" applyBorder="1" applyAlignment="1" applyProtection="1">
      <alignment vertical="center"/>
      <protection hidden="1"/>
    </xf>
    <xf numFmtId="0" fontId="19" fillId="3" borderId="2" xfId="0" applyFont="1" applyFill="1" applyBorder="1" applyAlignment="1" applyProtection="1">
      <alignment horizontal="center" vertical="center"/>
      <protection hidden="1"/>
    </xf>
    <xf numFmtId="1" fontId="19" fillId="0" borderId="1" xfId="0" quotePrefix="1" applyNumberFormat="1" applyFont="1" applyBorder="1" applyAlignment="1" applyProtection="1">
      <alignment vertical="center" wrapText="1"/>
      <protection hidden="1"/>
    </xf>
    <xf numFmtId="0" fontId="19" fillId="2" borderId="1" xfId="0" quotePrefix="1" applyFont="1" applyFill="1" applyBorder="1" applyAlignment="1" applyProtection="1">
      <alignment horizontal="left" vertical="center" wrapText="1"/>
      <protection hidden="1"/>
    </xf>
    <xf numFmtId="0" fontId="19" fillId="14" borderId="1" xfId="0" applyFont="1" applyFill="1" applyBorder="1" applyAlignment="1" applyProtection="1">
      <alignment horizontal="center" vertical="center"/>
      <protection hidden="1"/>
    </xf>
    <xf numFmtId="0" fontId="19" fillId="14" borderId="1" xfId="0" applyFont="1" applyFill="1" applyBorder="1" applyAlignment="1" applyProtection="1">
      <alignment vertical="center" wrapText="1"/>
      <protection hidden="1"/>
    </xf>
    <xf numFmtId="0" fontId="19" fillId="14" borderId="1" xfId="0" applyFont="1" applyFill="1" applyBorder="1" applyAlignment="1" applyProtection="1">
      <alignment horizontal="center" vertical="center" wrapText="1"/>
      <protection hidden="1"/>
    </xf>
    <xf numFmtId="0" fontId="19" fillId="0" borderId="1" xfId="0" applyFont="1" applyBorder="1" applyAlignment="1" applyProtection="1">
      <alignment vertical="center" wrapText="1"/>
      <protection hidden="1"/>
    </xf>
    <xf numFmtId="0" fontId="19" fillId="10" borderId="1" xfId="0" applyFont="1" applyFill="1" applyBorder="1" applyAlignment="1" applyProtection="1">
      <alignment horizontal="center" vertical="center"/>
      <protection hidden="1"/>
    </xf>
    <xf numFmtId="0" fontId="19" fillId="10" borderId="1" xfId="0" applyFont="1" applyFill="1" applyBorder="1" applyAlignment="1" applyProtection="1">
      <alignment vertical="center" wrapText="1"/>
      <protection hidden="1"/>
    </xf>
    <xf numFmtId="0" fontId="19" fillId="10" borderId="1" xfId="0" applyFont="1" applyFill="1" applyBorder="1" applyAlignment="1" applyProtection="1">
      <alignment horizontal="center" vertical="center" wrapText="1"/>
      <protection hidden="1"/>
    </xf>
    <xf numFmtId="164" fontId="19" fillId="3" borderId="1" xfId="0" applyNumberFormat="1" applyFont="1" applyFill="1" applyBorder="1" applyAlignment="1" applyProtection="1">
      <alignment horizontal="center" vertical="center"/>
      <protection hidden="1"/>
    </xf>
    <xf numFmtId="164" fontId="19" fillId="12" borderId="1" xfId="0" applyNumberFormat="1" applyFont="1" applyFill="1" applyBorder="1" applyAlignment="1" applyProtection="1">
      <alignment horizontal="center" vertical="center"/>
      <protection hidden="1"/>
    </xf>
    <xf numFmtId="0" fontId="33" fillId="10" borderId="1" xfId="0" applyFont="1" applyFill="1" applyBorder="1" applyAlignment="1" applyProtection="1">
      <alignment vertical="center" wrapText="1"/>
      <protection hidden="1"/>
    </xf>
    <xf numFmtId="0" fontId="33" fillId="10" borderId="1" xfId="0" applyFont="1" applyFill="1" applyBorder="1" applyAlignment="1" applyProtection="1">
      <alignment horizontal="center" vertical="center" wrapText="1"/>
      <protection hidden="1"/>
    </xf>
    <xf numFmtId="0" fontId="61" fillId="10" borderId="1" xfId="0" applyFont="1" applyFill="1" applyBorder="1" applyAlignment="1" applyProtection="1">
      <alignment vertical="center" wrapText="1"/>
      <protection hidden="1"/>
    </xf>
    <xf numFmtId="0" fontId="61" fillId="10" borderId="1" xfId="0" applyFont="1" applyFill="1" applyBorder="1" applyAlignment="1" applyProtection="1">
      <alignment horizontal="center" vertical="center" wrapText="1"/>
      <protection hidden="1"/>
    </xf>
    <xf numFmtId="164" fontId="19" fillId="12" borderId="15" xfId="0" applyNumberFormat="1" applyFont="1" applyFill="1" applyBorder="1" applyAlignment="1" applyProtection="1">
      <alignment horizontal="center" vertical="center" wrapText="1"/>
      <protection hidden="1"/>
    </xf>
    <xf numFmtId="164" fontId="19" fillId="12" borderId="22" xfId="0" applyNumberFormat="1" applyFont="1" applyFill="1" applyBorder="1" applyAlignment="1" applyProtection="1">
      <alignment horizontal="center" vertical="center"/>
      <protection hidden="1"/>
    </xf>
    <xf numFmtId="164" fontId="19" fillId="12" borderId="35" xfId="0" applyNumberFormat="1" applyFont="1" applyFill="1" applyBorder="1" applyAlignment="1" applyProtection="1">
      <alignment horizontal="center" vertical="center" wrapText="1"/>
      <protection hidden="1"/>
    </xf>
    <xf numFmtId="0" fontId="19" fillId="19" borderId="1" xfId="0" applyFont="1" applyFill="1" applyBorder="1" applyAlignment="1" applyProtection="1">
      <alignment horizontal="center" vertical="center"/>
      <protection hidden="1"/>
    </xf>
    <xf numFmtId="0" fontId="19" fillId="19" borderId="1" xfId="0" applyFont="1" applyFill="1" applyBorder="1" applyAlignment="1" applyProtection="1">
      <alignment vertical="center" wrapText="1"/>
      <protection hidden="1"/>
    </xf>
    <xf numFmtId="0" fontId="19" fillId="19" borderId="1" xfId="0" applyFont="1" applyFill="1" applyBorder="1" applyAlignment="1" applyProtection="1">
      <alignment horizontal="center" vertical="center" wrapText="1"/>
      <protection hidden="1"/>
    </xf>
    <xf numFmtId="0" fontId="19" fillId="11" borderId="1" xfId="0" applyFont="1" applyFill="1" applyBorder="1" applyAlignment="1" applyProtection="1">
      <alignment horizontal="center" vertical="center"/>
      <protection hidden="1"/>
    </xf>
    <xf numFmtId="0" fontId="19" fillId="11" borderId="1" xfId="0" applyFont="1" applyFill="1" applyBorder="1" applyAlignment="1" applyProtection="1">
      <alignment vertical="center" wrapText="1"/>
      <protection hidden="1"/>
    </xf>
    <xf numFmtId="0" fontId="19" fillId="11" borderId="1" xfId="0" applyFont="1" applyFill="1" applyBorder="1" applyAlignment="1" applyProtection="1">
      <alignment horizontal="center" vertical="center" wrapText="1"/>
      <protection hidden="1"/>
    </xf>
    <xf numFmtId="0" fontId="34" fillId="11" borderId="1" xfId="0" applyFont="1" applyFill="1" applyBorder="1" applyAlignment="1" applyProtection="1">
      <alignment vertical="center" wrapText="1"/>
      <protection hidden="1"/>
    </xf>
    <xf numFmtId="0" fontId="34" fillId="11" borderId="1" xfId="0" applyFont="1" applyFill="1" applyBorder="1" applyAlignment="1" applyProtection="1">
      <alignment horizontal="center" vertical="center" wrapText="1"/>
      <protection hidden="1"/>
    </xf>
    <xf numFmtId="0" fontId="33" fillId="11" borderId="1" xfId="0" applyFont="1" applyFill="1" applyBorder="1" applyAlignment="1" applyProtection="1">
      <alignment vertical="center" wrapText="1"/>
      <protection hidden="1"/>
    </xf>
    <xf numFmtId="0" fontId="33" fillId="11" borderId="1" xfId="0" applyFont="1" applyFill="1" applyBorder="1" applyAlignment="1" applyProtection="1">
      <alignment horizontal="center" vertical="center" wrapText="1"/>
      <protection hidden="1"/>
    </xf>
    <xf numFmtId="0" fontId="19" fillId="6" borderId="1" xfId="0" applyFont="1" applyFill="1" applyBorder="1" applyAlignment="1" applyProtection="1">
      <alignment horizontal="center" vertical="center"/>
      <protection hidden="1"/>
    </xf>
    <xf numFmtId="0" fontId="19" fillId="6" borderId="1" xfId="0" applyFont="1" applyFill="1" applyBorder="1" applyAlignment="1" applyProtection="1">
      <alignment vertical="center" wrapText="1"/>
      <protection hidden="1"/>
    </xf>
    <xf numFmtId="0" fontId="19" fillId="6" borderId="1" xfId="0" applyFont="1" applyFill="1" applyBorder="1" applyAlignment="1" applyProtection="1">
      <alignment horizontal="center" vertical="center" wrapText="1"/>
      <protection hidden="1"/>
    </xf>
    <xf numFmtId="0" fontId="17" fillId="3" borderId="15" xfId="0" applyFont="1" applyFill="1" applyBorder="1" applyAlignment="1" applyProtection="1">
      <alignment horizontal="center" vertical="center"/>
      <protection hidden="1"/>
    </xf>
    <xf numFmtId="164" fontId="19" fillId="3" borderId="22" xfId="0" applyNumberFormat="1" applyFont="1" applyFill="1" applyBorder="1" applyAlignment="1" applyProtection="1">
      <alignment horizontal="center" vertical="center"/>
      <protection hidden="1"/>
    </xf>
    <xf numFmtId="0" fontId="19" fillId="18" borderId="1" xfId="0" applyFont="1" applyFill="1" applyBorder="1" applyAlignment="1" applyProtection="1">
      <alignment vertical="center" wrapText="1"/>
      <protection hidden="1"/>
    </xf>
    <xf numFmtId="0" fontId="19" fillId="18" borderId="1" xfId="0" applyFont="1" applyFill="1" applyBorder="1" applyAlignment="1" applyProtection="1">
      <alignment horizontal="center" vertical="center" wrapText="1"/>
      <protection hidden="1"/>
    </xf>
    <xf numFmtId="0" fontId="19" fillId="5" borderId="1" xfId="0" applyFont="1" applyFill="1" applyBorder="1" applyAlignment="1" applyProtection="1">
      <alignment horizontal="center" vertical="center"/>
      <protection hidden="1"/>
    </xf>
    <xf numFmtId="0" fontId="19" fillId="5" borderId="1" xfId="0" applyFont="1" applyFill="1" applyBorder="1" applyAlignment="1" applyProtection="1">
      <alignment vertical="center" wrapText="1"/>
      <protection hidden="1"/>
    </xf>
    <xf numFmtId="0" fontId="19" fillId="5" borderId="1" xfId="0" applyFont="1" applyFill="1" applyBorder="1" applyAlignment="1" applyProtection="1">
      <alignment horizontal="center" vertical="center" wrapText="1"/>
      <protection hidden="1"/>
    </xf>
    <xf numFmtId="0" fontId="19" fillId="15" borderId="1" xfId="0" applyFont="1" applyFill="1" applyBorder="1" applyAlignment="1" applyProtection="1">
      <alignment horizontal="center" vertical="center"/>
      <protection hidden="1"/>
    </xf>
    <xf numFmtId="0" fontId="19" fillId="15" borderId="1" xfId="0" applyFont="1" applyFill="1" applyBorder="1" applyAlignment="1" applyProtection="1">
      <alignment vertical="center" wrapText="1"/>
      <protection hidden="1"/>
    </xf>
    <xf numFmtId="0" fontId="19" fillId="15" borderId="1" xfId="0" applyFont="1" applyFill="1" applyBorder="1" applyAlignment="1" applyProtection="1">
      <alignment vertical="top" wrapText="1"/>
      <protection hidden="1"/>
    </xf>
    <xf numFmtId="0" fontId="19" fillId="15" borderId="1" xfId="0" applyFont="1" applyFill="1" applyBorder="1" applyAlignment="1" applyProtection="1">
      <alignment horizontal="center" vertical="center" wrapText="1"/>
      <protection hidden="1"/>
    </xf>
    <xf numFmtId="0" fontId="19" fillId="9" borderId="1" xfId="0" applyFont="1" applyFill="1" applyBorder="1" applyAlignment="1" applyProtection="1">
      <alignment horizontal="center" vertical="center"/>
      <protection hidden="1"/>
    </xf>
    <xf numFmtId="0" fontId="33" fillId="9" borderId="1" xfId="0" applyFont="1" applyFill="1" applyBorder="1" applyAlignment="1" applyProtection="1">
      <alignment vertical="center" wrapText="1"/>
      <protection hidden="1"/>
    </xf>
    <xf numFmtId="0" fontId="33" fillId="9" borderId="1" xfId="0" applyFont="1" applyFill="1" applyBorder="1" applyAlignment="1" applyProtection="1">
      <alignment horizontal="center" vertical="center" wrapText="1"/>
      <protection hidden="1"/>
    </xf>
    <xf numFmtId="0" fontId="34" fillId="9" borderId="1" xfId="0" applyFont="1" applyFill="1" applyBorder="1" applyAlignment="1" applyProtection="1">
      <alignment vertical="center" wrapText="1"/>
      <protection hidden="1"/>
    </xf>
    <xf numFmtId="0" fontId="34" fillId="9" borderId="1" xfId="0" applyFont="1" applyFill="1" applyBorder="1" applyAlignment="1" applyProtection="1">
      <alignment horizontal="center" vertical="center" wrapText="1"/>
      <protection hidden="1"/>
    </xf>
    <xf numFmtId="0" fontId="62" fillId="9" borderId="1" xfId="0" applyFont="1" applyFill="1" applyBorder="1" applyAlignment="1" applyProtection="1">
      <alignment vertical="center" wrapText="1"/>
      <protection hidden="1"/>
    </xf>
    <xf numFmtId="0" fontId="62" fillId="9" borderId="1" xfId="0" applyFont="1" applyFill="1" applyBorder="1" applyAlignment="1" applyProtection="1">
      <alignment vertical="center"/>
      <protection hidden="1"/>
    </xf>
    <xf numFmtId="0" fontId="62" fillId="9" borderId="1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horizontal="center" vertical="center"/>
      <protection hidden="1"/>
    </xf>
    <xf numFmtId="0" fontId="19" fillId="4" borderId="1" xfId="0" applyFont="1" applyFill="1" applyBorder="1" applyAlignment="1" applyProtection="1">
      <alignment vertical="center" wrapText="1"/>
      <protection hidden="1"/>
    </xf>
    <xf numFmtId="0" fontId="19" fillId="13" borderId="1" xfId="0" applyFont="1" applyFill="1" applyBorder="1" applyAlignment="1" applyProtection="1">
      <alignment horizontal="center" vertical="center"/>
      <protection hidden="1"/>
    </xf>
    <xf numFmtId="0" fontId="19" fillId="13" borderId="1" xfId="0" applyFont="1" applyFill="1" applyBorder="1" applyAlignment="1" applyProtection="1">
      <alignment vertical="center" wrapText="1"/>
      <protection hidden="1"/>
    </xf>
    <xf numFmtId="0" fontId="19" fillId="7" borderId="1" xfId="0" applyFont="1" applyFill="1" applyBorder="1" applyAlignment="1" applyProtection="1">
      <alignment vertical="center"/>
      <protection hidden="1"/>
    </xf>
    <xf numFmtId="0" fontId="19" fillId="10" borderId="1" xfId="0" applyFont="1" applyFill="1" applyBorder="1" applyAlignment="1" applyProtection="1">
      <alignment vertical="center"/>
      <protection hidden="1"/>
    </xf>
    <xf numFmtId="0" fontId="19" fillId="21" borderId="1" xfId="0" applyFont="1" applyFill="1" applyBorder="1" applyAlignment="1" applyProtection="1">
      <alignment horizontal="center" vertical="center"/>
      <protection hidden="1"/>
    </xf>
    <xf numFmtId="0" fontId="19" fillId="21" borderId="1" xfId="0" applyFont="1" applyFill="1" applyBorder="1" applyAlignment="1" applyProtection="1">
      <alignment vertical="center"/>
      <protection hidden="1"/>
    </xf>
    <xf numFmtId="0" fontId="19" fillId="22" borderId="1" xfId="0" applyFont="1" applyFill="1" applyBorder="1" applyAlignment="1" applyProtection="1">
      <alignment horizontal="center" vertical="center"/>
      <protection hidden="1"/>
    </xf>
    <xf numFmtId="0" fontId="19" fillId="22" borderId="1" xfId="0" applyFont="1" applyFill="1" applyBorder="1" applyAlignment="1" applyProtection="1">
      <alignment vertical="center"/>
      <protection hidden="1"/>
    </xf>
    <xf numFmtId="0" fontId="19" fillId="22" borderId="1" xfId="0" applyFont="1" applyFill="1" applyBorder="1" applyAlignment="1" applyProtection="1">
      <alignment vertical="center" wrapText="1"/>
      <protection hidden="1"/>
    </xf>
    <xf numFmtId="0" fontId="53" fillId="0" borderId="0" xfId="0" applyFont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left" vertical="center"/>
      <protection hidden="1"/>
    </xf>
    <xf numFmtId="0" fontId="66" fillId="15" borderId="1" xfId="0" applyFont="1" applyFill="1" applyBorder="1" applyAlignment="1" applyProtection="1">
      <alignment horizontal="center" vertical="center" wrapText="1"/>
      <protection hidden="1"/>
    </xf>
    <xf numFmtId="167" fontId="67" fillId="13" borderId="1" xfId="0" applyNumberFormat="1" applyFont="1" applyFill="1" applyBorder="1" applyAlignment="1" applyProtection="1">
      <alignment horizontal="center" vertical="center" wrapText="1"/>
      <protection hidden="1"/>
    </xf>
    <xf numFmtId="0" fontId="67" fillId="13" borderId="1" xfId="0" applyFont="1" applyFill="1" applyBorder="1" applyAlignment="1" applyProtection="1">
      <alignment horizontal="left" vertical="center"/>
      <protection hidden="1"/>
    </xf>
    <xf numFmtId="0" fontId="67" fillId="13" borderId="1" xfId="0" applyFont="1" applyFill="1" applyBorder="1" applyAlignment="1" applyProtection="1">
      <alignment horizontal="left" vertical="center" wrapText="1"/>
      <protection hidden="1"/>
    </xf>
    <xf numFmtId="0" fontId="67" fillId="13" borderId="1" xfId="0" applyFont="1" applyFill="1" applyBorder="1" applyAlignment="1" applyProtection="1">
      <alignment horizontal="center" vertical="center" wrapText="1"/>
      <protection hidden="1"/>
    </xf>
    <xf numFmtId="0" fontId="67" fillId="13" borderId="1" xfId="0" quotePrefix="1" applyFont="1" applyFill="1" applyBorder="1" applyAlignment="1" applyProtection="1">
      <alignment horizontal="left" vertical="center" wrapText="1"/>
      <protection hidden="1"/>
    </xf>
    <xf numFmtId="167" fontId="67" fillId="12" borderId="1" xfId="0" applyNumberFormat="1" applyFont="1" applyFill="1" applyBorder="1" applyAlignment="1" applyProtection="1">
      <alignment horizontal="center" vertical="center" wrapText="1"/>
      <protection hidden="1"/>
    </xf>
    <xf numFmtId="167" fontId="67" fillId="12" borderId="1" xfId="0" applyNumberFormat="1" applyFont="1" applyFill="1" applyBorder="1" applyAlignment="1" applyProtection="1">
      <alignment horizontal="left" vertical="center" wrapText="1"/>
      <protection hidden="1"/>
    </xf>
    <xf numFmtId="0" fontId="67" fillId="12" borderId="1" xfId="0" applyFont="1" applyFill="1" applyBorder="1" applyAlignment="1" applyProtection="1">
      <alignment horizontal="left" vertical="center" wrapText="1"/>
      <protection hidden="1"/>
    </xf>
    <xf numFmtId="0" fontId="67" fillId="12" borderId="1" xfId="0" applyFont="1" applyFill="1" applyBorder="1" applyAlignment="1" applyProtection="1">
      <alignment horizontal="center" vertical="center" wrapText="1"/>
      <protection hidden="1"/>
    </xf>
    <xf numFmtId="167" fontId="67" fillId="13" borderId="1" xfId="0" applyNumberFormat="1" applyFont="1" applyFill="1" applyBorder="1" applyAlignment="1" applyProtection="1">
      <alignment horizontal="left" vertical="center" wrapText="1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0" xfId="0" applyFont="1" applyAlignment="1" applyProtection="1">
      <alignment vertical="center"/>
      <protection hidden="1"/>
    </xf>
    <xf numFmtId="0" fontId="28" fillId="0" borderId="1" xfId="0" applyFont="1" applyBorder="1" applyProtection="1">
      <protection hidden="1"/>
    </xf>
    <xf numFmtId="0" fontId="19" fillId="0" borderId="0" xfId="0" applyFont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74" fillId="0" borderId="0" xfId="0" applyFont="1" applyAlignment="1">
      <alignment vertical="center"/>
    </xf>
    <xf numFmtId="0" fontId="75" fillId="0" borderId="0" xfId="0" applyFont="1" applyAlignment="1">
      <alignment horizontal="left" vertical="center"/>
    </xf>
    <xf numFmtId="0" fontId="76" fillId="0" borderId="0" xfId="0" applyFont="1" applyAlignment="1">
      <alignment vertical="center"/>
    </xf>
    <xf numFmtId="0" fontId="75" fillId="23" borderId="12" xfId="0" applyFont="1" applyFill="1" applyBorder="1" applyAlignment="1">
      <alignment horizontal="center" vertical="center" wrapText="1"/>
    </xf>
    <xf numFmtId="0" fontId="75" fillId="23" borderId="1" xfId="0" applyFont="1" applyFill="1" applyBorder="1" applyAlignment="1">
      <alignment horizontal="center" vertical="center" wrapText="1"/>
    </xf>
    <xf numFmtId="0" fontId="76" fillId="0" borderId="11" xfId="0" applyFont="1" applyBorder="1" applyAlignment="1">
      <alignment vertical="center"/>
    </xf>
    <xf numFmtId="0" fontId="76" fillId="0" borderId="5" xfId="0" applyFont="1" applyBorder="1" applyAlignment="1">
      <alignment vertical="center"/>
    </xf>
    <xf numFmtId="2" fontId="76" fillId="0" borderId="1" xfId="0" applyNumberFormat="1" applyFont="1" applyBorder="1" applyAlignment="1">
      <alignment horizontal="center" vertical="center"/>
    </xf>
    <xf numFmtId="0" fontId="76" fillId="0" borderId="1" xfId="0" applyFont="1" applyBorder="1" applyAlignment="1">
      <alignment horizontal="center" vertical="center"/>
    </xf>
    <xf numFmtId="0" fontId="76" fillId="0" borderId="10" xfId="0" applyFont="1" applyBorder="1" applyAlignment="1">
      <alignment vertical="center"/>
    </xf>
    <xf numFmtId="0" fontId="76" fillId="0" borderId="23" xfId="0" applyFont="1" applyBorder="1" applyAlignment="1">
      <alignment vertical="center"/>
    </xf>
    <xf numFmtId="0" fontId="76" fillId="0" borderId="9" xfId="0" applyFont="1" applyBorder="1" applyAlignment="1">
      <alignment vertical="center"/>
    </xf>
    <xf numFmtId="0" fontId="76" fillId="0" borderId="6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0" fontId="79" fillId="0" borderId="0" xfId="0" applyFont="1" applyAlignment="1">
      <alignment vertical="center"/>
    </xf>
    <xf numFmtId="0" fontId="78" fillId="23" borderId="1" xfId="0" applyFont="1" applyFill="1" applyBorder="1" applyAlignment="1">
      <alignment horizontal="center" vertical="center"/>
    </xf>
    <xf numFmtId="165" fontId="76" fillId="0" borderId="1" xfId="0" applyNumberFormat="1" applyFont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80" fillId="0" borderId="0" xfId="0" applyFont="1" applyAlignment="1">
      <alignment horizontal="left" vertical="center" wrapText="1" indent="1"/>
    </xf>
    <xf numFmtId="0" fontId="81" fillId="0" borderId="0" xfId="0" applyFont="1" applyAlignment="1">
      <alignment vertical="center"/>
    </xf>
    <xf numFmtId="0" fontId="76" fillId="0" borderId="7" xfId="0" applyFont="1" applyBorder="1" applyAlignment="1">
      <alignment vertical="center"/>
    </xf>
    <xf numFmtId="0" fontId="76" fillId="0" borderId="8" xfId="0" applyFont="1" applyBorder="1" applyAlignment="1">
      <alignment vertical="center"/>
    </xf>
    <xf numFmtId="0" fontId="76" fillId="0" borderId="0" xfId="0" applyFont="1" applyAlignment="1">
      <alignment horizontal="right" vertical="center"/>
    </xf>
    <xf numFmtId="0" fontId="81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6" fillId="24" borderId="10" xfId="0" applyFont="1" applyFill="1" applyBorder="1" applyAlignment="1">
      <alignment horizontal="center" vertical="center"/>
    </xf>
    <xf numFmtId="0" fontId="76" fillId="24" borderId="11" xfId="0" applyFont="1" applyFill="1" applyBorder="1" applyAlignment="1">
      <alignment horizontal="center" vertical="center"/>
    </xf>
    <xf numFmtId="0" fontId="76" fillId="24" borderId="1" xfId="0" applyFont="1" applyFill="1" applyBorder="1" applyAlignment="1">
      <alignment horizontal="center" vertical="center"/>
    </xf>
    <xf numFmtId="165" fontId="76" fillId="0" borderId="12" xfId="0" applyNumberFormat="1" applyFont="1" applyBorder="1" applyAlignment="1">
      <alignment horizontal="center" vertical="center"/>
    </xf>
    <xf numFmtId="165" fontId="86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0" fontId="78" fillId="23" borderId="1" xfId="0" applyFont="1" applyFill="1" applyBorder="1" applyAlignment="1" applyProtection="1">
      <alignment horizontal="center" vertical="center"/>
      <protection locked="0"/>
    </xf>
    <xf numFmtId="0" fontId="86" fillId="0" borderId="0" xfId="0" applyFont="1" applyAlignment="1">
      <alignment vertical="center"/>
    </xf>
    <xf numFmtId="0" fontId="76" fillId="23" borderId="12" xfId="0" applyFont="1" applyFill="1" applyBorder="1" applyAlignment="1" applyProtection="1">
      <alignment horizontal="center" vertical="center"/>
      <protection locked="0"/>
    </xf>
    <xf numFmtId="0" fontId="86" fillId="0" borderId="12" xfId="0" applyFont="1" applyBorder="1" applyAlignment="1" applyProtection="1">
      <alignment horizontal="center" vertical="center"/>
      <protection locked="0"/>
    </xf>
    <xf numFmtId="0" fontId="76" fillId="23" borderId="13" xfId="0" applyFont="1" applyFill="1" applyBorder="1" applyAlignment="1" applyProtection="1">
      <alignment horizontal="center" vertical="center"/>
      <protection locked="0"/>
    </xf>
    <xf numFmtId="0" fontId="76" fillId="0" borderId="13" xfId="0" applyFont="1" applyBorder="1" applyAlignment="1" applyProtection="1">
      <alignment horizontal="center" vertical="center"/>
      <protection locked="0"/>
    </xf>
    <xf numFmtId="0" fontId="76" fillId="23" borderId="1" xfId="0" applyFont="1" applyFill="1" applyBorder="1" applyAlignment="1" applyProtection="1">
      <alignment horizontal="center" vertical="center"/>
      <protection locked="0"/>
    </xf>
    <xf numFmtId="165" fontId="86" fillId="0" borderId="1" xfId="0" applyNumberFormat="1" applyFont="1" applyBorder="1" applyAlignment="1" applyProtection="1">
      <alignment horizontal="center" vertical="center"/>
      <protection locked="0"/>
    </xf>
    <xf numFmtId="0" fontId="78" fillId="0" borderId="1" xfId="0" applyFont="1" applyBorder="1" applyAlignment="1" applyProtection="1">
      <alignment horizontal="center" vertical="center"/>
      <protection locked="0"/>
    </xf>
    <xf numFmtId="0" fontId="86" fillId="0" borderId="1" xfId="0" applyFont="1" applyBorder="1" applyAlignment="1" applyProtection="1">
      <alignment horizontal="center" vertical="center"/>
      <protection locked="0"/>
    </xf>
    <xf numFmtId="0" fontId="78" fillId="0" borderId="12" xfId="0" applyFont="1" applyBorder="1" applyAlignment="1" applyProtection="1">
      <alignment horizontal="center" vertical="center"/>
      <protection locked="0"/>
    </xf>
    <xf numFmtId="0" fontId="28" fillId="0" borderId="0" xfId="0" applyFont="1" applyAlignment="1">
      <alignment vertical="center"/>
    </xf>
    <xf numFmtId="2" fontId="28" fillId="0" borderId="0" xfId="0" applyNumberFormat="1" applyFont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27" fillId="16" borderId="2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2" fontId="88" fillId="16" borderId="1" xfId="0" applyNumberFormat="1" applyFont="1" applyFill="1" applyBorder="1" applyAlignment="1">
      <alignment horizontal="center" vertical="center"/>
    </xf>
    <xf numFmtId="0" fontId="88" fillId="16" borderId="1" xfId="0" applyFont="1" applyFill="1" applyBorder="1" applyAlignment="1">
      <alignment horizontal="center" vertical="center"/>
    </xf>
    <xf numFmtId="0" fontId="67" fillId="12" borderId="1" xfId="0" applyFont="1" applyFill="1" applyBorder="1" applyAlignment="1" applyProtection="1">
      <alignment horizontal="left" vertical="center"/>
      <protection hidden="1"/>
    </xf>
    <xf numFmtId="166" fontId="28" fillId="12" borderId="1" xfId="0" applyNumberFormat="1" applyFont="1" applyFill="1" applyBorder="1" applyAlignment="1">
      <alignment horizontal="center" vertical="center"/>
    </xf>
    <xf numFmtId="0" fontId="67" fillId="12" borderId="1" xfId="0" quotePrefix="1" applyFont="1" applyFill="1" applyBorder="1" applyAlignment="1" applyProtection="1">
      <alignment horizontal="left" vertical="center" wrapText="1"/>
      <protection hidden="1"/>
    </xf>
    <xf numFmtId="0" fontId="89" fillId="12" borderId="1" xfId="0" applyFont="1" applyFill="1" applyBorder="1" applyAlignment="1">
      <alignment horizontal="left" vertical="center"/>
    </xf>
    <xf numFmtId="0" fontId="28" fillId="0" borderId="1" xfId="0" applyFont="1" applyBorder="1" applyAlignment="1" applyProtection="1">
      <alignment vertical="center"/>
      <protection hidden="1"/>
    </xf>
    <xf numFmtId="0" fontId="53" fillId="0" borderId="0" xfId="0" applyFont="1" applyAlignment="1" applyProtection="1">
      <alignment vertical="center"/>
      <protection locked="0"/>
    </xf>
    <xf numFmtId="0" fontId="18" fillId="3" borderId="0" xfId="0" applyFont="1" applyFill="1" applyAlignment="1" applyProtection="1">
      <alignment vertical="center"/>
      <protection locked="0"/>
    </xf>
    <xf numFmtId="0" fontId="91" fillId="0" borderId="0" xfId="0" applyFont="1" applyAlignment="1" applyProtection="1">
      <alignment horizontal="left" vertical="center"/>
      <protection hidden="1"/>
    </xf>
    <xf numFmtId="0" fontId="53" fillId="3" borderId="0" xfId="0" applyFont="1" applyFill="1" applyAlignment="1" applyProtection="1">
      <alignment horizontal="center" vertical="center"/>
      <protection hidden="1"/>
    </xf>
    <xf numFmtId="0" fontId="68" fillId="3" borderId="0" xfId="0" applyFont="1" applyFill="1" applyProtection="1">
      <protection hidden="1"/>
    </xf>
    <xf numFmtId="0" fontId="28" fillId="3" borderId="0" xfId="0" applyFont="1" applyFill="1" applyProtection="1">
      <protection hidden="1"/>
    </xf>
    <xf numFmtId="0" fontId="66" fillId="16" borderId="1" xfId="0" applyFont="1" applyFill="1" applyBorder="1" applyAlignment="1" applyProtection="1">
      <alignment horizontal="center" vertical="center" wrapText="1"/>
      <protection hidden="1"/>
    </xf>
    <xf numFmtId="0" fontId="92" fillId="13" borderId="1" xfId="0" applyFont="1" applyFill="1" applyBorder="1" applyAlignment="1" applyProtection="1">
      <alignment horizontal="left" vertical="center" wrapText="1" indent="1"/>
      <protection hidden="1"/>
    </xf>
    <xf numFmtId="0" fontId="92" fillId="12" borderId="1" xfId="0" applyFont="1" applyFill="1" applyBorder="1" applyAlignment="1" applyProtection="1">
      <alignment horizontal="left" vertical="center" wrapText="1" indent="1"/>
      <protection hidden="1"/>
    </xf>
    <xf numFmtId="0" fontId="28" fillId="3" borderId="3" xfId="0" applyFont="1" applyFill="1" applyBorder="1" applyAlignment="1" applyProtection="1">
      <alignment horizontal="center" vertical="center"/>
      <protection hidden="1"/>
    </xf>
    <xf numFmtId="0" fontId="28" fillId="3" borderId="4" xfId="0" applyFont="1" applyFill="1" applyBorder="1" applyAlignment="1" applyProtection="1">
      <alignment horizontal="center" vertical="center"/>
      <protection hidden="1"/>
    </xf>
    <xf numFmtId="0" fontId="59" fillId="0" borderId="8" xfId="0" applyFont="1" applyBorder="1" applyAlignment="1">
      <alignment vertical="center"/>
    </xf>
    <xf numFmtId="0" fontId="59" fillId="0" borderId="9" xfId="0" applyFont="1" applyBorder="1" applyAlignment="1">
      <alignment vertical="center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right" vertical="center"/>
      <protection locked="0"/>
    </xf>
    <xf numFmtId="0" fontId="75" fillId="23" borderId="0" xfId="0" applyFont="1" applyFill="1" applyAlignment="1">
      <alignment horizontal="center" vertical="center"/>
    </xf>
    <xf numFmtId="0" fontId="75" fillId="23" borderId="0" xfId="0" applyFont="1" applyFill="1" applyAlignment="1">
      <alignment horizontal="center" vertical="center" wrapText="1"/>
    </xf>
    <xf numFmtId="0" fontId="59" fillId="0" borderId="2" xfId="0" applyFont="1" applyBorder="1" applyAlignment="1">
      <alignment vertical="center"/>
    </xf>
    <xf numFmtId="0" fontId="59" fillId="0" borderId="3" xfId="0" applyFont="1" applyBorder="1" applyAlignment="1">
      <alignment vertical="center"/>
    </xf>
    <xf numFmtId="0" fontId="59" fillId="0" borderId="4" xfId="0" applyFont="1" applyBorder="1" applyAlignment="1">
      <alignment vertical="center"/>
    </xf>
    <xf numFmtId="0" fontId="59" fillId="0" borderId="1" xfId="0" applyFont="1" applyBorder="1" applyAlignment="1">
      <alignment horizontal="center" vertical="center"/>
    </xf>
    <xf numFmtId="165" fontId="59" fillId="0" borderId="1" xfId="0" applyNumberFormat="1" applyFont="1" applyBorder="1" applyAlignment="1">
      <alignment horizontal="center" vertical="center"/>
    </xf>
    <xf numFmtId="0" fontId="59" fillId="0" borderId="1" xfId="0" applyFont="1" applyBorder="1" applyAlignment="1">
      <alignment vertical="center"/>
    </xf>
    <xf numFmtId="0" fontId="93" fillId="25" borderId="2" xfId="0" applyFont="1" applyFill="1" applyBorder="1" applyAlignment="1">
      <alignment horizontal="center" vertical="center"/>
    </xf>
    <xf numFmtId="0" fontId="74" fillId="0" borderId="1" xfId="0" applyFont="1" applyBorder="1" applyAlignment="1">
      <alignment vertical="center"/>
    </xf>
    <xf numFmtId="0" fontId="81" fillId="24" borderId="12" xfId="0" applyFont="1" applyFill="1" applyBorder="1" applyAlignment="1">
      <alignment horizontal="center" vertical="center"/>
    </xf>
    <xf numFmtId="0" fontId="59" fillId="13" borderId="1" xfId="0" applyFont="1" applyFill="1" applyBorder="1" applyAlignment="1">
      <alignment horizontal="center" vertical="center"/>
    </xf>
    <xf numFmtId="0" fontId="95" fillId="13" borderId="1" xfId="0" applyFont="1" applyFill="1" applyBorder="1" applyAlignment="1">
      <alignment horizontal="center" vertical="center" wrapText="1"/>
    </xf>
    <xf numFmtId="0" fontId="59" fillId="22" borderId="10" xfId="0" applyFont="1" applyFill="1" applyBorder="1" applyAlignment="1">
      <alignment vertical="center"/>
    </xf>
    <xf numFmtId="0" fontId="59" fillId="22" borderId="11" xfId="0" applyFont="1" applyFill="1" applyBorder="1" applyAlignment="1">
      <alignment vertical="center"/>
    </xf>
    <xf numFmtId="0" fontId="59" fillId="22" borderId="23" xfId="0" applyFont="1" applyFill="1" applyBorder="1" applyAlignment="1">
      <alignment horizontal="center" vertical="center"/>
    </xf>
    <xf numFmtId="0" fontId="59" fillId="22" borderId="8" xfId="0" applyFont="1" applyFill="1" applyBorder="1" applyAlignment="1">
      <alignment vertical="center"/>
    </xf>
    <xf numFmtId="0" fontId="59" fillId="22" borderId="0" xfId="0" applyFont="1" applyFill="1" applyAlignment="1">
      <alignment vertical="center"/>
    </xf>
    <xf numFmtId="0" fontId="59" fillId="22" borderId="7" xfId="0" applyFont="1" applyFill="1" applyBorder="1" applyAlignment="1">
      <alignment horizontal="center" vertical="center"/>
    </xf>
    <xf numFmtId="0" fontId="59" fillId="22" borderId="9" xfId="0" applyFont="1" applyFill="1" applyBorder="1" applyAlignment="1">
      <alignment vertical="center"/>
    </xf>
    <xf numFmtId="0" fontId="59" fillId="22" borderId="5" xfId="0" applyFont="1" applyFill="1" applyBorder="1" applyAlignment="1">
      <alignment vertical="center"/>
    </xf>
    <xf numFmtId="0" fontId="59" fillId="22" borderId="6" xfId="0" applyFont="1" applyFill="1" applyBorder="1" applyAlignment="1">
      <alignment horizontal="center" vertical="center"/>
    </xf>
    <xf numFmtId="0" fontId="59" fillId="0" borderId="0" xfId="0" applyFont="1" applyAlignment="1">
      <alignment vertical="center"/>
    </xf>
    <xf numFmtId="165" fontId="59" fillId="0" borderId="7" xfId="0" applyNumberFormat="1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5" xfId="0" applyFont="1" applyBorder="1" applyAlignment="1">
      <alignment vertical="center"/>
    </xf>
    <xf numFmtId="0" fontId="59" fillId="0" borderId="6" xfId="0" applyFont="1" applyBorder="1" applyAlignment="1">
      <alignment horizontal="center" vertical="center"/>
    </xf>
    <xf numFmtId="0" fontId="59" fillId="22" borderId="12" xfId="0" applyFont="1" applyFill="1" applyBorder="1" applyAlignment="1">
      <alignment vertical="center"/>
    </xf>
    <xf numFmtId="0" fontId="59" fillId="22" borderId="19" xfId="0" applyFont="1" applyFill="1" applyBorder="1" applyAlignment="1">
      <alignment vertical="center"/>
    </xf>
    <xf numFmtId="0" fontId="59" fillId="22" borderId="13" xfId="0" applyFont="1" applyFill="1" applyBorder="1" applyAlignment="1">
      <alignment vertical="center"/>
    </xf>
    <xf numFmtId="0" fontId="59" fillId="0" borderId="19" xfId="0" applyFont="1" applyBorder="1" applyAlignment="1">
      <alignment vertical="center"/>
    </xf>
    <xf numFmtId="0" fontId="59" fillId="0" borderId="13" xfId="0" applyFont="1" applyBorder="1" applyAlignment="1">
      <alignment vertical="center"/>
    </xf>
    <xf numFmtId="0" fontId="59" fillId="19" borderId="10" xfId="0" applyFont="1" applyFill="1" applyBorder="1" applyAlignment="1">
      <alignment vertical="center"/>
    </xf>
    <xf numFmtId="0" fontId="59" fillId="19" borderId="1" xfId="0" applyFont="1" applyFill="1" applyBorder="1" applyAlignment="1">
      <alignment vertical="center"/>
    </xf>
    <xf numFmtId="0" fontId="74" fillId="19" borderId="1" xfId="0" applyFont="1" applyFill="1" applyBorder="1" applyAlignment="1">
      <alignment vertical="center"/>
    </xf>
    <xf numFmtId="0" fontId="95" fillId="13" borderId="2" xfId="0" applyFont="1" applyFill="1" applyBorder="1" applyAlignment="1">
      <alignment horizontal="center" vertical="center"/>
    </xf>
    <xf numFmtId="0" fontId="95" fillId="13" borderId="3" xfId="0" applyFont="1" applyFill="1" applyBorder="1" applyAlignment="1">
      <alignment horizontal="center" vertical="center"/>
    </xf>
    <xf numFmtId="0" fontId="95" fillId="13" borderId="4" xfId="0" applyFont="1" applyFill="1" applyBorder="1" applyAlignment="1">
      <alignment horizontal="center" vertical="center"/>
    </xf>
    <xf numFmtId="0" fontId="96" fillId="13" borderId="1" xfId="0" applyFont="1" applyFill="1" applyBorder="1" applyAlignment="1">
      <alignment horizontal="center" vertical="center" wrapText="1"/>
    </xf>
    <xf numFmtId="0" fontId="18" fillId="0" borderId="0" xfId="0" applyFont="1" applyAlignment="1" applyProtection="1">
      <alignment horizontal="right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53" fillId="0" borderId="0" xfId="0" applyFont="1" applyAlignment="1" applyProtection="1">
      <alignment horizontal="right" vertical="center"/>
      <protection hidden="1"/>
    </xf>
    <xf numFmtId="0" fontId="53" fillId="0" borderId="0" xfId="0" applyFont="1" applyAlignment="1" applyProtection="1">
      <alignment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53" fillId="3" borderId="0" xfId="0" applyFont="1" applyFill="1" applyAlignment="1" applyProtection="1">
      <alignment vertical="center"/>
      <protection hidden="1"/>
    </xf>
    <xf numFmtId="166" fontId="53" fillId="0" borderId="1" xfId="0" applyNumberFormat="1" applyFont="1" applyBorder="1" applyAlignment="1" applyProtection="1">
      <alignment horizontal="right" vertical="center"/>
      <protection hidden="1"/>
    </xf>
    <xf numFmtId="0" fontId="18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56" fillId="3" borderId="0" xfId="0" applyFont="1" applyFill="1" applyAlignment="1" applyProtection="1">
      <alignment horizontal="left" vertical="center" indent="1"/>
      <protection hidden="1"/>
    </xf>
    <xf numFmtId="0" fontId="53" fillId="3" borderId="8" xfId="0" applyFont="1" applyFill="1" applyBorder="1" applyAlignment="1" applyProtection="1">
      <alignment vertical="center"/>
      <protection hidden="1"/>
    </xf>
    <xf numFmtId="0" fontId="53" fillId="3" borderId="0" xfId="0" applyFont="1" applyFill="1" applyAlignment="1" applyProtection="1">
      <alignment horizontal="left" vertical="center"/>
      <protection hidden="1"/>
    </xf>
    <xf numFmtId="0" fontId="53" fillId="3" borderId="5" xfId="0" applyFont="1" applyFill="1" applyBorder="1" applyAlignment="1" applyProtection="1">
      <alignment horizontal="left" vertical="center"/>
      <protection hidden="1"/>
    </xf>
    <xf numFmtId="0" fontId="53" fillId="3" borderId="5" xfId="0" applyFont="1" applyFill="1" applyBorder="1" applyAlignment="1" applyProtection="1">
      <alignment vertical="center"/>
      <protection hidden="1"/>
    </xf>
    <xf numFmtId="0" fontId="54" fillId="3" borderId="0" xfId="0" applyFont="1" applyFill="1" applyAlignment="1" applyProtection="1">
      <alignment vertical="center"/>
      <protection hidden="1"/>
    </xf>
    <xf numFmtId="0" fontId="53" fillId="3" borderId="0" xfId="0" applyFont="1" applyFill="1" applyProtection="1">
      <protection hidden="1"/>
    </xf>
    <xf numFmtId="0" fontId="54" fillId="3" borderId="5" xfId="0" applyFont="1" applyFill="1" applyBorder="1" applyAlignment="1" applyProtection="1">
      <alignment vertical="center"/>
      <protection hidden="1"/>
    </xf>
    <xf numFmtId="0" fontId="18" fillId="0" borderId="3" xfId="0" applyFont="1" applyBorder="1" applyAlignment="1" applyProtection="1">
      <alignment horizontal="right" vertical="center"/>
      <protection hidden="1"/>
    </xf>
    <xf numFmtId="0" fontId="18" fillId="0" borderId="3" xfId="0" applyFont="1" applyBorder="1" applyAlignment="1" applyProtection="1">
      <alignment horizontal="center" vertical="center"/>
      <protection hidden="1"/>
    </xf>
    <xf numFmtId="0" fontId="18" fillId="0" borderId="4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right" vertical="center"/>
      <protection hidden="1"/>
    </xf>
    <xf numFmtId="0" fontId="95" fillId="23" borderId="1" xfId="0" applyFont="1" applyFill="1" applyBorder="1" applyAlignment="1">
      <alignment horizontal="center" vertical="center"/>
    </xf>
    <xf numFmtId="0" fontId="53" fillId="0" borderId="1" xfId="0" applyFont="1" applyBorder="1" applyAlignment="1" applyProtection="1">
      <alignment horizontal="right" vertical="center"/>
      <protection hidden="1"/>
    </xf>
    <xf numFmtId="0" fontId="53" fillId="0" borderId="1" xfId="0" applyFont="1" applyBorder="1" applyAlignment="1" applyProtection="1">
      <alignment vertical="center"/>
      <protection hidden="1"/>
    </xf>
    <xf numFmtId="168" fontId="53" fillId="0" borderId="1" xfId="0" applyNumberFormat="1" applyFont="1" applyBorder="1" applyAlignment="1" applyProtection="1">
      <alignment horizontal="right" vertical="center"/>
      <protection hidden="1"/>
    </xf>
    <xf numFmtId="166" fontId="70" fillId="0" borderId="1" xfId="0" applyNumberFormat="1" applyFont="1" applyBorder="1" applyAlignment="1" applyProtection="1">
      <alignment horizontal="right" vertical="center"/>
      <protection hidden="1"/>
    </xf>
    <xf numFmtId="0" fontId="97" fillId="0" borderId="3" xfId="0" applyFont="1" applyBorder="1" applyAlignment="1" applyProtection="1">
      <alignment horizontal="right" vertical="center"/>
      <protection hidden="1"/>
    </xf>
    <xf numFmtId="1" fontId="53" fillId="0" borderId="1" xfId="0" applyNumberFormat="1" applyFont="1" applyBorder="1" applyAlignment="1" applyProtection="1">
      <alignment horizontal="right" vertical="center"/>
      <protection hidden="1"/>
    </xf>
    <xf numFmtId="0" fontId="70" fillId="0" borderId="1" xfId="0" applyFont="1" applyBorder="1" applyAlignment="1" applyProtection="1">
      <alignment horizontal="right" vertical="center"/>
      <protection hidden="1"/>
    </xf>
    <xf numFmtId="0" fontId="70" fillId="0" borderId="1" xfId="0" applyFont="1" applyBorder="1" applyAlignment="1" applyProtection="1">
      <alignment vertical="center"/>
      <protection hidden="1"/>
    </xf>
    <xf numFmtId="0" fontId="97" fillId="0" borderId="1" xfId="0" applyFont="1" applyBorder="1" applyAlignment="1" applyProtection="1">
      <alignment horizontal="right" vertical="center"/>
      <protection hidden="1"/>
    </xf>
    <xf numFmtId="0" fontId="53" fillId="0" borderId="2" xfId="0" applyFont="1" applyBorder="1" applyAlignment="1" applyProtection="1">
      <alignment horizontal="right" vertical="center"/>
      <protection locked="0"/>
    </xf>
    <xf numFmtId="0" fontId="53" fillId="0" borderId="0" xfId="0" applyFont="1" applyAlignment="1" applyProtection="1">
      <alignment horizontal="center" vertical="center"/>
      <protection locked="0"/>
    </xf>
    <xf numFmtId="2" fontId="53" fillId="3" borderId="1" xfId="0" applyNumberFormat="1" applyFont="1" applyFill="1" applyBorder="1" applyAlignment="1" applyProtection="1">
      <alignment horizontal="center" vertical="center"/>
      <protection hidden="1"/>
    </xf>
    <xf numFmtId="166" fontId="53" fillId="3" borderId="12" xfId="0" applyNumberFormat="1" applyFont="1" applyFill="1" applyBorder="1" applyAlignment="1" applyProtection="1">
      <alignment horizontal="right" vertical="center"/>
      <protection hidden="1"/>
    </xf>
    <xf numFmtId="0" fontId="54" fillId="3" borderId="8" xfId="0" applyFont="1" applyFill="1" applyBorder="1" applyAlignment="1" applyProtection="1">
      <alignment vertical="center"/>
      <protection hidden="1"/>
    </xf>
    <xf numFmtId="0" fontId="54" fillId="3" borderId="9" xfId="0" applyFont="1" applyFill="1" applyBorder="1" applyAlignment="1" applyProtection="1">
      <alignment vertical="center"/>
      <protection hidden="1"/>
    </xf>
    <xf numFmtId="0" fontId="17" fillId="8" borderId="2" xfId="0" applyFont="1" applyFill="1" applyBorder="1" applyAlignment="1" applyProtection="1">
      <alignment horizontal="center"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59" fillId="0" borderId="0" xfId="0" applyFont="1" applyProtection="1">
      <protection hidden="1"/>
    </xf>
    <xf numFmtId="0" fontId="98" fillId="17" borderId="1" xfId="0" quotePrefix="1" applyFont="1" applyFill="1" applyBorder="1" applyAlignment="1" applyProtection="1">
      <alignment horizontal="center" vertical="center"/>
      <protection hidden="1"/>
    </xf>
    <xf numFmtId="0" fontId="98" fillId="17" borderId="1" xfId="0" applyFont="1" applyFill="1" applyBorder="1" applyAlignment="1" applyProtection="1">
      <alignment horizontal="center" vertical="center" wrapText="1"/>
      <protection hidden="1"/>
    </xf>
    <xf numFmtId="0" fontId="101" fillId="0" borderId="0" xfId="0" applyFont="1" applyAlignment="1">
      <alignment vertical="center"/>
    </xf>
    <xf numFmtId="0" fontId="101" fillId="3" borderId="0" xfId="0" applyFont="1" applyFill="1" applyAlignment="1">
      <alignment vertical="center"/>
    </xf>
    <xf numFmtId="0" fontId="103" fillId="3" borderId="0" xfId="0" applyFont="1" applyFill="1" applyAlignment="1">
      <alignment vertical="center"/>
    </xf>
    <xf numFmtId="0" fontId="101" fillId="3" borderId="0" xfId="0" quotePrefix="1" applyFont="1" applyFill="1" applyAlignment="1">
      <alignment vertical="center"/>
    </xf>
    <xf numFmtId="1" fontId="106" fillId="3" borderId="13" xfId="0" applyNumberFormat="1" applyFont="1" applyFill="1" applyBorder="1" applyAlignment="1">
      <alignment horizontal="center" vertical="center" wrapText="1"/>
    </xf>
    <xf numFmtId="165" fontId="106" fillId="3" borderId="13" xfId="0" applyNumberFormat="1" applyFont="1" applyFill="1" applyBorder="1" applyAlignment="1">
      <alignment horizontal="center" vertical="center" wrapText="1"/>
    </xf>
    <xf numFmtId="1" fontId="101" fillId="3" borderId="9" xfId="0" applyNumberFormat="1" applyFont="1" applyFill="1" applyBorder="1" applyAlignment="1">
      <alignment horizontal="center" vertical="center" wrapText="1"/>
    </xf>
    <xf numFmtId="0" fontId="102" fillId="3" borderId="2" xfId="0" applyFont="1" applyFill="1" applyBorder="1" applyAlignment="1">
      <alignment horizontal="left" vertical="center"/>
    </xf>
    <xf numFmtId="0" fontId="102" fillId="3" borderId="3" xfId="0" applyFont="1" applyFill="1" applyBorder="1" applyAlignment="1">
      <alignment horizontal="left" vertical="center"/>
    </xf>
    <xf numFmtId="1" fontId="101" fillId="3" borderId="3" xfId="0" applyNumberFormat="1" applyFont="1" applyFill="1" applyBorder="1" applyAlignment="1">
      <alignment horizontal="center" vertical="center" wrapText="1"/>
    </xf>
    <xf numFmtId="165" fontId="106" fillId="3" borderId="3" xfId="0" applyNumberFormat="1" applyFont="1" applyFill="1" applyBorder="1" applyAlignment="1">
      <alignment horizontal="center" vertical="center" wrapText="1"/>
    </xf>
    <xf numFmtId="0" fontId="102" fillId="3" borderId="1" xfId="0" applyFont="1" applyFill="1" applyBorder="1" applyAlignment="1">
      <alignment horizontal="left" vertical="center"/>
    </xf>
    <xf numFmtId="165" fontId="101" fillId="3" borderId="3" xfId="0" applyNumberFormat="1" applyFont="1" applyFill="1" applyBorder="1" applyAlignment="1">
      <alignment horizontal="center" vertical="center" wrapText="1"/>
    </xf>
    <xf numFmtId="0" fontId="102" fillId="3" borderId="2" xfId="0" applyFont="1" applyFill="1" applyBorder="1" applyAlignment="1">
      <alignment vertical="center"/>
    </xf>
    <xf numFmtId="0" fontId="102" fillId="3" borderId="3" xfId="0" applyFont="1" applyFill="1" applyBorder="1" applyAlignment="1">
      <alignment horizontal="left" vertical="center" wrapText="1"/>
    </xf>
    <xf numFmtId="0" fontId="102" fillId="3" borderId="5" xfId="0" applyFont="1" applyFill="1" applyBorder="1" applyAlignment="1">
      <alignment vertical="center"/>
    </xf>
    <xf numFmtId="0" fontId="102" fillId="3" borderId="5" xfId="0" applyFont="1" applyFill="1" applyBorder="1" applyAlignment="1">
      <alignment horizontal="left" vertical="center"/>
    </xf>
    <xf numFmtId="1" fontId="101" fillId="3" borderId="5" xfId="0" applyNumberFormat="1" applyFont="1" applyFill="1" applyBorder="1" applyAlignment="1">
      <alignment horizontal="center" vertical="center" wrapText="1"/>
    </xf>
    <xf numFmtId="165" fontId="106" fillId="3" borderId="5" xfId="0" applyNumberFormat="1" applyFont="1" applyFill="1" applyBorder="1" applyAlignment="1">
      <alignment horizontal="center" vertical="center" wrapText="1"/>
    </xf>
    <xf numFmtId="2" fontId="101" fillId="3" borderId="0" xfId="0" applyNumberFormat="1" applyFont="1" applyFill="1" applyAlignment="1">
      <alignment horizontal="center" vertical="center" wrapText="1"/>
    </xf>
    <xf numFmtId="2" fontId="101" fillId="3" borderId="3" xfId="0" applyNumberFormat="1" applyFont="1" applyFill="1" applyBorder="1" applyAlignment="1">
      <alignment horizontal="center" vertical="center" wrapText="1"/>
    </xf>
    <xf numFmtId="2" fontId="101" fillId="3" borderId="12" xfId="0" applyNumberFormat="1" applyFont="1" applyFill="1" applyBorder="1" applyAlignment="1">
      <alignment horizontal="center" vertical="center" wrapText="1"/>
    </xf>
    <xf numFmtId="1" fontId="101" fillId="3" borderId="13" xfId="0" applyNumberFormat="1" applyFont="1" applyFill="1" applyBorder="1" applyAlignment="1">
      <alignment horizontal="center" vertical="center" wrapText="1"/>
    </xf>
    <xf numFmtId="1" fontId="101" fillId="3" borderId="12" xfId="0" applyNumberFormat="1" applyFont="1" applyFill="1" applyBorder="1" applyAlignment="1">
      <alignment horizontal="center" vertical="center" wrapText="1"/>
    </xf>
    <xf numFmtId="1" fontId="101" fillId="3" borderId="19" xfId="0" applyNumberFormat="1" applyFont="1" applyFill="1" applyBorder="1" applyAlignment="1">
      <alignment horizontal="center" vertical="center" wrapText="1"/>
    </xf>
    <xf numFmtId="2" fontId="102" fillId="3" borderId="1" xfId="0" applyNumberFormat="1" applyFont="1" applyFill="1" applyBorder="1" applyAlignment="1">
      <alignment horizontal="center" vertical="center" wrapText="1"/>
    </xf>
    <xf numFmtId="2" fontId="101" fillId="3" borderId="9" xfId="0" applyNumberFormat="1" applyFont="1" applyFill="1" applyBorder="1" applyAlignment="1">
      <alignment horizontal="center" vertical="center" wrapText="1"/>
    </xf>
    <xf numFmtId="2" fontId="101" fillId="3" borderId="13" xfId="0" applyNumberFormat="1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horizontal="left" vertical="center"/>
    </xf>
    <xf numFmtId="0" fontId="102" fillId="3" borderId="11" xfId="0" applyFont="1" applyFill="1" applyBorder="1" applyAlignment="1">
      <alignment vertical="center"/>
    </xf>
    <xf numFmtId="165" fontId="101" fillId="3" borderId="11" xfId="0" applyNumberFormat="1" applyFont="1" applyFill="1" applyBorder="1" applyAlignment="1">
      <alignment horizontal="center" vertical="center" wrapText="1"/>
    </xf>
    <xf numFmtId="2" fontId="107" fillId="3" borderId="11" xfId="0" applyNumberFormat="1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horizontal="left" vertical="center" wrapText="1"/>
    </xf>
    <xf numFmtId="2" fontId="101" fillId="3" borderId="11" xfId="0" applyNumberFormat="1" applyFont="1" applyFill="1" applyBorder="1" applyAlignment="1">
      <alignment horizontal="center" vertical="center" wrapText="1"/>
    </xf>
    <xf numFmtId="1" fontId="108" fillId="3" borderId="13" xfId="0" applyNumberFormat="1" applyFont="1" applyFill="1" applyBorder="1" applyAlignment="1">
      <alignment horizontal="center" vertical="center" wrapText="1"/>
    </xf>
    <xf numFmtId="1" fontId="109" fillId="3" borderId="13" xfId="0" applyNumberFormat="1" applyFont="1" applyFill="1" applyBorder="1" applyAlignment="1">
      <alignment horizontal="center" vertical="center" wrapText="1"/>
    </xf>
    <xf numFmtId="0" fontId="101" fillId="3" borderId="5" xfId="0" applyFont="1" applyFill="1" applyBorder="1" applyAlignment="1">
      <alignment horizontal="left" vertical="center"/>
    </xf>
    <xf numFmtId="0" fontId="101" fillId="3" borderId="5" xfId="0" applyFont="1" applyFill="1" applyBorder="1" applyAlignment="1">
      <alignment vertical="center"/>
    </xf>
    <xf numFmtId="2" fontId="102" fillId="3" borderId="11" xfId="0" applyNumberFormat="1" applyFont="1" applyFill="1" applyBorder="1" applyAlignment="1">
      <alignment horizontal="center" vertical="center" wrapText="1"/>
    </xf>
    <xf numFmtId="0" fontId="102" fillId="3" borderId="0" xfId="0" applyFont="1" applyFill="1" applyAlignment="1">
      <alignment horizontal="left" vertical="center" wrapText="1"/>
    </xf>
    <xf numFmtId="165" fontId="101" fillId="3" borderId="0" xfId="0" applyNumberFormat="1" applyFont="1" applyFill="1" applyAlignment="1">
      <alignment horizontal="center" vertical="center" wrapText="1"/>
    </xf>
    <xf numFmtId="165" fontId="101" fillId="3" borderId="5" xfId="0" applyNumberFormat="1" applyFont="1" applyFill="1" applyBorder="1" applyAlignment="1">
      <alignment horizontal="center" vertical="center" wrapText="1"/>
    </xf>
    <xf numFmtId="0" fontId="101" fillId="3" borderId="11" xfId="0" applyFont="1" applyFill="1" applyBorder="1" applyAlignment="1">
      <alignment vertical="center"/>
    </xf>
    <xf numFmtId="0" fontId="106" fillId="3" borderId="11" xfId="0" applyFont="1" applyFill="1" applyBorder="1" applyAlignment="1">
      <alignment horizontal="center" vertical="center" wrapText="1"/>
    </xf>
    <xf numFmtId="0" fontId="101" fillId="3" borderId="11" xfId="0" applyFont="1" applyFill="1" applyBorder="1" applyAlignment="1">
      <alignment vertical="center" wrapText="1"/>
    </xf>
    <xf numFmtId="0" fontId="101" fillId="3" borderId="0" xfId="0" applyFont="1" applyFill="1" applyAlignment="1">
      <alignment vertical="center" wrapText="1"/>
    </xf>
    <xf numFmtId="0" fontId="101" fillId="3" borderId="5" xfId="0" applyFont="1" applyFill="1" applyBorder="1" applyAlignment="1">
      <alignment horizontal="center" vertical="center" wrapText="1"/>
    </xf>
    <xf numFmtId="0" fontId="101" fillId="3" borderId="2" xfId="0" applyFont="1" applyFill="1" applyBorder="1" applyAlignment="1">
      <alignment vertical="center"/>
    </xf>
    <xf numFmtId="0" fontId="101" fillId="3" borderId="3" xfId="0" applyFont="1" applyFill="1" applyBorder="1" applyAlignment="1">
      <alignment vertical="center"/>
    </xf>
    <xf numFmtId="2" fontId="101" fillId="3" borderId="4" xfId="0" applyNumberFormat="1" applyFont="1" applyFill="1" applyBorder="1" applyAlignment="1">
      <alignment horizontal="center" vertical="center"/>
    </xf>
    <xf numFmtId="2" fontId="101" fillId="3" borderId="12" xfId="0" applyNumberFormat="1" applyFont="1" applyFill="1" applyBorder="1" applyAlignment="1">
      <alignment horizontal="center" vertical="center"/>
    </xf>
    <xf numFmtId="2" fontId="101" fillId="3" borderId="13" xfId="0" applyNumberFormat="1" applyFont="1" applyFill="1" applyBorder="1" applyAlignment="1">
      <alignment horizontal="center" vertical="center"/>
    </xf>
    <xf numFmtId="165" fontId="101" fillId="3" borderId="12" xfId="0" applyNumberFormat="1" applyFont="1" applyFill="1" applyBorder="1" applyAlignment="1">
      <alignment horizontal="center" vertical="center"/>
    </xf>
    <xf numFmtId="165" fontId="101" fillId="3" borderId="13" xfId="0" applyNumberFormat="1" applyFont="1" applyFill="1" applyBorder="1" applyAlignment="1">
      <alignment horizontal="center" vertical="center"/>
    </xf>
    <xf numFmtId="0" fontId="101" fillId="3" borderId="5" xfId="0" quotePrefix="1" applyFont="1" applyFill="1" applyBorder="1" applyAlignment="1">
      <alignment horizontal="right" vertical="center"/>
    </xf>
    <xf numFmtId="2" fontId="101" fillId="3" borderId="13" xfId="0" applyNumberFormat="1" applyFont="1" applyFill="1" applyBorder="1" applyAlignment="1">
      <alignment vertical="center"/>
    </xf>
    <xf numFmtId="2" fontId="102" fillId="3" borderId="12" xfId="0" applyNumberFormat="1" applyFont="1" applyFill="1" applyBorder="1" applyAlignment="1">
      <alignment horizontal="center" vertical="center"/>
    </xf>
    <xf numFmtId="2" fontId="102" fillId="3" borderId="13" xfId="0" applyNumberFormat="1" applyFont="1" applyFill="1" applyBorder="1" applyAlignment="1">
      <alignment horizontal="center" vertical="center"/>
    </xf>
    <xf numFmtId="0" fontId="101" fillId="3" borderId="13" xfId="0" applyFont="1" applyFill="1" applyBorder="1" applyAlignment="1">
      <alignment horizontal="center" vertical="center" wrapText="1"/>
    </xf>
    <xf numFmtId="0" fontId="53" fillId="3" borderId="3" xfId="0" applyFont="1" applyFill="1" applyBorder="1" applyAlignment="1" applyProtection="1">
      <alignment vertical="center"/>
      <protection hidden="1"/>
    </xf>
    <xf numFmtId="0" fontId="53" fillId="3" borderId="1" xfId="0" applyFont="1" applyFill="1" applyBorder="1" applyAlignment="1" applyProtection="1">
      <alignment horizontal="center" vertical="center"/>
      <protection hidden="1"/>
    </xf>
    <xf numFmtId="166" fontId="53" fillId="3" borderId="1" xfId="0" applyNumberFormat="1" applyFont="1" applyFill="1" applyBorder="1" applyAlignment="1" applyProtection="1">
      <alignment horizontal="center" vertical="center"/>
      <protection locked="0"/>
    </xf>
    <xf numFmtId="0" fontId="101" fillId="3" borderId="23" xfId="0" applyFont="1" applyFill="1" applyBorder="1" applyAlignment="1">
      <alignment vertical="center" wrapText="1"/>
    </xf>
    <xf numFmtId="0" fontId="106" fillId="3" borderId="5" xfId="0" applyFont="1" applyFill="1" applyBorder="1" applyAlignment="1">
      <alignment horizontal="center" vertical="center" wrapText="1"/>
    </xf>
    <xf numFmtId="0" fontId="101" fillId="3" borderId="6" xfId="0" applyFont="1" applyFill="1" applyBorder="1" applyAlignment="1">
      <alignment vertical="center" wrapText="1"/>
    </xf>
    <xf numFmtId="166" fontId="53" fillId="0" borderId="1" xfId="0" applyNumberFormat="1" applyFont="1" applyBorder="1" applyAlignment="1" applyProtection="1">
      <alignment horizontal="center" vertical="center"/>
      <protection hidden="1"/>
    </xf>
    <xf numFmtId="2" fontId="70" fillId="0" borderId="1" xfId="0" applyNumberFormat="1" applyFont="1" applyBorder="1" applyAlignment="1" applyProtection="1">
      <alignment horizontal="center" vertical="center"/>
      <protection hidden="1"/>
    </xf>
    <xf numFmtId="0" fontId="87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53" fillId="0" borderId="0" xfId="0" applyFont="1" applyProtection="1">
      <protection locked="0"/>
    </xf>
    <xf numFmtId="0" fontId="102" fillId="3" borderId="12" xfId="0" applyFont="1" applyFill="1" applyBorder="1" applyAlignment="1">
      <alignment horizontal="center" vertical="center" wrapText="1"/>
    </xf>
    <xf numFmtId="0" fontId="101" fillId="3" borderId="12" xfId="0" applyFont="1" applyFill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/>
    </xf>
    <xf numFmtId="0" fontId="101" fillId="3" borderId="1" xfId="0" applyFont="1" applyFill="1" applyBorder="1" applyAlignment="1">
      <alignment horizontal="center" vertical="center"/>
    </xf>
    <xf numFmtId="0" fontId="101" fillId="3" borderId="0" xfId="0" applyFont="1" applyFill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110" fillId="3" borderId="0" xfId="0" applyFont="1" applyFill="1" applyAlignment="1">
      <alignment horizontal="center" vertical="center"/>
    </xf>
    <xf numFmtId="0" fontId="101" fillId="0" borderId="12" xfId="0" applyFont="1" applyBorder="1" applyAlignment="1">
      <alignment horizontal="center" vertical="center"/>
    </xf>
    <xf numFmtId="2" fontId="102" fillId="3" borderId="0" xfId="0" applyNumberFormat="1" applyFont="1" applyFill="1" applyAlignment="1">
      <alignment horizontal="center" vertical="center" wrapText="1"/>
    </xf>
    <xf numFmtId="0" fontId="76" fillId="3" borderId="1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1" fillId="3" borderId="5" xfId="0" applyFont="1" applyFill="1" applyBorder="1" applyAlignment="1">
      <alignment vertical="center" wrapText="1"/>
    </xf>
    <xf numFmtId="0" fontId="102" fillId="3" borderId="0" xfId="0" applyFont="1" applyFill="1" applyAlignment="1">
      <alignment horizontal="left" vertical="center"/>
    </xf>
    <xf numFmtId="0" fontId="75" fillId="3" borderId="5" xfId="0" applyFont="1" applyFill="1" applyBorder="1" applyAlignment="1">
      <alignment horizontal="left" vertical="center"/>
    </xf>
    <xf numFmtId="0" fontId="75" fillId="3" borderId="5" xfId="0" applyFont="1" applyFill="1" applyBorder="1" applyAlignment="1">
      <alignment vertical="center"/>
    </xf>
    <xf numFmtId="1" fontId="53" fillId="3" borderId="5" xfId="0" applyNumberFormat="1" applyFont="1" applyFill="1" applyBorder="1" applyAlignment="1" applyProtection="1">
      <alignment vertical="center" wrapText="1"/>
      <protection hidden="1"/>
    </xf>
    <xf numFmtId="0" fontId="53" fillId="3" borderId="5" xfId="0" applyFont="1" applyFill="1" applyBorder="1" applyAlignment="1" applyProtection="1">
      <alignment vertical="center" wrapText="1"/>
      <protection hidden="1"/>
    </xf>
    <xf numFmtId="0" fontId="116" fillId="0" borderId="0" xfId="0" applyFont="1" applyAlignment="1" applyProtection="1">
      <alignment horizontal="center" vertical="center"/>
      <protection hidden="1"/>
    </xf>
    <xf numFmtId="0" fontId="55" fillId="3" borderId="1" xfId="0" quotePrefix="1" applyFont="1" applyFill="1" applyBorder="1" applyAlignment="1" applyProtection="1">
      <alignment horizontal="center" vertical="center"/>
      <protection hidden="1"/>
    </xf>
    <xf numFmtId="0" fontId="55" fillId="3" borderId="0" xfId="0" quotePrefix="1" applyFont="1" applyFill="1" applyAlignment="1" applyProtection="1">
      <alignment horizontal="center" vertical="center"/>
      <protection hidden="1"/>
    </xf>
    <xf numFmtId="166" fontId="53" fillId="3" borderId="0" xfId="0" applyNumberFormat="1" applyFont="1" applyFill="1" applyAlignment="1" applyProtection="1">
      <alignment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2" fontId="53" fillId="5" borderId="1" xfId="0" applyNumberFormat="1" applyFont="1" applyFill="1" applyBorder="1" applyAlignment="1" applyProtection="1">
      <alignment horizontal="center" vertical="center"/>
      <protection hidden="1"/>
    </xf>
    <xf numFmtId="166" fontId="53" fillId="3" borderId="1" xfId="0" applyNumberFormat="1" applyFont="1" applyFill="1" applyBorder="1" applyAlignment="1" applyProtection="1">
      <alignment vertical="center"/>
      <protection hidden="1"/>
    </xf>
    <xf numFmtId="166" fontId="53" fillId="5" borderId="1" xfId="0" applyNumberFormat="1" applyFont="1" applyFill="1" applyBorder="1" applyAlignment="1" applyProtection="1">
      <alignment horizontal="center" vertical="center"/>
      <protection hidden="1"/>
    </xf>
    <xf numFmtId="0" fontId="53" fillId="3" borderId="0" xfId="0" applyFont="1" applyFill="1" applyAlignment="1" applyProtection="1">
      <alignment horizontal="left" vertical="center" indent="1"/>
      <protection hidden="1"/>
    </xf>
    <xf numFmtId="0" fontId="76" fillId="0" borderId="0" xfId="0" applyFont="1" applyAlignment="1" applyProtection="1">
      <alignment vertical="center"/>
      <protection hidden="1"/>
    </xf>
    <xf numFmtId="0" fontId="76" fillId="0" borderId="0" xfId="0" applyFont="1" applyAlignment="1" applyProtection="1">
      <alignment horizontal="center" vertical="center"/>
      <protection hidden="1"/>
    </xf>
    <xf numFmtId="165" fontId="76" fillId="0" borderId="0" xfId="0" applyNumberFormat="1" applyFont="1" applyAlignment="1" applyProtection="1">
      <alignment horizontal="center" vertical="center"/>
      <protection hidden="1"/>
    </xf>
    <xf numFmtId="0" fontId="53" fillId="3" borderId="1" xfId="0" applyFont="1" applyFill="1" applyBorder="1" applyAlignment="1" applyProtection="1">
      <alignment vertical="center"/>
      <protection hidden="1"/>
    </xf>
    <xf numFmtId="0" fontId="58" fillId="15" borderId="1" xfId="0" applyFont="1" applyFill="1" applyBorder="1" applyAlignment="1" applyProtection="1">
      <alignment vertical="center"/>
      <protection hidden="1"/>
    </xf>
    <xf numFmtId="0" fontId="58" fillId="15" borderId="1" xfId="0" applyFont="1" applyFill="1" applyBorder="1" applyAlignment="1" applyProtection="1">
      <alignment horizontal="center" vertical="center" wrapText="1"/>
      <protection hidden="1"/>
    </xf>
    <xf numFmtId="0" fontId="53" fillId="15" borderId="1" xfId="0" applyFont="1" applyFill="1" applyBorder="1" applyAlignment="1" applyProtection="1">
      <alignment vertical="center"/>
      <protection hidden="1"/>
    </xf>
    <xf numFmtId="0" fontId="53" fillId="15" borderId="2" xfId="0" applyFont="1" applyFill="1" applyBorder="1" applyAlignment="1" applyProtection="1">
      <alignment horizontal="center" vertical="center"/>
      <protection hidden="1"/>
    </xf>
    <xf numFmtId="0" fontId="53" fillId="15" borderId="1" xfId="0" applyFont="1" applyFill="1" applyBorder="1" applyAlignment="1" applyProtection="1">
      <alignment horizontal="center" vertical="center"/>
      <protection hidden="1"/>
    </xf>
    <xf numFmtId="165" fontId="53" fillId="15" borderId="2" xfId="0" applyNumberFormat="1" applyFont="1" applyFill="1" applyBorder="1" applyAlignment="1" applyProtection="1">
      <alignment horizontal="center" vertical="center"/>
      <protection hidden="1"/>
    </xf>
    <xf numFmtId="165" fontId="53" fillId="15" borderId="1" xfId="0" applyNumberFormat="1" applyFont="1" applyFill="1" applyBorder="1" applyAlignment="1" applyProtection="1">
      <alignment horizontal="center" vertical="center"/>
      <protection hidden="1"/>
    </xf>
    <xf numFmtId="2" fontId="53" fillId="5" borderId="12" xfId="0" applyNumberFormat="1" applyFont="1" applyFill="1" applyBorder="1" applyAlignment="1" applyProtection="1">
      <alignment horizontal="center" vertical="center"/>
      <protection hidden="1"/>
    </xf>
    <xf numFmtId="2" fontId="70" fillId="5" borderId="1" xfId="0" applyNumberFormat="1" applyFont="1" applyFill="1" applyBorder="1" applyAlignment="1" applyProtection="1">
      <alignment horizontal="center" vertical="center"/>
      <protection hidden="1"/>
    </xf>
    <xf numFmtId="0" fontId="53" fillId="3" borderId="0" xfId="0" applyFont="1" applyFill="1" applyAlignment="1" applyProtection="1">
      <alignment horizontal="center" vertical="center" wrapText="1"/>
      <protection hidden="1"/>
    </xf>
    <xf numFmtId="0" fontId="115" fillId="3" borderId="0" xfId="0" applyFont="1" applyFill="1" applyAlignment="1" applyProtection="1">
      <alignment horizontal="center" vertical="center"/>
      <protection hidden="1"/>
    </xf>
    <xf numFmtId="0" fontId="101" fillId="3" borderId="5" xfId="0" applyFont="1" applyFill="1" applyBorder="1" applyAlignment="1">
      <alignment horizontal="center" vertical="center"/>
    </xf>
    <xf numFmtId="0" fontId="75" fillId="3" borderId="9" xfId="0" applyFont="1" applyFill="1" applyBorder="1" applyAlignment="1">
      <alignment horizontal="left" vertical="center"/>
    </xf>
    <xf numFmtId="0" fontId="53" fillId="3" borderId="0" xfId="0" applyFont="1" applyFill="1" applyAlignment="1" applyProtection="1">
      <alignment vertical="center" wrapText="1"/>
      <protection hidden="1"/>
    </xf>
    <xf numFmtId="0" fontId="53" fillId="3" borderId="0" xfId="0" applyFont="1" applyFill="1" applyAlignment="1" applyProtection="1">
      <alignment horizontal="right" vertical="center"/>
      <protection locked="0"/>
    </xf>
    <xf numFmtId="0" fontId="19" fillId="3" borderId="0" xfId="0" applyFont="1" applyFill="1" applyAlignment="1" applyProtection="1">
      <alignment vertical="center"/>
      <protection locked="0"/>
    </xf>
    <xf numFmtId="2" fontId="53" fillId="3" borderId="0" xfId="0" applyNumberFormat="1" applyFont="1" applyFill="1" applyAlignment="1">
      <alignment horizontal="center" vertical="center" wrapText="1"/>
    </xf>
    <xf numFmtId="0" fontId="119" fillId="3" borderId="0" xfId="0" applyFont="1" applyFill="1" applyAlignment="1" applyProtection="1">
      <alignment vertical="center" wrapText="1"/>
      <protection locked="0"/>
    </xf>
    <xf numFmtId="0" fontId="19" fillId="0" borderId="0" xfId="0" applyFont="1" applyAlignment="1" applyProtection="1">
      <alignment vertical="center" wrapText="1"/>
      <protection locked="0"/>
    </xf>
    <xf numFmtId="0" fontId="53" fillId="3" borderId="0" xfId="0" applyFont="1" applyFill="1" applyProtection="1"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 applyProtection="1">
      <alignment vertical="center" wrapText="1"/>
      <protection locked="0"/>
    </xf>
    <xf numFmtId="0" fontId="120" fillId="3" borderId="0" xfId="0" applyFont="1" applyFill="1" applyAlignment="1" applyProtection="1">
      <alignment vertical="center" wrapText="1"/>
      <protection locked="0"/>
    </xf>
    <xf numFmtId="0" fontId="22" fillId="0" borderId="0" xfId="0" applyFont="1" applyAlignment="1" applyProtection="1">
      <alignment vertical="center" wrapText="1"/>
      <protection locked="0"/>
    </xf>
    <xf numFmtId="164" fontId="27" fillId="0" borderId="27" xfId="0" applyNumberFormat="1" applyFont="1" applyBorder="1" applyAlignment="1" applyProtection="1">
      <alignment horizontal="center" vertical="center"/>
      <protection locked="0"/>
    </xf>
    <xf numFmtId="2" fontId="28" fillId="0" borderId="28" xfId="0" applyNumberFormat="1" applyFont="1" applyBorder="1" applyAlignment="1" applyProtection="1">
      <alignment horizontal="center" vertical="center"/>
      <protection locked="0"/>
    </xf>
    <xf numFmtId="0" fontId="28" fillId="0" borderId="28" xfId="0" applyFont="1" applyBorder="1" applyAlignment="1" applyProtection="1">
      <alignment vertical="center" wrapText="1"/>
      <protection locked="0"/>
    </xf>
    <xf numFmtId="0" fontId="28" fillId="0" borderId="29" xfId="0" applyFont="1" applyBorder="1" applyAlignment="1" applyProtection="1">
      <alignment vertical="center" wrapText="1"/>
      <protection locked="0"/>
    </xf>
    <xf numFmtId="0" fontId="34" fillId="0" borderId="14" xfId="0" applyFont="1" applyBorder="1" applyAlignment="1" applyProtection="1">
      <alignment vertical="center" wrapText="1"/>
      <protection locked="0"/>
    </xf>
    <xf numFmtId="0" fontId="34" fillId="0" borderId="1" xfId="0" applyFont="1" applyBorder="1" applyAlignment="1" applyProtection="1">
      <alignment vertical="center" wrapText="1"/>
      <protection locked="0"/>
    </xf>
    <xf numFmtId="0" fontId="28" fillId="0" borderId="1" xfId="0" applyFont="1" applyBorder="1" applyAlignment="1" applyProtection="1">
      <alignment vertical="center" wrapText="1"/>
      <protection locked="0"/>
    </xf>
    <xf numFmtId="0" fontId="36" fillId="0" borderId="1" xfId="0" applyFont="1" applyBorder="1" applyAlignment="1" applyProtection="1">
      <alignment vertical="center" wrapText="1"/>
      <protection locked="0"/>
    </xf>
    <xf numFmtId="0" fontId="37" fillId="0" borderId="1" xfId="0" applyFont="1" applyBorder="1" applyAlignment="1" applyProtection="1">
      <alignment horizontal="center" vertical="center" wrapText="1"/>
      <protection locked="0"/>
    </xf>
    <xf numFmtId="0" fontId="34" fillId="0" borderId="1" xfId="0" applyFont="1" applyBorder="1" applyAlignment="1" applyProtection="1">
      <alignment horizontal="center" vertical="center" wrapText="1"/>
      <protection locked="0"/>
    </xf>
    <xf numFmtId="0" fontId="34" fillId="0" borderId="20" xfId="0" applyFont="1" applyBorder="1" applyAlignment="1" applyProtection="1">
      <alignment horizontal="center" vertical="center" wrapText="1"/>
      <protection locked="0"/>
    </xf>
    <xf numFmtId="2" fontId="38" fillId="0" borderId="14" xfId="0" applyNumberFormat="1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9" fillId="0" borderId="20" xfId="0" applyFont="1" applyBorder="1" applyAlignment="1" applyProtection="1">
      <alignment horizontal="center" vertical="center" wrapText="1"/>
      <protection locked="0"/>
    </xf>
    <xf numFmtId="0" fontId="16" fillId="0" borderId="20" xfId="0" applyFont="1" applyBorder="1" applyAlignment="1" applyProtection="1">
      <alignment vertical="center" wrapText="1"/>
      <protection locked="0"/>
    </xf>
    <xf numFmtId="164" fontId="41" fillId="0" borderId="1" xfId="0" applyNumberFormat="1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vertical="center" wrapText="1"/>
      <protection locked="0"/>
    </xf>
    <xf numFmtId="0" fontId="19" fillId="0" borderId="20" xfId="0" applyFont="1" applyBorder="1" applyAlignment="1" applyProtection="1">
      <alignment vertical="center" wrapText="1"/>
      <protection locked="0"/>
    </xf>
    <xf numFmtId="164" fontId="34" fillId="0" borderId="14" xfId="0" applyNumberFormat="1" applyFont="1" applyBorder="1" applyAlignment="1" applyProtection="1">
      <alignment horizontal="center" vertical="center"/>
      <protection locked="0"/>
    </xf>
    <xf numFmtId="0" fontId="34" fillId="0" borderId="1" xfId="0" applyFont="1" applyBorder="1" applyAlignment="1" applyProtection="1">
      <alignment horizontal="left" vertical="center"/>
      <protection locked="0"/>
    </xf>
    <xf numFmtId="2" fontId="38" fillId="0" borderId="15" xfId="0" applyNumberFormat="1" applyFont="1" applyBorder="1" applyAlignment="1" applyProtection="1">
      <alignment horizontal="center" vertical="center"/>
      <protection locked="0"/>
    </xf>
    <xf numFmtId="0" fontId="16" fillId="0" borderId="22" xfId="0" applyFont="1" applyBorder="1" applyAlignment="1" applyProtection="1">
      <alignment vertical="center" wrapText="1"/>
      <protection locked="0"/>
    </xf>
    <xf numFmtId="164" fontId="37" fillId="0" borderId="22" xfId="0" applyNumberFormat="1" applyFont="1" applyBorder="1" applyAlignment="1" applyProtection="1">
      <alignment horizontal="center" vertical="center"/>
      <protection locked="0"/>
    </xf>
    <xf numFmtId="0" fontId="34" fillId="0" borderId="22" xfId="0" applyFont="1" applyBorder="1" applyAlignment="1" applyProtection="1">
      <alignment horizontal="left" vertical="center"/>
      <protection locked="0"/>
    </xf>
    <xf numFmtId="0" fontId="28" fillId="0" borderId="22" xfId="0" applyFont="1" applyBorder="1" applyAlignment="1" applyProtection="1">
      <alignment vertical="center" wrapText="1"/>
      <protection locked="0"/>
    </xf>
    <xf numFmtId="0" fontId="19" fillId="0" borderId="22" xfId="0" applyFont="1" applyBorder="1" applyAlignment="1" applyProtection="1">
      <alignment vertical="center" wrapText="1"/>
      <protection locked="0"/>
    </xf>
    <xf numFmtId="0" fontId="19" fillId="0" borderId="35" xfId="0" applyFont="1" applyBorder="1" applyAlignment="1" applyProtection="1">
      <alignment vertical="center" wrapText="1"/>
      <protection locked="0"/>
    </xf>
    <xf numFmtId="2" fontId="38" fillId="0" borderId="0" xfId="0" applyNumberFormat="1" applyFont="1" applyAlignment="1" applyProtection="1">
      <alignment horizontal="center" vertical="center"/>
      <protection locked="0"/>
    </xf>
    <xf numFmtId="164" fontId="37" fillId="0" borderId="0" xfId="0" applyNumberFormat="1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left" vertical="center"/>
      <protection locked="0"/>
    </xf>
    <xf numFmtId="0" fontId="28" fillId="0" borderId="0" xfId="0" applyFont="1" applyAlignment="1" applyProtection="1">
      <alignment vertical="center" wrapText="1"/>
      <protection locked="0"/>
    </xf>
    <xf numFmtId="0" fontId="45" fillId="0" borderId="1" xfId="0" applyFont="1" applyBorder="1" applyAlignment="1" applyProtection="1">
      <alignment horizontal="center" vertical="center" wrapText="1"/>
      <protection locked="0"/>
    </xf>
    <xf numFmtId="0" fontId="50" fillId="0" borderId="1" xfId="0" applyFont="1" applyBorder="1" applyAlignment="1" applyProtection="1">
      <alignment horizontal="center" vertical="center" wrapText="1"/>
      <protection locked="0"/>
    </xf>
    <xf numFmtId="0" fontId="37" fillId="0" borderId="1" xfId="0" applyFont="1" applyBorder="1" applyAlignment="1" applyProtection="1">
      <alignment horizontal="center" wrapText="1"/>
      <protection locked="0"/>
    </xf>
    <xf numFmtId="1" fontId="37" fillId="0" borderId="1" xfId="0" applyNumberFormat="1" applyFont="1" applyBorder="1" applyAlignment="1" applyProtection="1">
      <alignment horizontal="center" wrapText="1"/>
      <protection locked="0"/>
    </xf>
    <xf numFmtId="164" fontId="37" fillId="0" borderId="1" xfId="0" applyNumberFormat="1" applyFont="1" applyBorder="1" applyAlignment="1" applyProtection="1">
      <alignment horizontal="center" wrapText="1"/>
      <protection locked="0"/>
    </xf>
    <xf numFmtId="164" fontId="37" fillId="0" borderId="1" xfId="0" applyNumberFormat="1" applyFont="1" applyBorder="1" applyAlignment="1" applyProtection="1">
      <alignment horizontal="center"/>
      <protection locked="0"/>
    </xf>
    <xf numFmtId="0" fontId="37" fillId="0" borderId="0" xfId="0" applyFont="1" applyAlignment="1" applyProtection="1">
      <alignment horizontal="center" wrapText="1"/>
      <protection locked="0"/>
    </xf>
    <xf numFmtId="1" fontId="37" fillId="0" borderId="0" xfId="0" applyNumberFormat="1" applyFont="1" applyAlignment="1" applyProtection="1">
      <alignment horizontal="center" wrapText="1"/>
      <protection locked="0"/>
    </xf>
    <xf numFmtId="164" fontId="37" fillId="0" borderId="0" xfId="0" applyNumberFormat="1" applyFont="1" applyAlignment="1" applyProtection="1">
      <alignment horizontal="center" wrapText="1"/>
      <protection locked="0"/>
    </xf>
    <xf numFmtId="164" fontId="37" fillId="0" borderId="0" xfId="0" applyNumberFormat="1" applyFont="1" applyAlignment="1" applyProtection="1">
      <alignment horizontal="center"/>
      <protection locked="0"/>
    </xf>
    <xf numFmtId="0" fontId="53" fillId="3" borderId="0" xfId="0" applyFont="1" applyFill="1" applyAlignment="1">
      <alignment vertical="center" wrapText="1"/>
    </xf>
    <xf numFmtId="0" fontId="53" fillId="3" borderId="0" xfId="0" applyFont="1" applyFill="1" applyAlignment="1">
      <alignment vertical="center"/>
    </xf>
    <xf numFmtId="1" fontId="53" fillId="3" borderId="0" xfId="0" applyNumberFormat="1" applyFont="1" applyFill="1" applyAlignment="1">
      <alignment vertical="center" wrapText="1"/>
    </xf>
    <xf numFmtId="0" fontId="52" fillId="3" borderId="0" xfId="0" applyFont="1" applyFill="1" applyAlignment="1">
      <alignment horizontal="left" vertical="center"/>
    </xf>
    <xf numFmtId="0" fontId="52" fillId="3" borderId="0" xfId="0" quotePrefix="1" applyFont="1" applyFill="1" applyAlignment="1">
      <alignment horizontal="left" vertical="center"/>
    </xf>
    <xf numFmtId="0" fontId="52" fillId="3" borderId="0" xfId="0" applyFont="1" applyFill="1" applyAlignment="1">
      <alignment vertical="center"/>
    </xf>
    <xf numFmtId="0" fontId="53" fillId="3" borderId="0" xfId="0" applyFont="1" applyFill="1" applyAlignment="1">
      <alignment horizontal="left" vertical="center"/>
    </xf>
    <xf numFmtId="0" fontId="119" fillId="3" borderId="0" xfId="0" applyFont="1" applyFill="1" applyAlignment="1">
      <alignment vertical="center" wrapText="1"/>
    </xf>
    <xf numFmtId="0" fontId="16" fillId="3" borderId="0" xfId="0" applyFont="1" applyFill="1" applyAlignment="1">
      <alignment vertical="center" wrapText="1"/>
    </xf>
    <xf numFmtId="0" fontId="22" fillId="3" borderId="0" xfId="0" applyFont="1" applyFill="1" applyAlignment="1">
      <alignment vertical="center" wrapText="1"/>
    </xf>
    <xf numFmtId="171" fontId="118" fillId="3" borderId="0" xfId="0" applyNumberFormat="1" applyFont="1" applyFill="1" applyAlignment="1">
      <alignment horizontal="center" vertical="center"/>
    </xf>
    <xf numFmtId="0" fontId="17" fillId="3" borderId="0" xfId="0" applyFont="1" applyFill="1" applyAlignment="1">
      <alignment horizontal="left" vertical="center"/>
    </xf>
    <xf numFmtId="2" fontId="18" fillId="3" borderId="0" xfId="0" applyNumberFormat="1" applyFont="1" applyFill="1" applyAlignment="1">
      <alignment horizontal="center" vertical="center"/>
    </xf>
    <xf numFmtId="1" fontId="18" fillId="3" borderId="0" xfId="0" applyNumberFormat="1" applyFont="1" applyFill="1" applyAlignment="1">
      <alignment horizontal="center" vertical="center"/>
    </xf>
    <xf numFmtId="0" fontId="52" fillId="3" borderId="0" xfId="0" applyFont="1" applyFill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0" fontId="52" fillId="21" borderId="11" xfId="0" applyFont="1" applyFill="1" applyBorder="1" applyAlignment="1">
      <alignment vertical="center"/>
    </xf>
    <xf numFmtId="0" fontId="53" fillId="21" borderId="11" xfId="0" applyFont="1" applyFill="1" applyBorder="1" applyAlignment="1">
      <alignment horizontal="center" vertical="center"/>
    </xf>
    <xf numFmtId="0" fontId="53" fillId="21" borderId="11" xfId="0" applyFont="1" applyFill="1" applyBorder="1" applyAlignment="1">
      <alignment vertical="center"/>
    </xf>
    <xf numFmtId="0" fontId="19" fillId="21" borderId="11" xfId="0" applyFont="1" applyFill="1" applyBorder="1" applyAlignment="1">
      <alignment vertical="center" wrapText="1"/>
    </xf>
    <xf numFmtId="0" fontId="52" fillId="21" borderId="0" xfId="0" applyFont="1" applyFill="1" applyAlignment="1">
      <alignment vertical="center"/>
    </xf>
    <xf numFmtId="0" fontId="53" fillId="21" borderId="0" xfId="0" applyFont="1" applyFill="1" applyAlignment="1">
      <alignment horizontal="center" vertical="center"/>
    </xf>
    <xf numFmtId="0" fontId="53" fillId="21" borderId="0" xfId="0" applyFont="1" applyFill="1" applyAlignment="1">
      <alignment vertical="center"/>
    </xf>
    <xf numFmtId="0" fontId="19" fillId="21" borderId="0" xfId="0" applyFont="1" applyFill="1" applyAlignment="1">
      <alignment vertical="center" wrapText="1"/>
    </xf>
    <xf numFmtId="0" fontId="19" fillId="21" borderId="8" xfId="0" applyFont="1" applyFill="1" applyBorder="1" applyAlignment="1">
      <alignment vertical="center"/>
    </xf>
    <xf numFmtId="0" fontId="19" fillId="21" borderId="0" xfId="0" applyFont="1" applyFill="1" applyAlignment="1">
      <alignment vertical="center"/>
    </xf>
    <xf numFmtId="0" fontId="19" fillId="21" borderId="0" xfId="0" applyFont="1" applyFill="1" applyAlignment="1">
      <alignment horizontal="center" vertical="center"/>
    </xf>
    <xf numFmtId="0" fontId="16" fillId="21" borderId="0" xfId="0" applyFont="1" applyFill="1" applyAlignment="1">
      <alignment vertical="center" wrapText="1"/>
    </xf>
    <xf numFmtId="1" fontId="53" fillId="21" borderId="8" xfId="0" applyNumberFormat="1" applyFont="1" applyFill="1" applyBorder="1" applyAlignment="1">
      <alignment horizontal="center" vertical="center"/>
    </xf>
    <xf numFmtId="0" fontId="53" fillId="21" borderId="8" xfId="0" applyFont="1" applyFill="1" applyBorder="1" applyAlignment="1">
      <alignment horizontal="left" vertical="center"/>
    </xf>
    <xf numFmtId="0" fontId="53" fillId="21" borderId="0" xfId="0" applyFont="1" applyFill="1" applyAlignment="1">
      <alignment horizontal="left" vertical="center"/>
    </xf>
    <xf numFmtId="164" fontId="52" fillId="21" borderId="0" xfId="0" applyNumberFormat="1" applyFont="1" applyFill="1" applyAlignment="1">
      <alignment horizontal="center" vertical="center"/>
    </xf>
    <xf numFmtId="2" fontId="53" fillId="21" borderId="0" xfId="0" applyNumberFormat="1" applyFont="1" applyFill="1" applyAlignment="1">
      <alignment horizontal="center" vertical="center"/>
    </xf>
    <xf numFmtId="1" fontId="53" fillId="21" borderId="9" xfId="0" applyNumberFormat="1" applyFont="1" applyFill="1" applyBorder="1" applyAlignment="1">
      <alignment horizontal="center" vertical="center"/>
    </xf>
    <xf numFmtId="2" fontId="53" fillId="21" borderId="5" xfId="0" applyNumberFormat="1" applyFont="1" applyFill="1" applyBorder="1" applyAlignment="1">
      <alignment horizontal="center" vertical="center"/>
    </xf>
    <xf numFmtId="164" fontId="52" fillId="21" borderId="5" xfId="0" applyNumberFormat="1" applyFont="1" applyFill="1" applyBorder="1" applyAlignment="1">
      <alignment horizontal="center" vertical="center"/>
    </xf>
    <xf numFmtId="0" fontId="16" fillId="21" borderId="5" xfId="0" applyFont="1" applyFill="1" applyBorder="1" applyAlignment="1">
      <alignment vertical="center" wrapText="1"/>
    </xf>
    <xf numFmtId="1" fontId="53" fillId="3" borderId="0" xfId="0" applyNumberFormat="1" applyFont="1" applyFill="1" applyAlignment="1">
      <alignment horizontal="center" vertical="center"/>
    </xf>
    <xf numFmtId="0" fontId="19" fillId="3" borderId="0" xfId="0" quotePrefix="1" applyFont="1" applyFill="1" applyAlignment="1">
      <alignment horizontal="left" vertical="center"/>
    </xf>
    <xf numFmtId="2" fontId="17" fillId="3" borderId="0" xfId="0" applyNumberFormat="1" applyFont="1" applyFill="1" applyAlignment="1">
      <alignment horizontal="center" vertical="center"/>
    </xf>
    <xf numFmtId="1" fontId="20" fillId="3" borderId="0" xfId="0" applyNumberFormat="1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1" fontId="19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2" fontId="16" fillId="3" borderId="0" xfId="0" applyNumberFormat="1" applyFont="1" applyFill="1" applyAlignment="1">
      <alignment horizontal="center" vertical="center"/>
    </xf>
    <xf numFmtId="164" fontId="21" fillId="3" borderId="0" xfId="0" applyNumberFormat="1" applyFont="1" applyFill="1" applyAlignment="1">
      <alignment horizontal="center" vertical="center"/>
    </xf>
    <xf numFmtId="2" fontId="19" fillId="3" borderId="0" xfId="0" applyNumberFormat="1" applyFont="1" applyFill="1" applyAlignment="1">
      <alignment horizontal="center" vertical="center"/>
    </xf>
    <xf numFmtId="171" fontId="53" fillId="3" borderId="0" xfId="0" applyNumberFormat="1" applyFont="1" applyFill="1" applyAlignment="1">
      <alignment horizontal="center" vertical="center"/>
    </xf>
    <xf numFmtId="2" fontId="13" fillId="3" borderId="0" xfId="0" applyNumberFormat="1" applyFont="1" applyFill="1" applyAlignment="1">
      <alignment horizontal="center" vertical="center"/>
    </xf>
    <xf numFmtId="164" fontId="53" fillId="3" borderId="0" xfId="0" applyNumberFormat="1" applyFont="1" applyFill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164" fontId="114" fillId="3" borderId="0" xfId="0" applyNumberFormat="1" applyFont="1" applyFill="1" applyAlignment="1">
      <alignment horizontal="center" vertical="center"/>
    </xf>
    <xf numFmtId="2" fontId="53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2" fontId="12" fillId="3" borderId="0" xfId="0" applyNumberFormat="1" applyFont="1" applyFill="1" applyAlignment="1">
      <alignment horizontal="center" vertical="center"/>
    </xf>
    <xf numFmtId="2" fontId="60" fillId="3" borderId="0" xfId="0" applyNumberFormat="1" applyFont="1" applyFill="1" applyAlignment="1">
      <alignment horizontal="center" vertical="center" wrapText="1"/>
    </xf>
    <xf numFmtId="164" fontId="12" fillId="3" borderId="0" xfId="0" applyNumberFormat="1" applyFont="1" applyFill="1" applyAlignment="1">
      <alignment horizontal="center" vertical="center"/>
    </xf>
    <xf numFmtId="164" fontId="57" fillId="3" borderId="0" xfId="0" applyNumberFormat="1" applyFont="1" applyFill="1" applyAlignment="1">
      <alignment horizontal="center" vertical="center"/>
    </xf>
    <xf numFmtId="0" fontId="52" fillId="3" borderId="12" xfId="0" applyFont="1" applyFill="1" applyBorder="1" applyAlignment="1">
      <alignment horizontal="center" vertical="center"/>
    </xf>
    <xf numFmtId="0" fontId="56" fillId="3" borderId="13" xfId="0" applyFont="1" applyFill="1" applyBorder="1" applyAlignment="1">
      <alignment horizontal="center" vertical="center"/>
    </xf>
    <xf numFmtId="166" fontId="53" fillId="3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02" fillId="3" borderId="0" xfId="0" applyFont="1" applyFill="1" applyAlignment="1">
      <alignment vertical="center"/>
    </xf>
    <xf numFmtId="0" fontId="102" fillId="3" borderId="0" xfId="0" quotePrefix="1" applyFont="1" applyFill="1" applyAlignment="1">
      <alignment horizontal="center" vertical="center"/>
    </xf>
    <xf numFmtId="0" fontId="76" fillId="0" borderId="0" xfId="0" applyFont="1"/>
    <xf numFmtId="0" fontId="90" fillId="0" borderId="0" xfId="0" applyFont="1"/>
    <xf numFmtId="169" fontId="123" fillId="3" borderId="1" xfId="0" applyNumberFormat="1" applyFont="1" applyFill="1" applyBorder="1"/>
    <xf numFmtId="0" fontId="90" fillId="0" borderId="1" xfId="0" applyFont="1" applyBorder="1"/>
    <xf numFmtId="0" fontId="90" fillId="0" borderId="1" xfId="0" applyFont="1" applyBorder="1" applyAlignment="1">
      <alignment horizontal="center"/>
    </xf>
    <xf numFmtId="169" fontId="123" fillId="3" borderId="2" xfId="0" applyNumberFormat="1" applyFont="1" applyFill="1" applyBorder="1"/>
    <xf numFmtId="0" fontId="123" fillId="0" borderId="1" xfId="0" applyFont="1" applyBorder="1" applyAlignment="1">
      <alignment horizontal="center"/>
    </xf>
    <xf numFmtId="0" fontId="90" fillId="0" borderId="1" xfId="0" applyFont="1" applyBorder="1" applyAlignment="1">
      <alignment horizontal="center" vertical="center"/>
    </xf>
    <xf numFmtId="164" fontId="90" fillId="0" borderId="1" xfId="0" applyNumberFormat="1" applyFont="1" applyBorder="1"/>
    <xf numFmtId="2" fontId="90" fillId="0" borderId="1" xfId="0" applyNumberFormat="1" applyFont="1" applyBorder="1"/>
    <xf numFmtId="0" fontId="121" fillId="0" borderId="0" xfId="0" applyFont="1"/>
    <xf numFmtId="0" fontId="130" fillId="0" borderId="1" xfId="0" applyFont="1" applyBorder="1"/>
    <xf numFmtId="0" fontId="102" fillId="3" borderId="5" xfId="0" applyFont="1" applyFill="1" applyBorder="1" applyAlignment="1">
      <alignment horizontal="center" vertical="center"/>
    </xf>
    <xf numFmtId="0" fontId="102" fillId="3" borderId="5" xfId="0" quotePrefix="1" applyFont="1" applyFill="1" applyBorder="1" applyAlignment="1">
      <alignment horizontal="left" vertical="center"/>
    </xf>
    <xf numFmtId="1" fontId="101" fillId="3" borderId="5" xfId="0" applyNumberFormat="1" applyFont="1" applyFill="1" applyBorder="1" applyAlignment="1">
      <alignment vertical="center" wrapText="1"/>
    </xf>
    <xf numFmtId="0" fontId="102" fillId="3" borderId="10" xfId="0" applyFont="1" applyFill="1" applyBorder="1" applyAlignment="1">
      <alignment horizontal="center" vertical="center"/>
    </xf>
    <xf numFmtId="1" fontId="101" fillId="3" borderId="11" xfId="0" applyNumberFormat="1" applyFont="1" applyFill="1" applyBorder="1" applyAlignment="1">
      <alignment vertical="center" wrapText="1"/>
    </xf>
    <xf numFmtId="1" fontId="101" fillId="3" borderId="0" xfId="0" applyNumberFormat="1" applyFont="1" applyFill="1" applyAlignment="1">
      <alignment vertical="center" wrapText="1"/>
    </xf>
    <xf numFmtId="0" fontId="101" fillId="3" borderId="7" xfId="0" applyFont="1" applyFill="1" applyBorder="1" applyAlignment="1">
      <alignment vertical="center" wrapText="1"/>
    </xf>
    <xf numFmtId="0" fontId="101" fillId="3" borderId="9" xfId="0" quotePrefix="1" applyFont="1" applyFill="1" applyBorder="1" applyAlignment="1">
      <alignment horizontal="right" vertical="center"/>
    </xf>
    <xf numFmtId="0" fontId="101" fillId="3" borderId="5" xfId="0" quotePrefix="1" applyFont="1" applyFill="1" applyBorder="1" applyAlignment="1">
      <alignment vertical="center"/>
    </xf>
    <xf numFmtId="0" fontId="101" fillId="3" borderId="5" xfId="0" quotePrefix="1" applyFont="1" applyFill="1" applyBorder="1" applyAlignment="1">
      <alignment horizontal="left" vertical="center"/>
    </xf>
    <xf numFmtId="0" fontId="101" fillId="3" borderId="10" xfId="0" applyFont="1" applyFill="1" applyBorder="1" applyAlignment="1">
      <alignment horizontal="left" vertical="center"/>
    </xf>
    <xf numFmtId="0" fontId="102" fillId="3" borderId="11" xfId="0" quotePrefix="1" applyFont="1" applyFill="1" applyBorder="1" applyAlignment="1">
      <alignment horizontal="left" vertical="center"/>
    </xf>
    <xf numFmtId="0" fontId="101" fillId="3" borderId="11" xfId="0" applyFont="1" applyFill="1" applyBorder="1" applyAlignment="1">
      <alignment horizontal="left" vertical="center"/>
    </xf>
    <xf numFmtId="0" fontId="101" fillId="3" borderId="8" xfId="0" quotePrefix="1" applyFont="1" applyFill="1" applyBorder="1" applyAlignment="1">
      <alignment horizontal="left" vertical="center"/>
    </xf>
    <xf numFmtId="0" fontId="101" fillId="3" borderId="0" xfId="0" applyFont="1" applyFill="1" applyAlignment="1">
      <alignment horizontal="right" vertical="center"/>
    </xf>
    <xf numFmtId="2" fontId="101" fillId="3" borderId="0" xfId="0" applyNumberFormat="1" applyFont="1" applyFill="1" applyAlignment="1">
      <alignment horizontal="left" vertical="center"/>
    </xf>
    <xf numFmtId="0" fontId="109" fillId="3" borderId="7" xfId="0" applyFont="1" applyFill="1" applyBorder="1" applyAlignment="1">
      <alignment horizontal="center" vertical="center"/>
    </xf>
    <xf numFmtId="0" fontId="101" fillId="3" borderId="8" xfId="0" applyFont="1" applyFill="1" applyBorder="1" applyAlignment="1">
      <alignment horizontal="left" vertical="center"/>
    </xf>
    <xf numFmtId="0" fontId="102" fillId="3" borderId="0" xfId="0" quotePrefix="1" applyFont="1" applyFill="1" applyAlignment="1">
      <alignment horizontal="left" vertical="center"/>
    </xf>
    <xf numFmtId="0" fontId="101" fillId="3" borderId="9" xfId="0" quotePrefix="1" applyFont="1" applyFill="1" applyBorder="1" applyAlignment="1">
      <alignment horizontal="left" vertical="center"/>
    </xf>
    <xf numFmtId="0" fontId="101" fillId="3" borderId="5" xfId="0" applyFont="1" applyFill="1" applyBorder="1" applyAlignment="1">
      <alignment horizontal="right" vertical="center" wrapText="1"/>
    </xf>
    <xf numFmtId="2" fontId="101" fillId="3" borderId="5" xfId="0" applyNumberFormat="1" applyFont="1" applyFill="1" applyBorder="1" applyAlignment="1">
      <alignment horizontal="left" vertical="center"/>
    </xf>
    <xf numFmtId="0" fontId="101" fillId="3" borderId="8" xfId="0" applyFont="1" applyFill="1" applyBorder="1" applyAlignment="1">
      <alignment vertical="center"/>
    </xf>
    <xf numFmtId="0" fontId="106" fillId="3" borderId="0" xfId="0" applyFont="1" applyFill="1" applyAlignment="1">
      <alignment horizontal="center" vertical="center"/>
    </xf>
    <xf numFmtId="0" fontId="126" fillId="3" borderId="0" xfId="0" applyFont="1" applyFill="1" applyAlignment="1">
      <alignment vertical="center" wrapText="1"/>
    </xf>
    <xf numFmtId="0" fontId="125" fillId="3" borderId="8" xfId="0" applyFont="1" applyFill="1" applyBorder="1" applyAlignment="1">
      <alignment horizontal="left" vertical="center"/>
    </xf>
    <xf numFmtId="0" fontId="105" fillId="3" borderId="0" xfId="0" applyFont="1" applyFill="1" applyAlignment="1">
      <alignment horizontal="left" vertical="center"/>
    </xf>
    <xf numFmtId="0" fontId="126" fillId="3" borderId="7" xfId="0" applyFont="1" applyFill="1" applyBorder="1" applyAlignment="1">
      <alignment vertical="center" wrapText="1"/>
    </xf>
    <xf numFmtId="0" fontId="101" fillId="3" borderId="8" xfId="0" quotePrefix="1" applyFont="1" applyFill="1" applyBorder="1" applyAlignment="1">
      <alignment vertical="center"/>
    </xf>
    <xf numFmtId="0" fontId="101" fillId="3" borderId="0" xfId="0" applyFont="1" applyFill="1" applyAlignment="1">
      <alignment horizontal="left" vertical="center"/>
    </xf>
    <xf numFmtId="0" fontId="101" fillId="3" borderId="9" xfId="0" quotePrefix="1" applyFont="1" applyFill="1" applyBorder="1" applyAlignment="1">
      <alignment vertical="center"/>
    </xf>
    <xf numFmtId="0" fontId="106" fillId="3" borderId="5" xfId="0" applyFont="1" applyFill="1" applyBorder="1" applyAlignment="1">
      <alignment horizontal="center" vertical="center"/>
    </xf>
    <xf numFmtId="0" fontId="101" fillId="3" borderId="0" xfId="0" applyFont="1" applyFill="1" applyAlignment="1">
      <alignment horizontal="right" vertical="center" wrapText="1"/>
    </xf>
    <xf numFmtId="0" fontId="105" fillId="3" borderId="9" xfId="0" applyFont="1" applyFill="1" applyBorder="1" applyAlignment="1">
      <alignment horizontal="left" vertical="center"/>
    </xf>
    <xf numFmtId="0" fontId="101" fillId="3" borderId="5" xfId="0" applyFont="1" applyFill="1" applyBorder="1" applyAlignment="1">
      <alignment horizontal="right" vertical="center"/>
    </xf>
    <xf numFmtId="0" fontId="90" fillId="3" borderId="3" xfId="0" applyFont="1" applyFill="1" applyBorder="1" applyAlignment="1">
      <alignment horizontal="center" vertical="center"/>
    </xf>
    <xf numFmtId="0" fontId="90" fillId="3" borderId="3" xfId="0" applyFont="1" applyFill="1" applyBorder="1" applyAlignment="1">
      <alignment vertical="center" wrapText="1"/>
    </xf>
    <xf numFmtId="1" fontId="90" fillId="3" borderId="3" xfId="0" applyNumberFormat="1" applyFont="1" applyFill="1" applyBorder="1" applyAlignment="1">
      <alignment vertical="center" wrapText="1"/>
    </xf>
    <xf numFmtId="0" fontId="90" fillId="3" borderId="4" xfId="0" applyFont="1" applyFill="1" applyBorder="1" applyAlignment="1">
      <alignment vertical="center" wrapText="1"/>
    </xf>
    <xf numFmtId="0" fontId="121" fillId="9" borderId="12" xfId="0" applyFont="1" applyFill="1" applyBorder="1" applyAlignment="1">
      <alignment horizontal="center" vertical="center"/>
    </xf>
    <xf numFmtId="0" fontId="131" fillId="9" borderId="13" xfId="0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 vertical="center"/>
    </xf>
    <xf numFmtId="2" fontId="101" fillId="3" borderId="1" xfId="0" applyNumberFormat="1" applyFont="1" applyFill="1" applyBorder="1" applyAlignment="1">
      <alignment horizontal="center" vertical="center"/>
    </xf>
    <xf numFmtId="0" fontId="75" fillId="3" borderId="0" xfId="0" applyFont="1" applyFill="1" applyAlignment="1">
      <alignment horizontal="left" vertical="center"/>
    </xf>
    <xf numFmtId="0" fontId="76" fillId="3" borderId="0" xfId="0" applyFont="1" applyFill="1" applyAlignment="1">
      <alignment vertical="center"/>
    </xf>
    <xf numFmtId="1" fontId="76" fillId="3" borderId="0" xfId="0" applyNumberFormat="1" applyFont="1" applyFill="1" applyAlignment="1">
      <alignment vertical="center" wrapText="1"/>
    </xf>
    <xf numFmtId="0" fontId="76" fillId="3" borderId="0" xfId="0" applyFont="1" applyFill="1" applyAlignment="1">
      <alignment vertical="center" wrapText="1"/>
    </xf>
    <xf numFmtId="0" fontId="75" fillId="3" borderId="0" xfId="0" applyFont="1" applyFill="1" applyAlignment="1">
      <alignment vertical="center"/>
    </xf>
    <xf numFmtId="0" fontId="75" fillId="3" borderId="0" xfId="0" quotePrefix="1" applyFont="1" applyFill="1" applyAlignment="1">
      <alignment horizontal="left" vertical="center"/>
    </xf>
    <xf numFmtId="0" fontId="75" fillId="21" borderId="10" xfId="0" applyFont="1" applyFill="1" applyBorder="1" applyAlignment="1">
      <alignment vertical="center"/>
    </xf>
    <xf numFmtId="0" fontId="128" fillId="21" borderId="8" xfId="0" applyFont="1" applyFill="1" applyBorder="1" applyAlignment="1">
      <alignment vertical="center"/>
    </xf>
    <xf numFmtId="0" fontId="75" fillId="21" borderId="0" xfId="0" applyFont="1" applyFill="1" applyAlignment="1">
      <alignment horizontal="left" vertical="center"/>
    </xf>
    <xf numFmtId="0" fontId="75" fillId="13" borderId="12" xfId="0" applyFont="1" applyFill="1" applyBorder="1" applyAlignment="1">
      <alignment horizontal="center" vertical="center"/>
    </xf>
    <xf numFmtId="0" fontId="128" fillId="13" borderId="13" xfId="0" applyFont="1" applyFill="1" applyBorder="1" applyAlignment="1">
      <alignment horizontal="center" vertical="center"/>
    </xf>
    <xf numFmtId="2" fontId="101" fillId="0" borderId="1" xfId="0" applyNumberFormat="1" applyFont="1" applyBorder="1" applyAlignment="1">
      <alignment horizontal="center" vertical="center" wrapText="1"/>
    </xf>
    <xf numFmtId="2" fontId="101" fillId="3" borderId="1" xfId="0" quotePrefix="1" applyNumberFormat="1" applyFont="1" applyFill="1" applyBorder="1" applyAlignment="1">
      <alignment horizontal="center" vertical="center"/>
    </xf>
    <xf numFmtId="0" fontId="101" fillId="3" borderId="1" xfId="0" quotePrefix="1" applyFont="1" applyFill="1" applyBorder="1" applyAlignment="1">
      <alignment horizontal="center" vertical="center"/>
    </xf>
    <xf numFmtId="1" fontId="102" fillId="3" borderId="1" xfId="0" applyNumberFormat="1" applyFont="1" applyFill="1" applyBorder="1" applyAlignment="1">
      <alignment horizontal="center" vertical="center"/>
    </xf>
    <xf numFmtId="1" fontId="101" fillId="21" borderId="8" xfId="0" applyNumberFormat="1" applyFont="1" applyFill="1" applyBorder="1" applyAlignment="1">
      <alignment horizontal="left" vertical="center"/>
    </xf>
    <xf numFmtId="0" fontId="101" fillId="21" borderId="8" xfId="0" quotePrefix="1" applyFont="1" applyFill="1" applyBorder="1" applyAlignment="1">
      <alignment horizontal="left" vertical="center"/>
    </xf>
    <xf numFmtId="0" fontId="101" fillId="21" borderId="0" xfId="0" applyFont="1" applyFill="1" applyAlignment="1">
      <alignment vertical="center"/>
    </xf>
    <xf numFmtId="0" fontId="76" fillId="21" borderId="0" xfId="0" applyFont="1" applyFill="1" applyAlignment="1">
      <alignment vertical="center"/>
    </xf>
    <xf numFmtId="0" fontId="117" fillId="21" borderId="8" xfId="0" quotePrefix="1" applyFont="1" applyFill="1" applyBorder="1" applyAlignment="1">
      <alignment horizontal="left" vertical="center"/>
    </xf>
    <xf numFmtId="1" fontId="134" fillId="21" borderId="0" xfId="0" applyNumberFormat="1" applyFont="1" applyFill="1" applyAlignment="1">
      <alignment horizontal="left" vertical="center"/>
    </xf>
    <xf numFmtId="0" fontId="117" fillId="21" borderId="8" xfId="0" applyFont="1" applyFill="1" applyBorder="1" applyAlignment="1">
      <alignment horizontal="left" vertical="center"/>
    </xf>
    <xf numFmtId="1" fontId="127" fillId="21" borderId="0" xfId="0" applyNumberFormat="1" applyFont="1" applyFill="1" applyAlignment="1">
      <alignment horizontal="left" vertical="center"/>
    </xf>
    <xf numFmtId="0" fontId="101" fillId="21" borderId="0" xfId="0" applyFont="1" applyFill="1" applyAlignment="1">
      <alignment horizontal="left" vertical="center"/>
    </xf>
    <xf numFmtId="0" fontId="101" fillId="21" borderId="8" xfId="0" applyFont="1" applyFill="1" applyBorder="1" applyAlignment="1">
      <alignment vertical="center"/>
    </xf>
    <xf numFmtId="0" fontId="76" fillId="21" borderId="8" xfId="0" applyFont="1" applyFill="1" applyBorder="1" applyAlignment="1">
      <alignment horizontal="left" vertical="center"/>
    </xf>
    <xf numFmtId="0" fontId="76" fillId="21" borderId="0" xfId="0" applyFont="1" applyFill="1" applyAlignment="1">
      <alignment horizontal="left" vertical="center"/>
    </xf>
    <xf numFmtId="2" fontId="101" fillId="21" borderId="0" xfId="0" applyNumberFormat="1" applyFont="1" applyFill="1" applyAlignment="1">
      <alignment horizontal="center" vertical="center"/>
    </xf>
    <xf numFmtId="164" fontId="102" fillId="21" borderId="0" xfId="0" applyNumberFormat="1" applyFont="1" applyFill="1" applyAlignment="1">
      <alignment horizontal="center" vertical="center"/>
    </xf>
    <xf numFmtId="0" fontId="127" fillId="21" borderId="0" xfId="0" applyFont="1" applyFill="1" applyAlignment="1">
      <alignment horizontal="left" vertical="center"/>
    </xf>
    <xf numFmtId="0" fontId="81" fillId="21" borderId="8" xfId="0" applyFont="1" applyFill="1" applyBorder="1" applyAlignment="1">
      <alignment horizontal="left" vertical="center"/>
    </xf>
    <xf numFmtId="2" fontId="76" fillId="21" borderId="0" xfId="0" applyNumberFormat="1" applyFont="1" applyFill="1" applyAlignment="1">
      <alignment horizontal="center" vertical="center"/>
    </xf>
    <xf numFmtId="164" fontId="75" fillId="21" borderId="0" xfId="0" applyNumberFormat="1" applyFont="1" applyFill="1" applyAlignment="1">
      <alignment horizontal="center" vertical="center"/>
    </xf>
    <xf numFmtId="0" fontId="76" fillId="21" borderId="0" xfId="0" applyFont="1" applyFill="1" applyAlignment="1">
      <alignment vertical="center" wrapText="1"/>
    </xf>
    <xf numFmtId="0" fontId="128" fillId="21" borderId="0" xfId="0" applyFont="1" applyFill="1" applyAlignment="1">
      <alignment vertical="center"/>
    </xf>
    <xf numFmtId="0" fontId="110" fillId="21" borderId="8" xfId="0" applyFont="1" applyFill="1" applyBorder="1" applyAlignment="1">
      <alignment horizontal="left" vertical="center"/>
    </xf>
    <xf numFmtId="0" fontId="128" fillId="21" borderId="5" xfId="0" applyFont="1" applyFill="1" applyBorder="1" applyAlignment="1">
      <alignment vertical="center"/>
    </xf>
    <xf numFmtId="2" fontId="75" fillId="3" borderId="1" xfId="0" applyNumberFormat="1" applyFont="1" applyFill="1" applyBorder="1" applyAlignment="1">
      <alignment horizontal="center" vertical="center"/>
    </xf>
    <xf numFmtId="1" fontId="75" fillId="3" borderId="1" xfId="0" applyNumberFormat="1" applyFont="1" applyFill="1" applyBorder="1" applyAlignment="1">
      <alignment horizontal="center" vertical="center"/>
    </xf>
    <xf numFmtId="171" fontId="135" fillId="3" borderId="2" xfId="0" applyNumberFormat="1" applyFont="1" applyFill="1" applyBorder="1" applyAlignment="1">
      <alignment horizontal="center" vertical="center"/>
    </xf>
    <xf numFmtId="0" fontId="76" fillId="3" borderId="4" xfId="0" applyFont="1" applyFill="1" applyBorder="1" applyAlignment="1">
      <alignment horizontal="center" vertical="center"/>
    </xf>
    <xf numFmtId="164" fontId="76" fillId="3" borderId="1" xfId="0" applyNumberFormat="1" applyFont="1" applyFill="1" applyBorder="1" applyAlignment="1">
      <alignment horizontal="center" vertical="center"/>
    </xf>
    <xf numFmtId="2" fontId="75" fillId="3" borderId="1" xfId="0" applyNumberFormat="1" applyFont="1" applyFill="1" applyBorder="1" applyAlignment="1">
      <alignment horizontal="center"/>
    </xf>
    <xf numFmtId="164" fontId="75" fillId="3" borderId="4" xfId="0" applyNumberFormat="1" applyFont="1" applyFill="1" applyBorder="1" applyAlignment="1">
      <alignment horizontal="center" vertical="center"/>
    </xf>
    <xf numFmtId="0" fontId="76" fillId="3" borderId="1" xfId="0" applyFont="1" applyFill="1" applyBorder="1" applyAlignment="1">
      <alignment horizontal="center" vertical="center" wrapText="1"/>
    </xf>
    <xf numFmtId="0" fontId="136" fillId="3" borderId="1" xfId="0" applyFont="1" applyFill="1" applyBorder="1" applyAlignment="1">
      <alignment horizontal="center" vertical="center" wrapText="1"/>
    </xf>
    <xf numFmtId="0" fontId="101" fillId="3" borderId="1" xfId="0" applyFont="1" applyFill="1" applyBorder="1" applyAlignment="1">
      <alignment vertical="center"/>
    </xf>
    <xf numFmtId="0" fontId="112" fillId="3" borderId="6" xfId="0" applyFont="1" applyFill="1" applyBorder="1" applyAlignment="1">
      <alignment vertical="top"/>
    </xf>
    <xf numFmtId="0" fontId="128" fillId="3" borderId="9" xfId="0" applyFont="1" applyFill="1" applyBorder="1" applyAlignment="1">
      <alignment vertical="top"/>
    </xf>
    <xf numFmtId="0" fontId="132" fillId="3" borderId="1" xfId="0" applyFont="1" applyFill="1" applyBorder="1" applyAlignment="1">
      <alignment horizontal="center" vertical="center"/>
    </xf>
    <xf numFmtId="1" fontId="75" fillId="3" borderId="1" xfId="0" applyNumberFormat="1" applyFont="1" applyFill="1" applyBorder="1" applyAlignment="1">
      <alignment horizontal="left" vertical="center"/>
    </xf>
    <xf numFmtId="164" fontId="76" fillId="3" borderId="2" xfId="0" applyNumberFormat="1" applyFont="1" applyFill="1" applyBorder="1" applyAlignment="1">
      <alignment vertical="center"/>
    </xf>
    <xf numFmtId="164" fontId="76" fillId="3" borderId="4" xfId="0" applyNumberFormat="1" applyFont="1" applyFill="1" applyBorder="1" applyAlignment="1">
      <alignment vertical="center"/>
    </xf>
    <xf numFmtId="0" fontId="76" fillId="3" borderId="2" xfId="0" applyFont="1" applyFill="1" applyBorder="1" applyAlignment="1">
      <alignment vertical="center"/>
    </xf>
    <xf numFmtId="0" fontId="76" fillId="3" borderId="4" xfId="0" applyFont="1" applyFill="1" applyBorder="1" applyAlignment="1">
      <alignment vertical="center"/>
    </xf>
    <xf numFmtId="0" fontId="76" fillId="9" borderId="5" xfId="0" applyFont="1" applyFill="1" applyBorder="1" applyAlignment="1">
      <alignment horizontal="left" vertical="center" wrapText="1" indent="1"/>
    </xf>
    <xf numFmtId="2" fontId="112" fillId="9" borderId="5" xfId="0" applyNumberFormat="1" applyFont="1" applyFill="1" applyBorder="1" applyAlignment="1">
      <alignment horizontal="left" vertical="center" indent="1"/>
    </xf>
    <xf numFmtId="2" fontId="112" fillId="9" borderId="6" xfId="0" applyNumberFormat="1" applyFont="1" applyFill="1" applyBorder="1" applyAlignment="1">
      <alignment horizontal="left" vertical="center" indent="1"/>
    </xf>
    <xf numFmtId="0" fontId="75" fillId="9" borderId="12" xfId="0" applyFont="1" applyFill="1" applyBorder="1" applyAlignment="1">
      <alignment horizontal="center"/>
    </xf>
    <xf numFmtId="0" fontId="139" fillId="9" borderId="9" xfId="0" applyFont="1" applyFill="1" applyBorder="1" applyAlignment="1">
      <alignment horizontal="left" vertical="top" indent="1"/>
    </xf>
    <xf numFmtId="0" fontId="75" fillId="9" borderId="12" xfId="0" applyFont="1" applyFill="1" applyBorder="1" applyAlignment="1">
      <alignment horizontal="center" vertical="center" wrapText="1"/>
    </xf>
    <xf numFmtId="0" fontId="139" fillId="9" borderId="13" xfId="0" applyFont="1" applyFill="1" applyBorder="1" applyAlignment="1">
      <alignment horizontal="center" vertical="center"/>
    </xf>
    <xf numFmtId="0" fontId="139" fillId="9" borderId="13" xfId="0" applyFont="1" applyFill="1" applyBorder="1" applyAlignment="1">
      <alignment horizontal="center" vertical="top"/>
    </xf>
    <xf numFmtId="2" fontId="140" fillId="3" borderId="13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 vertical="center" wrapText="1"/>
    </xf>
    <xf numFmtId="164" fontId="76" fillId="3" borderId="1" xfId="0" applyNumberFormat="1" applyFont="1" applyFill="1" applyBorder="1" applyAlignment="1">
      <alignment horizontal="center" vertical="center" wrapText="1"/>
    </xf>
    <xf numFmtId="164" fontId="140" fillId="3" borderId="1" xfId="0" applyNumberFormat="1" applyFont="1" applyFill="1" applyBorder="1" applyAlignment="1">
      <alignment horizontal="center" vertical="center"/>
    </xf>
    <xf numFmtId="2" fontId="140" fillId="3" borderId="1" xfId="0" applyNumberFormat="1" applyFont="1" applyFill="1" applyBorder="1" applyAlignment="1">
      <alignment horizontal="center" vertical="center"/>
    </xf>
    <xf numFmtId="0" fontId="141" fillId="0" borderId="0" xfId="0" applyFont="1" applyAlignment="1">
      <alignment horizontal="center" vertical="center"/>
    </xf>
    <xf numFmtId="166" fontId="141" fillId="0" borderId="0" xfId="0" applyNumberFormat="1" applyFont="1" applyAlignment="1">
      <alignment horizontal="center" vertical="center"/>
    </xf>
    <xf numFmtId="0" fontId="75" fillId="3" borderId="12" xfId="0" applyFont="1" applyFill="1" applyBorder="1" applyAlignment="1">
      <alignment horizontal="center" vertical="center"/>
    </xf>
    <xf numFmtId="0" fontId="139" fillId="3" borderId="13" xfId="0" applyFont="1" applyFill="1" applyBorder="1" applyAlignment="1">
      <alignment horizontal="center" vertical="center"/>
    </xf>
    <xf numFmtId="2" fontId="75" fillId="3" borderId="13" xfId="0" applyNumberFormat="1" applyFont="1" applyFill="1" applyBorder="1" applyAlignment="1">
      <alignment horizontal="center" vertical="center"/>
    </xf>
    <xf numFmtId="166" fontId="76" fillId="3" borderId="1" xfId="0" applyNumberFormat="1" applyFont="1" applyFill="1" applyBorder="1" applyAlignment="1">
      <alignment vertical="center"/>
    </xf>
    <xf numFmtId="0" fontId="132" fillId="3" borderId="1" xfId="0" applyFont="1" applyFill="1" applyBorder="1" applyAlignment="1">
      <alignment horizontal="center"/>
    </xf>
    <xf numFmtId="166" fontId="76" fillId="3" borderId="1" xfId="0" applyNumberFormat="1" applyFont="1" applyFill="1" applyBorder="1" applyAlignment="1">
      <alignment horizontal="center" vertical="center"/>
    </xf>
    <xf numFmtId="0" fontId="145" fillId="0" borderId="1" xfId="0" applyFont="1" applyBorder="1" applyAlignment="1" applyProtection="1">
      <alignment vertical="center" wrapText="1"/>
      <protection locked="0"/>
    </xf>
    <xf numFmtId="0" fontId="76" fillId="3" borderId="5" xfId="0" applyFont="1" applyFill="1" applyBorder="1" applyAlignment="1">
      <alignment horizontal="left" vertical="center" wrapText="1" indent="1"/>
    </xf>
    <xf numFmtId="2" fontId="112" fillId="3" borderId="5" xfId="0" applyNumberFormat="1" applyFont="1" applyFill="1" applyBorder="1" applyAlignment="1">
      <alignment horizontal="left" vertical="center" indent="1"/>
    </xf>
    <xf numFmtId="2" fontId="112" fillId="3" borderId="6" xfId="0" applyNumberFormat="1" applyFont="1" applyFill="1" applyBorder="1" applyAlignment="1">
      <alignment horizontal="left" vertical="center" indent="1"/>
    </xf>
    <xf numFmtId="0" fontId="139" fillId="3" borderId="9" xfId="0" applyFont="1" applyFill="1" applyBorder="1" applyAlignment="1">
      <alignment horizontal="left" vertical="top" indent="1"/>
    </xf>
    <xf numFmtId="0" fontId="75" fillId="3" borderId="12" xfId="0" applyFont="1" applyFill="1" applyBorder="1" applyAlignment="1">
      <alignment horizontal="center"/>
    </xf>
    <xf numFmtId="0" fontId="75" fillId="3" borderId="12" xfId="0" applyFont="1" applyFill="1" applyBorder="1" applyAlignment="1">
      <alignment horizontal="center" vertical="center" wrapText="1"/>
    </xf>
    <xf numFmtId="0" fontId="139" fillId="3" borderId="13" xfId="0" applyFont="1" applyFill="1" applyBorder="1" applyAlignment="1">
      <alignment horizontal="center" vertical="top"/>
    </xf>
    <xf numFmtId="171" fontId="135" fillId="3" borderId="0" xfId="0" applyNumberFormat="1" applyFont="1" applyFill="1" applyAlignment="1">
      <alignment horizontal="center" vertical="center"/>
    </xf>
    <xf numFmtId="0" fontId="75" fillId="3" borderId="0" xfId="0" applyFont="1" applyFill="1" applyAlignment="1">
      <alignment horizontal="center" vertical="center"/>
    </xf>
    <xf numFmtId="166" fontId="76" fillId="3" borderId="0" xfId="0" applyNumberFormat="1" applyFont="1" applyFill="1" applyAlignment="1">
      <alignment horizontal="center" vertical="center"/>
    </xf>
    <xf numFmtId="0" fontId="75" fillId="3" borderId="1" xfId="0" applyFont="1" applyFill="1" applyBorder="1" applyAlignment="1">
      <alignment horizontal="center"/>
    </xf>
    <xf numFmtId="1" fontId="76" fillId="3" borderId="0" xfId="0" applyNumberFormat="1" applyFont="1" applyFill="1" applyAlignment="1">
      <alignment horizontal="center" vertical="center"/>
    </xf>
    <xf numFmtId="0" fontId="76" fillId="3" borderId="0" xfId="0" applyFont="1" applyFill="1" applyAlignment="1">
      <alignment horizontal="left" vertical="center"/>
    </xf>
    <xf numFmtId="165" fontId="101" fillId="3" borderId="13" xfId="0" applyNumberFormat="1" applyFont="1" applyFill="1" applyBorder="1" applyAlignment="1">
      <alignment horizontal="center" vertical="center" wrapText="1"/>
    </xf>
    <xf numFmtId="0" fontId="101" fillId="3" borderId="7" xfId="0" applyFont="1" applyFill="1" applyBorder="1" applyAlignment="1">
      <alignment horizontal="right" vertical="center"/>
    </xf>
    <xf numFmtId="0" fontId="101" fillId="3" borderId="0" xfId="0" applyFont="1" applyFill="1"/>
    <xf numFmtId="0" fontId="101" fillId="3" borderId="7" xfId="0" applyFont="1" applyFill="1" applyBorder="1" applyAlignment="1">
      <alignment horizontal="right"/>
    </xf>
    <xf numFmtId="0" fontId="101" fillId="3" borderId="7" xfId="0" applyFont="1" applyFill="1" applyBorder="1" applyAlignment="1">
      <alignment vertical="center"/>
    </xf>
    <xf numFmtId="0" fontId="101" fillId="3" borderId="5" xfId="0" applyFont="1" applyFill="1" applyBorder="1" applyAlignment="1">
      <alignment horizontal="left" vertical="center" indent="1"/>
    </xf>
    <xf numFmtId="1" fontId="146" fillId="3" borderId="13" xfId="0" applyNumberFormat="1" applyFont="1" applyFill="1" applyBorder="1" applyAlignment="1">
      <alignment horizontal="center" vertical="center" wrapText="1"/>
    </xf>
    <xf numFmtId="165" fontId="146" fillId="3" borderId="13" xfId="0" applyNumberFormat="1" applyFont="1" applyFill="1" applyBorder="1" applyAlignment="1">
      <alignment horizontal="center" vertical="center" wrapText="1"/>
    </xf>
    <xf numFmtId="0" fontId="102" fillId="3" borderId="0" xfId="0" applyFont="1" applyFill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horizontal="left" vertical="center"/>
      <protection hidden="1"/>
    </xf>
    <xf numFmtId="0" fontId="102" fillId="3" borderId="0" xfId="0" quotePrefix="1" applyFont="1" applyFill="1" applyAlignment="1" applyProtection="1">
      <alignment horizontal="left" vertical="center"/>
      <protection hidden="1"/>
    </xf>
    <xf numFmtId="0" fontId="101" fillId="3" borderId="8" xfId="0" applyFont="1" applyFill="1" applyBorder="1" applyAlignment="1" applyProtection="1">
      <alignment vertical="center"/>
      <protection hidden="1"/>
    </xf>
    <xf numFmtId="0" fontId="101" fillId="3" borderId="10" xfId="0" applyFont="1" applyFill="1" applyBorder="1" applyAlignment="1" applyProtection="1">
      <alignment vertical="center"/>
      <protection hidden="1"/>
    </xf>
    <xf numFmtId="0" fontId="101" fillId="3" borderId="23" xfId="0" applyFont="1" applyFill="1" applyBorder="1" applyAlignment="1" applyProtection="1">
      <alignment vertical="center"/>
      <protection hidden="1"/>
    </xf>
    <xf numFmtId="0" fontId="105" fillId="3" borderId="8" xfId="0" applyFont="1" applyFill="1" applyBorder="1" applyAlignment="1" applyProtection="1">
      <alignment vertical="center"/>
      <protection hidden="1"/>
    </xf>
    <xf numFmtId="0" fontId="101" fillId="3" borderId="8" xfId="0" applyFont="1" applyFill="1" applyBorder="1" applyAlignment="1" applyProtection="1">
      <alignment horizontal="center" vertical="center"/>
      <protection hidden="1"/>
    </xf>
    <xf numFmtId="0" fontId="101" fillId="3" borderId="8" xfId="0" applyFont="1" applyFill="1" applyBorder="1" applyAlignment="1" applyProtection="1">
      <alignment horizontal="right" vertical="center"/>
      <protection hidden="1"/>
    </xf>
    <xf numFmtId="0" fontId="101" fillId="3" borderId="1" xfId="0" applyFont="1" applyFill="1" applyBorder="1" applyAlignment="1" applyProtection="1">
      <alignment horizontal="center" vertical="center"/>
      <protection hidden="1"/>
    </xf>
    <xf numFmtId="2" fontId="101" fillId="3" borderId="1" xfId="0" applyNumberFormat="1" applyFont="1" applyFill="1" applyBorder="1" applyAlignment="1" applyProtection="1">
      <alignment horizontal="center" vertical="center"/>
      <protection hidden="1"/>
    </xf>
    <xf numFmtId="166" fontId="101" fillId="3" borderId="12" xfId="0" applyNumberFormat="1" applyFont="1" applyFill="1" applyBorder="1" applyAlignment="1" applyProtection="1">
      <alignment horizontal="right" vertical="center"/>
      <protection hidden="1"/>
    </xf>
    <xf numFmtId="166" fontId="101" fillId="0" borderId="1" xfId="0" applyNumberFormat="1" applyFont="1" applyBorder="1" applyAlignment="1" applyProtection="1">
      <alignment horizontal="center" vertical="center"/>
      <protection locked="0"/>
    </xf>
    <xf numFmtId="0" fontId="101" fillId="3" borderId="11" xfId="0" applyFont="1" applyFill="1" applyBorder="1" applyAlignment="1" applyProtection="1">
      <alignment vertical="center"/>
      <protection hidden="1"/>
    </xf>
    <xf numFmtId="0" fontId="101" fillId="3" borderId="0" xfId="0" applyFont="1" applyFill="1" applyAlignment="1" applyProtection="1">
      <alignment vertical="center"/>
      <protection hidden="1"/>
    </xf>
    <xf numFmtId="0" fontId="101" fillId="3" borderId="7" xfId="0" applyFont="1" applyFill="1" applyBorder="1" applyAlignment="1" applyProtection="1">
      <alignment vertical="center"/>
      <protection hidden="1"/>
    </xf>
    <xf numFmtId="0" fontId="105" fillId="3" borderId="0" xfId="0" applyFont="1" applyFill="1" applyAlignment="1" applyProtection="1">
      <alignment vertical="center"/>
      <protection hidden="1"/>
    </xf>
    <xf numFmtId="0" fontId="76" fillId="3" borderId="11" xfId="0" applyFont="1" applyFill="1" applyBorder="1" applyAlignment="1" applyProtection="1">
      <alignment vertical="center"/>
      <protection hidden="1"/>
    </xf>
    <xf numFmtId="0" fontId="76" fillId="3" borderId="0" xfId="0" applyFont="1" applyFill="1" applyAlignment="1" applyProtection="1">
      <alignment vertical="center"/>
      <protection hidden="1"/>
    </xf>
    <xf numFmtId="0" fontId="76" fillId="3" borderId="5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hidden="1"/>
    </xf>
    <xf numFmtId="0" fontId="101" fillId="3" borderId="5" xfId="0" applyFont="1" applyFill="1" applyBorder="1" applyAlignment="1" applyProtection="1">
      <alignment vertical="center"/>
      <protection hidden="1"/>
    </xf>
    <xf numFmtId="0" fontId="101" fillId="3" borderId="0" xfId="0" applyFont="1" applyFill="1" applyAlignment="1" applyProtection="1">
      <alignment horizontal="left" vertical="center"/>
      <protection hidden="1"/>
    </xf>
    <xf numFmtId="0" fontId="147" fillId="3" borderId="8" xfId="0" applyFont="1" applyFill="1" applyBorder="1" applyAlignment="1" applyProtection="1">
      <alignment horizontal="center" vertical="center"/>
      <protection hidden="1"/>
    </xf>
    <xf numFmtId="0" fontId="117" fillId="3" borderId="8" xfId="0" applyFont="1" applyFill="1" applyBorder="1" applyAlignment="1" applyProtection="1">
      <alignment horizontal="center" vertical="center"/>
      <protection hidden="1"/>
    </xf>
    <xf numFmtId="0" fontId="117" fillId="3" borderId="8" xfId="0" applyFont="1" applyFill="1" applyBorder="1" applyAlignment="1" applyProtection="1">
      <alignment vertical="center"/>
      <protection hidden="1"/>
    </xf>
    <xf numFmtId="0" fontId="101" fillId="3" borderId="7" xfId="0" applyFont="1" applyFill="1" applyBorder="1" applyAlignment="1" applyProtection="1">
      <alignment horizontal="right" vertical="center"/>
      <protection hidden="1"/>
    </xf>
    <xf numFmtId="0" fontId="117" fillId="3" borderId="9" xfId="0" applyFont="1" applyFill="1" applyBorder="1" applyAlignment="1" applyProtection="1">
      <alignment vertical="center"/>
      <protection hidden="1"/>
    </xf>
    <xf numFmtId="0" fontId="105" fillId="3" borderId="5" xfId="0" applyFont="1" applyFill="1" applyBorder="1" applyAlignment="1" applyProtection="1">
      <alignment vertical="center"/>
      <protection hidden="1"/>
    </xf>
    <xf numFmtId="0" fontId="101" fillId="3" borderId="6" xfId="0" applyFont="1" applyFill="1" applyBorder="1" applyAlignment="1" applyProtection="1">
      <alignment horizontal="right" vertical="center"/>
      <protection hidden="1"/>
    </xf>
    <xf numFmtId="0" fontId="110" fillId="3" borderId="0" xfId="0" applyFont="1" applyFill="1" applyAlignment="1" applyProtection="1">
      <alignment horizontal="left" vertical="center"/>
      <protection hidden="1"/>
    </xf>
    <xf numFmtId="0" fontId="117" fillId="3" borderId="0" xfId="0" applyFont="1" applyFill="1" applyAlignment="1" applyProtection="1">
      <alignment vertical="center"/>
      <protection hidden="1"/>
    </xf>
    <xf numFmtId="0" fontId="148" fillId="3" borderId="7" xfId="0" quotePrefix="1" applyFont="1" applyFill="1" applyBorder="1" applyAlignment="1" applyProtection="1">
      <alignment horizontal="right" vertical="center"/>
      <protection hidden="1"/>
    </xf>
    <xf numFmtId="0" fontId="117" fillId="3" borderId="8" xfId="0" applyFont="1" applyFill="1" applyBorder="1" applyAlignment="1" applyProtection="1">
      <alignment horizontal="right" vertical="center"/>
      <protection hidden="1"/>
    </xf>
    <xf numFmtId="0" fontId="149" fillId="3" borderId="7" xfId="0" quotePrefix="1" applyFont="1" applyFill="1" applyBorder="1" applyAlignment="1" applyProtection="1">
      <alignment horizontal="right" vertical="center"/>
      <protection hidden="1"/>
    </xf>
    <xf numFmtId="0" fontId="117" fillId="3" borderId="0" xfId="0" applyFont="1" applyFill="1" applyAlignment="1" applyProtection="1">
      <alignment horizontal="left" vertical="center"/>
      <protection hidden="1"/>
    </xf>
    <xf numFmtId="0" fontId="149" fillId="3" borderId="7" xfId="0" applyFont="1" applyFill="1" applyBorder="1" applyAlignment="1" applyProtection="1">
      <alignment horizontal="right" vertical="center"/>
      <protection hidden="1"/>
    </xf>
    <xf numFmtId="0" fontId="117" fillId="3" borderId="7" xfId="0" applyFont="1" applyFill="1" applyBorder="1" applyAlignment="1" applyProtection="1">
      <alignment vertical="center"/>
      <protection hidden="1"/>
    </xf>
    <xf numFmtId="0" fontId="102" fillId="3" borderId="3" xfId="0" applyFont="1" applyFill="1" applyBorder="1" applyAlignment="1" applyProtection="1">
      <alignment horizontal="left" vertical="center"/>
      <protection hidden="1"/>
    </xf>
    <xf numFmtId="0" fontId="101" fillId="3" borderId="3" xfId="0" applyFont="1" applyFill="1" applyBorder="1" applyAlignment="1" applyProtection="1">
      <alignment vertical="center"/>
      <protection hidden="1"/>
    </xf>
    <xf numFmtId="0" fontId="101" fillId="3" borderId="4" xfId="0" applyFont="1" applyFill="1" applyBorder="1" applyAlignment="1" applyProtection="1">
      <alignment vertical="center"/>
      <protection hidden="1"/>
    </xf>
    <xf numFmtId="0" fontId="101" fillId="3" borderId="11" xfId="0" applyFont="1" applyFill="1" applyBorder="1" applyAlignment="1" applyProtection="1">
      <alignment horizontal="left" vertical="center"/>
      <protection hidden="1"/>
    </xf>
    <xf numFmtId="0" fontId="101" fillId="3" borderId="11" xfId="0" applyFont="1" applyFill="1" applyBorder="1" applyAlignment="1" applyProtection="1">
      <alignment horizontal="left" vertical="center"/>
      <protection locked="0" hidden="1"/>
    </xf>
    <xf numFmtId="0" fontId="109" fillId="3" borderId="11" xfId="0" applyFont="1" applyFill="1" applyBorder="1" applyAlignment="1" applyProtection="1">
      <alignment vertical="center"/>
      <protection hidden="1"/>
    </xf>
    <xf numFmtId="0" fontId="101" fillId="3" borderId="11" xfId="0" applyFont="1" applyFill="1" applyBorder="1" applyAlignment="1" applyProtection="1">
      <alignment horizontal="right" vertical="center"/>
      <protection hidden="1"/>
    </xf>
    <xf numFmtId="0" fontId="105" fillId="3" borderId="11" xfId="0" applyFont="1" applyFill="1" applyBorder="1" applyAlignment="1" applyProtection="1">
      <alignment horizontal="left" vertical="center"/>
      <protection hidden="1"/>
    </xf>
    <xf numFmtId="0" fontId="105" fillId="3" borderId="0" xfId="0" applyFont="1" applyFill="1" applyAlignment="1" applyProtection="1">
      <alignment horizontal="left" vertical="center"/>
      <protection hidden="1"/>
    </xf>
    <xf numFmtId="0" fontId="101" fillId="3" borderId="0" xfId="0" applyFont="1" applyFill="1" applyAlignment="1" applyProtection="1">
      <alignment vertical="center"/>
      <protection locked="0" hidden="1"/>
    </xf>
    <xf numFmtId="0" fontId="106" fillId="3" borderId="0" xfId="0" applyFont="1" applyFill="1" applyAlignment="1" applyProtection="1">
      <alignment vertical="center"/>
      <protection hidden="1"/>
    </xf>
    <xf numFmtId="0" fontId="105" fillId="3" borderId="8" xfId="0" applyFont="1" applyFill="1" applyBorder="1" applyAlignment="1" applyProtection="1">
      <alignment horizontal="left" vertical="center"/>
      <protection hidden="1"/>
    </xf>
    <xf numFmtId="0" fontId="101" fillId="3" borderId="0" xfId="0" applyFont="1" applyFill="1" applyAlignment="1" applyProtection="1">
      <alignment horizontal="left" vertical="center"/>
      <protection locked="0" hidden="1"/>
    </xf>
    <xf numFmtId="0" fontId="105" fillId="3" borderId="9" xfId="0" applyFont="1" applyFill="1" applyBorder="1" applyAlignment="1" applyProtection="1">
      <alignment horizontal="left" vertical="center"/>
      <protection hidden="1"/>
    </xf>
    <xf numFmtId="0" fontId="101" fillId="3" borderId="5" xfId="0" applyFont="1" applyFill="1" applyBorder="1" applyAlignment="1" applyProtection="1">
      <alignment horizontal="left" vertical="center"/>
      <protection hidden="1"/>
    </xf>
    <xf numFmtId="0" fontId="105" fillId="3" borderId="5" xfId="0" applyFont="1" applyFill="1" applyBorder="1" applyAlignment="1" applyProtection="1">
      <alignment horizontal="left" vertical="center"/>
      <protection hidden="1"/>
    </xf>
    <xf numFmtId="0" fontId="101" fillId="3" borderId="6" xfId="0" applyFont="1" applyFill="1" applyBorder="1" applyAlignment="1" applyProtection="1">
      <alignment vertical="center"/>
      <protection hidden="1"/>
    </xf>
    <xf numFmtId="0" fontId="102" fillId="3" borderId="3" xfId="0" applyFont="1" applyFill="1" applyBorder="1" applyAlignment="1" applyProtection="1">
      <alignment vertical="center"/>
      <protection hidden="1"/>
    </xf>
    <xf numFmtId="0" fontId="117" fillId="3" borderId="11" xfId="0" applyFont="1" applyFill="1" applyBorder="1" applyAlignment="1" applyProtection="1">
      <alignment vertical="center"/>
      <protection hidden="1"/>
    </xf>
    <xf numFmtId="0" fontId="117" fillId="3" borderId="0" xfId="0" applyFont="1" applyFill="1" applyAlignment="1" applyProtection="1">
      <alignment vertical="center"/>
      <protection locked="0"/>
    </xf>
    <xf numFmtId="0" fontId="110" fillId="3" borderId="11" xfId="0" applyFont="1" applyFill="1" applyBorder="1" applyAlignment="1" applyProtection="1">
      <alignment horizontal="right"/>
      <protection hidden="1"/>
    </xf>
    <xf numFmtId="0" fontId="117" fillId="3" borderId="0" xfId="0" applyFont="1" applyFill="1" applyAlignment="1" applyProtection="1">
      <alignment horizontal="right" vertical="center"/>
      <protection hidden="1"/>
    </xf>
    <xf numFmtId="165" fontId="152" fillId="3" borderId="0" xfId="0" applyNumberFormat="1" applyFont="1" applyFill="1" applyAlignment="1" applyProtection="1">
      <alignment horizontal="center" vertical="center"/>
      <protection hidden="1"/>
    </xf>
    <xf numFmtId="0" fontId="117" fillId="3" borderId="5" xfId="0" applyFont="1" applyFill="1" applyBorder="1" applyAlignment="1" applyProtection="1">
      <alignment horizontal="left" vertical="center"/>
      <protection hidden="1"/>
    </xf>
    <xf numFmtId="0" fontId="117" fillId="3" borderId="5" xfId="0" applyFont="1" applyFill="1" applyBorder="1" applyAlignment="1" applyProtection="1">
      <alignment vertical="center"/>
      <protection hidden="1"/>
    </xf>
    <xf numFmtId="0" fontId="117" fillId="3" borderId="6" xfId="0" applyFont="1" applyFill="1" applyBorder="1" applyAlignment="1" applyProtection="1">
      <alignment vertical="center"/>
      <protection hidden="1"/>
    </xf>
    <xf numFmtId="0" fontId="101" fillId="3" borderId="10" xfId="0" applyFont="1" applyFill="1" applyBorder="1" applyAlignment="1" applyProtection="1">
      <alignment horizontal="left" vertical="center"/>
      <protection hidden="1"/>
    </xf>
    <xf numFmtId="2" fontId="107" fillId="3" borderId="11" xfId="0" applyNumberFormat="1" applyFont="1" applyFill="1" applyBorder="1" applyAlignment="1" applyProtection="1">
      <alignment horizontal="center" vertical="center"/>
      <protection hidden="1"/>
    </xf>
    <xf numFmtId="0" fontId="101" fillId="3" borderId="8" xfId="0" applyFont="1" applyFill="1" applyBorder="1" applyAlignment="1" applyProtection="1">
      <alignment horizontal="left" vertical="center"/>
      <protection hidden="1"/>
    </xf>
    <xf numFmtId="2" fontId="107" fillId="3" borderId="0" xfId="0" applyNumberFormat="1" applyFont="1" applyFill="1" applyAlignment="1" applyProtection="1">
      <alignment horizontal="center" vertical="center"/>
      <protection hidden="1"/>
    </xf>
    <xf numFmtId="0" fontId="101" fillId="3" borderId="8" xfId="0" applyFont="1" applyFill="1" applyBorder="1" applyProtection="1">
      <protection hidden="1"/>
    </xf>
    <xf numFmtId="0" fontId="106" fillId="3" borderId="0" xfId="0" applyFont="1" applyFill="1" applyAlignment="1" applyProtection="1">
      <alignment horizontal="center" vertical="center"/>
      <protection hidden="1"/>
    </xf>
    <xf numFmtId="2" fontId="107" fillId="3" borderId="0" xfId="0" applyNumberFormat="1" applyFont="1" applyFill="1" applyAlignment="1" applyProtection="1">
      <alignment horizontal="right" vertical="center" indent="1"/>
      <protection locked="0" hidden="1"/>
    </xf>
    <xf numFmtId="0" fontId="101" fillId="3" borderId="0" xfId="0" applyFont="1" applyFill="1" applyAlignment="1" applyProtection="1">
      <alignment horizontal="right"/>
      <protection locked="0" hidden="1"/>
    </xf>
    <xf numFmtId="0" fontId="107" fillId="3" borderId="0" xfId="0" applyFont="1" applyFill="1" applyAlignment="1" applyProtection="1">
      <alignment horizontal="center" vertical="center"/>
      <protection hidden="1"/>
    </xf>
    <xf numFmtId="2" fontId="107" fillId="3" borderId="0" xfId="0" applyNumberFormat="1" applyFont="1" applyFill="1" applyAlignment="1" applyProtection="1">
      <alignment horizontal="center" vertical="center"/>
      <protection locked="0" hidden="1"/>
    </xf>
    <xf numFmtId="2" fontId="107" fillId="3" borderId="7" xfId="0" applyNumberFormat="1" applyFont="1" applyFill="1" applyBorder="1" applyAlignment="1" applyProtection="1">
      <alignment horizontal="center" vertical="center"/>
      <protection locked="0" hidden="1"/>
    </xf>
    <xf numFmtId="0" fontId="101" fillId="3" borderId="0" xfId="0" applyFont="1" applyFill="1" applyAlignment="1" applyProtection="1">
      <alignment horizontal="right" vertical="center"/>
      <protection locked="0" hidden="1"/>
    </xf>
    <xf numFmtId="2" fontId="101" fillId="3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01" fillId="3" borderId="7" xfId="0" applyNumberFormat="1" applyFont="1" applyFill="1" applyBorder="1" applyAlignment="1" applyProtection="1">
      <alignment horizontal="right" vertical="center" indent="1"/>
      <protection locked="0" hidden="1"/>
    </xf>
    <xf numFmtId="0" fontId="76" fillId="3" borderId="0" xfId="0" applyFont="1" applyFill="1" applyAlignment="1" applyProtection="1">
      <alignment horizontal="left" vertical="center"/>
      <protection hidden="1"/>
    </xf>
    <xf numFmtId="0" fontId="75" fillId="3" borderId="11" xfId="0" applyFont="1" applyFill="1" applyBorder="1" applyAlignment="1" applyProtection="1">
      <alignment horizontal="left" vertical="center"/>
      <protection hidden="1"/>
    </xf>
    <xf numFmtId="0" fontId="59" fillId="3" borderId="11" xfId="0" applyFont="1" applyFill="1" applyBorder="1" applyAlignment="1" applyProtection="1">
      <alignment vertical="center"/>
      <protection hidden="1"/>
    </xf>
    <xf numFmtId="1" fontId="59" fillId="3" borderId="11" xfId="0" applyNumberFormat="1" applyFont="1" applyFill="1" applyBorder="1" applyAlignment="1" applyProtection="1">
      <alignment vertical="center" wrapText="1"/>
      <protection hidden="1"/>
    </xf>
    <xf numFmtId="0" fontId="59" fillId="3" borderId="11" xfId="0" applyFont="1" applyFill="1" applyBorder="1" applyAlignment="1" applyProtection="1">
      <alignment vertical="center" wrapText="1"/>
      <protection hidden="1"/>
    </xf>
    <xf numFmtId="0" fontId="75" fillId="3" borderId="5" xfId="0" applyFont="1" applyFill="1" applyBorder="1" applyAlignment="1" applyProtection="1">
      <alignment vertical="center"/>
      <protection hidden="1"/>
    </xf>
    <xf numFmtId="0" fontId="75" fillId="3" borderId="5" xfId="0" applyFont="1" applyFill="1" applyBorder="1" applyAlignment="1" applyProtection="1">
      <alignment horizontal="left"/>
      <protection hidden="1"/>
    </xf>
    <xf numFmtId="0" fontId="59" fillId="3" borderId="5" xfId="0" applyFont="1" applyFill="1" applyBorder="1" applyAlignment="1" applyProtection="1">
      <alignment vertical="center"/>
      <protection hidden="1"/>
    </xf>
    <xf numFmtId="0" fontId="100" fillId="3" borderId="5" xfId="0" applyFont="1" applyFill="1" applyBorder="1" applyAlignment="1" applyProtection="1">
      <alignment vertical="center"/>
      <protection hidden="1"/>
    </xf>
    <xf numFmtId="0" fontId="112" fillId="3" borderId="0" xfId="0" applyFont="1" applyFill="1" applyAlignment="1" applyProtection="1">
      <alignment horizontal="left" vertical="center" indent="1"/>
      <protection hidden="1"/>
    </xf>
    <xf numFmtId="0" fontId="76" fillId="3" borderId="1" xfId="0" applyFont="1" applyFill="1" applyBorder="1" applyAlignment="1" applyProtection="1">
      <alignment horizontal="center" vertical="center"/>
      <protection hidden="1"/>
    </xf>
    <xf numFmtId="2" fontId="140" fillId="3" borderId="1" xfId="0" applyNumberFormat="1" applyFont="1" applyFill="1" applyBorder="1" applyAlignment="1" applyProtection="1">
      <alignment horizontal="center" vertical="center"/>
      <protection hidden="1"/>
    </xf>
    <xf numFmtId="0" fontId="101" fillId="3" borderId="8" xfId="0" applyFont="1" applyFill="1" applyBorder="1" applyAlignment="1" applyProtection="1">
      <alignment horizontal="left" vertical="center" indent="1"/>
      <protection hidden="1"/>
    </xf>
    <xf numFmtId="0" fontId="101" fillId="3" borderId="0" xfId="0" applyFont="1" applyFill="1" applyAlignment="1" applyProtection="1">
      <alignment horizontal="right" vertical="center"/>
      <protection hidden="1"/>
    </xf>
    <xf numFmtId="0" fontId="117" fillId="3" borderId="11" xfId="0" applyFont="1" applyFill="1" applyBorder="1" applyAlignment="1" applyProtection="1">
      <alignment horizontal="left" vertical="center"/>
      <protection hidden="1"/>
    </xf>
    <xf numFmtId="0" fontId="117" fillId="3" borderId="23" xfId="0" applyFont="1" applyFill="1" applyBorder="1" applyAlignment="1" applyProtection="1">
      <alignment vertical="center"/>
      <protection hidden="1"/>
    </xf>
    <xf numFmtId="0" fontId="129" fillId="3" borderId="0" xfId="0" applyFont="1" applyFill="1" applyAlignment="1" applyProtection="1">
      <alignment vertical="center"/>
      <protection hidden="1"/>
    </xf>
    <xf numFmtId="0" fontId="129" fillId="3" borderId="5" xfId="0" applyFont="1" applyFill="1" applyBorder="1" applyAlignment="1" applyProtection="1">
      <alignment vertical="center"/>
      <protection hidden="1"/>
    </xf>
    <xf numFmtId="0" fontId="127" fillId="3" borderId="0" xfId="0" applyFont="1" applyFill="1" applyAlignment="1" applyProtection="1">
      <alignment horizontal="left" vertical="center"/>
      <protection hidden="1"/>
    </xf>
    <xf numFmtId="166" fontId="53" fillId="3" borderId="1" xfId="0" applyNumberFormat="1" applyFont="1" applyFill="1" applyBorder="1" applyAlignment="1" applyProtection="1">
      <alignment horizontal="right" vertical="center"/>
      <protection hidden="1"/>
    </xf>
    <xf numFmtId="0" fontId="54" fillId="3" borderId="2" xfId="0" applyFont="1" applyFill="1" applyBorder="1" applyAlignment="1" applyProtection="1">
      <alignment vertical="center"/>
      <protection hidden="1"/>
    </xf>
    <xf numFmtId="0" fontId="53" fillId="3" borderId="3" xfId="0" applyFont="1" applyFill="1" applyBorder="1" applyAlignment="1" applyProtection="1">
      <alignment horizontal="left" vertical="center"/>
      <protection hidden="1"/>
    </xf>
    <xf numFmtId="0" fontId="54" fillId="3" borderId="3" xfId="0" applyFont="1" applyFill="1" applyBorder="1" applyAlignment="1" applyProtection="1">
      <alignment vertical="center"/>
      <protection hidden="1"/>
    </xf>
    <xf numFmtId="0" fontId="105" fillId="3" borderId="9" xfId="0" applyFont="1" applyFill="1" applyBorder="1" applyAlignment="1" applyProtection="1">
      <alignment vertical="center"/>
      <protection hidden="1"/>
    </xf>
    <xf numFmtId="0" fontId="105" fillId="3" borderId="6" xfId="0" applyFont="1" applyFill="1" applyBorder="1" applyAlignment="1" applyProtection="1">
      <alignment vertical="center"/>
      <protection hidden="1"/>
    </xf>
    <xf numFmtId="0" fontId="153" fillId="0" borderId="1" xfId="0" applyFont="1" applyBorder="1" applyAlignment="1">
      <alignment horizontal="center" vertical="center" wrapText="1"/>
    </xf>
    <xf numFmtId="0" fontId="154" fillId="0" borderId="1" xfId="0" applyFont="1" applyBorder="1" applyAlignment="1">
      <alignment horizontal="center" vertical="center" wrapText="1"/>
    </xf>
    <xf numFmtId="0" fontId="156" fillId="0" borderId="1" xfId="0" applyFont="1" applyBorder="1" applyAlignment="1">
      <alignment horizontal="justify" vertical="center" wrapText="1"/>
    </xf>
    <xf numFmtId="0" fontId="156" fillId="0" borderId="1" xfId="0" applyFont="1" applyBorder="1" applyAlignment="1">
      <alignment horizontal="center" vertical="center" wrapText="1"/>
    </xf>
    <xf numFmtId="0" fontId="153" fillId="0" borderId="1" xfId="0" applyFont="1" applyBorder="1" applyAlignment="1">
      <alignment vertical="center"/>
    </xf>
    <xf numFmtId="0" fontId="90" fillId="0" borderId="2" xfId="0" applyFont="1" applyBorder="1" applyAlignment="1">
      <alignment horizontal="center"/>
    </xf>
    <xf numFmtId="0" fontId="90" fillId="0" borderId="2" xfId="0" applyFont="1" applyBorder="1"/>
    <xf numFmtId="0" fontId="157" fillId="17" borderId="1" xfId="0" quotePrefix="1" applyFont="1" applyFill="1" applyBorder="1" applyAlignment="1" applyProtection="1">
      <alignment horizontal="center" vertical="center"/>
      <protection hidden="1"/>
    </xf>
    <xf numFmtId="0" fontId="157" fillId="17" borderId="1" xfId="0" applyFont="1" applyFill="1" applyBorder="1" applyAlignment="1" applyProtection="1">
      <alignment horizontal="center" vertical="center" wrapText="1"/>
      <protection hidden="1"/>
    </xf>
    <xf numFmtId="0" fontId="90" fillId="0" borderId="1" xfId="0" applyFont="1" applyBorder="1" applyAlignment="1" applyProtection="1">
      <alignment horizontal="center" vertical="center" wrapText="1"/>
      <protection hidden="1"/>
    </xf>
    <xf numFmtId="0" fontId="90" fillId="0" borderId="4" xfId="0" applyFont="1" applyBorder="1" applyAlignment="1" applyProtection="1">
      <alignment horizontal="center" vertical="center" wrapText="1"/>
      <protection hidden="1"/>
    </xf>
    <xf numFmtId="0" fontId="90" fillId="2" borderId="1" xfId="0" quotePrefix="1" applyFont="1" applyFill="1" applyBorder="1" applyAlignment="1" applyProtection="1">
      <alignment horizontal="left" vertical="center" wrapText="1"/>
      <protection hidden="1"/>
    </xf>
    <xf numFmtId="0" fontId="90" fillId="3" borderId="3" xfId="0" applyFont="1" applyFill="1" applyBorder="1" applyAlignment="1">
      <alignment horizontal="left"/>
    </xf>
    <xf numFmtId="0" fontId="121" fillId="0" borderId="2" xfId="0" applyFont="1" applyBorder="1"/>
    <xf numFmtId="0" fontId="157" fillId="17" borderId="13" xfId="0" quotePrefix="1" applyFont="1" applyFill="1" applyBorder="1" applyAlignment="1" applyProtection="1">
      <alignment horizontal="center" vertical="center"/>
      <protection hidden="1"/>
    </xf>
    <xf numFmtId="0" fontId="157" fillId="17" borderId="13" xfId="0" applyFont="1" applyFill="1" applyBorder="1" applyAlignment="1" applyProtection="1">
      <alignment horizontal="center" vertical="center" wrapText="1"/>
      <protection hidden="1"/>
    </xf>
    <xf numFmtId="0" fontId="90" fillId="0" borderId="13" xfId="0" applyFont="1" applyBorder="1"/>
    <xf numFmtId="0" fontId="121" fillId="0" borderId="1" xfId="0" applyFont="1" applyBorder="1"/>
    <xf numFmtId="0" fontId="53" fillId="3" borderId="1" xfId="0" applyFont="1" applyFill="1" applyBorder="1" applyAlignment="1" applyProtection="1">
      <alignment horizontal="right" vertical="center"/>
      <protection hidden="1"/>
    </xf>
    <xf numFmtId="0" fontId="90" fillId="3" borderId="1" xfId="0" applyFont="1" applyFill="1" applyBorder="1" applyAlignment="1" applyProtection="1">
      <alignment horizontal="right" vertical="center"/>
      <protection hidden="1"/>
    </xf>
    <xf numFmtId="0" fontId="90" fillId="3" borderId="4" xfId="0" applyFont="1" applyFill="1" applyBorder="1" applyAlignment="1">
      <alignment horizontal="left"/>
    </xf>
    <xf numFmtId="0" fontId="90" fillId="3" borderId="10" xfId="0" quotePrefix="1" applyFont="1" applyFill="1" applyBorder="1" applyAlignment="1">
      <alignment vertical="center" wrapText="1"/>
    </xf>
    <xf numFmtId="165" fontId="76" fillId="3" borderId="3" xfId="0" applyNumberFormat="1" applyFont="1" applyFill="1" applyBorder="1" applyAlignment="1">
      <alignment horizontal="left" vertical="center"/>
    </xf>
    <xf numFmtId="0" fontId="90" fillId="3" borderId="1" xfId="0" applyFont="1" applyFill="1" applyBorder="1" applyAlignment="1">
      <alignment vertical="center" wrapText="1"/>
    </xf>
    <xf numFmtId="2" fontId="101" fillId="3" borderId="5" xfId="0" applyNumberFormat="1" applyFont="1" applyFill="1" applyBorder="1" applyAlignment="1">
      <alignment horizontal="center" vertical="center" wrapText="1"/>
    </xf>
    <xf numFmtId="165" fontId="161" fillId="3" borderId="2" xfId="0" applyNumberFormat="1" applyFont="1" applyFill="1" applyBorder="1" applyAlignment="1">
      <alignment horizontal="center" vertical="center"/>
    </xf>
    <xf numFmtId="0" fontId="161" fillId="3" borderId="1" xfId="0" applyFont="1" applyFill="1" applyBorder="1" applyAlignment="1">
      <alignment horizontal="center" vertical="center"/>
    </xf>
    <xf numFmtId="0" fontId="161" fillId="3" borderId="1" xfId="0" applyFont="1" applyFill="1" applyBorder="1" applyAlignment="1">
      <alignment horizontal="center" vertical="center" wrapText="1"/>
    </xf>
    <xf numFmtId="16" fontId="161" fillId="3" borderId="1" xfId="0" applyNumberFormat="1" applyFont="1" applyFill="1" applyBorder="1" applyAlignment="1">
      <alignment horizontal="center" vertical="center" wrapText="1"/>
    </xf>
    <xf numFmtId="169" fontId="161" fillId="3" borderId="1" xfId="0" applyNumberFormat="1" applyFont="1" applyFill="1" applyBorder="1"/>
    <xf numFmtId="0" fontId="161" fillId="2" borderId="1" xfId="0" quotePrefix="1" applyFont="1" applyFill="1" applyBorder="1" applyAlignment="1" applyProtection="1">
      <alignment horizontal="right" vertical="center"/>
      <protection hidden="1"/>
    </xf>
    <xf numFmtId="169" fontId="161" fillId="3" borderId="1" xfId="0" applyNumberFormat="1" applyFont="1" applyFill="1" applyBorder="1" applyAlignment="1">
      <alignment horizontal="center"/>
    </xf>
    <xf numFmtId="0" fontId="161" fillId="3" borderId="1" xfId="0" applyFont="1" applyFill="1" applyBorder="1" applyAlignment="1">
      <alignment horizontal="center"/>
    </xf>
    <xf numFmtId="0" fontId="161" fillId="3" borderId="2" xfId="0" applyFont="1" applyFill="1" applyBorder="1" applyAlignment="1">
      <alignment horizontal="center" vertical="center"/>
    </xf>
    <xf numFmtId="169" fontId="161" fillId="3" borderId="2" xfId="0" applyNumberFormat="1" applyFont="1" applyFill="1" applyBorder="1"/>
    <xf numFmtId="170" fontId="161" fillId="3" borderId="2" xfId="0" applyNumberFormat="1" applyFont="1" applyFill="1" applyBorder="1"/>
    <xf numFmtId="0" fontId="162" fillId="0" borderId="13" xfId="0" applyFont="1" applyBorder="1"/>
    <xf numFmtId="0" fontId="161" fillId="0" borderId="1" xfId="0" applyFont="1" applyBorder="1"/>
    <xf numFmtId="0" fontId="161" fillId="3" borderId="1" xfId="0" applyFont="1" applyFill="1" applyBorder="1"/>
    <xf numFmtId="0" fontId="161" fillId="3" borderId="13" xfId="0" applyFont="1" applyFill="1" applyBorder="1" applyAlignment="1">
      <alignment horizontal="center" vertical="center"/>
    </xf>
    <xf numFmtId="0" fontId="161" fillId="0" borderId="1" xfId="0" applyFont="1" applyBorder="1" applyAlignment="1">
      <alignment horizontal="center"/>
    </xf>
    <xf numFmtId="0" fontId="164" fillId="0" borderId="0" xfId="0" applyFont="1" applyAlignment="1">
      <alignment vertical="center"/>
    </xf>
    <xf numFmtId="0" fontId="19" fillId="0" borderId="1" xfId="0" applyFont="1" applyBorder="1" applyProtection="1">
      <protection hidden="1"/>
    </xf>
    <xf numFmtId="0" fontId="19" fillId="0" borderId="1" xfId="0" applyFont="1" applyBorder="1" applyAlignment="1" applyProtection="1">
      <alignment wrapText="1"/>
      <protection hidden="1"/>
    </xf>
    <xf numFmtId="0" fontId="76" fillId="9" borderId="2" xfId="0" applyFont="1" applyFill="1" applyBorder="1" applyAlignment="1">
      <alignment horizontal="center" vertical="center"/>
    </xf>
    <xf numFmtId="0" fontId="101" fillId="3" borderId="7" xfId="0" applyFont="1" applyFill="1" applyBorder="1" applyAlignment="1">
      <alignment horizontal="center" vertical="center"/>
    </xf>
    <xf numFmtId="0" fontId="76" fillId="3" borderId="10" xfId="0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vertical="center"/>
    </xf>
    <xf numFmtId="0" fontId="166" fillId="9" borderId="2" xfId="0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left" vertical="center"/>
    </xf>
    <xf numFmtId="0" fontId="105" fillId="3" borderId="8" xfId="0" applyFont="1" applyFill="1" applyBorder="1" applyAlignment="1">
      <alignment horizontal="left" vertical="center"/>
    </xf>
    <xf numFmtId="0" fontId="101" fillId="3" borderId="0" xfId="0" quotePrefix="1" applyFont="1" applyFill="1" applyAlignment="1">
      <alignment horizontal="right" vertical="center"/>
    </xf>
    <xf numFmtId="0" fontId="101" fillId="3" borderId="0" xfId="0" applyFont="1" applyFill="1" applyAlignment="1">
      <alignment horizontal="left" vertical="center" indent="1"/>
    </xf>
    <xf numFmtId="0" fontId="75" fillId="3" borderId="9" xfId="0" quotePrefix="1" applyFont="1" applyFill="1" applyBorder="1" applyAlignment="1">
      <alignment horizontal="left" vertical="center"/>
    </xf>
    <xf numFmtId="0" fontId="121" fillId="3" borderId="5" xfId="0" quotePrefix="1" applyFont="1" applyFill="1" applyBorder="1" applyAlignment="1">
      <alignment horizontal="left" vertical="center"/>
    </xf>
    <xf numFmtId="0" fontId="121" fillId="3" borderId="5" xfId="0" applyFont="1" applyFill="1" applyBorder="1" applyAlignment="1">
      <alignment horizontal="center" vertical="center"/>
    </xf>
    <xf numFmtId="0" fontId="90" fillId="3" borderId="5" xfId="0" applyFont="1" applyFill="1" applyBorder="1" applyAlignment="1">
      <alignment vertical="center"/>
    </xf>
    <xf numFmtId="0" fontId="121" fillId="3" borderId="5" xfId="0" applyFont="1" applyFill="1" applyBorder="1" applyAlignment="1">
      <alignment horizontal="left" vertical="center"/>
    </xf>
    <xf numFmtId="0" fontId="90" fillId="0" borderId="0" xfId="0" applyFont="1" applyAlignment="1" applyProtection="1">
      <alignment horizontal="center" vertical="center" wrapText="1"/>
      <protection locked="0"/>
    </xf>
    <xf numFmtId="0" fontId="90" fillId="0" borderId="1" xfId="0" applyFont="1" applyBorder="1" applyAlignment="1" applyProtection="1">
      <alignment horizontal="center" vertical="center" wrapText="1"/>
      <protection locked="0"/>
    </xf>
    <xf numFmtId="2" fontId="19" fillId="0" borderId="0" xfId="0" applyNumberFormat="1" applyFont="1" applyAlignment="1" applyProtection="1">
      <alignment vertical="center" wrapText="1"/>
      <protection locked="0"/>
    </xf>
    <xf numFmtId="0" fontId="75" fillId="9" borderId="12" xfId="0" applyFont="1" applyFill="1" applyBorder="1" applyAlignment="1">
      <alignment horizontal="center" vertical="center"/>
    </xf>
    <xf numFmtId="0" fontId="165" fillId="3" borderId="8" xfId="0" applyFont="1" applyFill="1" applyBorder="1" applyAlignment="1">
      <alignment horizontal="left" vertical="center"/>
    </xf>
    <xf numFmtId="0" fontId="101" fillId="3" borderId="1" xfId="0" applyFont="1" applyFill="1" applyBorder="1" applyAlignment="1">
      <alignment horizontal="left" vertical="center"/>
    </xf>
    <xf numFmtId="0" fontId="102" fillId="3" borderId="8" xfId="0" applyFont="1" applyFill="1" applyBorder="1" applyAlignment="1" applyProtection="1">
      <alignment vertical="center"/>
      <protection locked="0"/>
    </xf>
    <xf numFmtId="0" fontId="101" fillId="3" borderId="0" xfId="0" applyFont="1" applyFill="1" applyAlignment="1" applyProtection="1">
      <alignment horizontal="left" vertical="center"/>
      <protection locked="0"/>
    </xf>
    <xf numFmtId="0" fontId="101" fillId="3" borderId="0" xfId="0" applyFont="1" applyFill="1" applyAlignment="1" applyProtection="1">
      <alignment vertical="center"/>
      <protection locked="0"/>
    </xf>
    <xf numFmtId="0" fontId="18" fillId="0" borderId="5" xfId="0" applyFont="1" applyBorder="1" applyAlignment="1" applyProtection="1">
      <alignment vertical="center"/>
      <protection locked="0"/>
    </xf>
    <xf numFmtId="0" fontId="53" fillId="0" borderId="5" xfId="0" applyFont="1" applyBorder="1" applyAlignment="1" applyProtection="1">
      <alignment horizontal="left" vertical="center"/>
      <protection locked="0"/>
    </xf>
    <xf numFmtId="0" fontId="53" fillId="0" borderId="5" xfId="0" applyFont="1" applyBorder="1" applyAlignment="1" applyProtection="1">
      <alignment vertical="center"/>
      <protection locked="0"/>
    </xf>
    <xf numFmtId="0" fontId="53" fillId="0" borderId="6" xfId="0" applyFont="1" applyBorder="1" applyAlignment="1" applyProtection="1">
      <alignment vertical="center"/>
      <protection locked="0"/>
    </xf>
    <xf numFmtId="2" fontId="19" fillId="0" borderId="1" xfId="0" applyNumberFormat="1" applyFont="1" applyBorder="1" applyAlignment="1" applyProtection="1">
      <alignment horizontal="center" vertical="center" wrapText="1"/>
      <protection hidden="1"/>
    </xf>
    <xf numFmtId="2" fontId="90" fillId="0" borderId="4" xfId="0" applyNumberFormat="1" applyFont="1" applyBorder="1" applyAlignment="1" applyProtection="1">
      <alignment horizontal="center" vertical="center" wrapText="1"/>
      <protection hidden="1"/>
    </xf>
    <xf numFmtId="0" fontId="90" fillId="3" borderId="0" xfId="0" quotePrefix="1" applyFont="1" applyFill="1" applyAlignment="1">
      <alignment horizontal="left" vertical="center"/>
    </xf>
    <xf numFmtId="0" fontId="90" fillId="3" borderId="0" xfId="0" applyFont="1" applyFill="1" applyAlignment="1">
      <alignment vertical="center"/>
    </xf>
    <xf numFmtId="0" fontId="90" fillId="3" borderId="0" xfId="0" applyFont="1" applyFill="1" applyAlignment="1">
      <alignment horizontal="left" vertical="center"/>
    </xf>
    <xf numFmtId="0" fontId="102" fillId="3" borderId="19" xfId="0" applyFont="1" applyFill="1" applyBorder="1" applyAlignment="1">
      <alignment horizontal="center" vertical="center" wrapText="1"/>
    </xf>
    <xf numFmtId="0" fontId="101" fillId="0" borderId="19" xfId="0" applyFont="1" applyBorder="1" applyAlignment="1">
      <alignment horizontal="center" vertical="center"/>
    </xf>
    <xf numFmtId="0" fontId="90" fillId="0" borderId="4" xfId="0" applyFont="1" applyBorder="1" applyAlignment="1" applyProtection="1">
      <alignment horizontal="left" vertical="center" wrapText="1"/>
      <protection hidden="1"/>
    </xf>
    <xf numFmtId="170" fontId="102" fillId="3" borderId="1" xfId="0" applyNumberFormat="1" applyFont="1" applyFill="1" applyBorder="1" applyAlignment="1">
      <alignment vertical="center"/>
    </xf>
    <xf numFmtId="0" fontId="126" fillId="3" borderId="1" xfId="0" applyFont="1" applyFill="1" applyBorder="1" applyAlignment="1">
      <alignment horizontal="left" vertical="center"/>
    </xf>
    <xf numFmtId="0" fontId="102" fillId="3" borderId="1" xfId="0" applyFont="1" applyFill="1" applyBorder="1" applyAlignment="1">
      <alignment horizontal="center" vertical="center"/>
    </xf>
    <xf numFmtId="0" fontId="102" fillId="3" borderId="5" xfId="0" applyFont="1" applyFill="1" applyBorder="1" applyAlignment="1">
      <alignment horizontal="left" vertical="center" wrapText="1"/>
    </xf>
    <xf numFmtId="0" fontId="75" fillId="3" borderId="2" xfId="0" applyFont="1" applyFill="1" applyBorder="1" applyAlignment="1">
      <alignment horizontal="left" vertical="center"/>
    </xf>
    <xf numFmtId="2" fontId="102" fillId="3" borderId="5" xfId="0" applyNumberFormat="1" applyFont="1" applyFill="1" applyBorder="1" applyAlignment="1">
      <alignment horizontal="center" vertical="center" wrapText="1"/>
    </xf>
    <xf numFmtId="0" fontId="102" fillId="3" borderId="4" xfId="0" applyFont="1" applyFill="1" applyBorder="1" applyAlignment="1">
      <alignment horizontal="left" vertical="center"/>
    </xf>
    <xf numFmtId="0" fontId="102" fillId="0" borderId="0" xfId="1" applyFont="1"/>
    <xf numFmtId="0" fontId="101" fillId="0" borderId="0" xfId="1" applyFont="1"/>
    <xf numFmtId="0" fontId="101" fillId="3" borderId="0" xfId="1" applyFont="1" applyFill="1" applyAlignment="1">
      <alignment vertical="center"/>
    </xf>
    <xf numFmtId="0" fontId="101" fillId="0" borderId="0" xfId="1" applyFont="1" applyAlignment="1">
      <alignment vertical="center"/>
    </xf>
    <xf numFmtId="0" fontId="101" fillId="0" borderId="0" xfId="1" applyFont="1" applyAlignment="1">
      <alignment vertical="center" wrapText="1"/>
    </xf>
    <xf numFmtId="0" fontId="102" fillId="0" borderId="0" xfId="1" applyFont="1" applyAlignment="1">
      <alignment horizontal="left"/>
    </xf>
    <xf numFmtId="0" fontId="17" fillId="0" borderId="0" xfId="1" applyFont="1" applyAlignment="1" applyProtection="1">
      <alignment horizontal="left" vertical="center"/>
      <protection locked="0"/>
    </xf>
    <xf numFmtId="0" fontId="102" fillId="0" borderId="0" xfId="1" applyFont="1" applyAlignment="1">
      <alignment vertical="center"/>
    </xf>
    <xf numFmtId="0" fontId="101" fillId="0" borderId="0" xfId="1" quotePrefix="1" applyFont="1" applyAlignment="1">
      <alignment vertical="center"/>
    </xf>
    <xf numFmtId="0" fontId="129" fillId="0" borderId="0" xfId="1" quotePrefix="1" applyFont="1" applyAlignment="1">
      <alignment vertical="center"/>
    </xf>
    <xf numFmtId="0" fontId="102" fillId="0" borderId="0" xfId="1" quotePrefix="1" applyFont="1" applyAlignment="1">
      <alignment vertical="center"/>
    </xf>
    <xf numFmtId="0" fontId="101" fillId="0" borderId="1" xfId="1" quotePrefix="1" applyFont="1" applyBorder="1" applyAlignment="1">
      <alignment vertical="center"/>
    </xf>
    <xf numFmtId="165" fontId="101" fillId="3" borderId="12" xfId="1" applyNumberFormat="1" applyFont="1" applyFill="1" applyBorder="1" applyAlignment="1">
      <alignment horizontal="center" vertical="center"/>
    </xf>
    <xf numFmtId="2" fontId="101" fillId="3" borderId="12" xfId="1" applyNumberFormat="1" applyFont="1" applyFill="1" applyBorder="1" applyAlignment="1">
      <alignment horizontal="center" vertical="center"/>
    </xf>
    <xf numFmtId="0" fontId="101" fillId="3" borderId="1" xfId="1" applyFont="1" applyFill="1" applyBorder="1" applyAlignment="1">
      <alignment horizontal="center" vertical="center"/>
    </xf>
    <xf numFmtId="2" fontId="101" fillId="3" borderId="1" xfId="1" applyNumberFormat="1" applyFont="1" applyFill="1" applyBorder="1" applyAlignment="1">
      <alignment horizontal="center" vertical="center"/>
    </xf>
    <xf numFmtId="0" fontId="101" fillId="3" borderId="1" xfId="1" applyFont="1" applyFill="1" applyBorder="1" applyAlignment="1">
      <alignment vertical="center"/>
    </xf>
    <xf numFmtId="2" fontId="101" fillId="3" borderId="0" xfId="1" applyNumberFormat="1" applyFont="1" applyFill="1" applyAlignment="1">
      <alignment vertical="center"/>
    </xf>
    <xf numFmtId="0" fontId="101" fillId="3" borderId="0" xfId="1" applyFont="1" applyFill="1"/>
    <xf numFmtId="2" fontId="101" fillId="3" borderId="2" xfId="1" applyNumberFormat="1" applyFont="1" applyFill="1" applyBorder="1" applyAlignment="1">
      <alignment horizontal="center" vertical="center"/>
    </xf>
    <xf numFmtId="0" fontId="102" fillId="0" borderId="0" xfId="1" applyFont="1" applyAlignment="1" applyProtection="1">
      <alignment vertical="center"/>
      <protection locked="0"/>
    </xf>
    <xf numFmtId="0" fontId="101" fillId="0" borderId="9" xfId="1" applyFont="1" applyBorder="1"/>
    <xf numFmtId="0" fontId="101" fillId="0" borderId="5" xfId="1" applyFont="1" applyBorder="1"/>
    <xf numFmtId="0" fontId="101" fillId="0" borderId="6" xfId="1" applyFont="1" applyBorder="1"/>
    <xf numFmtId="167" fontId="67" fillId="0" borderId="1" xfId="0" applyNumberFormat="1" applyFont="1" applyBorder="1" applyAlignment="1" applyProtection="1">
      <alignment horizontal="center" vertical="center" wrapText="1"/>
      <protection hidden="1"/>
    </xf>
    <xf numFmtId="2" fontId="101" fillId="3" borderId="23" xfId="0" applyNumberFormat="1" applyFont="1" applyFill="1" applyBorder="1" applyAlignment="1" applyProtection="1">
      <alignment horizontal="center" vertical="center"/>
      <protection hidden="1"/>
    </xf>
    <xf numFmtId="2" fontId="101" fillId="3" borderId="7" xfId="0" applyNumberFormat="1" applyFont="1" applyFill="1" applyBorder="1" applyAlignment="1" applyProtection="1">
      <alignment horizontal="center" vertical="center"/>
      <protection locked="0" hidden="1"/>
    </xf>
    <xf numFmtId="2" fontId="101" fillId="3" borderId="7" xfId="0" applyNumberFormat="1" applyFont="1" applyFill="1" applyBorder="1" applyAlignment="1" applyProtection="1">
      <alignment horizontal="center" vertical="center"/>
      <protection hidden="1"/>
    </xf>
    <xf numFmtId="2" fontId="101" fillId="3" borderId="7" xfId="0" applyNumberFormat="1" applyFont="1" applyFill="1" applyBorder="1" applyAlignment="1" applyProtection="1">
      <alignment vertical="center"/>
      <protection hidden="1"/>
    </xf>
    <xf numFmtId="0" fontId="90" fillId="21" borderId="0" xfId="0" applyFont="1" applyFill="1" applyAlignment="1">
      <alignment vertical="center"/>
    </xf>
    <xf numFmtId="0" fontId="11" fillId="0" borderId="0" xfId="2"/>
    <xf numFmtId="0" fontId="11" fillId="0" borderId="0" xfId="3"/>
    <xf numFmtId="0" fontId="11" fillId="0" borderId="0" xfId="2" applyAlignment="1">
      <alignment horizontal="center" vertical="center"/>
    </xf>
    <xf numFmtId="166" fontId="75" fillId="3" borderId="13" xfId="0" applyNumberFormat="1" applyFont="1" applyFill="1" applyBorder="1" applyAlignment="1">
      <alignment horizontal="center" vertical="center"/>
    </xf>
    <xf numFmtId="164" fontId="75" fillId="3" borderId="13" xfId="0" applyNumberFormat="1" applyFont="1" applyFill="1" applyBorder="1" applyAlignment="1">
      <alignment horizontal="center" vertical="center"/>
    </xf>
    <xf numFmtId="0" fontId="10" fillId="0" borderId="0" xfId="4"/>
    <xf numFmtId="0" fontId="170" fillId="26" borderId="1" xfId="4" applyFont="1" applyFill="1" applyBorder="1"/>
    <xf numFmtId="0" fontId="169" fillId="26" borderId="1" xfId="4" applyFont="1" applyFill="1" applyBorder="1"/>
    <xf numFmtId="0" fontId="169" fillId="27" borderId="1" xfId="4" applyFont="1" applyFill="1" applyBorder="1" applyAlignment="1">
      <alignment horizontal="center"/>
    </xf>
    <xf numFmtId="0" fontId="90" fillId="0" borderId="0" xfId="0" applyFont="1" applyAlignment="1" applyProtection="1">
      <alignment horizontal="left" vertical="center" wrapText="1"/>
      <protection hidden="1"/>
    </xf>
    <xf numFmtId="0" fontId="90" fillId="0" borderId="1" xfId="0" applyFont="1" applyBorder="1" applyAlignment="1" applyProtection="1">
      <alignment horizontal="left" vertical="center" wrapText="1"/>
      <protection hidden="1"/>
    </xf>
    <xf numFmtId="0" fontId="73" fillId="0" borderId="0" xfId="0" applyFont="1"/>
    <xf numFmtId="0" fontId="59" fillId="0" borderId="0" xfId="0" applyFont="1"/>
    <xf numFmtId="0" fontId="59" fillId="0" borderId="1" xfId="0" applyFont="1" applyBorder="1" applyAlignment="1">
      <alignment horizontal="center" vertical="center" wrapText="1"/>
    </xf>
    <xf numFmtId="0" fontId="137" fillId="0" borderId="0" xfId="0" applyFont="1"/>
    <xf numFmtId="0" fontId="59" fillId="0" borderId="0" xfId="0" applyFont="1" applyAlignment="1">
      <alignment horizontal="center" wrapText="1"/>
    </xf>
    <xf numFmtId="0" fontId="161" fillId="3" borderId="1" xfId="0" applyNumberFormat="1" applyFont="1" applyFill="1" applyBorder="1" applyAlignment="1"/>
    <xf numFmtId="172" fontId="90" fillId="0" borderId="1" xfId="0" applyNumberFormat="1" applyFont="1" applyBorder="1" applyAlignment="1">
      <alignment horizontal="center"/>
    </xf>
    <xf numFmtId="2" fontId="76" fillId="3" borderId="1" xfId="0" applyNumberFormat="1" applyFont="1" applyFill="1" applyBorder="1" applyAlignment="1">
      <alignment horizontal="center" vertical="center"/>
    </xf>
    <xf numFmtId="0" fontId="161" fillId="0" borderId="4" xfId="0" applyFont="1" applyBorder="1" applyAlignment="1">
      <alignment horizontal="center"/>
    </xf>
    <xf numFmtId="0" fontId="161" fillId="28" borderId="4" xfId="0" applyFont="1" applyFill="1" applyBorder="1" applyAlignment="1">
      <alignment horizontal="center"/>
    </xf>
    <xf numFmtId="0" fontId="90" fillId="0" borderId="0" xfId="0" applyFont="1" applyAlignment="1">
      <alignment horizontal="right" vertical="center"/>
    </xf>
    <xf numFmtId="0" fontId="3" fillId="0" borderId="0" xfId="11"/>
    <xf numFmtId="0" fontId="169" fillId="26" borderId="0" xfId="11" applyFont="1" applyFill="1"/>
    <xf numFmtId="0" fontId="3" fillId="26" borderId="0" xfId="11" applyFill="1"/>
    <xf numFmtId="0" fontId="169" fillId="27" borderId="48" xfId="11" applyFont="1" applyFill="1" applyBorder="1" applyAlignment="1">
      <alignment horizontal="center"/>
    </xf>
    <xf numFmtId="0" fontId="169" fillId="27" borderId="47" xfId="11" applyFont="1" applyFill="1" applyBorder="1" applyAlignment="1">
      <alignment horizontal="center"/>
    </xf>
    <xf numFmtId="0" fontId="3" fillId="27" borderId="49" xfId="11" applyFill="1" applyBorder="1" applyAlignment="1">
      <alignment horizontal="center"/>
    </xf>
    <xf numFmtId="0" fontId="3" fillId="27" borderId="46" xfId="11" applyFill="1" applyBorder="1" applyAlignment="1">
      <alignment horizontal="center"/>
    </xf>
    <xf numFmtId="0" fontId="18" fillId="0" borderId="1" xfId="0" applyFont="1" applyBorder="1" applyAlignment="1" applyProtection="1">
      <alignment vertical="center" wrapText="1"/>
      <protection locked="0"/>
    </xf>
    <xf numFmtId="0" fontId="2" fillId="0" borderId="0" xfId="12"/>
    <xf numFmtId="0" fontId="169" fillId="26" borderId="0" xfId="12" applyFont="1" applyFill="1"/>
    <xf numFmtId="0" fontId="2" fillId="26" borderId="0" xfId="12" applyFill="1"/>
    <xf numFmtId="0" fontId="169" fillId="27" borderId="48" xfId="12" applyFont="1" applyFill="1" applyBorder="1" applyAlignment="1">
      <alignment horizontal="center"/>
    </xf>
    <xf numFmtId="0" fontId="169" fillId="27" borderId="47" xfId="12" applyFont="1" applyFill="1" applyBorder="1" applyAlignment="1">
      <alignment horizontal="center"/>
    </xf>
    <xf numFmtId="0" fontId="2" fillId="27" borderId="49" xfId="12" applyFill="1" applyBorder="1" applyAlignment="1">
      <alignment horizontal="center"/>
    </xf>
    <xf numFmtId="0" fontId="2" fillId="27" borderId="46" xfId="12" applyFill="1" applyBorder="1" applyAlignment="1">
      <alignment horizontal="center"/>
    </xf>
    <xf numFmtId="0" fontId="2" fillId="0" borderId="0" xfId="12"/>
    <xf numFmtId="0" fontId="169" fillId="26" borderId="0" xfId="12" applyFont="1" applyFill="1"/>
    <xf numFmtId="0" fontId="2" fillId="26" borderId="0" xfId="12" applyFill="1"/>
    <xf numFmtId="0" fontId="169" fillId="27" borderId="48" xfId="12" applyFont="1" applyFill="1" applyBorder="1" applyAlignment="1">
      <alignment horizontal="center"/>
    </xf>
    <xf numFmtId="0" fontId="169" fillId="27" borderId="47" xfId="12" applyFont="1" applyFill="1" applyBorder="1" applyAlignment="1">
      <alignment horizontal="center"/>
    </xf>
    <xf numFmtId="0" fontId="2" fillId="27" borderId="49" xfId="12" applyFill="1" applyBorder="1" applyAlignment="1">
      <alignment horizontal="center"/>
    </xf>
    <xf numFmtId="0" fontId="2" fillId="27" borderId="46" xfId="12" applyFill="1" applyBorder="1" applyAlignment="1">
      <alignment horizontal="center"/>
    </xf>
    <xf numFmtId="0" fontId="2" fillId="0" borderId="0" xfId="12"/>
    <xf numFmtId="0" fontId="169" fillId="26" borderId="0" xfId="12" applyFont="1" applyFill="1"/>
    <xf numFmtId="0" fontId="2" fillId="26" borderId="0" xfId="12" applyFill="1"/>
    <xf numFmtId="0" fontId="169" fillId="27" borderId="48" xfId="12" applyFont="1" applyFill="1" applyBorder="1" applyAlignment="1">
      <alignment horizontal="center"/>
    </xf>
    <xf numFmtId="0" fontId="169" fillId="27" borderId="47" xfId="12" applyFont="1" applyFill="1" applyBorder="1" applyAlignment="1">
      <alignment horizontal="center"/>
    </xf>
    <xf numFmtId="0" fontId="2" fillId="27" borderId="49" xfId="12" applyFill="1" applyBorder="1" applyAlignment="1">
      <alignment horizontal="center"/>
    </xf>
    <xf numFmtId="0" fontId="2" fillId="27" borderId="46" xfId="12" applyFill="1" applyBorder="1" applyAlignment="1">
      <alignment horizontal="center"/>
    </xf>
    <xf numFmtId="0" fontId="102" fillId="3" borderId="0" xfId="13" quotePrefix="1" applyFont="1" applyFill="1" applyAlignment="1" applyProtection="1">
      <alignment horizontal="left" vertical="center"/>
      <protection locked="0"/>
    </xf>
    <xf numFmtId="2" fontId="101" fillId="3" borderId="0" xfId="13" applyNumberFormat="1" applyFont="1" applyFill="1" applyAlignment="1" applyProtection="1">
      <alignment horizontal="center" vertical="center"/>
      <protection locked="0"/>
    </xf>
    <xf numFmtId="1" fontId="101" fillId="3" borderId="0" xfId="13" applyNumberFormat="1" applyFont="1" applyFill="1" applyAlignment="1" applyProtection="1">
      <alignment horizontal="center" vertical="center"/>
      <protection locked="0"/>
    </xf>
    <xf numFmtId="164" fontId="101" fillId="3" borderId="0" xfId="13" applyNumberFormat="1" applyFont="1" applyFill="1" applyAlignment="1" applyProtection="1">
      <alignment horizontal="center" vertical="center"/>
      <protection locked="0"/>
    </xf>
    <xf numFmtId="0" fontId="101" fillId="3" borderId="0" xfId="13" applyFont="1" applyFill="1" applyAlignment="1" applyProtection="1">
      <alignment vertical="center"/>
      <protection locked="0"/>
    </xf>
    <xf numFmtId="2" fontId="101" fillId="2" borderId="0" xfId="13" applyNumberFormat="1" applyFont="1" applyFill="1" applyAlignment="1" applyProtection="1">
      <alignment vertical="center"/>
      <protection locked="0"/>
    </xf>
    <xf numFmtId="0" fontId="173" fillId="3" borderId="0" xfId="13" applyFont="1" applyFill="1" applyAlignment="1">
      <alignment vertical="center"/>
    </xf>
    <xf numFmtId="164" fontId="173" fillId="3" borderId="0" xfId="13" applyNumberFormat="1" applyFont="1" applyFill="1" applyAlignment="1">
      <alignment vertical="center"/>
    </xf>
    <xf numFmtId="0" fontId="101" fillId="0" borderId="0" xfId="13" applyFont="1"/>
    <xf numFmtId="0" fontId="175" fillId="3" borderId="0" xfId="13" applyFont="1" applyFill="1" applyAlignment="1">
      <alignment vertical="center"/>
    </xf>
    <xf numFmtId="0" fontId="176" fillId="3" borderId="0" xfId="13" applyFont="1" applyFill="1" applyAlignment="1">
      <alignment horizontal="center" vertical="center"/>
    </xf>
    <xf numFmtId="0" fontId="110" fillId="3" borderId="0" xfId="13" applyFont="1" applyFill="1" applyAlignment="1">
      <alignment vertical="center"/>
    </xf>
    <xf numFmtId="0" fontId="178" fillId="3" borderId="0" xfId="13" applyFont="1" applyFill="1"/>
    <xf numFmtId="0" fontId="179" fillId="29" borderId="1" xfId="13" applyFont="1" applyFill="1" applyBorder="1" applyAlignment="1">
      <alignment horizontal="center" vertical="center" wrapText="1"/>
    </xf>
    <xf numFmtId="164" fontId="179" fillId="29" borderId="1" xfId="13" applyNumberFormat="1" applyFont="1" applyFill="1" applyBorder="1" applyAlignment="1">
      <alignment horizontal="center" vertical="center" wrapText="1"/>
    </xf>
    <xf numFmtId="0" fontId="182" fillId="3" borderId="1" xfId="14" applyFont="1" applyFill="1" applyBorder="1" applyAlignment="1">
      <alignment horizontal="center"/>
    </xf>
    <xf numFmtId="2" fontId="182" fillId="3" borderId="1" xfId="13" applyNumberFormat="1" applyFont="1" applyFill="1" applyBorder="1" applyAlignment="1">
      <alignment horizontal="center" vertical="center"/>
    </xf>
    <xf numFmtId="0" fontId="182" fillId="3" borderId="1" xfId="13" applyFont="1" applyFill="1" applyBorder="1" applyAlignment="1">
      <alignment horizontal="center" vertical="center"/>
    </xf>
    <xf numFmtId="164" fontId="182" fillId="3" borderId="1" xfId="13" applyNumberFormat="1" applyFont="1" applyFill="1" applyBorder="1" applyAlignment="1">
      <alignment horizontal="center" vertical="center"/>
    </xf>
    <xf numFmtId="165" fontId="182" fillId="3" borderId="1" xfId="13" applyNumberFormat="1" applyFont="1" applyFill="1" applyBorder="1" applyAlignment="1">
      <alignment horizontal="center" vertical="center"/>
    </xf>
    <xf numFmtId="0" fontId="183" fillId="3" borderId="1" xfId="13" applyFont="1" applyFill="1" applyBorder="1" applyAlignment="1">
      <alignment horizontal="center" vertical="center"/>
    </xf>
    <xf numFmtId="0" fontId="173" fillId="3" borderId="0" xfId="13" applyFont="1" applyFill="1" applyAlignment="1">
      <alignment horizontal="right" vertical="center"/>
    </xf>
    <xf numFmtId="0" fontId="184" fillId="3" borderId="0" xfId="14" applyFont="1" applyFill="1" applyAlignment="1">
      <alignment vertical="center"/>
    </xf>
    <xf numFmtId="0" fontId="151" fillId="3" borderId="0" xfId="13" applyFont="1" applyFill="1" applyAlignment="1">
      <alignment vertical="center"/>
    </xf>
    <xf numFmtId="2" fontId="185" fillId="3" borderId="0" xfId="13" applyNumberFormat="1" applyFont="1" applyFill="1" applyAlignment="1">
      <alignment vertical="center"/>
    </xf>
    <xf numFmtId="0" fontId="151" fillId="3" borderId="0" xfId="13" applyFont="1" applyFill="1" applyAlignment="1">
      <alignment horizontal="center" vertical="center"/>
    </xf>
    <xf numFmtId="164" fontId="185" fillId="3" borderId="0" xfId="13" applyNumberFormat="1" applyFont="1" applyFill="1" applyAlignment="1">
      <alignment vertical="center"/>
    </xf>
    <xf numFmtId="0" fontId="101" fillId="3" borderId="0" xfId="13" applyFont="1" applyFill="1" applyAlignment="1">
      <alignment vertical="center"/>
    </xf>
    <xf numFmtId="0" fontId="121" fillId="0" borderId="1" xfId="0" applyFont="1" applyBorder="1" applyAlignment="1">
      <alignment horizontal="left"/>
    </xf>
    <xf numFmtId="0" fontId="90" fillId="0" borderId="1" xfId="0" applyFont="1" applyBorder="1" applyAlignment="1">
      <alignment horizontal="left"/>
    </xf>
    <xf numFmtId="0" fontId="90" fillId="0" borderId="2" xfId="0" applyFont="1" applyBorder="1" applyAlignment="1">
      <alignment horizontal="left"/>
    </xf>
    <xf numFmtId="0" fontId="121" fillId="0" borderId="1" xfId="0" applyFont="1" applyBorder="1" applyAlignment="1">
      <alignment horizontal="center" vertical="center"/>
    </xf>
    <xf numFmtId="0" fontId="90" fillId="0" borderId="9" xfId="0" applyFont="1" applyBorder="1" applyAlignment="1">
      <alignment horizontal="left"/>
    </xf>
    <xf numFmtId="0" fontId="90" fillId="0" borderId="6" xfId="0" applyFont="1" applyBorder="1" applyAlignment="1">
      <alignment horizontal="left"/>
    </xf>
    <xf numFmtId="0" fontId="157" fillId="17" borderId="2" xfId="0" quotePrefix="1" applyFont="1" applyFill="1" applyBorder="1" applyAlignment="1" applyProtection="1">
      <alignment horizontal="center" vertical="center"/>
      <protection hidden="1"/>
    </xf>
    <xf numFmtId="0" fontId="157" fillId="17" borderId="3" xfId="0" quotePrefix="1" applyFont="1" applyFill="1" applyBorder="1" applyAlignment="1" applyProtection="1">
      <alignment horizontal="center" vertical="center"/>
      <protection hidden="1"/>
    </xf>
    <xf numFmtId="0" fontId="157" fillId="17" borderId="4" xfId="0" quotePrefix="1" applyFont="1" applyFill="1" applyBorder="1" applyAlignment="1" applyProtection="1">
      <alignment horizontal="center" vertical="center"/>
      <protection hidden="1"/>
    </xf>
    <xf numFmtId="169" fontId="161" fillId="3" borderId="2" xfId="0" applyNumberFormat="1" applyFont="1" applyFill="1" applyBorder="1" applyAlignment="1">
      <alignment horizontal="left"/>
    </xf>
    <xf numFmtId="169" fontId="161" fillId="3" borderId="3" xfId="0" applyNumberFormat="1" applyFont="1" applyFill="1" applyBorder="1" applyAlignment="1">
      <alignment horizontal="left"/>
    </xf>
    <xf numFmtId="0" fontId="161" fillId="3" borderId="2" xfId="0" applyFont="1" applyFill="1" applyBorder="1" applyAlignment="1">
      <alignment horizontal="left" vertical="center" wrapText="1"/>
    </xf>
    <xf numFmtId="0" fontId="161" fillId="3" borderId="3" xfId="0" applyFont="1" applyFill="1" applyBorder="1" applyAlignment="1">
      <alignment horizontal="left" vertical="center" wrapText="1"/>
    </xf>
    <xf numFmtId="0" fontId="90" fillId="0" borderId="0" xfId="0" applyFont="1" applyAlignment="1">
      <alignment horizontal="center"/>
    </xf>
    <xf numFmtId="0" fontId="157" fillId="17" borderId="1" xfId="0" quotePrefix="1" applyFont="1" applyFill="1" applyBorder="1" applyAlignment="1" applyProtection="1">
      <alignment horizontal="center" vertical="center"/>
      <protection hidden="1"/>
    </xf>
    <xf numFmtId="0" fontId="90" fillId="0" borderId="4" xfId="0" applyFont="1" applyBorder="1" applyAlignment="1">
      <alignment horizontal="left"/>
    </xf>
    <xf numFmtId="0" fontId="76" fillId="3" borderId="9" xfId="0" quotePrefix="1" applyFont="1" applyFill="1" applyBorder="1" applyAlignment="1">
      <alignment horizontal="left" vertical="center"/>
    </xf>
    <xf numFmtId="0" fontId="76" fillId="3" borderId="6" xfId="0" quotePrefix="1" applyFont="1" applyFill="1" applyBorder="1" applyAlignment="1">
      <alignment horizontal="left" vertical="center"/>
    </xf>
    <xf numFmtId="0" fontId="157" fillId="17" borderId="9" xfId="0" quotePrefix="1" applyFont="1" applyFill="1" applyBorder="1" applyAlignment="1" applyProtection="1">
      <alignment horizontal="center" vertical="center"/>
      <protection hidden="1"/>
    </xf>
    <xf numFmtId="0" fontId="157" fillId="17" borderId="6" xfId="0" quotePrefix="1" applyFont="1" applyFill="1" applyBorder="1" applyAlignment="1" applyProtection="1">
      <alignment horizontal="center" vertical="center"/>
      <protection hidden="1"/>
    </xf>
    <xf numFmtId="0" fontId="101" fillId="3" borderId="19" xfId="0" applyFont="1" applyFill="1" applyBorder="1" applyAlignment="1">
      <alignment horizontal="center" vertical="center" wrapText="1"/>
    </xf>
    <xf numFmtId="0" fontId="101" fillId="3" borderId="13" xfId="0" applyFont="1" applyFill="1" applyBorder="1" applyAlignment="1">
      <alignment horizontal="center" vertical="center" wrapText="1"/>
    </xf>
    <xf numFmtId="0" fontId="101" fillId="3" borderId="10" xfId="0" quotePrefix="1" applyFont="1" applyFill="1" applyBorder="1" applyAlignment="1">
      <alignment horizontal="left" vertical="center" wrapText="1"/>
    </xf>
    <xf numFmtId="0" fontId="101" fillId="3" borderId="11" xfId="0" quotePrefix="1" applyFont="1" applyFill="1" applyBorder="1" applyAlignment="1">
      <alignment horizontal="left" vertical="center" wrapText="1"/>
    </xf>
    <xf numFmtId="0" fontId="101" fillId="3" borderId="23" xfId="0" quotePrefix="1" applyFont="1" applyFill="1" applyBorder="1" applyAlignment="1">
      <alignment horizontal="left" vertical="center" wrapText="1"/>
    </xf>
    <xf numFmtId="0" fontId="163" fillId="3" borderId="9" xfId="0" quotePrefix="1" applyFont="1" applyFill="1" applyBorder="1" applyAlignment="1">
      <alignment horizontal="left" vertical="center" wrapText="1"/>
    </xf>
    <xf numFmtId="0" fontId="163" fillId="3" borderId="5" xfId="0" quotePrefix="1" applyFont="1" applyFill="1" applyBorder="1" applyAlignment="1">
      <alignment horizontal="left" vertical="center" wrapText="1"/>
    </xf>
    <xf numFmtId="0" fontId="163" fillId="3" borderId="6" xfId="0" quotePrefix="1" applyFont="1" applyFill="1" applyBorder="1" applyAlignment="1">
      <alignment horizontal="left" vertical="center" wrapText="1"/>
    </xf>
    <xf numFmtId="0" fontId="101" fillId="3" borderId="12" xfId="0" applyFont="1" applyFill="1" applyBorder="1" applyAlignment="1">
      <alignment horizontal="center" vertical="center" wrapText="1"/>
    </xf>
    <xf numFmtId="0" fontId="101" fillId="3" borderId="10" xfId="0" applyFont="1" applyFill="1" applyBorder="1" applyAlignment="1">
      <alignment horizontal="center" vertical="center" wrapText="1"/>
    </xf>
    <xf numFmtId="0" fontId="101" fillId="3" borderId="11" xfId="0" applyFont="1" applyFill="1" applyBorder="1" applyAlignment="1">
      <alignment horizontal="center" vertical="center" wrapText="1"/>
    </xf>
    <xf numFmtId="0" fontId="101" fillId="3" borderId="23" xfId="0" applyFont="1" applyFill="1" applyBorder="1" applyAlignment="1">
      <alignment horizontal="center" vertical="center" wrapText="1"/>
    </xf>
    <xf numFmtId="0" fontId="101" fillId="3" borderId="9" xfId="0" applyFont="1" applyFill="1" applyBorder="1" applyAlignment="1">
      <alignment horizontal="center" vertical="center" wrapText="1"/>
    </xf>
    <xf numFmtId="0" fontId="101" fillId="3" borderId="5" xfId="0" applyFont="1" applyFill="1" applyBorder="1" applyAlignment="1">
      <alignment horizontal="center" vertical="center" wrapText="1"/>
    </xf>
    <xf numFmtId="0" fontId="101" fillId="3" borderId="6" xfId="0" applyFont="1" applyFill="1" applyBorder="1" applyAlignment="1">
      <alignment horizontal="center" vertical="center" wrapText="1"/>
    </xf>
    <xf numFmtId="1" fontId="101" fillId="3" borderId="10" xfId="0" applyNumberFormat="1" applyFont="1" applyFill="1" applyBorder="1" applyAlignment="1">
      <alignment horizontal="left" vertical="center" wrapText="1"/>
    </xf>
    <xf numFmtId="1" fontId="101" fillId="3" borderId="11" xfId="0" applyNumberFormat="1" applyFont="1" applyFill="1" applyBorder="1" applyAlignment="1">
      <alignment horizontal="left" vertical="center" wrapText="1"/>
    </xf>
    <xf numFmtId="0" fontId="101" fillId="3" borderId="8" xfId="0" applyFont="1" applyFill="1" applyBorder="1" applyAlignment="1">
      <alignment horizontal="center" vertical="center" wrapText="1"/>
    </xf>
    <xf numFmtId="0" fontId="101" fillId="3" borderId="0" xfId="0" applyFont="1" applyFill="1" applyAlignment="1">
      <alignment horizontal="center" vertical="center" wrapText="1"/>
    </xf>
    <xf numFmtId="0" fontId="101" fillId="3" borderId="7" xfId="0" applyFont="1" applyFill="1" applyBorder="1" applyAlignment="1">
      <alignment horizontal="center" vertical="center" wrapText="1"/>
    </xf>
    <xf numFmtId="0" fontId="163" fillId="3" borderId="9" xfId="0" applyFont="1" applyFill="1" applyBorder="1" applyAlignment="1">
      <alignment horizontal="left" vertical="center" wrapText="1"/>
    </xf>
    <xf numFmtId="0" fontId="163" fillId="3" borderId="5" xfId="0" applyFont="1" applyFill="1" applyBorder="1" applyAlignment="1">
      <alignment horizontal="left" vertical="center" wrapText="1"/>
    </xf>
    <xf numFmtId="0" fontId="102" fillId="3" borderId="0" xfId="0" applyFont="1" applyFill="1" applyAlignment="1">
      <alignment vertical="center"/>
    </xf>
    <xf numFmtId="0" fontId="101" fillId="0" borderId="9" xfId="0" applyFont="1" applyBorder="1" applyAlignment="1">
      <alignment horizontal="left" vertical="center"/>
    </xf>
    <xf numFmtId="0" fontId="101" fillId="0" borderId="6" xfId="0" applyFont="1" applyBorder="1" applyAlignment="1">
      <alignment horizontal="left" vertical="center"/>
    </xf>
    <xf numFmtId="0" fontId="101" fillId="0" borderId="1" xfId="0" applyFont="1" applyBorder="1" applyAlignment="1">
      <alignment horizontal="left" vertical="center"/>
    </xf>
    <xf numFmtId="0" fontId="103" fillId="3" borderId="1" xfId="0" applyFont="1" applyFill="1" applyBorder="1" applyAlignment="1">
      <alignment horizontal="center" vertical="center"/>
    </xf>
    <xf numFmtId="0" fontId="103" fillId="3" borderId="11" xfId="0" applyFont="1" applyFill="1" applyBorder="1" applyAlignment="1">
      <alignment horizontal="center" vertical="center"/>
    </xf>
    <xf numFmtId="0" fontId="103" fillId="3" borderId="23" xfId="0" applyFont="1" applyFill="1" applyBorder="1" applyAlignment="1">
      <alignment horizontal="center" vertical="center"/>
    </xf>
    <xf numFmtId="0" fontId="103" fillId="3" borderId="5" xfId="0" applyFont="1" applyFill="1" applyBorder="1" applyAlignment="1">
      <alignment horizontal="center" vertical="center"/>
    </xf>
    <xf numFmtId="0" fontId="103" fillId="3" borderId="6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left" vertical="center"/>
    </xf>
    <xf numFmtId="0" fontId="76" fillId="0" borderId="2" xfId="0" applyFont="1" applyBorder="1" applyAlignment="1">
      <alignment horizontal="center" vertical="center"/>
    </xf>
    <xf numFmtId="0" fontId="76" fillId="0" borderId="4" xfId="0" applyFont="1" applyBorder="1" applyAlignment="1">
      <alignment horizontal="center" vertical="center"/>
    </xf>
    <xf numFmtId="0" fontId="76" fillId="3" borderId="2" xfId="0" applyFont="1" applyFill="1" applyBorder="1" applyAlignment="1">
      <alignment horizontal="center" vertical="center"/>
    </xf>
    <xf numFmtId="0" fontId="76" fillId="3" borderId="4" xfId="0" applyFont="1" applyFill="1" applyBorder="1" applyAlignment="1">
      <alignment horizontal="center" vertical="center"/>
    </xf>
    <xf numFmtId="0" fontId="76" fillId="3" borderId="12" xfId="0" applyFont="1" applyFill="1" applyBorder="1" applyAlignment="1">
      <alignment horizontal="center" vertical="center" wrapText="1"/>
    </xf>
    <xf numFmtId="0" fontId="76" fillId="3" borderId="19" xfId="0" applyFont="1" applyFill="1" applyBorder="1" applyAlignment="1">
      <alignment horizontal="center" vertical="center" wrapText="1"/>
    </xf>
    <xf numFmtId="0" fontId="76" fillId="3" borderId="13" xfId="0" applyFont="1" applyFill="1" applyBorder="1" applyAlignment="1">
      <alignment horizontal="center" vertical="center" wrapText="1"/>
    </xf>
    <xf numFmtId="0" fontId="101" fillId="3" borderId="10" xfId="0" applyFont="1" applyFill="1" applyBorder="1" applyAlignment="1">
      <alignment horizontal="left" vertical="center" wrapText="1"/>
    </xf>
    <xf numFmtId="0" fontId="101" fillId="3" borderId="11" xfId="0" applyFont="1" applyFill="1" applyBorder="1" applyAlignment="1">
      <alignment horizontal="left" vertical="center" wrapText="1"/>
    </xf>
    <xf numFmtId="0" fontId="101" fillId="3" borderId="9" xfId="0" applyFont="1" applyFill="1" applyBorder="1" applyAlignment="1">
      <alignment horizontal="left" vertical="center" wrapText="1"/>
    </xf>
    <xf numFmtId="0" fontId="101" fillId="3" borderId="5" xfId="0" applyFont="1" applyFill="1" applyBorder="1" applyAlignment="1">
      <alignment horizontal="left" vertical="center" wrapText="1"/>
    </xf>
    <xf numFmtId="0" fontId="76" fillId="3" borderId="10" xfId="0" applyFont="1" applyFill="1" applyBorder="1" applyAlignment="1">
      <alignment horizontal="center" vertical="center" wrapText="1"/>
    </xf>
    <xf numFmtId="0" fontId="76" fillId="3" borderId="23" xfId="0" applyFont="1" applyFill="1" applyBorder="1" applyAlignment="1">
      <alignment horizontal="center" vertical="center" wrapText="1"/>
    </xf>
    <xf numFmtId="0" fontId="76" fillId="3" borderId="9" xfId="0" applyFont="1" applyFill="1" applyBorder="1" applyAlignment="1">
      <alignment horizontal="center" vertical="center" wrapText="1"/>
    </xf>
    <xf numFmtId="0" fontId="76" fillId="3" borderId="6" xfId="0" applyFont="1" applyFill="1" applyBorder="1" applyAlignment="1">
      <alignment horizontal="center" vertical="center" wrapText="1"/>
    </xf>
    <xf numFmtId="1" fontId="76" fillId="3" borderId="10" xfId="0" applyNumberFormat="1" applyFont="1" applyFill="1" applyBorder="1" applyAlignment="1">
      <alignment horizontal="center" vertical="center" wrapText="1"/>
    </xf>
    <xf numFmtId="1" fontId="76" fillId="3" borderId="23" xfId="0" applyNumberFormat="1" applyFont="1" applyFill="1" applyBorder="1" applyAlignment="1">
      <alignment horizontal="center" vertical="center" wrapText="1"/>
    </xf>
    <xf numFmtId="1" fontId="76" fillId="3" borderId="9" xfId="0" applyNumberFormat="1" applyFont="1" applyFill="1" applyBorder="1" applyAlignment="1">
      <alignment horizontal="center" vertical="center" wrapText="1"/>
    </xf>
    <xf numFmtId="1" fontId="76" fillId="3" borderId="6" xfId="0" applyNumberFormat="1" applyFont="1" applyFill="1" applyBorder="1" applyAlignment="1">
      <alignment horizontal="center" vertical="center" wrapText="1"/>
    </xf>
    <xf numFmtId="0" fontId="164" fillId="3" borderId="9" xfId="0" applyFont="1" applyFill="1" applyBorder="1" applyAlignment="1">
      <alignment horizontal="center" vertical="center" wrapText="1"/>
    </xf>
    <xf numFmtId="0" fontId="164" fillId="3" borderId="5" xfId="0" applyFont="1" applyFill="1" applyBorder="1" applyAlignment="1">
      <alignment horizontal="center" vertical="center" wrapText="1"/>
    </xf>
    <xf numFmtId="0" fontId="164" fillId="3" borderId="6" xfId="0" applyFont="1" applyFill="1" applyBorder="1" applyAlignment="1">
      <alignment horizontal="center" vertical="center" wrapText="1"/>
    </xf>
    <xf numFmtId="0" fontId="124" fillId="3" borderId="10" xfId="0" applyFont="1" applyFill="1" applyBorder="1" applyAlignment="1">
      <alignment horizontal="center"/>
    </xf>
    <xf numFmtId="0" fontId="124" fillId="3" borderId="11" xfId="0" applyFont="1" applyFill="1" applyBorder="1" applyAlignment="1">
      <alignment horizontal="center"/>
    </xf>
    <xf numFmtId="0" fontId="124" fillId="3" borderId="23" xfId="0" applyFont="1" applyFill="1" applyBorder="1" applyAlignment="1">
      <alignment horizontal="center"/>
    </xf>
    <xf numFmtId="0" fontId="124" fillId="3" borderId="9" xfId="0" applyFont="1" applyFill="1" applyBorder="1" applyAlignment="1">
      <alignment horizontal="center" vertical="center"/>
    </xf>
    <xf numFmtId="0" fontId="124" fillId="3" borderId="5" xfId="0" applyFont="1" applyFill="1" applyBorder="1" applyAlignment="1">
      <alignment horizontal="center" vertical="center"/>
    </xf>
    <xf numFmtId="0" fontId="124" fillId="3" borderId="6" xfId="0" applyFont="1" applyFill="1" applyBorder="1" applyAlignment="1">
      <alignment horizontal="center" vertical="center"/>
    </xf>
    <xf numFmtId="0" fontId="102" fillId="3" borderId="2" xfId="0" applyFont="1" applyFill="1" applyBorder="1" applyAlignment="1" applyProtection="1">
      <alignment horizontal="center" vertical="center" wrapText="1"/>
      <protection locked="0"/>
    </xf>
    <xf numFmtId="0" fontId="102" fillId="3" borderId="3" xfId="0" applyFont="1" applyFill="1" applyBorder="1" applyAlignment="1" applyProtection="1">
      <alignment horizontal="center" vertical="center" wrapText="1"/>
      <protection locked="0"/>
    </xf>
    <xf numFmtId="0" fontId="102" fillId="3" borderId="4" xfId="0" applyFont="1" applyFill="1" applyBorder="1" applyAlignment="1" applyProtection="1">
      <alignment horizontal="center" vertical="center" wrapText="1"/>
      <protection locked="0"/>
    </xf>
    <xf numFmtId="0" fontId="101" fillId="3" borderId="1" xfId="0" applyFont="1" applyFill="1" applyBorder="1" applyAlignment="1">
      <alignment horizontal="left" vertical="center"/>
    </xf>
    <xf numFmtId="171" fontId="76" fillId="3" borderId="2" xfId="0" applyNumberFormat="1" applyFont="1" applyFill="1" applyBorder="1" applyAlignment="1">
      <alignment horizontal="left" vertical="center"/>
    </xf>
    <xf numFmtId="171" fontId="76" fillId="3" borderId="4" xfId="0" applyNumberFormat="1" applyFont="1" applyFill="1" applyBorder="1" applyAlignment="1">
      <alignment horizontal="left" vertical="center"/>
    </xf>
    <xf numFmtId="0" fontId="75" fillId="3" borderId="1" xfId="0" applyFont="1" applyFill="1" applyBorder="1" applyAlignment="1">
      <alignment horizontal="center" vertical="center" wrapText="1"/>
    </xf>
    <xf numFmtId="2" fontId="139" fillId="3" borderId="9" xfId="0" applyNumberFormat="1" applyFont="1" applyFill="1" applyBorder="1" applyAlignment="1">
      <alignment horizontal="center" vertical="top"/>
    </xf>
    <xf numFmtId="2" fontId="139" fillId="3" borderId="5" xfId="0" applyNumberFormat="1" applyFont="1" applyFill="1" applyBorder="1" applyAlignment="1">
      <alignment horizontal="center" vertical="top"/>
    </xf>
    <xf numFmtId="2" fontId="139" fillId="3" borderId="6" xfId="0" applyNumberFormat="1" applyFont="1" applyFill="1" applyBorder="1" applyAlignment="1">
      <alignment horizontal="center" vertical="top"/>
    </xf>
    <xf numFmtId="0" fontId="45" fillId="0" borderId="1" xfId="0" applyFont="1" applyBorder="1" applyAlignment="1" applyProtection="1">
      <alignment horizontal="center" vertical="center" wrapText="1"/>
      <protection locked="0"/>
    </xf>
    <xf numFmtId="1" fontId="121" fillId="3" borderId="10" xfId="0" applyNumberFormat="1" applyFont="1" applyFill="1" applyBorder="1" applyAlignment="1">
      <alignment horizontal="center" vertical="center"/>
    </xf>
    <xf numFmtId="1" fontId="121" fillId="3" borderId="11" xfId="0" applyNumberFormat="1" applyFont="1" applyFill="1" applyBorder="1" applyAlignment="1">
      <alignment horizontal="center" vertical="center"/>
    </xf>
    <xf numFmtId="1" fontId="121" fillId="3" borderId="23" xfId="0" applyNumberFormat="1" applyFont="1" applyFill="1" applyBorder="1" applyAlignment="1">
      <alignment horizontal="center" vertical="center"/>
    </xf>
    <xf numFmtId="1" fontId="143" fillId="3" borderId="8" xfId="0" applyNumberFormat="1" applyFont="1" applyFill="1" applyBorder="1" applyAlignment="1">
      <alignment horizontal="center" vertical="center"/>
    </xf>
    <xf numFmtId="1" fontId="143" fillId="3" borderId="0" xfId="0" applyNumberFormat="1" applyFont="1" applyFill="1" applyAlignment="1">
      <alignment horizontal="center" vertical="center"/>
    </xf>
    <xf numFmtId="1" fontId="143" fillId="3" borderId="7" xfId="0" applyNumberFormat="1" applyFont="1" applyFill="1" applyBorder="1" applyAlignment="1">
      <alignment horizontal="center" vertical="center"/>
    </xf>
    <xf numFmtId="0" fontId="45" fillId="0" borderId="1" xfId="0" applyFont="1" applyBorder="1" applyAlignment="1" applyProtection="1">
      <alignment horizontal="center" vertical="center"/>
      <protection locked="0"/>
    </xf>
    <xf numFmtId="0" fontId="75" fillId="3" borderId="12" xfId="0" applyFont="1" applyFill="1" applyBorder="1" applyAlignment="1">
      <alignment horizontal="center" vertical="center"/>
    </xf>
    <xf numFmtId="0" fontId="75" fillId="3" borderId="13" xfId="0" applyFont="1" applyFill="1" applyBorder="1" applyAlignment="1">
      <alignment horizontal="center" vertical="center"/>
    </xf>
    <xf numFmtId="166" fontId="75" fillId="3" borderId="10" xfId="0" applyNumberFormat="1" applyFont="1" applyFill="1" applyBorder="1" applyAlignment="1">
      <alignment horizontal="left" indent="1"/>
    </xf>
    <xf numFmtId="166" fontId="75" fillId="3" borderId="11" xfId="0" applyNumberFormat="1" applyFont="1" applyFill="1" applyBorder="1" applyAlignment="1">
      <alignment horizontal="left" indent="1"/>
    </xf>
    <xf numFmtId="166" fontId="75" fillId="3" borderId="23" xfId="0" applyNumberFormat="1" applyFont="1" applyFill="1" applyBorder="1" applyAlignment="1">
      <alignment horizontal="left" indent="1"/>
    </xf>
    <xf numFmtId="2" fontId="75" fillId="3" borderId="10" xfId="0" applyNumberFormat="1" applyFont="1" applyFill="1" applyBorder="1" applyAlignment="1">
      <alignment horizontal="center"/>
    </xf>
    <xf numFmtId="2" fontId="75" fillId="3" borderId="11" xfId="0" applyNumberFormat="1" applyFont="1" applyFill="1" applyBorder="1" applyAlignment="1">
      <alignment horizontal="center"/>
    </xf>
    <xf numFmtId="2" fontId="75" fillId="3" borderId="23" xfId="0" applyNumberFormat="1" applyFont="1" applyFill="1" applyBorder="1" applyAlignment="1">
      <alignment horizontal="center"/>
    </xf>
    <xf numFmtId="171" fontId="140" fillId="3" borderId="2" xfId="0" applyNumberFormat="1" applyFont="1" applyFill="1" applyBorder="1" applyAlignment="1">
      <alignment horizontal="left" vertical="center"/>
    </xf>
    <xf numFmtId="0" fontId="140" fillId="3" borderId="4" xfId="0" applyFont="1" applyFill="1" applyBorder="1" applyAlignment="1">
      <alignment horizontal="left" vertical="center"/>
    </xf>
    <xf numFmtId="0" fontId="52" fillId="3" borderId="1" xfId="0" applyFont="1" applyFill="1" applyBorder="1" applyAlignment="1">
      <alignment horizontal="center" vertical="center"/>
    </xf>
    <xf numFmtId="2" fontId="132" fillId="3" borderId="1" xfId="0" applyNumberFormat="1" applyFont="1" applyFill="1" applyBorder="1" applyAlignment="1">
      <alignment horizontal="center" vertical="center"/>
    </xf>
    <xf numFmtId="0" fontId="132" fillId="3" borderId="1" xfId="0" applyFont="1" applyFill="1" applyBorder="1" applyAlignment="1">
      <alignment horizontal="center" vertical="center"/>
    </xf>
    <xf numFmtId="0" fontId="137" fillId="3" borderId="1" xfId="0" applyFont="1" applyFill="1" applyBorder="1" applyAlignment="1">
      <alignment horizontal="center" vertical="center" wrapText="1"/>
    </xf>
    <xf numFmtId="2" fontId="52" fillId="3" borderId="1" xfId="0" applyNumberFormat="1" applyFont="1" applyFill="1" applyBorder="1" applyAlignment="1">
      <alignment horizontal="center" vertical="center"/>
    </xf>
    <xf numFmtId="2" fontId="75" fillId="3" borderId="1" xfId="0" applyNumberFormat="1" applyFont="1" applyFill="1" applyBorder="1" applyAlignment="1">
      <alignment horizontal="center" vertical="center"/>
    </xf>
    <xf numFmtId="0" fontId="75" fillId="3" borderId="1" xfId="0" applyFont="1" applyFill="1" applyBorder="1" applyAlignment="1">
      <alignment horizontal="center" vertical="center"/>
    </xf>
    <xf numFmtId="0" fontId="139" fillId="3" borderId="13" xfId="0" applyFont="1" applyFill="1" applyBorder="1" applyAlignment="1">
      <alignment horizontal="center" vertical="center"/>
    </xf>
    <xf numFmtId="0" fontId="140" fillId="3" borderId="2" xfId="0" applyFont="1" applyFill="1" applyBorder="1" applyAlignment="1">
      <alignment horizontal="left" vertical="center"/>
    </xf>
    <xf numFmtId="0" fontId="137" fillId="9" borderId="1" xfId="0" applyFont="1" applyFill="1" applyBorder="1" applyAlignment="1">
      <alignment horizontal="center" vertical="center" wrapText="1"/>
    </xf>
    <xf numFmtId="0" fontId="76" fillId="3" borderId="10" xfId="0" applyFont="1" applyFill="1" applyBorder="1" applyAlignment="1">
      <alignment horizontal="center" vertical="center"/>
    </xf>
    <xf numFmtId="0" fontId="76" fillId="3" borderId="23" xfId="0" applyFont="1" applyFill="1" applyBorder="1" applyAlignment="1">
      <alignment horizontal="center" vertical="center"/>
    </xf>
    <xf numFmtId="164" fontId="76" fillId="3" borderId="10" xfId="0" applyNumberFormat="1" applyFont="1" applyFill="1" applyBorder="1" applyAlignment="1">
      <alignment horizontal="center" vertical="center" wrapText="1"/>
    </xf>
    <xf numFmtId="164" fontId="76" fillId="3" borderId="23" xfId="0" applyNumberFormat="1" applyFont="1" applyFill="1" applyBorder="1" applyAlignment="1">
      <alignment horizontal="center" vertical="center" wrapText="1"/>
    </xf>
    <xf numFmtId="164" fontId="76" fillId="3" borderId="8" xfId="0" applyNumberFormat="1" applyFont="1" applyFill="1" applyBorder="1" applyAlignment="1">
      <alignment horizontal="center" vertical="center" wrapText="1"/>
    </xf>
    <xf numFmtId="164" fontId="76" fillId="3" borderId="7" xfId="0" applyNumberFormat="1" applyFont="1" applyFill="1" applyBorder="1" applyAlignment="1">
      <alignment horizontal="center" vertical="center" wrapText="1"/>
    </xf>
    <xf numFmtId="164" fontId="76" fillId="3" borderId="9" xfId="0" applyNumberFormat="1" applyFont="1" applyFill="1" applyBorder="1" applyAlignment="1">
      <alignment horizontal="center" vertical="center" wrapText="1"/>
    </xf>
    <xf numFmtId="164" fontId="76" fillId="3" borderId="6" xfId="0" applyNumberFormat="1" applyFont="1" applyFill="1" applyBorder="1" applyAlignment="1">
      <alignment horizontal="center" vertical="center" wrapText="1"/>
    </xf>
    <xf numFmtId="171" fontId="101" fillId="3" borderId="2" xfId="0" applyNumberFormat="1" applyFont="1" applyFill="1" applyBorder="1" applyAlignment="1">
      <alignment horizontal="left" vertical="center"/>
    </xf>
    <xf numFmtId="171" fontId="101" fillId="3" borderId="4" xfId="0" applyNumberFormat="1" applyFont="1" applyFill="1" applyBorder="1" applyAlignment="1">
      <alignment horizontal="left" vertical="center"/>
    </xf>
    <xf numFmtId="0" fontId="137" fillId="9" borderId="12" xfId="0" applyFont="1" applyFill="1" applyBorder="1" applyAlignment="1">
      <alignment horizontal="center" vertical="center"/>
    </xf>
    <xf numFmtId="0" fontId="137" fillId="9" borderId="13" xfId="0" applyFont="1" applyFill="1" applyBorder="1" applyAlignment="1">
      <alignment horizontal="center" vertical="center"/>
    </xf>
    <xf numFmtId="0" fontId="75" fillId="9" borderId="12" xfId="0" applyFont="1" applyFill="1" applyBorder="1" applyAlignment="1">
      <alignment horizontal="center"/>
    </xf>
    <xf numFmtId="166" fontId="75" fillId="9" borderId="10" xfId="0" applyNumberFormat="1" applyFont="1" applyFill="1" applyBorder="1" applyAlignment="1">
      <alignment horizontal="left" indent="1"/>
    </xf>
    <xf numFmtId="166" fontId="75" fillId="9" borderId="11" xfId="0" applyNumberFormat="1" applyFont="1" applyFill="1" applyBorder="1" applyAlignment="1">
      <alignment horizontal="left" indent="1"/>
    </xf>
    <xf numFmtId="166" fontId="75" fillId="9" borderId="23" xfId="0" applyNumberFormat="1" applyFont="1" applyFill="1" applyBorder="1" applyAlignment="1">
      <alignment horizontal="left" indent="1"/>
    </xf>
    <xf numFmtId="2" fontId="132" fillId="9" borderId="1" xfId="0" applyNumberFormat="1" applyFont="1" applyFill="1" applyBorder="1" applyAlignment="1">
      <alignment horizontal="center" vertical="center"/>
    </xf>
    <xf numFmtId="0" fontId="132" fillId="9" borderId="1" xfId="0" applyFont="1" applyFill="1" applyBorder="1" applyAlignment="1">
      <alignment horizontal="center" vertical="center"/>
    </xf>
    <xf numFmtId="0" fontId="139" fillId="9" borderId="13" xfId="0" applyFont="1" applyFill="1" applyBorder="1" applyAlignment="1">
      <alignment horizontal="center" vertical="top"/>
    </xf>
    <xf numFmtId="0" fontId="76" fillId="3" borderId="3" xfId="0" applyFont="1" applyFill="1" applyBorder="1" applyAlignment="1">
      <alignment horizontal="center" vertical="center"/>
    </xf>
    <xf numFmtId="164" fontId="76" fillId="3" borderId="8" xfId="0" applyNumberFormat="1" applyFont="1" applyFill="1" applyBorder="1" applyAlignment="1">
      <alignment horizontal="center" vertical="center"/>
    </xf>
    <xf numFmtId="164" fontId="76" fillId="3" borderId="0" xfId="0" applyNumberFormat="1" applyFont="1" applyFill="1" applyAlignment="1">
      <alignment horizontal="center" vertical="center"/>
    </xf>
    <xf numFmtId="0" fontId="75" fillId="13" borderId="12" xfId="0" applyFont="1" applyFill="1" applyBorder="1" applyAlignment="1">
      <alignment horizontal="center" vertical="center"/>
    </xf>
    <xf numFmtId="0" fontId="128" fillId="13" borderId="13" xfId="0" applyFont="1" applyFill="1" applyBorder="1" applyAlignment="1">
      <alignment horizontal="center" vertical="center"/>
    </xf>
    <xf numFmtId="0" fontId="101" fillId="3" borderId="2" xfId="0" applyFont="1" applyFill="1" applyBorder="1" applyAlignment="1">
      <alignment horizontal="left" vertical="center"/>
    </xf>
    <xf numFmtId="0" fontId="101" fillId="3" borderId="4" xfId="0" applyFont="1" applyFill="1" applyBorder="1" applyAlignment="1">
      <alignment horizontal="left" vertical="center"/>
    </xf>
    <xf numFmtId="0" fontId="52" fillId="3" borderId="12" xfId="0" applyFont="1" applyFill="1" applyBorder="1" applyAlignment="1">
      <alignment horizontal="center" vertical="center"/>
    </xf>
    <xf numFmtId="0" fontId="56" fillId="3" borderId="13" xfId="0" applyFont="1" applyFill="1" applyBorder="1" applyAlignment="1">
      <alignment horizontal="center" vertical="center"/>
    </xf>
    <xf numFmtId="0" fontId="139" fillId="3" borderId="13" xfId="0" applyFont="1" applyFill="1" applyBorder="1" applyAlignment="1">
      <alignment horizontal="center" vertical="top"/>
    </xf>
    <xf numFmtId="0" fontId="75" fillId="3" borderId="12" xfId="0" applyFont="1" applyFill="1" applyBorder="1" applyAlignment="1">
      <alignment horizontal="center"/>
    </xf>
    <xf numFmtId="2" fontId="75" fillId="3" borderId="2" xfId="0" applyNumberFormat="1" applyFont="1" applyFill="1" applyBorder="1" applyAlignment="1">
      <alignment horizontal="center" vertical="center"/>
    </xf>
    <xf numFmtId="2" fontId="75" fillId="3" borderId="4" xfId="0" applyNumberFormat="1" applyFont="1" applyFill="1" applyBorder="1" applyAlignment="1">
      <alignment horizontal="center" vertical="center"/>
    </xf>
    <xf numFmtId="0" fontId="76" fillId="3" borderId="2" xfId="0" applyFont="1" applyFill="1" applyBorder="1" applyAlignment="1">
      <alignment horizontal="left" vertical="center"/>
    </xf>
    <xf numFmtId="0" fontId="76" fillId="3" borderId="4" xfId="0" applyFont="1" applyFill="1" applyBorder="1" applyAlignment="1">
      <alignment horizontal="left" vertical="center"/>
    </xf>
    <xf numFmtId="2" fontId="76" fillId="3" borderId="1" xfId="0" applyNumberFormat="1" applyFont="1" applyFill="1" applyBorder="1" applyAlignment="1">
      <alignment horizontal="center" vertical="center"/>
    </xf>
    <xf numFmtId="2" fontId="75" fillId="3" borderId="3" xfId="0" applyNumberFormat="1" applyFont="1" applyFill="1" applyBorder="1" applyAlignment="1">
      <alignment horizontal="center" vertical="center"/>
    </xf>
    <xf numFmtId="2" fontId="34" fillId="0" borderId="14" xfId="0" applyNumberFormat="1" applyFont="1" applyBorder="1" applyAlignment="1" applyProtection="1">
      <alignment horizontal="center" vertical="center"/>
      <protection locked="0"/>
    </xf>
    <xf numFmtId="2" fontId="34" fillId="0" borderId="1" xfId="0" applyNumberFormat="1" applyFont="1" applyBorder="1" applyAlignment="1" applyProtection="1">
      <alignment horizontal="center" vertical="center"/>
      <protection locked="0"/>
    </xf>
    <xf numFmtId="2" fontId="75" fillId="9" borderId="10" xfId="0" applyNumberFormat="1" applyFont="1" applyFill="1" applyBorder="1" applyAlignment="1">
      <alignment horizontal="center"/>
    </xf>
    <xf numFmtId="2" fontId="75" fillId="9" borderId="11" xfId="0" applyNumberFormat="1" applyFont="1" applyFill="1" applyBorder="1" applyAlignment="1">
      <alignment horizontal="center"/>
    </xf>
    <xf numFmtId="2" fontId="75" fillId="9" borderId="23" xfId="0" applyNumberFormat="1" applyFont="1" applyFill="1" applyBorder="1" applyAlignment="1">
      <alignment horizontal="center"/>
    </xf>
    <xf numFmtId="2" fontId="139" fillId="9" borderId="9" xfId="0" applyNumberFormat="1" applyFont="1" applyFill="1" applyBorder="1" applyAlignment="1">
      <alignment horizontal="center" vertical="top"/>
    </xf>
    <xf numFmtId="2" fontId="139" fillId="9" borderId="5" xfId="0" applyNumberFormat="1" applyFont="1" applyFill="1" applyBorder="1" applyAlignment="1">
      <alignment horizontal="center" vertical="top"/>
    </xf>
    <xf numFmtId="2" fontId="139" fillId="9" borderId="6" xfId="0" applyNumberFormat="1" applyFont="1" applyFill="1" applyBorder="1" applyAlignment="1">
      <alignment horizontal="center" vertical="top"/>
    </xf>
    <xf numFmtId="0" fontId="102" fillId="3" borderId="2" xfId="0" applyFont="1" applyFill="1" applyBorder="1" applyAlignment="1">
      <alignment horizontal="center" vertical="center"/>
    </xf>
    <xf numFmtId="0" fontId="102" fillId="3" borderId="3" xfId="0" applyFont="1" applyFill="1" applyBorder="1" applyAlignment="1">
      <alignment horizontal="center" vertical="center"/>
    </xf>
    <xf numFmtId="0" fontId="102" fillId="3" borderId="4" xfId="0" applyFont="1" applyFill="1" applyBorder="1" applyAlignment="1">
      <alignment horizontal="center" vertical="center"/>
    </xf>
    <xf numFmtId="0" fontId="121" fillId="9" borderId="2" xfId="0" applyFont="1" applyFill="1" applyBorder="1" applyAlignment="1">
      <alignment horizontal="center" vertical="center" wrapText="1"/>
    </xf>
    <xf numFmtId="0" fontId="121" fillId="9" borderId="3" xfId="0" applyFont="1" applyFill="1" applyBorder="1" applyAlignment="1">
      <alignment horizontal="center" vertical="center" wrapText="1"/>
    </xf>
    <xf numFmtId="0" fontId="121" fillId="9" borderId="1" xfId="0" applyFont="1" applyFill="1" applyBorder="1" applyAlignment="1">
      <alignment horizontal="center" vertical="center" wrapText="1"/>
    </xf>
    <xf numFmtId="0" fontId="76" fillId="9" borderId="2" xfId="0" applyFont="1" applyFill="1" applyBorder="1" applyAlignment="1">
      <alignment horizontal="center" vertical="center"/>
    </xf>
    <xf numFmtId="0" fontId="76" fillId="9" borderId="4" xfId="0" applyFont="1" applyFill="1" applyBorder="1" applyAlignment="1">
      <alignment horizontal="center" vertical="center"/>
    </xf>
    <xf numFmtId="0" fontId="102" fillId="3" borderId="11" xfId="0" applyFont="1" applyFill="1" applyBorder="1" applyAlignment="1">
      <alignment vertical="center"/>
    </xf>
    <xf numFmtId="0" fontId="121" fillId="9" borderId="2" xfId="0" applyFont="1" applyFill="1" applyBorder="1" applyAlignment="1">
      <alignment horizontal="center" vertical="center"/>
    </xf>
    <xf numFmtId="0" fontId="121" fillId="9" borderId="3" xfId="0" applyFont="1" applyFill="1" applyBorder="1" applyAlignment="1">
      <alignment horizontal="center" vertical="center"/>
    </xf>
    <xf numFmtId="0" fontId="121" fillId="9" borderId="4" xfId="0" applyFont="1" applyFill="1" applyBorder="1" applyAlignment="1">
      <alignment horizontal="center" vertical="center"/>
    </xf>
    <xf numFmtId="0" fontId="121" fillId="9" borderId="12" xfId="0" applyFont="1" applyFill="1" applyBorder="1" applyAlignment="1">
      <alignment horizontal="center" vertical="center"/>
    </xf>
    <xf numFmtId="0" fontId="101" fillId="3" borderId="8" xfId="0" applyFont="1" applyFill="1" applyBorder="1" applyAlignment="1">
      <alignment horizontal="center" vertical="center"/>
    </xf>
    <xf numFmtId="0" fontId="101" fillId="3" borderId="0" xfId="0" applyFont="1" applyFill="1" applyAlignment="1">
      <alignment horizontal="center" vertical="center"/>
    </xf>
    <xf numFmtId="0" fontId="101" fillId="3" borderId="7" xfId="0" applyFont="1" applyFill="1" applyBorder="1" applyAlignment="1">
      <alignment horizontal="center" vertical="center"/>
    </xf>
    <xf numFmtId="0" fontId="101" fillId="3" borderId="11" xfId="0" applyFont="1" applyFill="1" applyBorder="1" applyAlignment="1">
      <alignment horizontal="right" vertical="center"/>
    </xf>
    <xf numFmtId="0" fontId="101" fillId="3" borderId="23" xfId="0" applyFont="1" applyFill="1" applyBorder="1" applyAlignment="1">
      <alignment horizontal="right" vertical="center"/>
    </xf>
    <xf numFmtId="0" fontId="101" fillId="3" borderId="0" xfId="0" applyFont="1" applyFill="1" applyAlignment="1">
      <alignment horizontal="right" vertical="center"/>
    </xf>
    <xf numFmtId="0" fontId="101" fillId="3" borderId="7" xfId="0" applyFont="1" applyFill="1" applyBorder="1" applyAlignment="1">
      <alignment horizontal="right" vertical="center"/>
    </xf>
    <xf numFmtId="0" fontId="102" fillId="3" borderId="2" xfId="0" quotePrefix="1" applyFont="1" applyFill="1" applyBorder="1" applyAlignment="1">
      <alignment horizontal="center" vertical="center"/>
    </xf>
    <xf numFmtId="0" fontId="102" fillId="3" borderId="3" xfId="0" quotePrefix="1" applyFont="1" applyFill="1" applyBorder="1" applyAlignment="1">
      <alignment horizontal="center" vertical="center"/>
    </xf>
    <xf numFmtId="0" fontId="102" fillId="3" borderId="4" xfId="0" quotePrefix="1" applyFont="1" applyFill="1" applyBorder="1" applyAlignment="1">
      <alignment horizontal="center" vertical="center"/>
    </xf>
    <xf numFmtId="0" fontId="131" fillId="9" borderId="9" xfId="0" applyFont="1" applyFill="1" applyBorder="1" applyAlignment="1">
      <alignment horizontal="center" vertical="center"/>
    </xf>
    <xf numFmtId="0" fontId="131" fillId="9" borderId="6" xfId="0" applyFont="1" applyFill="1" applyBorder="1" applyAlignment="1">
      <alignment horizontal="center" vertical="center"/>
    </xf>
    <xf numFmtId="0" fontId="116" fillId="0" borderId="2" xfId="0" applyFont="1" applyBorder="1" applyAlignment="1" applyProtection="1">
      <alignment horizontal="center" vertical="center"/>
      <protection hidden="1"/>
    </xf>
    <xf numFmtId="0" fontId="116" fillId="0" borderId="3" xfId="0" applyFont="1" applyBorder="1" applyAlignment="1" applyProtection="1">
      <alignment horizontal="center" vertical="center"/>
      <protection hidden="1"/>
    </xf>
    <xf numFmtId="0" fontId="116" fillId="0" borderId="4" xfId="0" applyFont="1" applyBorder="1" applyAlignment="1" applyProtection="1">
      <alignment horizontal="center" vertical="center"/>
      <protection hidden="1"/>
    </xf>
    <xf numFmtId="0" fontId="116" fillId="0" borderId="1" xfId="0" applyFont="1" applyBorder="1" applyAlignment="1" applyProtection="1">
      <alignment horizontal="center" vertical="center"/>
      <protection hidden="1"/>
    </xf>
    <xf numFmtId="0" fontId="101" fillId="3" borderId="1" xfId="0" applyFont="1" applyFill="1" applyBorder="1" applyAlignment="1" applyProtection="1">
      <alignment horizontal="center" vertical="center"/>
      <protection hidden="1"/>
    </xf>
    <xf numFmtId="0" fontId="101" fillId="3" borderId="10" xfId="0" applyFont="1" applyFill="1" applyBorder="1" applyAlignment="1" applyProtection="1">
      <alignment horizontal="left" vertical="center" wrapText="1"/>
      <protection hidden="1"/>
    </xf>
    <xf numFmtId="0" fontId="101" fillId="3" borderId="11" xfId="0" applyFont="1" applyFill="1" applyBorder="1" applyAlignment="1" applyProtection="1">
      <alignment horizontal="left" vertical="center" wrapText="1"/>
      <protection hidden="1"/>
    </xf>
    <xf numFmtId="0" fontId="101" fillId="3" borderId="23" xfId="0" applyFont="1" applyFill="1" applyBorder="1" applyAlignment="1" applyProtection="1">
      <alignment horizontal="left" vertical="center" wrapText="1"/>
      <protection hidden="1"/>
    </xf>
    <xf numFmtId="49" fontId="76" fillId="3" borderId="10" xfId="0" applyNumberFormat="1" applyFont="1" applyFill="1" applyBorder="1" applyAlignment="1" applyProtection="1">
      <alignment horizontal="center" vertical="center"/>
      <protection hidden="1"/>
    </xf>
    <xf numFmtId="49" fontId="76" fillId="3" borderId="23" xfId="0" applyNumberFormat="1" applyFont="1" applyFill="1" applyBorder="1" applyAlignment="1" applyProtection="1">
      <alignment horizontal="center" vertical="center"/>
      <protection hidden="1"/>
    </xf>
    <xf numFmtId="0" fontId="76" fillId="3" borderId="10" xfId="0" applyFont="1" applyFill="1" applyBorder="1" applyAlignment="1" applyProtection="1">
      <alignment horizontal="center"/>
      <protection hidden="1"/>
    </xf>
    <xf numFmtId="0" fontId="76" fillId="3" borderId="11" xfId="0" applyFont="1" applyFill="1" applyBorder="1" applyAlignment="1" applyProtection="1">
      <alignment horizontal="center"/>
      <protection hidden="1"/>
    </xf>
    <xf numFmtId="0" fontId="76" fillId="3" borderId="23" xfId="0" applyFont="1" applyFill="1" applyBorder="1" applyAlignment="1" applyProtection="1">
      <alignment horizontal="center"/>
      <protection hidden="1"/>
    </xf>
    <xf numFmtId="0" fontId="101" fillId="3" borderId="0" xfId="0" applyFont="1" applyFill="1" applyAlignment="1" applyProtection="1">
      <alignment horizontal="right" vertical="center" indent="1"/>
      <protection locked="0" hidden="1"/>
    </xf>
    <xf numFmtId="0" fontId="101" fillId="3" borderId="7" xfId="0" applyFont="1" applyFill="1" applyBorder="1" applyAlignment="1" applyProtection="1">
      <alignment horizontal="right" vertical="center" indent="1"/>
      <protection locked="0" hidden="1"/>
    </xf>
    <xf numFmtId="0" fontId="112" fillId="3" borderId="9" xfId="0" applyFont="1" applyFill="1" applyBorder="1" applyAlignment="1" applyProtection="1">
      <alignment horizontal="center" vertical="top"/>
      <protection locked="0"/>
    </xf>
    <xf numFmtId="0" fontId="112" fillId="3" borderId="5" xfId="0" applyFont="1" applyFill="1" applyBorder="1" applyAlignment="1" applyProtection="1">
      <alignment horizontal="center" vertical="top"/>
      <protection locked="0"/>
    </xf>
    <xf numFmtId="0" fontId="112" fillId="3" borderId="6" xfId="0" applyFont="1" applyFill="1" applyBorder="1" applyAlignment="1" applyProtection="1">
      <alignment horizontal="center" vertical="top"/>
      <protection locked="0"/>
    </xf>
    <xf numFmtId="0" fontId="105" fillId="3" borderId="9" xfId="0" applyFont="1" applyFill="1" applyBorder="1" applyAlignment="1" applyProtection="1">
      <alignment horizontal="center" vertical="center" wrapText="1"/>
      <protection hidden="1"/>
    </xf>
    <xf numFmtId="0" fontId="105" fillId="3" borderId="6" xfId="0" applyFont="1" applyFill="1" applyBorder="1" applyAlignment="1" applyProtection="1">
      <alignment horizontal="center" vertical="center" wrapText="1"/>
      <protection hidden="1"/>
    </xf>
    <xf numFmtId="0" fontId="101" fillId="3" borderId="0" xfId="0" applyFont="1" applyFill="1" applyAlignment="1" applyProtection="1">
      <alignment horizontal="left" vertical="center"/>
      <protection locked="0" hidden="1"/>
    </xf>
    <xf numFmtId="0" fontId="101" fillId="3" borderId="11" xfId="0" applyFont="1" applyFill="1" applyBorder="1" applyAlignment="1" applyProtection="1">
      <alignment horizontal="right" vertical="center" indent="1"/>
      <protection locked="0" hidden="1"/>
    </xf>
    <xf numFmtId="0" fontId="101" fillId="3" borderId="23" xfId="0" applyFont="1" applyFill="1" applyBorder="1" applyAlignment="1" applyProtection="1">
      <alignment horizontal="right" vertical="center" indent="1"/>
      <protection locked="0" hidden="1"/>
    </xf>
    <xf numFmtId="0" fontId="76" fillId="3" borderId="2" xfId="0" applyFont="1" applyFill="1" applyBorder="1" applyAlignment="1" applyProtection="1">
      <alignment horizontal="center" vertical="center"/>
      <protection locked="0" hidden="1"/>
    </xf>
    <xf numFmtId="0" fontId="76" fillId="3" borderId="4" xfId="0" applyFont="1" applyFill="1" applyBorder="1" applyAlignment="1" applyProtection="1">
      <alignment horizontal="center" vertical="center"/>
      <protection locked="0" hidden="1"/>
    </xf>
    <xf numFmtId="0" fontId="112" fillId="3" borderId="8" xfId="0" applyFont="1" applyFill="1" applyBorder="1" applyAlignment="1" applyProtection="1">
      <alignment horizontal="center" vertical="center"/>
      <protection hidden="1"/>
    </xf>
    <xf numFmtId="0" fontId="112" fillId="3" borderId="7" xfId="0" applyFont="1" applyFill="1" applyBorder="1" applyAlignment="1" applyProtection="1">
      <alignment horizontal="center" vertical="center"/>
      <protection hidden="1"/>
    </xf>
    <xf numFmtId="0" fontId="76" fillId="3" borderId="9" xfId="0" applyFont="1" applyFill="1" applyBorder="1" applyAlignment="1" applyProtection="1">
      <alignment horizontal="center" vertical="center"/>
      <protection locked="0"/>
    </xf>
    <xf numFmtId="0" fontId="76" fillId="3" borderId="6" xfId="0" applyFont="1" applyFill="1" applyBorder="1" applyAlignment="1" applyProtection="1">
      <alignment horizontal="center" vertical="center"/>
      <protection locked="0"/>
    </xf>
    <xf numFmtId="0" fontId="102" fillId="0" borderId="2" xfId="1" applyFont="1" applyBorder="1" applyAlignment="1" applyProtection="1">
      <alignment horizontal="center" vertical="center"/>
      <protection locked="0"/>
    </xf>
    <xf numFmtId="0" fontId="102" fillId="0" borderId="3" xfId="1" applyFont="1" applyBorder="1" applyAlignment="1" applyProtection="1">
      <alignment horizontal="center" vertical="center"/>
      <protection locked="0"/>
    </xf>
    <xf numFmtId="0" fontId="102" fillId="0" borderId="4" xfId="1" applyFont="1" applyBorder="1" applyAlignment="1" applyProtection="1">
      <alignment horizontal="center" vertical="center"/>
      <protection locked="0"/>
    </xf>
    <xf numFmtId="0" fontId="101" fillId="0" borderId="2" xfId="1" applyFont="1" applyBorder="1" applyAlignment="1">
      <alignment horizontal="center"/>
    </xf>
    <xf numFmtId="0" fontId="101" fillId="0" borderId="3" xfId="1" applyFont="1" applyBorder="1" applyAlignment="1">
      <alignment horizontal="center"/>
    </xf>
    <xf numFmtId="0" fontId="101" fillId="0" borderId="4" xfId="1" applyFont="1" applyBorder="1" applyAlignment="1">
      <alignment horizontal="center"/>
    </xf>
    <xf numFmtId="0" fontId="176" fillId="3" borderId="0" xfId="13" applyFont="1" applyFill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39" fillId="15" borderId="38" xfId="0" applyFont="1" applyFill="1" applyBorder="1" applyAlignment="1" applyProtection="1">
      <alignment horizontal="center" vertical="center" wrapText="1"/>
      <protection hidden="1"/>
    </xf>
    <xf numFmtId="0" fontId="39" fillId="15" borderId="13" xfId="0" applyFont="1" applyFill="1" applyBorder="1" applyAlignment="1" applyProtection="1">
      <alignment horizontal="center" vertical="center" wrapText="1"/>
      <protection hidden="1"/>
    </xf>
    <xf numFmtId="0" fontId="39" fillId="15" borderId="13" xfId="0" applyFont="1" applyFill="1" applyBorder="1" applyAlignment="1" applyProtection="1">
      <alignment horizontal="center" vertical="center"/>
      <protection hidden="1"/>
    </xf>
    <xf numFmtId="0" fontId="27" fillId="16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 applyProtection="1">
      <alignment horizontal="center" vertical="center"/>
      <protection hidden="1"/>
    </xf>
    <xf numFmtId="0" fontId="24" fillId="3" borderId="20" xfId="0" applyFont="1" applyFill="1" applyBorder="1" applyAlignment="1" applyProtection="1">
      <alignment horizontal="center" vertical="center"/>
      <protection hidden="1"/>
    </xf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24" fillId="3" borderId="35" xfId="0" applyFont="1" applyFill="1" applyBorder="1" applyAlignment="1" applyProtection="1">
      <alignment horizontal="center" vertical="center"/>
      <protection hidden="1"/>
    </xf>
    <xf numFmtId="0" fontId="44" fillId="15" borderId="16" xfId="0" applyFont="1" applyFill="1" applyBorder="1" applyAlignment="1" applyProtection="1">
      <alignment horizontal="center" vertical="center"/>
      <protection hidden="1"/>
    </xf>
    <xf numFmtId="0" fontId="44" fillId="15" borderId="17" xfId="0" applyFont="1" applyFill="1" applyBorder="1" applyAlignment="1" applyProtection="1">
      <alignment horizontal="center" vertical="center"/>
      <protection hidden="1"/>
    </xf>
    <xf numFmtId="0" fontId="44" fillId="15" borderId="18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 applyProtection="1">
      <alignment horizontal="center" vertical="center"/>
      <protection hidden="1"/>
    </xf>
    <xf numFmtId="0" fontId="17" fillId="3" borderId="20" xfId="0" applyFont="1" applyFill="1" applyBorder="1" applyAlignment="1" applyProtection="1">
      <alignment horizontal="center" vertical="center"/>
      <protection hidden="1"/>
    </xf>
    <xf numFmtId="0" fontId="29" fillId="3" borderId="2" xfId="0" applyFont="1" applyFill="1" applyBorder="1" applyAlignment="1" applyProtection="1">
      <alignment horizontal="center" vertical="center"/>
      <protection hidden="1"/>
    </xf>
    <xf numFmtId="0" fontId="29" fillId="3" borderId="3" xfId="0" applyFont="1" applyFill="1" applyBorder="1" applyAlignment="1" applyProtection="1">
      <alignment horizontal="center" vertical="center"/>
      <protection hidden="1"/>
    </xf>
    <xf numFmtId="0" fontId="29" fillId="3" borderId="36" xfId="0" applyFont="1" applyFill="1" applyBorder="1" applyAlignment="1" applyProtection="1">
      <alignment horizontal="center" vertical="center"/>
      <protection hidden="1"/>
    </xf>
    <xf numFmtId="0" fontId="24" fillId="3" borderId="2" xfId="0" applyFont="1" applyFill="1" applyBorder="1" applyAlignment="1" applyProtection="1">
      <alignment horizontal="center" vertical="center"/>
      <protection hidden="1"/>
    </xf>
    <xf numFmtId="0" fontId="24" fillId="3" borderId="3" xfId="0" applyFont="1" applyFill="1" applyBorder="1" applyAlignment="1" applyProtection="1">
      <alignment horizontal="center" vertical="center"/>
      <protection hidden="1"/>
    </xf>
    <xf numFmtId="0" fontId="24" fillId="3" borderId="36" xfId="0" applyFont="1" applyFill="1" applyBorder="1" applyAlignment="1" applyProtection="1">
      <alignment horizontal="center" vertical="center"/>
      <protection hidden="1"/>
    </xf>
    <xf numFmtId="2" fontId="34" fillId="3" borderId="32" xfId="0" applyNumberFormat="1" applyFont="1" applyFill="1" applyBorder="1" applyAlignment="1" applyProtection="1">
      <alignment horizontal="center" vertical="center"/>
      <protection hidden="1"/>
    </xf>
    <xf numFmtId="2" fontId="34" fillId="3" borderId="3" xfId="0" applyNumberFormat="1" applyFont="1" applyFill="1" applyBorder="1" applyAlignment="1" applyProtection="1">
      <alignment horizontal="center" vertical="center"/>
      <protection hidden="1"/>
    </xf>
    <xf numFmtId="2" fontId="34" fillId="3" borderId="4" xfId="0" applyNumberFormat="1" applyFont="1" applyFill="1" applyBorder="1" applyAlignment="1" applyProtection="1">
      <alignment horizontal="center" vertical="center"/>
      <protection hidden="1"/>
    </xf>
    <xf numFmtId="0" fontId="39" fillId="15" borderId="24" xfId="0" applyFont="1" applyFill="1" applyBorder="1" applyAlignment="1" applyProtection="1">
      <alignment horizontal="center" vertical="center"/>
      <protection hidden="1"/>
    </xf>
    <xf numFmtId="0" fontId="39" fillId="15" borderId="25" xfId="0" applyFont="1" applyFill="1" applyBorder="1" applyAlignment="1" applyProtection="1">
      <alignment horizontal="center" vertical="center"/>
      <protection hidden="1"/>
    </xf>
    <xf numFmtId="0" fontId="39" fillId="15" borderId="26" xfId="0" applyFont="1" applyFill="1" applyBorder="1" applyAlignment="1" applyProtection="1">
      <alignment horizontal="center" vertical="center"/>
      <protection hidden="1"/>
    </xf>
    <xf numFmtId="0" fontId="39" fillId="15" borderId="2" xfId="0" applyFont="1" applyFill="1" applyBorder="1" applyAlignment="1" applyProtection="1">
      <alignment horizontal="center" vertical="center"/>
      <protection hidden="1"/>
    </xf>
    <xf numFmtId="0" fontId="39" fillId="15" borderId="36" xfId="0" applyFont="1" applyFill="1" applyBorder="1" applyAlignment="1" applyProtection="1">
      <alignment horizontal="center" vertical="center"/>
      <protection hidden="1"/>
    </xf>
    <xf numFmtId="0" fontId="39" fillId="15" borderId="39" xfId="0" applyFont="1" applyFill="1" applyBorder="1" applyAlignment="1" applyProtection="1">
      <alignment horizontal="center" vertical="center" wrapText="1"/>
      <protection hidden="1"/>
    </xf>
    <xf numFmtId="0" fontId="39" fillId="15" borderId="40" xfId="0" applyFont="1" applyFill="1" applyBorder="1" applyAlignment="1" applyProtection="1">
      <alignment horizontal="center" vertical="center" wrapText="1"/>
      <protection hidden="1"/>
    </xf>
    <xf numFmtId="0" fontId="39" fillId="15" borderId="37" xfId="0" applyFont="1" applyFill="1" applyBorder="1" applyAlignment="1" applyProtection="1">
      <alignment horizontal="center" vertical="center"/>
      <protection hidden="1"/>
    </xf>
    <xf numFmtId="0" fontId="39" fillId="15" borderId="41" xfId="0" applyFont="1" applyFill="1" applyBorder="1" applyAlignment="1" applyProtection="1">
      <alignment horizontal="center" vertical="center"/>
      <protection hidden="1"/>
    </xf>
    <xf numFmtId="0" fontId="95" fillId="13" borderId="1" xfId="0" applyFont="1" applyFill="1" applyBorder="1" applyAlignment="1">
      <alignment horizontal="center" vertical="center"/>
    </xf>
    <xf numFmtId="0" fontId="74" fillId="24" borderId="10" xfId="0" applyFont="1" applyFill="1" applyBorder="1" applyAlignment="1">
      <alignment horizontal="center" vertical="center"/>
    </xf>
    <xf numFmtId="0" fontId="74" fillId="24" borderId="11" xfId="0" applyFont="1" applyFill="1" applyBorder="1" applyAlignment="1">
      <alignment horizontal="center" vertical="center"/>
    </xf>
    <xf numFmtId="0" fontId="74" fillId="24" borderId="23" xfId="0" applyFont="1" applyFill="1" applyBorder="1" applyAlignment="1">
      <alignment horizontal="center" vertical="center"/>
    </xf>
    <xf numFmtId="0" fontId="76" fillId="0" borderId="19" xfId="0" applyFont="1" applyBorder="1" applyAlignment="1">
      <alignment horizontal="center" vertical="center"/>
    </xf>
    <xf numFmtId="0" fontId="76" fillId="0" borderId="13" xfId="0" applyFont="1" applyBorder="1" applyAlignment="1">
      <alignment horizontal="center" vertical="center"/>
    </xf>
    <xf numFmtId="0" fontId="78" fillId="23" borderId="1" xfId="0" applyFont="1" applyFill="1" applyBorder="1" applyAlignment="1">
      <alignment horizontal="center" vertical="center"/>
    </xf>
    <xf numFmtId="0" fontId="76" fillId="0" borderId="1" xfId="0" applyFont="1" applyBorder="1" applyAlignment="1">
      <alignment horizontal="center" vertical="center"/>
    </xf>
    <xf numFmtId="0" fontId="78" fillId="23" borderId="12" xfId="0" applyFont="1" applyFill="1" applyBorder="1" applyAlignment="1">
      <alignment horizontal="center" vertical="center"/>
    </xf>
    <xf numFmtId="0" fontId="76" fillId="0" borderId="12" xfId="0" applyFont="1" applyBorder="1" applyAlignment="1">
      <alignment horizontal="center" vertical="center"/>
    </xf>
    <xf numFmtId="0" fontId="27" fillId="16" borderId="12" xfId="0" applyFont="1" applyFill="1" applyBorder="1" applyAlignment="1">
      <alignment horizontal="center" vertical="center"/>
    </xf>
    <xf numFmtId="0" fontId="27" fillId="16" borderId="13" xfId="0" applyFont="1" applyFill="1" applyBorder="1" applyAlignment="1">
      <alignment horizontal="center" vertical="center"/>
    </xf>
    <xf numFmtId="0" fontId="75" fillId="23" borderId="12" xfId="0" applyFont="1" applyFill="1" applyBorder="1" applyAlignment="1">
      <alignment horizontal="center" vertical="center"/>
    </xf>
    <xf numFmtId="0" fontId="75" fillId="23" borderId="13" xfId="0" applyFont="1" applyFill="1" applyBorder="1" applyAlignment="1">
      <alignment horizontal="center" vertical="center"/>
    </xf>
    <xf numFmtId="0" fontId="75" fillId="23" borderId="10" xfId="0" applyFont="1" applyFill="1" applyBorder="1" applyAlignment="1">
      <alignment horizontal="center" vertical="center"/>
    </xf>
    <xf numFmtId="0" fontId="75" fillId="23" borderId="11" xfId="0" applyFont="1" applyFill="1" applyBorder="1" applyAlignment="1">
      <alignment horizontal="center" vertical="center"/>
    </xf>
    <xf numFmtId="0" fontId="75" fillId="23" borderId="23" xfId="0" applyFont="1" applyFill="1" applyBorder="1" applyAlignment="1">
      <alignment horizontal="center" vertical="center"/>
    </xf>
    <xf numFmtId="0" fontId="75" fillId="23" borderId="9" xfId="0" applyFont="1" applyFill="1" applyBorder="1" applyAlignment="1">
      <alignment horizontal="center" vertical="center"/>
    </xf>
    <xf numFmtId="0" fontId="75" fillId="23" borderId="5" xfId="0" applyFont="1" applyFill="1" applyBorder="1" applyAlignment="1">
      <alignment horizontal="center" vertical="center"/>
    </xf>
    <xf numFmtId="0" fontId="75" fillId="23" borderId="6" xfId="0" applyFont="1" applyFill="1" applyBorder="1" applyAlignment="1">
      <alignment horizontal="center" vertical="center"/>
    </xf>
    <xf numFmtId="0" fontId="75" fillId="23" borderId="2" xfId="0" applyFont="1" applyFill="1" applyBorder="1" applyAlignment="1">
      <alignment horizontal="center" vertical="center"/>
    </xf>
    <xf numFmtId="0" fontId="75" fillId="23" borderId="3" xfId="0" applyFont="1" applyFill="1" applyBorder="1" applyAlignment="1">
      <alignment horizontal="center" vertical="center"/>
    </xf>
    <xf numFmtId="0" fontId="75" fillId="23" borderId="4" xfId="0" applyFont="1" applyFill="1" applyBorder="1" applyAlignment="1">
      <alignment horizontal="center" vertical="center"/>
    </xf>
    <xf numFmtId="0" fontId="66" fillId="16" borderId="12" xfId="0" applyFont="1" applyFill="1" applyBorder="1" applyAlignment="1" applyProtection="1">
      <alignment horizontal="center" vertical="center" wrapText="1"/>
      <protection hidden="1"/>
    </xf>
    <xf numFmtId="0" fontId="66" fillId="16" borderId="13" xfId="0" applyFont="1" applyFill="1" applyBorder="1" applyAlignment="1" applyProtection="1">
      <alignment horizontal="center" vertical="center" wrapText="1"/>
      <protection hidden="1"/>
    </xf>
  </cellXfs>
  <cellStyles count="15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2" xfId="1"/>
    <cellStyle name="Normal 2 2" xfId="14"/>
    <cellStyle name="Normal 3" xfId="3"/>
    <cellStyle name="Normal 4" xfId="2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1F08A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Phổ thiết kế S</a:t>
            </a:r>
            <a:r>
              <a:rPr lang="en-US" sz="1300" baseline="-25000">
                <a:solidFill>
                  <a:schemeClr val="tx1"/>
                </a:solidFill>
                <a:latin typeface="Times New Roman" panose="02020603050405020304" pitchFamily="18" charset="0"/>
              </a:rPr>
              <a:t>d</a:t>
            </a: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 (T)</a:t>
            </a:r>
          </a:p>
        </c:rich>
      </c:tx>
      <c:layout>
        <c:manualLayout>
          <c:xMode val="edge"/>
          <c:yMode val="edge"/>
          <c:x val="6.1198885947050072E-2"/>
          <c:y val="6.91883564366490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 Sd(T) with beta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'3.Earthquake'!$O$11:$O$70</c:f>
              <c:numCache>
                <c:formatCode>0.0000</c:formatCode>
                <c:ptCount val="60"/>
                <c:pt idx="0">
                  <c:v>0.2798793</c:v>
                </c:pt>
                <c:pt idx="1">
                  <c:v>0.3848340375</c:v>
                </c:pt>
                <c:pt idx="2">
                  <c:v>0.48978877500000001</c:v>
                </c:pt>
                <c:pt idx="3">
                  <c:v>0.59474351250000002</c:v>
                </c:pt>
                <c:pt idx="4">
                  <c:v>0.69969824999999997</c:v>
                </c:pt>
                <c:pt idx="5">
                  <c:v>0.69969824999999997</c:v>
                </c:pt>
                <c:pt idx="6">
                  <c:v>0.69969824999999997</c:v>
                </c:pt>
                <c:pt idx="7">
                  <c:v>0.69969824999999997</c:v>
                </c:pt>
                <c:pt idx="8">
                  <c:v>0.69969824999999997</c:v>
                </c:pt>
                <c:pt idx="9">
                  <c:v>0.69969824999999997</c:v>
                </c:pt>
                <c:pt idx="10">
                  <c:v>0.69969824999999997</c:v>
                </c:pt>
                <c:pt idx="11">
                  <c:v>0.62195400000000001</c:v>
                </c:pt>
                <c:pt idx="12">
                  <c:v>0.5597586</c:v>
                </c:pt>
                <c:pt idx="13">
                  <c:v>0.50887145454545502</c:v>
                </c:pt>
                <c:pt idx="14">
                  <c:v>0.46646549999999998</c:v>
                </c:pt>
                <c:pt idx="15">
                  <c:v>0.43058353846153802</c:v>
                </c:pt>
                <c:pt idx="16">
                  <c:v>0.399827571428572</c:v>
                </c:pt>
                <c:pt idx="17">
                  <c:v>0.37317240000000002</c:v>
                </c:pt>
                <c:pt idx="18">
                  <c:v>0.34984912499999998</c:v>
                </c:pt>
                <c:pt idx="19">
                  <c:v>0.32926976470588198</c:v>
                </c:pt>
                <c:pt idx="20">
                  <c:v>0.310977</c:v>
                </c:pt>
                <c:pt idx="21">
                  <c:v>0.29460978947368399</c:v>
                </c:pt>
                <c:pt idx="22">
                  <c:v>0.2798793</c:v>
                </c:pt>
                <c:pt idx="23">
                  <c:v>0.25385877551020403</c:v>
                </c:pt>
                <c:pt idx="24">
                  <c:v>0.23130520661157</c:v>
                </c:pt>
                <c:pt idx="25">
                  <c:v>0.21162896030245801</c:v>
                </c:pt>
                <c:pt idx="26">
                  <c:v>0.19436062500000001</c:v>
                </c:pt>
                <c:pt idx="27">
                  <c:v>0.179122752</c:v>
                </c:pt>
                <c:pt idx="28">
                  <c:v>0.165609053254438</c:v>
                </c:pt>
                <c:pt idx="29">
                  <c:v>0.153568888888889</c:v>
                </c:pt>
                <c:pt idx="30">
                  <c:v>0.14279556122449</c:v>
                </c:pt>
                <c:pt idx="31">
                  <c:v>0.13311738406658699</c:v>
                </c:pt>
                <c:pt idx="32">
                  <c:v>0.1243908</c:v>
                </c:pt>
                <c:pt idx="33">
                  <c:v>0.10598979408284</c:v>
                </c:pt>
                <c:pt idx="34">
                  <c:v>9.1389159183673505E-2</c:v>
                </c:pt>
                <c:pt idx="35">
                  <c:v>7.9610111999999997E-2</c:v>
                </c:pt>
                <c:pt idx="36">
                  <c:v>6.2195400000000005E-2</c:v>
                </c:pt>
                <c:pt idx="37">
                  <c:v>6.2195400000000005E-2</c:v>
                </c:pt>
                <c:pt idx="38">
                  <c:v>6.2195400000000005E-2</c:v>
                </c:pt>
                <c:pt idx="39">
                  <c:v>6.2195400000000005E-2</c:v>
                </c:pt>
                <c:pt idx="40">
                  <c:v>6.2195400000000005E-2</c:v>
                </c:pt>
                <c:pt idx="41">
                  <c:v>6.2195400000000005E-2</c:v>
                </c:pt>
                <c:pt idx="42">
                  <c:v>6.2195400000000005E-2</c:v>
                </c:pt>
                <c:pt idx="43">
                  <c:v>6.2195400000000005E-2</c:v>
                </c:pt>
                <c:pt idx="44">
                  <c:v>6.2195400000000005E-2</c:v>
                </c:pt>
                <c:pt idx="45">
                  <c:v>6.2195400000000005E-2</c:v>
                </c:pt>
                <c:pt idx="46">
                  <c:v>6.2195400000000005E-2</c:v>
                </c:pt>
                <c:pt idx="47">
                  <c:v>6.2195400000000005E-2</c:v>
                </c:pt>
                <c:pt idx="48">
                  <c:v>6.2195400000000005E-2</c:v>
                </c:pt>
                <c:pt idx="49">
                  <c:v>6.2195400000000005E-2</c:v>
                </c:pt>
                <c:pt idx="50">
                  <c:v>6.2195400000000005E-2</c:v>
                </c:pt>
                <c:pt idx="51">
                  <c:v>6.2195400000000005E-2</c:v>
                </c:pt>
                <c:pt idx="52">
                  <c:v>6.2195400000000005E-2</c:v>
                </c:pt>
                <c:pt idx="53">
                  <c:v>6.2195400000000005E-2</c:v>
                </c:pt>
                <c:pt idx="54">
                  <c:v>6.2195400000000005E-2</c:v>
                </c:pt>
                <c:pt idx="55">
                  <c:v>6.2195400000000005E-2</c:v>
                </c:pt>
                <c:pt idx="56">
                  <c:v>6.2195400000000005E-2</c:v>
                </c:pt>
                <c:pt idx="57">
                  <c:v>6.2195400000000005E-2</c:v>
                </c:pt>
                <c:pt idx="58">
                  <c:v>6.2195400000000005E-2</c:v>
                </c:pt>
                <c:pt idx="59">
                  <c:v>6.2195400000000005E-2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47-4D21-8454-DE3C1D9B34E0}"/>
            </c:ext>
          </c:extLst>
        </c:ser>
        <c:ser>
          <c:idx val="1"/>
          <c:order val="1"/>
          <c:tx>
            <c:v> Sd(T) w/o beta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'3.Earthquake'!$R$11:$R$70</c:f>
              <c:numCache>
                <c:formatCode>0.0000</c:formatCode>
                <c:ptCount val="60"/>
                <c:pt idx="0">
                  <c:v>0.2798793</c:v>
                </c:pt>
                <c:pt idx="1">
                  <c:v>0.3848340375</c:v>
                </c:pt>
                <c:pt idx="2">
                  <c:v>0.48978877500000001</c:v>
                </c:pt>
                <c:pt idx="3">
                  <c:v>0.59474351250000002</c:v>
                </c:pt>
                <c:pt idx="4">
                  <c:v>0.69969824999999997</c:v>
                </c:pt>
                <c:pt idx="5">
                  <c:v>0.69969824999999997</c:v>
                </c:pt>
                <c:pt idx="6">
                  <c:v>0.69969824999999997</c:v>
                </c:pt>
                <c:pt idx="7">
                  <c:v>0.69969824999999997</c:v>
                </c:pt>
                <c:pt idx="8">
                  <c:v>0.69969824999999997</c:v>
                </c:pt>
                <c:pt idx="9">
                  <c:v>0.69969824999999997</c:v>
                </c:pt>
                <c:pt idx="10">
                  <c:v>0.69969824999999997</c:v>
                </c:pt>
                <c:pt idx="11">
                  <c:v>0.62195400000000001</c:v>
                </c:pt>
                <c:pt idx="12">
                  <c:v>0.5597586</c:v>
                </c:pt>
                <c:pt idx="13">
                  <c:v>0.50887145454545502</c:v>
                </c:pt>
                <c:pt idx="14">
                  <c:v>0.46646549999999998</c:v>
                </c:pt>
                <c:pt idx="15">
                  <c:v>0.43058353846153802</c:v>
                </c:pt>
                <c:pt idx="16">
                  <c:v>0.399827571428572</c:v>
                </c:pt>
                <c:pt idx="17">
                  <c:v>0.37317240000000002</c:v>
                </c:pt>
                <c:pt idx="18">
                  <c:v>0.34984912499999998</c:v>
                </c:pt>
                <c:pt idx="19">
                  <c:v>0.32926976470588198</c:v>
                </c:pt>
                <c:pt idx="20">
                  <c:v>0.310977</c:v>
                </c:pt>
                <c:pt idx="21">
                  <c:v>0.29460978947368399</c:v>
                </c:pt>
                <c:pt idx="22">
                  <c:v>0.2798793</c:v>
                </c:pt>
                <c:pt idx="23">
                  <c:v>0.25385877551020403</c:v>
                </c:pt>
                <c:pt idx="24">
                  <c:v>0.23130520661157</c:v>
                </c:pt>
                <c:pt idx="25">
                  <c:v>0.21162896030245801</c:v>
                </c:pt>
                <c:pt idx="26">
                  <c:v>0.19436062500000001</c:v>
                </c:pt>
                <c:pt idx="27">
                  <c:v>0.179122752</c:v>
                </c:pt>
                <c:pt idx="28">
                  <c:v>0.165609053254438</c:v>
                </c:pt>
                <c:pt idx="29">
                  <c:v>0.153568888888889</c:v>
                </c:pt>
                <c:pt idx="30">
                  <c:v>0.14279556122449</c:v>
                </c:pt>
                <c:pt idx="31">
                  <c:v>0.13311738406658699</c:v>
                </c:pt>
                <c:pt idx="32">
                  <c:v>0.1243908</c:v>
                </c:pt>
                <c:pt idx="33">
                  <c:v>0.10598979408284</c:v>
                </c:pt>
                <c:pt idx="34">
                  <c:v>9.1389159183673505E-2</c:v>
                </c:pt>
                <c:pt idx="35">
                  <c:v>7.9610111999999997E-2</c:v>
                </c:pt>
                <c:pt idx="36">
                  <c:v>6.9969824999999999E-2</c:v>
                </c:pt>
                <c:pt idx="37">
                  <c:v>6.1980191003460201E-2</c:v>
                </c:pt>
                <c:pt idx="38">
                  <c:v>5.5284800000000002E-2</c:v>
                </c:pt>
                <c:pt idx="39">
                  <c:v>4.96184908587258E-2</c:v>
                </c:pt>
                <c:pt idx="40">
                  <c:v>4.4780687999999999E-2</c:v>
                </c:pt>
                <c:pt idx="41">
                  <c:v>4.0617404081632703E-2</c:v>
                </c:pt>
                <c:pt idx="42">
                  <c:v>3.7008833057851201E-2</c:v>
                </c:pt>
                <c:pt idx="43">
                  <c:v>3.3860633648393201E-2</c:v>
                </c:pt>
                <c:pt idx="44">
                  <c:v>3.1097699999999999E-2</c:v>
                </c:pt>
                <c:pt idx="45">
                  <c:v>2.71976117585357E-2</c:v>
                </c:pt>
                <c:pt idx="46">
                  <c:v>2.41660175177183E-2</c:v>
                </c:pt>
                <c:pt idx="47">
                  <c:v>2.1500614999822198E-2</c:v>
                </c:pt>
                <c:pt idx="48">
                  <c:v>1.91475367701061E-2</c:v>
                </c:pt>
                <c:pt idx="49">
                  <c:v>1.7062294079258002E-2</c:v>
                </c:pt>
                <c:pt idx="50">
                  <c:v>1.5207899792832E-2</c:v>
                </c:pt>
                <c:pt idx="51">
                  <c:v>1.35534134302202E-2</c:v>
                </c:pt>
                <c:pt idx="52">
                  <c:v>1.2072803514975E-2</c:v>
                </c:pt>
                <c:pt idx="53">
                  <c:v>1.0744050773395001E-2</c:v>
                </c:pt>
                <c:pt idx="54">
                  <c:v>9.5484358002768197E-3</c:v>
                </c:pt>
                <c:pt idx="55">
                  <c:v>8.4699692065410594E-3</c:v>
                </c:pt>
                <c:pt idx="56">
                  <c:v>7.4949326935999996E-3</c:v>
                </c:pt>
                <c:pt idx="57">
                  <c:v>6.6115071320660404E-3</c:v>
                </c:pt>
                <c:pt idx="58">
                  <c:v>5.8094693605894804E-3</c:v>
                </c:pt>
                <c:pt idx="59">
                  <c:v>5.0799436223432004E-3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47-4D21-8454-DE3C1D9B3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9208"/>
        <c:axId val="208729600"/>
      </c:scatterChart>
      <c:valAx>
        <c:axId val="208729208"/>
        <c:scaling>
          <c:orientation val="minMax"/>
          <c:max val="1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08729600"/>
        <c:crosses val="autoZero"/>
        <c:crossBetween val="midCat"/>
        <c:majorUnit val="0.4"/>
        <c:minorUnit val="0.2"/>
      </c:valAx>
      <c:valAx>
        <c:axId val="20872960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08729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49127268220727"/>
          <c:y val="0.26060252293521374"/>
          <c:w val="0.15477527416709252"/>
          <c:h val="0.13223937032749788"/>
        </c:manualLayout>
      </c:layout>
      <c:overlay val="0"/>
      <c:spPr>
        <a:solidFill>
          <a:schemeClr val="bg2">
            <a:lumMod val="90000"/>
          </a:schemeClr>
        </a:solidFill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7253995895496E-2"/>
          <c:y val="3.2028476707697796E-2"/>
          <c:w val="0.79699345653373754"/>
          <c:h val="0.83807847385142564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1</c:v>
              </c:pt>
              <c:pt idx="1">
                <c:v>1.07</c:v>
              </c:pt>
              <c:pt idx="2">
                <c:v>1.1800000000000002</c:v>
              </c:pt>
              <c:pt idx="3">
                <c:v>1.24</c:v>
              </c:pt>
              <c:pt idx="4">
                <c:v>1.29</c:v>
              </c:pt>
              <c:pt idx="5">
                <c:v>1.37</c:v>
              </c:pt>
              <c:pt idx="6">
                <c:v>1.43</c:v>
              </c:pt>
              <c:pt idx="7">
                <c:v>1.47</c:v>
              </c:pt>
              <c:pt idx="8">
                <c:v>1.51</c:v>
              </c:pt>
              <c:pt idx="9">
                <c:v>1.57</c:v>
              </c:pt>
              <c:pt idx="10">
                <c:v>1.62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6D7-4DF0-9403-22F9FAF93916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0.8</c:v>
              </c:pt>
              <c:pt idx="1">
                <c:v>0.88</c:v>
              </c:pt>
              <c:pt idx="2">
                <c:v>1</c:v>
              </c:pt>
              <c:pt idx="3">
                <c:v>1.08</c:v>
              </c:pt>
              <c:pt idx="4">
                <c:v>1.1299999999999997</c:v>
              </c:pt>
              <c:pt idx="5">
                <c:v>1.22</c:v>
              </c:pt>
              <c:pt idx="6">
                <c:v>1.28</c:v>
              </c:pt>
              <c:pt idx="7">
                <c:v>1.34</c:v>
              </c:pt>
              <c:pt idx="8">
                <c:v>1.3800000000000001</c:v>
              </c:pt>
              <c:pt idx="9">
                <c:v>1.45</c:v>
              </c:pt>
              <c:pt idx="10">
                <c:v>1.51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6D7-4DF0-9403-22F9FAF93916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0.47000000000000003</c:v>
              </c:pt>
              <c:pt idx="1">
                <c:v>0.54</c:v>
              </c:pt>
              <c:pt idx="2">
                <c:v>0.66000000000000014</c:v>
              </c:pt>
              <c:pt idx="3">
                <c:v>0.7400000000000001</c:v>
              </c:pt>
              <c:pt idx="4">
                <c:v>0.8</c:v>
              </c:pt>
              <c:pt idx="5">
                <c:v>0.89</c:v>
              </c:pt>
              <c:pt idx="6">
                <c:v>0.97000000000000008</c:v>
              </c:pt>
              <c:pt idx="7">
                <c:v>1.03</c:v>
              </c:pt>
              <c:pt idx="8">
                <c:v>1.08</c:v>
              </c:pt>
              <c:pt idx="9">
                <c:v>1.1800000000000002</c:v>
              </c:pt>
              <c:pt idx="10">
                <c:v>1.25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6D7-4DF0-9403-22F9FAF9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31560"/>
        <c:axId val="260336760"/>
      </c:scatterChart>
      <c:valAx>
        <c:axId val="208731560"/>
        <c:scaling>
          <c:orientation val="minMax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Chiều cao (m)</a:t>
                </a:r>
              </a:p>
            </c:rich>
          </c:tx>
          <c:layout>
            <c:manualLayout>
              <c:xMode val="edge"/>
              <c:yMode val="edge"/>
              <c:x val="0.38216032836935127"/>
              <c:y val="0.932676174986057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60336760"/>
        <c:crosses val="autoZero"/>
        <c:crossBetween val="midCat"/>
        <c:majorUnit val="5"/>
      </c:valAx>
      <c:valAx>
        <c:axId val="260336760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Hệ số k</a:t>
                </a:r>
              </a:p>
            </c:rich>
          </c:tx>
          <c:layout>
            <c:manualLayout>
              <c:xMode val="edge"/>
              <c:yMode val="edge"/>
              <c:x val="3.8681001747099965E-4"/>
              <c:y val="0.354560399685441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873156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05725360689005"/>
          <c:y val="0.40392743673822534"/>
          <c:w val="8.1456288149171732E-2"/>
          <c:h val="0.149470945753352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85560077376791E-2"/>
          <c:y val="3.1948937859666876E-2"/>
          <c:w val="0.77650160702726767"/>
          <c:h val="0.86741366288995547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0.31800000000000006</c:v>
              </c:pt>
              <c:pt idx="1">
                <c:v>0.3030000000000001</c:v>
              </c:pt>
              <c:pt idx="2">
                <c:v>0.28900000000000003</c:v>
              </c:pt>
              <c:pt idx="3">
                <c:v>0.27500000000000002</c:v>
              </c:pt>
              <c:pt idx="4">
                <c:v>0.26700000000000002</c:v>
              </c:pt>
              <c:pt idx="5">
                <c:v>0.26200000000000001</c:v>
              </c:pt>
              <c:pt idx="6">
                <c:v>0.25800000000000001</c:v>
              </c:pt>
              <c:pt idx="7">
                <c:v>0.251</c:v>
              </c:pt>
              <c:pt idx="8">
                <c:v>0.24600000000000002</c:v>
              </c:pt>
              <c:pt idx="9">
                <c:v>0.24200000000000002</c:v>
              </c:pt>
              <c:pt idx="10">
                <c:v>0.23900000000000002</c:v>
              </c:pt>
              <c:pt idx="11">
                <c:v>0.23600000000000002</c:v>
              </c:pt>
              <c:pt idx="12">
                <c:v>0.23100000000000001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27-42FA-94AB-CCEA8BADBF75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0.51700000000000002</c:v>
              </c:pt>
              <c:pt idx="1">
                <c:v>0.4860000000000001</c:v>
              </c:pt>
              <c:pt idx="2">
                <c:v>0.45700000000000002</c:v>
              </c:pt>
              <c:pt idx="3">
                <c:v>0.4290000000000001</c:v>
              </c:pt>
              <c:pt idx="4">
                <c:v>0.41400000000000003</c:v>
              </c:pt>
              <c:pt idx="5">
                <c:v>0.40300000000000002</c:v>
              </c:pt>
              <c:pt idx="6">
                <c:v>0.39500000000000007</c:v>
              </c:pt>
              <c:pt idx="7">
                <c:v>0.38100000000000006</c:v>
              </c:pt>
              <c:pt idx="8">
                <c:v>0.37100000000000005</c:v>
              </c:pt>
              <c:pt idx="9">
                <c:v>0.3640000000000001</c:v>
              </c:pt>
              <c:pt idx="10">
                <c:v>0.35800000000000004</c:v>
              </c:pt>
              <c:pt idx="11">
                <c:v>0.35300000000000004</c:v>
              </c:pt>
              <c:pt idx="12">
                <c:v>0.34300000000000008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A27-42FA-94AB-CCEA8BADBF75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0.75400000000000011</c:v>
              </c:pt>
              <c:pt idx="1">
                <c:v>0.68400000000000005</c:v>
              </c:pt>
              <c:pt idx="2">
                <c:v>0.62100000000000011</c:v>
              </c:pt>
              <c:pt idx="3">
                <c:v>0.56299999999999994</c:v>
              </c:pt>
              <c:pt idx="4">
                <c:v>0.53200000000000003</c:v>
              </c:pt>
              <c:pt idx="5">
                <c:v>0.51100000000000001</c:v>
              </c:pt>
              <c:pt idx="6">
                <c:v>0.49600000000000005</c:v>
              </c:pt>
              <c:pt idx="7">
                <c:v>0.46800000000000008</c:v>
              </c:pt>
              <c:pt idx="8">
                <c:v>0.45</c:v>
              </c:pt>
              <c:pt idx="9">
                <c:v>0.43600000000000005</c:v>
              </c:pt>
              <c:pt idx="10">
                <c:v>0.4250000000000001</c:v>
              </c:pt>
              <c:pt idx="11">
                <c:v>0.41600000000000004</c:v>
              </c:pt>
              <c:pt idx="12">
                <c:v>0.39800000000000008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A27-42FA-94AB-CCEA8BAD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37544"/>
        <c:axId val="260337936"/>
      </c:scatterChart>
      <c:valAx>
        <c:axId val="260337544"/>
        <c:scaling>
          <c:orientation val="minMax"/>
          <c:max val="500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rPr lang="en-US"/>
                  <a:t>ChiÒu cao (m)</a:t>
                </a:r>
              </a:p>
            </c:rich>
          </c:tx>
          <c:layout>
            <c:manualLayout>
              <c:xMode val="edge"/>
              <c:yMode val="edge"/>
              <c:x val="0.41251649231049914"/>
              <c:y val="0.9361038795099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60337936"/>
        <c:crosses val="autoZero"/>
        <c:crossBetween val="midCat"/>
        <c:majorUnit val="25"/>
      </c:valAx>
      <c:valAx>
        <c:axId val="260337936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vi-VN" sz="1050" b="1" i="0" u="none" strike="noStrike" baseline="0">
                    <a:solidFill>
                      <a:srgbClr val="000000"/>
                    </a:solidFill>
                  </a:rPr>
                  <a:t>HÖ sè </a:t>
                </a:r>
                <a:r>
                  <a:rPr lang="vi-VN" sz="1050" b="1" i="0" u="none" strike="noStrike" baseline="0">
                    <a:solidFill>
                      <a:srgbClr val="000000"/>
                    </a:solidFill>
                    <a:latin typeface="Symbol"/>
                  </a:rPr>
                  <a:t>z</a:t>
                </a:r>
              </a:p>
            </c:rich>
          </c:tx>
          <c:layout>
            <c:manualLayout>
              <c:xMode val="edge"/>
              <c:yMode val="edge"/>
              <c:x val="8.9399725508245154E-3"/>
              <c:y val="0.40734886840970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60337544"/>
        <c:crosses val="autoZero"/>
        <c:crossBetween val="midCat"/>
        <c:maj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90041067275602549"/>
          <c:y val="0.396178691348684"/>
          <c:w val="8.3016586849846349E-2"/>
          <c:h val="0.13418955674713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0" i="0" u="none" strike="noStrike" baseline="0">
              <a:solidFill>
                <a:srgbClr val="000000"/>
              </a:solidFill>
              <a:latin typeface=".VnArial"/>
              <a:ea typeface=".VnArial"/>
              <a:cs typeface=".Vn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Menu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Menu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hyperlink" Target="#Menu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Menu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iaphragm Mass Data 9.7.4'!A1"/><Relationship Id="rId13" Type="http://schemas.openxmlformats.org/officeDocument/2006/relationships/hyperlink" Target="#'Story Data 2016'!A1"/><Relationship Id="rId3" Type="http://schemas.openxmlformats.org/officeDocument/2006/relationships/hyperlink" Target="#'2.Win Load'!E1"/><Relationship Id="rId7" Type="http://schemas.openxmlformats.org/officeDocument/2006/relationships/hyperlink" Target="#'Building Modes_9.7.4'!A1"/><Relationship Id="rId12" Type="http://schemas.openxmlformats.org/officeDocument/2006/relationships/hyperlink" Target="#'EarthQuake Base'!G40"/><Relationship Id="rId2" Type="http://schemas.openxmlformats.org/officeDocument/2006/relationships/hyperlink" Target="#Ho&#7841;t_t&#7843;i___Live_loads"/><Relationship Id="rId16" Type="http://schemas.openxmlformats.org/officeDocument/2006/relationships/hyperlink" Target="#'Modal Participating Mass 2016'!A1"/><Relationship Id="rId1" Type="http://schemas.openxmlformats.org/officeDocument/2006/relationships/hyperlink" Target="#'1.Dead Load'!A1"/><Relationship Id="rId6" Type="http://schemas.openxmlformats.org/officeDocument/2006/relationships/hyperlink" Target="#'Story Data 9.7.4'!A1"/><Relationship Id="rId11" Type="http://schemas.openxmlformats.org/officeDocument/2006/relationships/hyperlink" Target="#'Wind base'!T1"/><Relationship Id="rId5" Type="http://schemas.openxmlformats.org/officeDocument/2006/relationships/hyperlink" Target="#'4.Combination'!K4"/><Relationship Id="rId15" Type="http://schemas.openxmlformats.org/officeDocument/2006/relationships/hyperlink" Target="#'Mass Summary Diaphragm 2016'!A1"/><Relationship Id="rId10" Type="http://schemas.openxmlformats.org/officeDocument/2006/relationships/hyperlink" Target="#Base!AE2"/><Relationship Id="rId4" Type="http://schemas.openxmlformats.org/officeDocument/2006/relationships/hyperlink" Target="#'3.Earthquake'!Q1"/><Relationship Id="rId9" Type="http://schemas.openxmlformats.org/officeDocument/2006/relationships/hyperlink" Target="#'Modal Participating Mass 9.7.4'!A1"/><Relationship Id="rId14" Type="http://schemas.openxmlformats.org/officeDocument/2006/relationships/hyperlink" Target="#'DC Mass Displacements 201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1.Dead Load'!A1"/><Relationship Id="rId7" Type="http://schemas.openxmlformats.org/officeDocument/2006/relationships/hyperlink" Target="#'4.Combination'!A1"/><Relationship Id="rId2" Type="http://schemas.openxmlformats.org/officeDocument/2006/relationships/hyperlink" Target="#Menu"/><Relationship Id="rId1" Type="http://schemas.openxmlformats.org/officeDocument/2006/relationships/chart" Target="../charts/chart1.xml"/><Relationship Id="rId6" Type="http://schemas.openxmlformats.org/officeDocument/2006/relationships/hyperlink" Target="#'3.Earthquake'!A1"/><Relationship Id="rId5" Type="http://schemas.openxmlformats.org/officeDocument/2006/relationships/hyperlink" Target="#'2.Win Load'!A1"/><Relationship Id="rId4" Type="http://schemas.openxmlformats.org/officeDocument/2006/relationships/hyperlink" Target="#Ho&#7841;t_t&#7843;i___Live_loads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2.emf"/><Relationship Id="rId4" Type="http://schemas.openxmlformats.org/officeDocument/2006/relationships/hyperlink" Target="#Menu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14</xdr:col>
      <xdr:colOff>0</xdr:colOff>
      <xdr:row>3</xdr:row>
      <xdr:rowOff>0</xdr:rowOff>
    </xdr:from>
    <xdr:to>
      <xdr:col>24</xdr:col>
      <xdr:colOff>684243</xdr:colOff>
      <xdr:row>33</xdr:row>
      <xdr:rowOff>73484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1538" y="596621"/>
          <a:ext cx="7592485" cy="60396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18</xdr:col>
      <xdr:colOff>96316</xdr:colOff>
      <xdr:row>33</xdr:row>
      <xdr:rowOff>67522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600075"/>
          <a:ext cx="7640116" cy="60682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12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12</xdr:col>
      <xdr:colOff>0</xdr:colOff>
      <xdr:row>4</xdr:row>
      <xdr:rowOff>0</xdr:rowOff>
    </xdr:from>
    <xdr:to>
      <xdr:col>23</xdr:col>
      <xdr:colOff>10579</xdr:colOff>
      <xdr:row>34</xdr:row>
      <xdr:rowOff>86575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800100"/>
          <a:ext cx="7554379" cy="60873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15</xdr:col>
      <xdr:colOff>96316</xdr:colOff>
      <xdr:row>33</xdr:row>
      <xdr:rowOff>96101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600075"/>
          <a:ext cx="7640116" cy="60968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0</xdr:row>
      <xdr:rowOff>0</xdr:rowOff>
    </xdr:from>
    <xdr:to>
      <xdr:col>15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10306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15</xdr:col>
      <xdr:colOff>0</xdr:colOff>
      <xdr:row>3</xdr:row>
      <xdr:rowOff>0</xdr:rowOff>
    </xdr:from>
    <xdr:to>
      <xdr:col>21</xdr:col>
      <xdr:colOff>581680</xdr:colOff>
      <xdr:row>32</xdr:row>
      <xdr:rowOff>162769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0" y="600075"/>
          <a:ext cx="4696480" cy="604921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0</xdr:rowOff>
    </xdr:from>
    <xdr:to>
      <xdr:col>7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628650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28575</xdr:colOff>
      <xdr:row>3</xdr:row>
      <xdr:rowOff>1</xdr:rowOff>
    </xdr:from>
    <xdr:to>
      <xdr:col>14</xdr:col>
      <xdr:colOff>38100</xdr:colOff>
      <xdr:row>33</xdr:row>
      <xdr:rowOff>19051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73" b="2483"/>
        <a:stretch/>
      </xdr:blipFill>
      <xdr:spPr>
        <a:xfrm>
          <a:off x="6296025" y="600076"/>
          <a:ext cx="4810125" cy="6019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0</xdr:rowOff>
    </xdr:from>
    <xdr:to>
      <xdr:col>10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6877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10</xdr:col>
      <xdr:colOff>38100</xdr:colOff>
      <xdr:row>3</xdr:row>
      <xdr:rowOff>9525</xdr:rowOff>
    </xdr:from>
    <xdr:to>
      <xdr:col>17</xdr:col>
      <xdr:colOff>57823</xdr:colOff>
      <xdr:row>905</xdr:row>
      <xdr:rowOff>29417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609600"/>
          <a:ext cx="4820323" cy="6030167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33</xdr:row>
      <xdr:rowOff>190500</xdr:rowOff>
    </xdr:from>
    <xdr:to>
      <xdr:col>19</xdr:col>
      <xdr:colOff>334280</xdr:colOff>
      <xdr:row>815</xdr:row>
      <xdr:rowOff>143619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6791325"/>
          <a:ext cx="6487430" cy="533474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647700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4352925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6</xdr:col>
      <xdr:colOff>0</xdr:colOff>
      <xdr:row>3</xdr:row>
      <xdr:rowOff>9525</xdr:rowOff>
    </xdr:from>
    <xdr:to>
      <xdr:col>12</xdr:col>
      <xdr:colOff>676275</xdr:colOff>
      <xdr:row>33</xdr:row>
      <xdr:rowOff>162784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97"/>
        <a:stretch/>
      </xdr:blipFill>
      <xdr:spPr>
        <a:xfrm>
          <a:off x="4533900" y="609600"/>
          <a:ext cx="4791075" cy="61540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9526</xdr:rowOff>
    </xdr:from>
    <xdr:to>
      <xdr:col>3</xdr:col>
      <xdr:colOff>1495425</xdr:colOff>
      <xdr:row>1</xdr:row>
      <xdr:rowOff>180976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4086225" y="20002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3</xdr:col>
      <xdr:colOff>1504950</xdr:colOff>
      <xdr:row>1</xdr:row>
      <xdr:rowOff>9525</xdr:rowOff>
    </xdr:from>
    <xdr:to>
      <xdr:col>4</xdr:col>
      <xdr:colOff>333375</xdr:colOff>
      <xdr:row>1</xdr:row>
      <xdr:rowOff>180975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 noChangeArrowheads="1"/>
        </xdr:cNvSpPr>
      </xdr:nvSpPr>
      <xdr:spPr bwMode="auto">
        <a:xfrm>
          <a:off x="493395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4</xdr:col>
      <xdr:colOff>342900</xdr:colOff>
      <xdr:row>1</xdr:row>
      <xdr:rowOff>9525</xdr:rowOff>
    </xdr:from>
    <xdr:to>
      <xdr:col>5</xdr:col>
      <xdr:colOff>361950</xdr:colOff>
      <xdr:row>1</xdr:row>
      <xdr:rowOff>180975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 noChangeArrowheads="1"/>
        </xdr:cNvSpPr>
      </xdr:nvSpPr>
      <xdr:spPr bwMode="auto">
        <a:xfrm>
          <a:off x="578167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5</xdr:col>
      <xdr:colOff>371475</xdr:colOff>
      <xdr:row>1</xdr:row>
      <xdr:rowOff>9525</xdr:rowOff>
    </xdr:from>
    <xdr:to>
      <xdr:col>6</xdr:col>
      <xdr:colOff>619125</xdr:colOff>
      <xdr:row>1</xdr:row>
      <xdr:rowOff>180975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Arrowheads="1"/>
        </xdr:cNvSpPr>
      </xdr:nvSpPr>
      <xdr:spPr bwMode="auto">
        <a:xfrm>
          <a:off x="662940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6</xdr:col>
      <xdr:colOff>628650</xdr:colOff>
      <xdr:row>1</xdr:row>
      <xdr:rowOff>9525</xdr:rowOff>
    </xdr:from>
    <xdr:to>
      <xdr:col>7</xdr:col>
      <xdr:colOff>666750</xdr:colOff>
      <xdr:row>1</xdr:row>
      <xdr:rowOff>180975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>
          <a:spLocks noChangeArrowheads="1"/>
        </xdr:cNvSpPr>
      </xdr:nvSpPr>
      <xdr:spPr bwMode="auto">
        <a:xfrm>
          <a:off x="747712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0</xdr:col>
      <xdr:colOff>38100</xdr:colOff>
      <xdr:row>0</xdr:row>
      <xdr:rowOff>180975</xdr:rowOff>
    </xdr:from>
    <xdr:to>
      <xdr:col>0</xdr:col>
      <xdr:colOff>876300</xdr:colOff>
      <xdr:row>1</xdr:row>
      <xdr:rowOff>180975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>
          <a:spLocks noChangeArrowheads="1"/>
        </xdr:cNvSpPr>
      </xdr:nvSpPr>
      <xdr:spPr bwMode="auto">
        <a:xfrm>
          <a:off x="38100" y="180975"/>
          <a:ext cx="838200" cy="190500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DATA</a:t>
          </a:r>
        </a:p>
      </xdr:txBody>
    </xdr:sp>
    <xdr:clientData fPrintsWithSheet="0"/>
  </xdr:twoCellAnchor>
  <xdr:twoCellAnchor>
    <xdr:from>
      <xdr:col>0</xdr:col>
      <xdr:colOff>876300</xdr:colOff>
      <xdr:row>0</xdr:row>
      <xdr:rowOff>180974</xdr:rowOff>
    </xdr:from>
    <xdr:to>
      <xdr:col>2</xdr:col>
      <xdr:colOff>9526</xdr:colOff>
      <xdr:row>2</xdr:row>
      <xdr:rowOff>0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>
          <a:spLocks noChangeArrowheads="1"/>
        </xdr:cNvSpPr>
      </xdr:nvSpPr>
      <xdr:spPr bwMode="auto">
        <a:xfrm>
          <a:off x="876300" y="180974"/>
          <a:ext cx="1200151" cy="20002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BUILDING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MODES</a:t>
          </a:r>
        </a:p>
      </xdr:txBody>
    </xdr:sp>
    <xdr:clientData fPrintsWithSheet="0"/>
  </xdr:twoCellAnchor>
  <xdr:twoCellAnchor>
    <xdr:from>
      <xdr:col>2</xdr:col>
      <xdr:colOff>19049</xdr:colOff>
      <xdr:row>0</xdr:row>
      <xdr:rowOff>190499</xdr:rowOff>
    </xdr:from>
    <xdr:to>
      <xdr:col>2</xdr:col>
      <xdr:colOff>1019174</xdr:colOff>
      <xdr:row>1</xdr:row>
      <xdr:rowOff>180975</xdr:rowOff>
    </xdr:to>
    <xdr:sp macro="" textlink="">
      <xdr:nvSpPr>
        <xdr:cNvPr id="13" name="ABC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>
          <a:spLocks noChangeArrowheads="1"/>
        </xdr:cNvSpPr>
      </xdr:nvSpPr>
      <xdr:spPr bwMode="auto">
        <a:xfrm>
          <a:off x="2019299" y="190499"/>
          <a:ext cx="1000125" cy="18097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2</xdr:col>
      <xdr:colOff>1028700</xdr:colOff>
      <xdr:row>1</xdr:row>
      <xdr:rowOff>1</xdr:rowOff>
    </xdr:from>
    <xdr:to>
      <xdr:col>3</xdr:col>
      <xdr:colOff>657225</xdr:colOff>
      <xdr:row>1</xdr:row>
      <xdr:rowOff>180975</xdr:rowOff>
    </xdr:to>
    <xdr:sp macro="" textlink="">
      <xdr:nvSpPr>
        <xdr:cNvPr id="14" name="ABC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>
          <a:spLocks noChangeArrowheads="1"/>
        </xdr:cNvSpPr>
      </xdr:nvSpPr>
      <xdr:spPr bwMode="auto">
        <a:xfrm>
          <a:off x="3028950" y="190501"/>
          <a:ext cx="1057275" cy="180974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0</xdr:col>
      <xdr:colOff>28575</xdr:colOff>
      <xdr:row>0</xdr:row>
      <xdr:rowOff>0</xdr:rowOff>
    </xdr:from>
    <xdr:to>
      <xdr:col>3</xdr:col>
      <xdr:colOff>647700</xdr:colOff>
      <xdr:row>0</xdr:row>
      <xdr:rowOff>180975</xdr:rowOff>
    </xdr:to>
    <xdr:sp macro="" textlink="">
      <xdr:nvSpPr>
        <xdr:cNvPr id="15" name="ABC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4048125" cy="180975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9.7.4</a:t>
          </a:r>
        </a:p>
      </xdr:txBody>
    </xdr:sp>
    <xdr:clientData fPrintsWithSheet="0"/>
  </xdr:twoCellAnchor>
  <xdr:twoCellAnchor>
    <xdr:from>
      <xdr:col>3</xdr:col>
      <xdr:colOff>657225</xdr:colOff>
      <xdr:row>0</xdr:row>
      <xdr:rowOff>0</xdr:rowOff>
    </xdr:from>
    <xdr:to>
      <xdr:col>7</xdr:col>
      <xdr:colOff>666750</xdr:colOff>
      <xdr:row>1</xdr:row>
      <xdr:rowOff>0</xdr:rowOff>
    </xdr:to>
    <xdr:sp macro="" textlink="">
      <xdr:nvSpPr>
        <xdr:cNvPr id="17" name="ABC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 noChangeArrowheads="1"/>
        </xdr:cNvSpPr>
      </xdr:nvSpPr>
      <xdr:spPr bwMode="auto">
        <a:xfrm>
          <a:off x="4086225" y="0"/>
          <a:ext cx="4229100" cy="19050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BẢNG TÍNH VÀ PRINT</a:t>
          </a:r>
        </a:p>
      </xdr:txBody>
    </xdr:sp>
    <xdr:clientData fPrintsWithSheet="0"/>
  </xdr:twoCellAnchor>
  <xdr:twoCellAnchor>
    <xdr:from>
      <xdr:col>8</xdr:col>
      <xdr:colOff>19050</xdr:colOff>
      <xdr:row>1</xdr:row>
      <xdr:rowOff>0</xdr:rowOff>
    </xdr:from>
    <xdr:to>
      <xdr:col>9</xdr:col>
      <xdr:colOff>247650</xdr:colOff>
      <xdr:row>1</xdr:row>
      <xdr:rowOff>171450</xdr:rowOff>
    </xdr:to>
    <xdr:sp macro="" textlink="">
      <xdr:nvSpPr>
        <xdr:cNvPr id="18" name="ABC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 noChangeArrowheads="1"/>
        </xdr:cNvSpPr>
      </xdr:nvSpPr>
      <xdr:spPr bwMode="auto">
        <a:xfrm>
          <a:off x="83534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BASE</a:t>
          </a:r>
        </a:p>
      </xdr:txBody>
    </xdr:sp>
    <xdr:clientData fPrintsWithSheet="0"/>
  </xdr:twoCellAnchor>
  <xdr:twoCellAnchor>
    <xdr:from>
      <xdr:col>9</xdr:col>
      <xdr:colOff>247650</xdr:colOff>
      <xdr:row>1</xdr:row>
      <xdr:rowOff>0</xdr:rowOff>
    </xdr:from>
    <xdr:to>
      <xdr:col>10</xdr:col>
      <xdr:colOff>447675</xdr:colOff>
      <xdr:row>1</xdr:row>
      <xdr:rowOff>171450</xdr:rowOff>
    </xdr:to>
    <xdr:sp macro="" textlink="">
      <xdr:nvSpPr>
        <xdr:cNvPr id="19" name="ABC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>
          <a:spLocks noChangeArrowheads="1"/>
        </xdr:cNvSpPr>
      </xdr:nvSpPr>
      <xdr:spPr bwMode="auto">
        <a:xfrm>
          <a:off x="91916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WIND BASE</a:t>
          </a:r>
        </a:p>
      </xdr:txBody>
    </xdr:sp>
    <xdr:clientData fPrintsWithSheet="0"/>
  </xdr:twoCellAnchor>
  <xdr:twoCellAnchor>
    <xdr:from>
      <xdr:col>10</xdr:col>
      <xdr:colOff>457200</xdr:colOff>
      <xdr:row>1</xdr:row>
      <xdr:rowOff>0</xdr:rowOff>
    </xdr:from>
    <xdr:to>
      <xdr:col>11</xdr:col>
      <xdr:colOff>657225</xdr:colOff>
      <xdr:row>1</xdr:row>
      <xdr:rowOff>171450</xdr:rowOff>
    </xdr:to>
    <xdr:sp macro="" textlink="">
      <xdr:nvSpPr>
        <xdr:cNvPr id="20" name="ABC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Arrowheads="1"/>
        </xdr:cNvSpPr>
      </xdr:nvSpPr>
      <xdr:spPr bwMode="auto">
        <a:xfrm>
          <a:off x="10039350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EQ BASE</a:t>
          </a:r>
        </a:p>
      </xdr:txBody>
    </xdr:sp>
    <xdr:clientData fPrintsWithSheet="0"/>
  </xdr:twoCellAnchor>
  <xdr:twoCellAnchor>
    <xdr:from>
      <xdr:col>8</xdr:col>
      <xdr:colOff>9524</xdr:colOff>
      <xdr:row>0</xdr:row>
      <xdr:rowOff>0</xdr:rowOff>
    </xdr:from>
    <xdr:to>
      <xdr:col>11</xdr:col>
      <xdr:colOff>647699</xdr:colOff>
      <xdr:row>0</xdr:row>
      <xdr:rowOff>180974</xdr:rowOff>
    </xdr:to>
    <xdr:sp macro="" textlink="">
      <xdr:nvSpPr>
        <xdr:cNvPr id="21" name="ABC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rrowheads="1"/>
        </xdr:cNvSpPr>
      </xdr:nvSpPr>
      <xdr:spPr bwMode="auto">
        <a:xfrm>
          <a:off x="8343899" y="0"/>
          <a:ext cx="2524125" cy="180974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DỮ LIỆU NGUỒN KHÔNG  ĐƯỢC XÓA</a:t>
          </a:r>
        </a:p>
      </xdr:txBody>
    </xdr:sp>
    <xdr:clientData fPrintsWithSheet="0"/>
  </xdr:twoCellAnchor>
  <xdr:twoCellAnchor>
    <xdr:from>
      <xdr:col>0</xdr:col>
      <xdr:colOff>0</xdr:colOff>
      <xdr:row>2</xdr:row>
      <xdr:rowOff>0</xdr:rowOff>
    </xdr:from>
    <xdr:to>
      <xdr:col>3</xdr:col>
      <xdr:colOff>647699</xdr:colOff>
      <xdr:row>2</xdr:row>
      <xdr:rowOff>180975</xdr:rowOff>
    </xdr:to>
    <xdr:sp macro="" textlink="">
      <xdr:nvSpPr>
        <xdr:cNvPr id="22" name="ABC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>
          <a:spLocks noChangeArrowheads="1"/>
        </xdr:cNvSpPr>
      </xdr:nvSpPr>
      <xdr:spPr bwMode="auto">
        <a:xfrm>
          <a:off x="0" y="381000"/>
          <a:ext cx="4143374" cy="180975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 2013 TRỞ LÊN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1</xdr:rowOff>
    </xdr:from>
    <xdr:to>
      <xdr:col>0</xdr:col>
      <xdr:colOff>838200</xdr:colOff>
      <xdr:row>4</xdr:row>
      <xdr:rowOff>1</xdr:rowOff>
    </xdr:to>
    <xdr:sp macro="" textlink="">
      <xdr:nvSpPr>
        <xdr:cNvPr id="25" name="ABC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>
          <a:spLocks noChangeArrowheads="1"/>
        </xdr:cNvSpPr>
      </xdr:nvSpPr>
      <xdr:spPr bwMode="auto">
        <a:xfrm>
          <a:off x="0" y="571501"/>
          <a:ext cx="838200" cy="190500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DATA</a:t>
          </a:r>
        </a:p>
      </xdr:txBody>
    </xdr:sp>
    <xdr:clientData fPrintsWithSheet="0"/>
  </xdr:twoCellAnchor>
  <xdr:twoCellAnchor>
    <xdr:from>
      <xdr:col>0</xdr:col>
      <xdr:colOff>838200</xdr:colOff>
      <xdr:row>3</xdr:row>
      <xdr:rowOff>0</xdr:rowOff>
    </xdr:from>
    <xdr:to>
      <xdr:col>1</xdr:col>
      <xdr:colOff>1000126</xdr:colOff>
      <xdr:row>4</xdr:row>
      <xdr:rowOff>9526</xdr:rowOff>
    </xdr:to>
    <xdr:sp macro="" textlink="">
      <xdr:nvSpPr>
        <xdr:cNvPr id="26" name="ABC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>
          <a:spLocks noChangeArrowheads="1"/>
        </xdr:cNvSpPr>
      </xdr:nvSpPr>
      <xdr:spPr bwMode="auto">
        <a:xfrm>
          <a:off x="838200" y="571500"/>
          <a:ext cx="1200151" cy="20002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DC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DISPL</a:t>
          </a:r>
        </a:p>
      </xdr:txBody>
    </xdr:sp>
    <xdr:clientData fPrintsWithSheet="0"/>
  </xdr:twoCellAnchor>
  <xdr:twoCellAnchor>
    <xdr:from>
      <xdr:col>1</xdr:col>
      <xdr:colOff>1009649</xdr:colOff>
      <xdr:row>3</xdr:row>
      <xdr:rowOff>9525</xdr:rowOff>
    </xdr:from>
    <xdr:to>
      <xdr:col>2</xdr:col>
      <xdr:colOff>981074</xdr:colOff>
      <xdr:row>4</xdr:row>
      <xdr:rowOff>1</xdr:rowOff>
    </xdr:to>
    <xdr:sp macro="" textlink="">
      <xdr:nvSpPr>
        <xdr:cNvPr id="27" name="ABC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>
          <a:spLocks noChangeArrowheads="1"/>
        </xdr:cNvSpPr>
      </xdr:nvSpPr>
      <xdr:spPr bwMode="auto">
        <a:xfrm>
          <a:off x="2047874" y="581025"/>
          <a:ext cx="1000125" cy="18097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SUMMARY</a:t>
          </a:r>
        </a:p>
      </xdr:txBody>
    </xdr:sp>
    <xdr:clientData fPrintsWithSheet="0"/>
  </xdr:twoCellAnchor>
  <xdr:twoCellAnchor>
    <xdr:from>
      <xdr:col>2</xdr:col>
      <xdr:colOff>990600</xdr:colOff>
      <xdr:row>3</xdr:row>
      <xdr:rowOff>9527</xdr:rowOff>
    </xdr:from>
    <xdr:to>
      <xdr:col>3</xdr:col>
      <xdr:colOff>657225</xdr:colOff>
      <xdr:row>4</xdr:row>
      <xdr:rowOff>9525</xdr:rowOff>
    </xdr:to>
    <xdr:sp macro="" textlink="">
      <xdr:nvSpPr>
        <xdr:cNvPr id="28" name="ABC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>
          <a:spLocks noChangeArrowheads="1"/>
        </xdr:cNvSpPr>
      </xdr:nvSpPr>
      <xdr:spPr bwMode="auto">
        <a:xfrm>
          <a:off x="3057525" y="581027"/>
          <a:ext cx="1095375" cy="190498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537880</xdr:colOff>
      <xdr:row>2</xdr:row>
      <xdr:rowOff>212911</xdr:rowOff>
    </xdr:from>
    <xdr:to>
      <xdr:col>11</xdr:col>
      <xdr:colOff>638732</xdr:colOff>
      <xdr:row>4</xdr:row>
      <xdr:rowOff>33617</xdr:rowOff>
    </xdr:to>
    <xdr:sp macro="[0]!LocDieuKien_1" textlink="">
      <xdr:nvSpPr>
        <xdr:cNvPr id="3" name="ABC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9132792" y="593911"/>
          <a:ext cx="784411" cy="36979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Filter</a:t>
          </a:r>
        </a:p>
      </xdr:txBody>
    </xdr:sp>
    <xdr:clientData fPrintsWithSheet="0"/>
  </xdr:twoCellAnchor>
  <xdr:twoCellAnchor>
    <xdr:from>
      <xdr:col>10</xdr:col>
      <xdr:colOff>537881</xdr:colOff>
      <xdr:row>0</xdr:row>
      <xdr:rowOff>224118</xdr:rowOff>
    </xdr:from>
    <xdr:to>
      <xdr:col>11</xdr:col>
      <xdr:colOff>616324</xdr:colOff>
      <xdr:row>2</xdr:row>
      <xdr:rowOff>89648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9054352" y="224118"/>
          <a:ext cx="762001" cy="42582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537881</xdr:colOff>
      <xdr:row>249</xdr:row>
      <xdr:rowOff>134470</xdr:rowOff>
    </xdr:from>
    <xdr:to>
      <xdr:col>11</xdr:col>
      <xdr:colOff>605116</xdr:colOff>
      <xdr:row>251</xdr:row>
      <xdr:rowOff>56029</xdr:rowOff>
    </xdr:to>
    <xdr:sp macro="" textlink="">
      <xdr:nvSpPr>
        <xdr:cNvPr id="5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9132793" y="29695588"/>
          <a:ext cx="750794" cy="358588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0</xdr:rowOff>
    </xdr:from>
    <xdr:to>
      <xdr:col>11</xdr:col>
      <xdr:colOff>670110</xdr:colOff>
      <xdr:row>5</xdr:row>
      <xdr:rowOff>171450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>
          <a:spLocks noChangeArrowheads="1"/>
        </xdr:cNvSpPr>
      </xdr:nvSpPr>
      <xdr:spPr bwMode="auto">
        <a:xfrm>
          <a:off x="9143998" y="129988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168088</xdr:rowOff>
    </xdr:from>
    <xdr:to>
      <xdr:col>11</xdr:col>
      <xdr:colOff>670110</xdr:colOff>
      <xdr:row>6</xdr:row>
      <xdr:rowOff>149038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>
          <a:spLocks noChangeArrowheads="1"/>
        </xdr:cNvSpPr>
      </xdr:nvSpPr>
      <xdr:spPr bwMode="auto">
        <a:xfrm>
          <a:off x="9143998" y="14679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515469</xdr:colOff>
      <xdr:row>6</xdr:row>
      <xdr:rowOff>156878</xdr:rowOff>
    </xdr:from>
    <xdr:to>
      <xdr:col>11</xdr:col>
      <xdr:colOff>670110</xdr:colOff>
      <xdr:row>7</xdr:row>
      <xdr:rowOff>137828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 noChangeArrowheads="1"/>
        </xdr:cNvSpPr>
      </xdr:nvSpPr>
      <xdr:spPr bwMode="auto">
        <a:xfrm>
          <a:off x="9143998" y="164726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515467</xdr:colOff>
      <xdr:row>7</xdr:row>
      <xdr:rowOff>134471</xdr:rowOff>
    </xdr:from>
    <xdr:to>
      <xdr:col>11</xdr:col>
      <xdr:colOff>670108</xdr:colOff>
      <xdr:row>8</xdr:row>
      <xdr:rowOff>115421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>
          <a:spLocks noChangeArrowheads="1"/>
        </xdr:cNvSpPr>
      </xdr:nvSpPr>
      <xdr:spPr bwMode="auto">
        <a:xfrm>
          <a:off x="9143996" y="181535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515469</xdr:colOff>
      <xdr:row>8</xdr:row>
      <xdr:rowOff>123264</xdr:rowOff>
    </xdr:from>
    <xdr:to>
      <xdr:col>11</xdr:col>
      <xdr:colOff>670110</xdr:colOff>
      <xdr:row>9</xdr:row>
      <xdr:rowOff>70596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>
          <a:spLocks noChangeArrowheads="1"/>
        </xdr:cNvSpPr>
      </xdr:nvSpPr>
      <xdr:spPr bwMode="auto">
        <a:xfrm>
          <a:off x="9143998" y="199464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10</xdr:col>
      <xdr:colOff>515471</xdr:colOff>
      <xdr:row>252</xdr:row>
      <xdr:rowOff>11247</xdr:rowOff>
    </xdr:from>
    <xdr:to>
      <xdr:col>11</xdr:col>
      <xdr:colOff>670112</xdr:colOff>
      <xdr:row>252</xdr:row>
      <xdr:rowOff>179308</xdr:rowOff>
    </xdr:to>
    <xdr:sp macro="" textlink="">
      <xdr:nvSpPr>
        <xdr:cNvPr id="13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>
          <a:spLocks noChangeArrowheads="1"/>
        </xdr:cNvSpPr>
      </xdr:nvSpPr>
      <xdr:spPr bwMode="auto">
        <a:xfrm>
          <a:off x="9144000" y="3250830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515471</xdr:colOff>
      <xdr:row>252</xdr:row>
      <xdr:rowOff>179308</xdr:rowOff>
    </xdr:from>
    <xdr:to>
      <xdr:col>11</xdr:col>
      <xdr:colOff>670112</xdr:colOff>
      <xdr:row>253</xdr:row>
      <xdr:rowOff>137873</xdr:rowOff>
    </xdr:to>
    <xdr:sp macro="" textlink="">
      <xdr:nvSpPr>
        <xdr:cNvPr id="14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>
          <a:spLocks noChangeArrowheads="1"/>
        </xdr:cNvSpPr>
      </xdr:nvSpPr>
      <xdr:spPr bwMode="auto">
        <a:xfrm>
          <a:off x="9144000" y="3267636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515471</xdr:colOff>
      <xdr:row>253</xdr:row>
      <xdr:rowOff>145713</xdr:rowOff>
    </xdr:from>
    <xdr:to>
      <xdr:col>11</xdr:col>
      <xdr:colOff>670112</xdr:colOff>
      <xdr:row>254</xdr:row>
      <xdr:rowOff>81840</xdr:rowOff>
    </xdr:to>
    <xdr:sp macro="" textlink="">
      <xdr:nvSpPr>
        <xdr:cNvPr id="15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>
          <a:spLocks noChangeArrowheads="1"/>
        </xdr:cNvSpPr>
      </xdr:nvSpPr>
      <xdr:spPr bwMode="auto">
        <a:xfrm>
          <a:off x="9144000" y="3285568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515469</xdr:colOff>
      <xdr:row>254</xdr:row>
      <xdr:rowOff>78483</xdr:rowOff>
    </xdr:from>
    <xdr:to>
      <xdr:col>11</xdr:col>
      <xdr:colOff>670110</xdr:colOff>
      <xdr:row>254</xdr:row>
      <xdr:rowOff>249933</xdr:rowOff>
    </xdr:to>
    <xdr:sp macro="" textlink="">
      <xdr:nvSpPr>
        <xdr:cNvPr id="16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>
          <a:spLocks noChangeArrowheads="1"/>
        </xdr:cNvSpPr>
      </xdr:nvSpPr>
      <xdr:spPr bwMode="auto">
        <a:xfrm>
          <a:off x="9143998" y="3302377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515471</xdr:colOff>
      <xdr:row>254</xdr:row>
      <xdr:rowOff>257776</xdr:rowOff>
    </xdr:from>
    <xdr:to>
      <xdr:col>11</xdr:col>
      <xdr:colOff>670112</xdr:colOff>
      <xdr:row>255</xdr:row>
      <xdr:rowOff>137873</xdr:rowOff>
    </xdr:to>
    <xdr:sp macro="" textlink="">
      <xdr:nvSpPr>
        <xdr:cNvPr id="17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>
          <a:spLocks noChangeArrowheads="1"/>
        </xdr:cNvSpPr>
      </xdr:nvSpPr>
      <xdr:spPr bwMode="auto">
        <a:xfrm>
          <a:off x="9144000" y="332030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112053</xdr:colOff>
      <xdr:row>3</xdr:row>
      <xdr:rowOff>22410</xdr:rowOff>
    </xdr:from>
    <xdr:to>
      <xdr:col>18</xdr:col>
      <xdr:colOff>862846</xdr:colOff>
      <xdr:row>5</xdr:row>
      <xdr:rowOff>22410</xdr:rowOff>
    </xdr:to>
    <xdr:sp macro="[0]!LocDieuKien_1" textlink="">
      <xdr:nvSpPr>
        <xdr:cNvPr id="5" name="ABC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9782729" y="593910"/>
          <a:ext cx="750793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Filter</a:t>
          </a:r>
        </a:p>
      </xdr:txBody>
    </xdr:sp>
    <xdr:clientData fPrintsWithSheet="0"/>
  </xdr:twoCellAnchor>
  <xdr:twoCellAnchor>
    <xdr:from>
      <xdr:col>18</xdr:col>
      <xdr:colOff>100847</xdr:colOff>
      <xdr:row>0</xdr:row>
      <xdr:rowOff>246528</xdr:rowOff>
    </xdr:from>
    <xdr:to>
      <xdr:col>18</xdr:col>
      <xdr:colOff>829236</xdr:colOff>
      <xdr:row>2</xdr:row>
      <xdr:rowOff>44819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9771523" y="246528"/>
          <a:ext cx="728389" cy="35858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119</xdr:row>
          <xdr:rowOff>19050</xdr:rowOff>
        </xdr:from>
        <xdr:to>
          <xdr:col>13</xdr:col>
          <xdr:colOff>390525</xdr:colOff>
          <xdr:row>122</xdr:row>
          <xdr:rowOff>57150</xdr:rowOff>
        </xdr:to>
        <xdr:sp macro="" textlink="">
          <xdr:nvSpPr>
            <xdr:cNvPr id="487427" name="Object 3" hidden="1">
              <a:extLst>
                <a:ext uri="{63B3BB69-23CF-44E3-9099-C40C66FF867C}">
                  <a14:compatExt spid="_x0000_s487427"/>
                </a:ext>
                <a:ext uri="{FF2B5EF4-FFF2-40B4-BE49-F238E27FC236}">
                  <a16:creationId xmlns:a16="http://schemas.microsoft.com/office/drawing/2014/main" id="{00000000-0008-0000-0E00-000003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119</xdr:row>
          <xdr:rowOff>0</xdr:rowOff>
        </xdr:from>
        <xdr:to>
          <xdr:col>16</xdr:col>
          <xdr:colOff>304800</xdr:colOff>
          <xdr:row>122</xdr:row>
          <xdr:rowOff>38100</xdr:rowOff>
        </xdr:to>
        <xdr:sp macro="" textlink="">
          <xdr:nvSpPr>
            <xdr:cNvPr id="487428" name="Object 4" hidden="1">
              <a:extLst>
                <a:ext uri="{63B3BB69-23CF-44E3-9099-C40C66FF867C}">
                  <a14:compatExt spid="_x0000_s487428"/>
                </a:ext>
                <a:ext uri="{FF2B5EF4-FFF2-40B4-BE49-F238E27FC236}">
                  <a16:creationId xmlns:a16="http://schemas.microsoft.com/office/drawing/2014/main" id="{00000000-0008-0000-0E00-000004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123268</xdr:colOff>
      <xdr:row>5</xdr:row>
      <xdr:rowOff>112007</xdr:rowOff>
    </xdr:from>
    <xdr:to>
      <xdr:col>18</xdr:col>
      <xdr:colOff>961468</xdr:colOff>
      <xdr:row>6</xdr:row>
      <xdr:rowOff>89568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>
          <a:spLocks noChangeArrowheads="1"/>
        </xdr:cNvSpPr>
      </xdr:nvSpPr>
      <xdr:spPr bwMode="auto">
        <a:xfrm>
          <a:off x="9962033" y="131103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18</xdr:col>
      <xdr:colOff>123268</xdr:colOff>
      <xdr:row>6</xdr:row>
      <xdr:rowOff>89568</xdr:rowOff>
    </xdr:from>
    <xdr:to>
      <xdr:col>18</xdr:col>
      <xdr:colOff>961468</xdr:colOff>
      <xdr:row>7</xdr:row>
      <xdr:rowOff>70545</xdr:rowOff>
    </xdr:to>
    <xdr:sp macro="" textlink="">
      <xdr:nvSpPr>
        <xdr:cNvPr id="7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 noChangeArrowheads="1"/>
        </xdr:cNvSpPr>
      </xdr:nvSpPr>
      <xdr:spPr bwMode="auto">
        <a:xfrm>
          <a:off x="9962033" y="147909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18</xdr:col>
      <xdr:colOff>123268</xdr:colOff>
      <xdr:row>7</xdr:row>
      <xdr:rowOff>78385</xdr:rowOff>
    </xdr:from>
    <xdr:to>
      <xdr:col>18</xdr:col>
      <xdr:colOff>961468</xdr:colOff>
      <xdr:row>8</xdr:row>
      <xdr:rowOff>25717</xdr:rowOff>
    </xdr:to>
    <xdr:sp macro="" textlink="">
      <xdr:nvSpPr>
        <xdr:cNvPr id="8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>
          <a:spLocks noChangeArrowheads="1"/>
        </xdr:cNvSpPr>
      </xdr:nvSpPr>
      <xdr:spPr bwMode="auto">
        <a:xfrm>
          <a:off x="9962033" y="165841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18</xdr:col>
      <xdr:colOff>123266</xdr:colOff>
      <xdr:row>8</xdr:row>
      <xdr:rowOff>22360</xdr:rowOff>
    </xdr:from>
    <xdr:to>
      <xdr:col>18</xdr:col>
      <xdr:colOff>961466</xdr:colOff>
      <xdr:row>8</xdr:row>
      <xdr:rowOff>193810</xdr:rowOff>
    </xdr:to>
    <xdr:sp macro="" textlink="">
      <xdr:nvSpPr>
        <xdr:cNvPr id="9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>
          <a:spLocks noChangeArrowheads="1"/>
        </xdr:cNvSpPr>
      </xdr:nvSpPr>
      <xdr:spPr bwMode="auto">
        <a:xfrm>
          <a:off x="9962031" y="182650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18</xdr:col>
      <xdr:colOff>123268</xdr:colOff>
      <xdr:row>8</xdr:row>
      <xdr:rowOff>201653</xdr:rowOff>
    </xdr:from>
    <xdr:to>
      <xdr:col>18</xdr:col>
      <xdr:colOff>961468</xdr:colOff>
      <xdr:row>9</xdr:row>
      <xdr:rowOff>137779</xdr:rowOff>
    </xdr:to>
    <xdr:sp macro="" textlink="">
      <xdr:nvSpPr>
        <xdr:cNvPr id="10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>
          <a:spLocks noChangeArrowheads="1"/>
        </xdr:cNvSpPr>
      </xdr:nvSpPr>
      <xdr:spPr bwMode="auto">
        <a:xfrm>
          <a:off x="9962033" y="200580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222656</xdr:colOff>
      <xdr:row>53</xdr:row>
      <xdr:rowOff>113033</xdr:rowOff>
    </xdr:from>
    <xdr:to>
      <xdr:col>13</xdr:col>
      <xdr:colOff>504265</xdr:colOff>
      <xdr:row>70</xdr:row>
      <xdr:rowOff>11206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33612</xdr:colOff>
      <xdr:row>0</xdr:row>
      <xdr:rowOff>224120</xdr:rowOff>
    </xdr:from>
    <xdr:to>
      <xdr:col>17</xdr:col>
      <xdr:colOff>11206</xdr:colOff>
      <xdr:row>2</xdr:row>
      <xdr:rowOff>33618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 noChangeArrowheads="1"/>
        </xdr:cNvSpPr>
      </xdr:nvSpPr>
      <xdr:spPr bwMode="auto">
        <a:xfrm>
          <a:off x="12304053" y="224120"/>
          <a:ext cx="605124" cy="302557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20</xdr:row>
          <xdr:rowOff>104775</xdr:rowOff>
        </xdr:from>
        <xdr:to>
          <xdr:col>5</xdr:col>
          <xdr:colOff>123825</xdr:colOff>
          <xdr:row>24</xdr:row>
          <xdr:rowOff>180975</xdr:rowOff>
        </xdr:to>
        <xdr:sp macro="" textlink="">
          <xdr:nvSpPr>
            <xdr:cNvPr id="493572" name="Object 4" hidden="1">
              <a:extLst>
                <a:ext uri="{63B3BB69-23CF-44E3-9099-C40C66FF867C}">
                  <a14:compatExt spid="_x0000_s493572"/>
                </a:ext>
                <a:ext uri="{FF2B5EF4-FFF2-40B4-BE49-F238E27FC236}">
                  <a16:creationId xmlns:a16="http://schemas.microsoft.com/office/drawing/2014/main" id="{00000000-0008-0000-0F00-000004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85725</xdr:rowOff>
        </xdr:from>
        <xdr:to>
          <xdr:col>5</xdr:col>
          <xdr:colOff>114300</xdr:colOff>
          <xdr:row>12</xdr:row>
          <xdr:rowOff>57150</xdr:rowOff>
        </xdr:to>
        <xdr:sp macro="" textlink="">
          <xdr:nvSpPr>
            <xdr:cNvPr id="493577" name="Object 9" hidden="1">
              <a:extLst>
                <a:ext uri="{63B3BB69-23CF-44E3-9099-C40C66FF867C}">
                  <a14:compatExt spid="_x0000_s493577"/>
                </a:ext>
                <a:ext uri="{FF2B5EF4-FFF2-40B4-BE49-F238E27FC236}">
                  <a16:creationId xmlns:a16="http://schemas.microsoft.com/office/drawing/2014/main" id="{00000000-0008-0000-0F00-000009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12</xdr:row>
          <xdr:rowOff>104775</xdr:rowOff>
        </xdr:from>
        <xdr:to>
          <xdr:col>4</xdr:col>
          <xdr:colOff>371475</xdr:colOff>
          <xdr:row>15</xdr:row>
          <xdr:rowOff>38100</xdr:rowOff>
        </xdr:to>
        <xdr:sp macro="" textlink="">
          <xdr:nvSpPr>
            <xdr:cNvPr id="493578" name="Object 10" hidden="1">
              <a:extLst>
                <a:ext uri="{63B3BB69-23CF-44E3-9099-C40C66FF867C}">
                  <a14:compatExt spid="_x0000_s493578"/>
                </a:ext>
                <a:ext uri="{FF2B5EF4-FFF2-40B4-BE49-F238E27FC236}">
                  <a16:creationId xmlns:a16="http://schemas.microsoft.com/office/drawing/2014/main" id="{00000000-0008-0000-0F00-00000A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190500</xdr:rowOff>
        </xdr:from>
        <xdr:to>
          <xdr:col>5</xdr:col>
          <xdr:colOff>76200</xdr:colOff>
          <xdr:row>19</xdr:row>
          <xdr:rowOff>76200</xdr:rowOff>
        </xdr:to>
        <xdr:sp macro="" textlink="">
          <xdr:nvSpPr>
            <xdr:cNvPr id="493619" name="Object 51" hidden="1">
              <a:extLst>
                <a:ext uri="{63B3BB69-23CF-44E3-9099-C40C66FF867C}">
                  <a14:compatExt spid="_x0000_s493619"/>
                </a:ext>
                <a:ext uri="{FF2B5EF4-FFF2-40B4-BE49-F238E27FC236}">
                  <a16:creationId xmlns:a16="http://schemas.microsoft.com/office/drawing/2014/main" id="{00000000-0008-0000-0F00-000033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56030</xdr:colOff>
      <xdr:row>2</xdr:row>
      <xdr:rowOff>100841</xdr:rowOff>
    </xdr:from>
    <xdr:to>
      <xdr:col>17</xdr:col>
      <xdr:colOff>266701</xdr:colOff>
      <xdr:row>3</xdr:row>
      <xdr:rowOff>11167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Arrowheads="1"/>
        </xdr:cNvSpPr>
      </xdr:nvSpPr>
      <xdr:spPr bwMode="auto">
        <a:xfrm>
          <a:off x="11407589" y="661135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11167</xdr:rowOff>
    </xdr:from>
    <xdr:to>
      <xdr:col>17</xdr:col>
      <xdr:colOff>266701</xdr:colOff>
      <xdr:row>3</xdr:row>
      <xdr:rowOff>182644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>
          <a:spLocks noChangeArrowheads="1"/>
        </xdr:cNvSpPr>
      </xdr:nvSpPr>
      <xdr:spPr bwMode="auto">
        <a:xfrm>
          <a:off x="11407589" y="829196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190484</xdr:rowOff>
    </xdr:from>
    <xdr:to>
      <xdr:col>17</xdr:col>
      <xdr:colOff>266701</xdr:colOff>
      <xdr:row>4</xdr:row>
      <xdr:rowOff>115404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 noChangeArrowheads="1"/>
        </xdr:cNvSpPr>
      </xdr:nvSpPr>
      <xdr:spPr bwMode="auto">
        <a:xfrm>
          <a:off x="11407589" y="100851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15</xdr:col>
      <xdr:colOff>56028</xdr:colOff>
      <xdr:row>4</xdr:row>
      <xdr:rowOff>112047</xdr:rowOff>
    </xdr:from>
    <xdr:to>
      <xdr:col>17</xdr:col>
      <xdr:colOff>266699</xdr:colOff>
      <xdr:row>5</xdr:row>
      <xdr:rowOff>36968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>
          <a:spLocks noChangeArrowheads="1"/>
        </xdr:cNvSpPr>
      </xdr:nvSpPr>
      <xdr:spPr bwMode="auto">
        <a:xfrm>
          <a:off x="11407587" y="117660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15</xdr:col>
      <xdr:colOff>56030</xdr:colOff>
      <xdr:row>5</xdr:row>
      <xdr:rowOff>44811</xdr:rowOff>
    </xdr:from>
    <xdr:to>
      <xdr:col>17</xdr:col>
      <xdr:colOff>266701</xdr:colOff>
      <xdr:row>5</xdr:row>
      <xdr:rowOff>216261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>
          <a:spLocks noChangeArrowheads="1"/>
        </xdr:cNvSpPr>
      </xdr:nvSpPr>
      <xdr:spPr bwMode="auto">
        <a:xfrm>
          <a:off x="11407589" y="1355899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78437</xdr:colOff>
      <xdr:row>0</xdr:row>
      <xdr:rowOff>156882</xdr:rowOff>
    </xdr:from>
    <xdr:to>
      <xdr:col>11</xdr:col>
      <xdr:colOff>112055</xdr:colOff>
      <xdr:row>2</xdr:row>
      <xdr:rowOff>78441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8527112" y="156882"/>
          <a:ext cx="747993" cy="359709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18</xdr:row>
          <xdr:rowOff>66675</xdr:rowOff>
        </xdr:from>
        <xdr:to>
          <xdr:col>5</xdr:col>
          <xdr:colOff>495300</xdr:colOff>
          <xdr:row>19</xdr:row>
          <xdr:rowOff>152400</xdr:rowOff>
        </xdr:to>
        <xdr:sp macro="" textlink="">
          <xdr:nvSpPr>
            <xdr:cNvPr id="509953" name="Object 1" hidden="1">
              <a:extLst>
                <a:ext uri="{63B3BB69-23CF-44E3-9099-C40C66FF867C}">
                  <a14:compatExt spid="_x0000_s509953"/>
                </a:ext>
                <a:ext uri="{FF2B5EF4-FFF2-40B4-BE49-F238E27FC236}">
                  <a16:creationId xmlns:a16="http://schemas.microsoft.com/office/drawing/2014/main" id="{00000000-0008-0000-1000-000001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27</xdr:row>
          <xdr:rowOff>66675</xdr:rowOff>
        </xdr:from>
        <xdr:to>
          <xdr:col>5</xdr:col>
          <xdr:colOff>190500</xdr:colOff>
          <xdr:row>28</xdr:row>
          <xdr:rowOff>161925</xdr:rowOff>
        </xdr:to>
        <xdr:sp macro="" textlink="">
          <xdr:nvSpPr>
            <xdr:cNvPr id="509954" name="Object 2" hidden="1">
              <a:extLst>
                <a:ext uri="{63B3BB69-23CF-44E3-9099-C40C66FF867C}">
                  <a14:compatExt spid="_x0000_s509954"/>
                </a:ext>
                <a:ext uri="{FF2B5EF4-FFF2-40B4-BE49-F238E27FC236}">
                  <a16:creationId xmlns:a16="http://schemas.microsoft.com/office/drawing/2014/main" id="{00000000-0008-0000-1000-000002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136087</xdr:colOff>
      <xdr:row>5</xdr:row>
      <xdr:rowOff>13613</xdr:rowOff>
    </xdr:from>
    <xdr:to>
      <xdr:col>12</xdr:col>
      <xdr:colOff>49001</xdr:colOff>
      <xdr:row>5</xdr:row>
      <xdr:rowOff>181674</xdr:rowOff>
    </xdr:to>
    <xdr:sp macro="" textlink="">
      <xdr:nvSpPr>
        <xdr:cNvPr id="5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8545301" y="1102184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136087</xdr:colOff>
      <xdr:row>5</xdr:row>
      <xdr:rowOff>181674</xdr:rowOff>
    </xdr:from>
    <xdr:to>
      <xdr:col>12</xdr:col>
      <xdr:colOff>49001</xdr:colOff>
      <xdr:row>6</xdr:row>
      <xdr:rowOff>149043</xdr:rowOff>
    </xdr:to>
    <xdr:sp macro="" textlink="">
      <xdr:nvSpPr>
        <xdr:cNvPr id="6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>
          <a:spLocks noChangeArrowheads="1"/>
        </xdr:cNvSpPr>
      </xdr:nvSpPr>
      <xdr:spPr bwMode="auto">
        <a:xfrm>
          <a:off x="8545301" y="1270245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136087</xdr:colOff>
      <xdr:row>6</xdr:row>
      <xdr:rowOff>156883</xdr:rowOff>
    </xdr:from>
    <xdr:to>
      <xdr:col>12</xdr:col>
      <xdr:colOff>49001</xdr:colOff>
      <xdr:row>7</xdr:row>
      <xdr:rowOff>124226</xdr:rowOff>
    </xdr:to>
    <xdr:sp macro="" textlink="">
      <xdr:nvSpPr>
        <xdr:cNvPr id="7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8545301" y="144956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136085</xdr:colOff>
      <xdr:row>7</xdr:row>
      <xdr:rowOff>120869</xdr:rowOff>
    </xdr:from>
    <xdr:to>
      <xdr:col>12</xdr:col>
      <xdr:colOff>48999</xdr:colOff>
      <xdr:row>8</xdr:row>
      <xdr:rowOff>88212</xdr:rowOff>
    </xdr:to>
    <xdr:sp macro="" textlink="">
      <xdr:nvSpPr>
        <xdr:cNvPr id="8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 noChangeArrowheads="1"/>
        </xdr:cNvSpPr>
      </xdr:nvSpPr>
      <xdr:spPr bwMode="auto">
        <a:xfrm>
          <a:off x="8545299" y="161765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136087</xdr:colOff>
      <xdr:row>8</xdr:row>
      <xdr:rowOff>96055</xdr:rowOff>
    </xdr:from>
    <xdr:to>
      <xdr:col>12</xdr:col>
      <xdr:colOff>49001</xdr:colOff>
      <xdr:row>9</xdr:row>
      <xdr:rowOff>63398</xdr:rowOff>
    </xdr:to>
    <xdr:sp macro="" textlink="">
      <xdr:nvSpPr>
        <xdr:cNvPr id="9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>
          <a:spLocks noChangeArrowheads="1"/>
        </xdr:cNvSpPr>
      </xdr:nvSpPr>
      <xdr:spPr bwMode="auto">
        <a:xfrm>
          <a:off x="8545301" y="1796948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19050</xdr:rowOff>
        </xdr:from>
        <xdr:to>
          <xdr:col>2</xdr:col>
          <xdr:colOff>800100</xdr:colOff>
          <xdr:row>8</xdr:row>
          <xdr:rowOff>38100</xdr:rowOff>
        </xdr:to>
        <xdr:sp macro="" textlink="">
          <xdr:nvSpPr>
            <xdr:cNvPr id="515073" name="Object 1" hidden="1">
              <a:extLst>
                <a:ext uri="{63B3BB69-23CF-44E3-9099-C40C66FF867C}">
                  <a14:compatExt spid="_x0000_s515073"/>
                </a:ext>
                <a:ext uri="{FF2B5EF4-FFF2-40B4-BE49-F238E27FC236}">
                  <a16:creationId xmlns:a16="http://schemas.microsoft.com/office/drawing/2014/main" id="{00000000-0008-0000-1100-000001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38100</xdr:rowOff>
        </xdr:from>
        <xdr:to>
          <xdr:col>2</xdr:col>
          <xdr:colOff>828675</xdr:colOff>
          <xdr:row>11</xdr:row>
          <xdr:rowOff>47625</xdr:rowOff>
        </xdr:to>
        <xdr:sp macro="" textlink="">
          <xdr:nvSpPr>
            <xdr:cNvPr id="515074" name="Object 2" hidden="1">
              <a:extLst>
                <a:ext uri="{63B3BB69-23CF-44E3-9099-C40C66FF867C}">
                  <a14:compatExt spid="_x0000_s515074"/>
                </a:ext>
                <a:ext uri="{FF2B5EF4-FFF2-40B4-BE49-F238E27FC236}">
                  <a16:creationId xmlns:a16="http://schemas.microsoft.com/office/drawing/2014/main" id="{00000000-0008-0000-1100-000002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114300</xdr:rowOff>
        </xdr:from>
        <xdr:to>
          <xdr:col>6</xdr:col>
          <xdr:colOff>381000</xdr:colOff>
          <xdr:row>14</xdr:row>
          <xdr:rowOff>133350</xdr:rowOff>
        </xdr:to>
        <xdr:sp macro="" textlink="">
          <xdr:nvSpPr>
            <xdr:cNvPr id="515075" name="Object 3" hidden="1">
              <a:extLst>
                <a:ext uri="{63B3BB69-23CF-44E3-9099-C40C66FF867C}">
                  <a14:compatExt spid="_x0000_s515075"/>
                </a:ext>
                <a:ext uri="{FF2B5EF4-FFF2-40B4-BE49-F238E27FC236}">
                  <a16:creationId xmlns:a16="http://schemas.microsoft.com/office/drawing/2014/main" id="{00000000-0008-0000-1100-000003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152400</xdr:rowOff>
        </xdr:from>
        <xdr:to>
          <xdr:col>6</xdr:col>
          <xdr:colOff>390525</xdr:colOff>
          <xdr:row>16</xdr:row>
          <xdr:rowOff>171450</xdr:rowOff>
        </xdr:to>
        <xdr:sp macro="" textlink="">
          <xdr:nvSpPr>
            <xdr:cNvPr id="515076" name="Object 4" hidden="1">
              <a:extLst>
                <a:ext uri="{63B3BB69-23CF-44E3-9099-C40C66FF867C}">
                  <a14:compatExt spid="_x0000_s515076"/>
                </a:ext>
                <a:ext uri="{FF2B5EF4-FFF2-40B4-BE49-F238E27FC236}">
                  <a16:creationId xmlns:a16="http://schemas.microsoft.com/office/drawing/2014/main" id="{00000000-0008-0000-1100-000004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1151374</xdr:colOff>
      <xdr:row>0</xdr:row>
      <xdr:rowOff>0</xdr:rowOff>
    </xdr:from>
    <xdr:to>
      <xdr:col>30</xdr:col>
      <xdr:colOff>1978270</xdr:colOff>
      <xdr:row>0</xdr:row>
      <xdr:rowOff>230275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rrowheads="1"/>
        </xdr:cNvSpPr>
      </xdr:nvSpPr>
      <xdr:spPr bwMode="auto">
        <a:xfrm>
          <a:off x="1590989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336471</xdr:colOff>
      <xdr:row>20</xdr:row>
      <xdr:rowOff>129637</xdr:rowOff>
    </xdr:from>
    <xdr:ext cx="5975167" cy="210084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9771" y="5158837"/>
          <a:ext cx="5975167" cy="210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383816</xdr:colOff>
      <xdr:row>9</xdr:row>
      <xdr:rowOff>144780</xdr:rowOff>
    </xdr:from>
    <xdr:to>
      <xdr:col>16</xdr:col>
      <xdr:colOff>126785</xdr:colOff>
      <xdr:row>23</xdr:row>
      <xdr:rowOff>67876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358652</xdr:colOff>
      <xdr:row>35</xdr:row>
      <xdr:rowOff>206997</xdr:rowOff>
    </xdr:from>
    <xdr:to>
      <xdr:col>16</xdr:col>
      <xdr:colOff>203859</xdr:colOff>
      <xdr:row>50</xdr:row>
      <xdr:rowOff>239486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1151374</xdr:colOff>
      <xdr:row>0</xdr:row>
      <xdr:rowOff>0</xdr:rowOff>
    </xdr:from>
    <xdr:to>
      <xdr:col>19</xdr:col>
      <xdr:colOff>1978270</xdr:colOff>
      <xdr:row>0</xdr:row>
      <xdr:rowOff>230275</xdr:rowOff>
    </xdr:to>
    <xdr:sp macro="" textlink="">
      <xdr:nvSpPr>
        <xdr:cNvPr id="6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 noChangeArrowheads="1"/>
        </xdr:cNvSpPr>
      </xdr:nvSpPr>
      <xdr:spPr bwMode="auto">
        <a:xfrm>
          <a:off x="1589524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</xdr:colOff>
      <xdr:row>39</xdr:row>
      <xdr:rowOff>0</xdr:rowOff>
    </xdr:from>
    <xdr:to>
      <xdr:col>8</xdr:col>
      <xdr:colOff>81643</xdr:colOff>
      <xdr:row>40</xdr:row>
      <xdr:rowOff>136071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rrowheads="1"/>
        </xdr:cNvSpPr>
      </xdr:nvSpPr>
      <xdr:spPr bwMode="auto">
        <a:xfrm>
          <a:off x="12845143" y="9824357"/>
          <a:ext cx="857250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%20F%20cu\1.XN2-CDC\1.Mau%20bang%20tinh%20full\Phat%20trien%20ban%20tinh%20mau\XN3%20mau\1.%20Tai%20trong%20XN3%20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DM%20Download\01.%20Phu%20luc%20ket%20cau%20(21-7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wnloads\01.%20Phu%20luc%20tai%20trong%2015.01.2017(Version%20Toan%20combo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"/>
      <sheetName val="TT"/>
      <sheetName val="HT"/>
      <sheetName val="HS GIAM TAI"/>
      <sheetName val="GIO TINH"/>
      <sheetName val="GIO DONG"/>
      <sheetName val="DW X (MODE1)"/>
      <sheetName val="DW X (MODE2)"/>
      <sheetName val="DW X (MODE3)"/>
      <sheetName val="DW X (COMB)"/>
      <sheetName val="DW Y (MODE1)"/>
      <sheetName val="DW Y (MODE2)"/>
      <sheetName val="DW Y (MODE3)"/>
      <sheetName val="DW Y (COMB)"/>
      <sheetName val="EQ 9386-2012"/>
      <sheetName val="To hop tai trong"/>
      <sheetName val="Building Modes"/>
      <sheetName val="Center Mass Regidity"/>
      <sheetName val="Modal Par. Mass Ratios"/>
      <sheetName val="He so gio dong"/>
      <sheetName val="EQBASE"/>
    </sheetNames>
    <sheetDataSet>
      <sheetData sheetId="0">
        <row r="17">
          <cell r="D17">
            <v>42.2</v>
          </cell>
        </row>
        <row r="18">
          <cell r="D18">
            <v>19.7</v>
          </cell>
        </row>
        <row r="19">
          <cell r="D19">
            <v>58.050000000000011</v>
          </cell>
        </row>
        <row r="25">
          <cell r="C25">
            <v>83</v>
          </cell>
        </row>
        <row r="26">
          <cell r="C26" t="str">
            <v>V</v>
          </cell>
        </row>
      </sheetData>
      <sheetData sheetId="1" refreshError="1"/>
      <sheetData sheetId="2" refreshError="1"/>
      <sheetData sheetId="3"/>
      <sheetData sheetId="4">
        <row r="30">
          <cell r="A30" t="str">
            <v>T01</v>
          </cell>
          <cell r="B30" t="str">
            <v>-</v>
          </cell>
          <cell r="C30">
            <v>0</v>
          </cell>
          <cell r="D30">
            <v>2.85</v>
          </cell>
          <cell r="E30">
            <v>0.8</v>
          </cell>
          <cell r="F30">
            <v>181.6704</v>
          </cell>
          <cell r="G30">
            <v>136.25280000000001</v>
          </cell>
          <cell r="H30">
            <v>19.7</v>
          </cell>
          <cell r="I30">
            <v>6.2630870400000003</v>
          </cell>
          <cell r="J30">
            <v>42.2</v>
          </cell>
          <cell r="K30">
            <v>13.416359040000001</v>
          </cell>
        </row>
        <row r="31">
          <cell r="A31" t="str">
            <v>T02</v>
          </cell>
          <cell r="B31">
            <v>4.2</v>
          </cell>
          <cell r="C31">
            <v>4.2</v>
          </cell>
          <cell r="D31">
            <v>3.9000000000000004</v>
          </cell>
          <cell r="E31">
            <v>0.878</v>
          </cell>
          <cell r="F31">
            <v>272.84025600000001</v>
          </cell>
          <cell r="G31">
            <v>204.63019200000002</v>
          </cell>
          <cell r="H31">
            <v>19.7</v>
          </cell>
          <cell r="I31">
            <v>9.4061678256000008</v>
          </cell>
          <cell r="J31">
            <v>42.2</v>
          </cell>
          <cell r="K31">
            <v>20.149252905600004</v>
          </cell>
        </row>
        <row r="32">
          <cell r="A32" t="str">
            <v>T03</v>
          </cell>
          <cell r="B32">
            <v>3.6</v>
          </cell>
          <cell r="C32">
            <v>7.8000000000000007</v>
          </cell>
          <cell r="D32">
            <v>3.6</v>
          </cell>
          <cell r="E32">
            <v>0.96520000000000006</v>
          </cell>
          <cell r="F32">
            <v>276.8656896</v>
          </cell>
          <cell r="G32">
            <v>207.6492672</v>
          </cell>
          <cell r="H32">
            <v>19.7</v>
          </cell>
          <cell r="I32">
            <v>9.5449446489599996</v>
          </cell>
          <cell r="J32">
            <v>42.2</v>
          </cell>
          <cell r="K32">
            <v>20.446531176960001</v>
          </cell>
        </row>
        <row r="33">
          <cell r="A33" t="str">
            <v>T04</v>
          </cell>
          <cell r="B33">
            <v>3.6</v>
          </cell>
          <cell r="C33">
            <v>11.4</v>
          </cell>
          <cell r="D33">
            <v>3.6</v>
          </cell>
          <cell r="E33">
            <v>1.0344</v>
          </cell>
          <cell r="F33">
            <v>296.7155712</v>
          </cell>
          <cell r="G33">
            <v>222.5366784</v>
          </cell>
          <cell r="H33">
            <v>19.7</v>
          </cell>
          <cell r="I33">
            <v>10.22926931712</v>
          </cell>
          <cell r="J33">
            <v>42.2</v>
          </cell>
          <cell r="K33">
            <v>21.912444933120003</v>
          </cell>
        </row>
        <row r="34">
          <cell r="A34" t="str">
            <v>T05</v>
          </cell>
          <cell r="B34">
            <v>3.6</v>
          </cell>
          <cell r="C34">
            <v>15</v>
          </cell>
          <cell r="D34">
            <v>4.8</v>
          </cell>
          <cell r="E34">
            <v>1.0875000000000001</v>
          </cell>
          <cell r="F34">
            <v>415.92959999999999</v>
          </cell>
          <cell r="G34">
            <v>311.94720000000001</v>
          </cell>
          <cell r="H34">
            <v>19.7</v>
          </cell>
          <cell r="I34">
            <v>14.339172959999999</v>
          </cell>
          <cell r="J34">
            <v>42.2</v>
          </cell>
          <cell r="K34">
            <v>30.716400960000001</v>
          </cell>
        </row>
        <row r="35">
          <cell r="A35" t="str">
            <v>T06</v>
          </cell>
          <cell r="B35">
            <v>6</v>
          </cell>
          <cell r="C35">
            <v>21</v>
          </cell>
          <cell r="D35">
            <v>4.8</v>
          </cell>
          <cell r="E35">
            <v>1.1457499999999998</v>
          </cell>
          <cell r="F35">
            <v>438.20812799999987</v>
          </cell>
          <cell r="G35">
            <v>328.65609599999993</v>
          </cell>
          <cell r="H35">
            <v>19.7</v>
          </cell>
          <cell r="I35">
            <v>15.107225212799994</v>
          </cell>
          <cell r="J35">
            <v>42.2</v>
          </cell>
          <cell r="K35">
            <v>32.361670252799989</v>
          </cell>
        </row>
        <row r="36">
          <cell r="A36" t="str">
            <v>T07</v>
          </cell>
          <cell r="B36">
            <v>3.6</v>
          </cell>
          <cell r="C36">
            <v>24.6</v>
          </cell>
          <cell r="D36">
            <v>3.6</v>
          </cell>
          <cell r="E36">
            <v>1.17815</v>
          </cell>
          <cell r="F36">
            <v>337.94997120000005</v>
          </cell>
          <cell r="G36">
            <v>253.46247840000001</v>
          </cell>
          <cell r="H36">
            <v>19.7</v>
          </cell>
          <cell r="I36">
            <v>11.650825257120001</v>
          </cell>
          <cell r="J36">
            <v>42.2</v>
          </cell>
          <cell r="K36">
            <v>24.957605373120003</v>
          </cell>
        </row>
        <row r="37">
          <cell r="A37" t="str">
            <v>T08</v>
          </cell>
          <cell r="B37">
            <v>3.6</v>
          </cell>
          <cell r="C37">
            <v>28.200000000000003</v>
          </cell>
          <cell r="D37">
            <v>3.6</v>
          </cell>
          <cell r="E37">
            <v>1.21055</v>
          </cell>
          <cell r="F37">
            <v>347.24384640000005</v>
          </cell>
          <cell r="G37">
            <v>260.43288480000001</v>
          </cell>
          <cell r="H37">
            <v>19.7</v>
          </cell>
          <cell r="I37">
            <v>11.971231604640002</v>
          </cell>
          <cell r="J37">
            <v>42.2</v>
          </cell>
          <cell r="K37">
            <v>25.643958056640006</v>
          </cell>
        </row>
        <row r="38">
          <cell r="A38" t="str">
            <v>T09</v>
          </cell>
          <cell r="B38">
            <v>3.6</v>
          </cell>
          <cell r="C38">
            <v>31.800000000000004</v>
          </cell>
          <cell r="D38">
            <v>3.6</v>
          </cell>
          <cell r="E38">
            <v>1.2353000000000001</v>
          </cell>
          <cell r="F38">
            <v>354.34333440000006</v>
          </cell>
          <cell r="G38">
            <v>265.7575008</v>
          </cell>
          <cell r="H38">
            <v>19.7</v>
          </cell>
          <cell r="I38">
            <v>12.215986453440003</v>
          </cell>
          <cell r="J38">
            <v>42.2</v>
          </cell>
          <cell r="K38">
            <v>26.168255245440008</v>
          </cell>
        </row>
        <row r="39">
          <cell r="A39" t="str">
            <v>T10</v>
          </cell>
          <cell r="B39">
            <v>3.6</v>
          </cell>
          <cell r="C39">
            <v>35.400000000000006</v>
          </cell>
          <cell r="D39">
            <v>3.6</v>
          </cell>
          <cell r="E39">
            <v>1.2569000000000001</v>
          </cell>
          <cell r="F39">
            <v>360.53925120000002</v>
          </cell>
          <cell r="G39">
            <v>270.40443840000006</v>
          </cell>
          <cell r="H39">
            <v>19.7</v>
          </cell>
          <cell r="I39">
            <v>12.429590685120003</v>
          </cell>
          <cell r="J39">
            <v>42.2</v>
          </cell>
          <cell r="K39">
            <v>26.625823701120009</v>
          </cell>
        </row>
        <row r="40">
          <cell r="A40" t="str">
            <v>T11</v>
          </cell>
          <cell r="B40">
            <v>3.6</v>
          </cell>
          <cell r="C40">
            <v>39.000000000000007</v>
          </cell>
          <cell r="D40">
            <v>3.6</v>
          </cell>
          <cell r="E40">
            <v>1.2785</v>
          </cell>
          <cell r="F40">
            <v>366.73516799999999</v>
          </cell>
          <cell r="G40">
            <v>275.05137599999995</v>
          </cell>
          <cell r="H40">
            <v>19.7</v>
          </cell>
          <cell r="I40">
            <v>12.643194916799997</v>
          </cell>
          <cell r="J40">
            <v>42.2</v>
          </cell>
          <cell r="K40">
            <v>27.083392156799999</v>
          </cell>
        </row>
        <row r="41">
          <cell r="A41" t="str">
            <v>T12</v>
          </cell>
          <cell r="B41">
            <v>3.6</v>
          </cell>
          <cell r="C41">
            <v>42.600000000000009</v>
          </cell>
          <cell r="D41">
            <v>3.6</v>
          </cell>
          <cell r="E41">
            <v>1.3001</v>
          </cell>
          <cell r="F41">
            <v>372.93108480000006</v>
          </cell>
          <cell r="G41">
            <v>279.69831360000001</v>
          </cell>
          <cell r="H41">
            <v>19.7</v>
          </cell>
          <cell r="I41">
            <v>12.856799148480002</v>
          </cell>
          <cell r="J41">
            <v>42.2</v>
          </cell>
          <cell r="K41">
            <v>27.540960612480006</v>
          </cell>
        </row>
        <row r="42">
          <cell r="A42" t="str">
            <v>T13</v>
          </cell>
          <cell r="B42">
            <v>3.6</v>
          </cell>
          <cell r="C42">
            <v>46.20000000000001</v>
          </cell>
          <cell r="D42">
            <v>3.6</v>
          </cell>
          <cell r="E42">
            <v>1.3217000000000001</v>
          </cell>
          <cell r="F42">
            <v>379.12700160000003</v>
          </cell>
          <cell r="G42">
            <v>284.34525120000001</v>
          </cell>
          <cell r="H42">
            <v>19.7</v>
          </cell>
          <cell r="I42">
            <v>13.07040338016</v>
          </cell>
          <cell r="J42">
            <v>42.2</v>
          </cell>
          <cell r="K42">
            <v>27.998529068160003</v>
          </cell>
        </row>
        <row r="43">
          <cell r="A43" t="str">
            <v>T14</v>
          </cell>
          <cell r="B43">
            <v>3.6</v>
          </cell>
          <cell r="C43">
            <v>49.800000000000011</v>
          </cell>
          <cell r="D43">
            <v>3.6</v>
          </cell>
          <cell r="E43">
            <v>1.3422000000000001</v>
          </cell>
          <cell r="F43">
            <v>385.00738560000002</v>
          </cell>
          <cell r="G43">
            <v>288.75553920000004</v>
          </cell>
          <cell r="H43">
            <v>19.7</v>
          </cell>
          <cell r="I43">
            <v>13.273129618560002</v>
          </cell>
          <cell r="J43">
            <v>42.2</v>
          </cell>
          <cell r="K43">
            <v>28.432795426560006</v>
          </cell>
        </row>
        <row r="44">
          <cell r="A44" t="str">
            <v>TUM</v>
          </cell>
          <cell r="B44">
            <v>3.6</v>
          </cell>
          <cell r="C44">
            <v>53.400000000000013</v>
          </cell>
          <cell r="D44">
            <v>4.125</v>
          </cell>
          <cell r="E44">
            <v>1.3566</v>
          </cell>
          <cell r="F44">
            <v>445.88728799999996</v>
          </cell>
          <cell r="G44">
            <v>334.41546599999998</v>
          </cell>
          <cell r="H44">
            <v>19.7</v>
          </cell>
          <cell r="I44">
            <v>15.371964253799998</v>
          </cell>
          <cell r="J44">
            <v>42.2</v>
          </cell>
          <cell r="K44">
            <v>32.928776218799996</v>
          </cell>
        </row>
        <row r="45">
          <cell r="A45" t="str">
            <v>MAI</v>
          </cell>
          <cell r="B45">
            <v>4.6500000000000004</v>
          </cell>
          <cell r="C45">
            <v>58.050000000000011</v>
          </cell>
          <cell r="D45">
            <v>2.3250000000000002</v>
          </cell>
          <cell r="E45">
            <v>1.3752</v>
          </cell>
          <cell r="F45">
            <v>254.76405120000001</v>
          </cell>
          <cell r="G45">
            <v>191.0730384</v>
          </cell>
          <cell r="H45">
            <v>14.2</v>
          </cell>
          <cell r="I45">
            <v>6.3308866723200001</v>
          </cell>
          <cell r="J45">
            <v>12.95</v>
          </cell>
          <cell r="K45">
            <v>5.7735903103199995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0">
          <cell r="B50" t="str">
            <v>01. Thủ đô Hà Nội</v>
          </cell>
        </row>
      </sheetData>
      <sheetData sheetId="15" refreshError="1"/>
      <sheetData sheetId="16" refreshError="1"/>
      <sheetData sheetId="17">
        <row r="1">
          <cell r="A1" t="str">
            <v>Story</v>
          </cell>
          <cell r="B1" t="str">
            <v>Diaphragm</v>
          </cell>
          <cell r="C1" t="str">
            <v>MassX</v>
          </cell>
          <cell r="D1" t="str">
            <v>MassY</v>
          </cell>
          <cell r="E1" t="str">
            <v>XCM</v>
          </cell>
          <cell r="F1" t="str">
            <v>YCM</v>
          </cell>
          <cell r="G1" t="str">
            <v>CumMassX</v>
          </cell>
          <cell r="H1" t="str">
            <v>CumMassY</v>
          </cell>
          <cell r="I1" t="str">
            <v>XCCM</v>
          </cell>
          <cell r="J1" t="str">
            <v>YCCM</v>
          </cell>
          <cell r="K1" t="str">
            <v>XCR</v>
          </cell>
          <cell r="L1" t="str">
            <v>YCR</v>
          </cell>
          <cell r="M1">
            <v>17</v>
          </cell>
        </row>
        <row r="2">
          <cell r="A2" t="str">
            <v>B1</v>
          </cell>
          <cell r="B2" t="str">
            <v>B1</v>
          </cell>
          <cell r="C2">
            <v>2167.1136999999999</v>
          </cell>
          <cell r="D2">
            <v>2167.1136999999999</v>
          </cell>
          <cell r="E2">
            <v>22.911000000000001</v>
          </cell>
          <cell r="F2">
            <v>13.846</v>
          </cell>
          <cell r="G2">
            <v>2167.1136999999999</v>
          </cell>
          <cell r="H2">
            <v>2167.1136999999999</v>
          </cell>
          <cell r="I2">
            <v>22.911000000000001</v>
          </cell>
          <cell r="J2">
            <v>13.846</v>
          </cell>
          <cell r="K2">
            <v>22.742999999999999</v>
          </cell>
          <cell r="L2">
            <v>13.488</v>
          </cell>
          <cell r="M2">
            <v>1</v>
          </cell>
        </row>
        <row r="3">
          <cell r="A3" t="str">
            <v>T01</v>
          </cell>
          <cell r="B3" t="str">
            <v>T01</v>
          </cell>
          <cell r="C3">
            <v>2286.0416</v>
          </cell>
          <cell r="D3">
            <v>2286.0416</v>
          </cell>
          <cell r="E3">
            <v>22.692</v>
          </cell>
          <cell r="F3">
            <v>14.201000000000001</v>
          </cell>
          <cell r="G3">
            <v>2286.0416</v>
          </cell>
          <cell r="H3">
            <v>2286.0416</v>
          </cell>
          <cell r="I3">
            <v>22.692</v>
          </cell>
          <cell r="J3">
            <v>14.201000000000001</v>
          </cell>
          <cell r="K3">
            <v>22.748999999999999</v>
          </cell>
          <cell r="L3">
            <v>14.141</v>
          </cell>
          <cell r="M3">
            <v>1</v>
          </cell>
        </row>
        <row r="4">
          <cell r="A4" t="str">
            <v>T02</v>
          </cell>
          <cell r="B4" t="str">
            <v>T02</v>
          </cell>
          <cell r="C4">
            <v>1193.9402</v>
          </cell>
          <cell r="D4">
            <v>1193.9402</v>
          </cell>
          <cell r="E4">
            <v>21.731999999999999</v>
          </cell>
          <cell r="F4">
            <v>11.98</v>
          </cell>
          <cell r="G4">
            <v>1193.9402</v>
          </cell>
          <cell r="H4">
            <v>1193.9402</v>
          </cell>
          <cell r="I4">
            <v>21.731999999999999</v>
          </cell>
          <cell r="J4">
            <v>11.98</v>
          </cell>
          <cell r="K4">
            <v>18.763000000000002</v>
          </cell>
          <cell r="L4">
            <v>13.097</v>
          </cell>
          <cell r="M4">
            <v>1</v>
          </cell>
        </row>
        <row r="5">
          <cell r="A5" t="str">
            <v>T03</v>
          </cell>
          <cell r="B5" t="str">
            <v>T03</v>
          </cell>
          <cell r="C5">
            <v>1176.6899000000001</v>
          </cell>
          <cell r="D5">
            <v>1176.6899000000001</v>
          </cell>
          <cell r="E5">
            <v>21.73</v>
          </cell>
          <cell r="F5">
            <v>11.955</v>
          </cell>
          <cell r="G5">
            <v>1176.6899000000001</v>
          </cell>
          <cell r="H5">
            <v>1176.6899000000001</v>
          </cell>
          <cell r="I5">
            <v>21.73</v>
          </cell>
          <cell r="J5">
            <v>11.955</v>
          </cell>
          <cell r="K5">
            <v>19.143000000000001</v>
          </cell>
          <cell r="L5">
            <v>13.045999999999999</v>
          </cell>
          <cell r="M5">
            <v>1</v>
          </cell>
        </row>
        <row r="6">
          <cell r="A6" t="str">
            <v>T04</v>
          </cell>
          <cell r="B6" t="str">
            <v>T04</v>
          </cell>
          <cell r="C6">
            <v>1176.6899000000001</v>
          </cell>
          <cell r="D6">
            <v>1176.6899000000001</v>
          </cell>
          <cell r="E6">
            <v>21.73</v>
          </cell>
          <cell r="F6">
            <v>11.955</v>
          </cell>
          <cell r="G6">
            <v>1176.6899000000001</v>
          </cell>
          <cell r="H6">
            <v>1176.6899000000001</v>
          </cell>
          <cell r="I6">
            <v>21.73</v>
          </cell>
          <cell r="J6">
            <v>11.955</v>
          </cell>
          <cell r="K6">
            <v>19.439</v>
          </cell>
          <cell r="L6">
            <v>13.000999999999999</v>
          </cell>
          <cell r="M6">
            <v>1</v>
          </cell>
        </row>
        <row r="7">
          <cell r="A7" t="str">
            <v>T05</v>
          </cell>
          <cell r="B7" t="str">
            <v>T05</v>
          </cell>
          <cell r="C7">
            <v>1426.5201999999999</v>
          </cell>
          <cell r="D7">
            <v>1426.5201999999999</v>
          </cell>
          <cell r="E7">
            <v>20.274999999999999</v>
          </cell>
          <cell r="F7">
            <v>12.731</v>
          </cell>
          <cell r="G7">
            <v>1426.5201999999999</v>
          </cell>
          <cell r="H7">
            <v>1426.5201999999999</v>
          </cell>
          <cell r="I7">
            <v>20.274999999999999</v>
          </cell>
          <cell r="J7">
            <v>12.731</v>
          </cell>
          <cell r="K7">
            <v>19.649000000000001</v>
          </cell>
          <cell r="L7">
            <v>12.936999999999999</v>
          </cell>
          <cell r="M7">
            <v>1</v>
          </cell>
        </row>
        <row r="8">
          <cell r="A8" t="str">
            <v>T06</v>
          </cell>
          <cell r="B8" t="str">
            <v>T06</v>
          </cell>
          <cell r="C8">
            <v>1217.2225000000001</v>
          </cell>
          <cell r="D8">
            <v>1217.2225000000001</v>
          </cell>
          <cell r="E8">
            <v>20.495000000000001</v>
          </cell>
          <cell r="F8">
            <v>12.872</v>
          </cell>
          <cell r="G8">
            <v>1217.2225000000001</v>
          </cell>
          <cell r="H8">
            <v>1217.2225000000001</v>
          </cell>
          <cell r="I8">
            <v>20.495000000000001</v>
          </cell>
          <cell r="J8">
            <v>12.872</v>
          </cell>
          <cell r="K8">
            <v>20.044</v>
          </cell>
          <cell r="L8">
            <v>12.736000000000001</v>
          </cell>
          <cell r="M8">
            <v>1</v>
          </cell>
        </row>
        <row r="9">
          <cell r="A9" t="str">
            <v>T07</v>
          </cell>
          <cell r="B9" t="str">
            <v>T07</v>
          </cell>
          <cell r="C9">
            <v>1084.9960000000001</v>
          </cell>
          <cell r="D9">
            <v>1084.9960000000001</v>
          </cell>
          <cell r="E9">
            <v>20.207999999999998</v>
          </cell>
          <cell r="F9">
            <v>13.106999999999999</v>
          </cell>
          <cell r="G9">
            <v>1084.9960000000001</v>
          </cell>
          <cell r="H9">
            <v>1084.9960000000001</v>
          </cell>
          <cell r="I9">
            <v>20.207999999999998</v>
          </cell>
          <cell r="J9">
            <v>13.106999999999999</v>
          </cell>
          <cell r="K9">
            <v>20.308</v>
          </cell>
          <cell r="L9">
            <v>12.579000000000001</v>
          </cell>
          <cell r="M9">
            <v>1</v>
          </cell>
        </row>
        <row r="10">
          <cell r="A10" t="str">
            <v>T08</v>
          </cell>
          <cell r="B10" t="str">
            <v>T08</v>
          </cell>
          <cell r="C10">
            <v>1115.7616</v>
          </cell>
          <cell r="D10">
            <v>1115.7616</v>
          </cell>
          <cell r="E10">
            <v>20.478000000000002</v>
          </cell>
          <cell r="F10">
            <v>13.297000000000001</v>
          </cell>
          <cell r="G10">
            <v>1115.7616</v>
          </cell>
          <cell r="H10">
            <v>1115.7616</v>
          </cell>
          <cell r="I10">
            <v>20.478000000000002</v>
          </cell>
          <cell r="J10">
            <v>13.297000000000001</v>
          </cell>
          <cell r="K10">
            <v>20.513000000000002</v>
          </cell>
          <cell r="L10">
            <v>12.458</v>
          </cell>
          <cell r="M10">
            <v>1</v>
          </cell>
        </row>
        <row r="11">
          <cell r="A11" t="str">
            <v>T09</v>
          </cell>
          <cell r="B11" t="str">
            <v>T09</v>
          </cell>
          <cell r="C11">
            <v>1176.5192999999999</v>
          </cell>
          <cell r="D11">
            <v>1176.5192999999999</v>
          </cell>
          <cell r="E11">
            <v>20.8</v>
          </cell>
          <cell r="F11">
            <v>13.052</v>
          </cell>
          <cell r="G11">
            <v>1176.5192999999999</v>
          </cell>
          <cell r="H11">
            <v>1176.5192999999999</v>
          </cell>
          <cell r="I11">
            <v>20.8</v>
          </cell>
          <cell r="J11">
            <v>13.052</v>
          </cell>
          <cell r="K11">
            <v>20.707000000000001</v>
          </cell>
          <cell r="L11">
            <v>12.372</v>
          </cell>
          <cell r="M11">
            <v>1</v>
          </cell>
        </row>
        <row r="12">
          <cell r="A12" t="str">
            <v>T10</v>
          </cell>
          <cell r="B12" t="str">
            <v>T10</v>
          </cell>
          <cell r="C12">
            <v>1150.8585</v>
          </cell>
          <cell r="D12">
            <v>1150.8585</v>
          </cell>
          <cell r="E12">
            <v>20.65</v>
          </cell>
          <cell r="F12">
            <v>13.125999999999999</v>
          </cell>
          <cell r="G12">
            <v>1150.8585</v>
          </cell>
          <cell r="H12">
            <v>1150.8585</v>
          </cell>
          <cell r="I12">
            <v>20.65</v>
          </cell>
          <cell r="J12">
            <v>13.125999999999999</v>
          </cell>
          <cell r="K12">
            <v>20.893000000000001</v>
          </cell>
          <cell r="L12">
            <v>12.317</v>
          </cell>
          <cell r="M12">
            <v>1</v>
          </cell>
        </row>
        <row r="13">
          <cell r="A13" t="str">
            <v>T11</v>
          </cell>
          <cell r="B13" t="str">
            <v>T11</v>
          </cell>
          <cell r="C13">
            <v>1150.6960999999999</v>
          </cell>
          <cell r="D13">
            <v>1150.6960999999999</v>
          </cell>
          <cell r="E13">
            <v>20.648</v>
          </cell>
          <cell r="F13">
            <v>13.125999999999999</v>
          </cell>
          <cell r="G13">
            <v>1150.6960999999999</v>
          </cell>
          <cell r="H13">
            <v>1150.6960999999999</v>
          </cell>
          <cell r="I13">
            <v>20.648</v>
          </cell>
          <cell r="J13">
            <v>13.125999999999999</v>
          </cell>
          <cell r="K13">
            <v>21.073</v>
          </cell>
          <cell r="L13">
            <v>12.286</v>
          </cell>
          <cell r="M13">
            <v>1</v>
          </cell>
        </row>
        <row r="14">
          <cell r="A14" t="str">
            <v>T12</v>
          </cell>
          <cell r="B14" t="str">
            <v>T12</v>
          </cell>
          <cell r="C14">
            <v>1134.4009000000001</v>
          </cell>
          <cell r="D14">
            <v>1134.4009000000001</v>
          </cell>
          <cell r="E14">
            <v>20.576000000000001</v>
          </cell>
          <cell r="F14">
            <v>13.224</v>
          </cell>
          <cell r="G14">
            <v>1134.4009000000001</v>
          </cell>
          <cell r="H14">
            <v>1134.4009000000001</v>
          </cell>
          <cell r="I14">
            <v>20.576000000000001</v>
          </cell>
          <cell r="J14">
            <v>13.224</v>
          </cell>
          <cell r="K14">
            <v>21.248000000000001</v>
          </cell>
          <cell r="L14">
            <v>12.275</v>
          </cell>
          <cell r="M14">
            <v>1</v>
          </cell>
        </row>
        <row r="15">
          <cell r="A15" t="str">
            <v>T13</v>
          </cell>
          <cell r="B15" t="str">
            <v>T13</v>
          </cell>
          <cell r="C15">
            <v>1134.4009000000001</v>
          </cell>
          <cell r="D15">
            <v>1134.4009000000001</v>
          </cell>
          <cell r="E15">
            <v>20.576000000000001</v>
          </cell>
          <cell r="F15">
            <v>13.224</v>
          </cell>
          <cell r="G15">
            <v>1134.4009000000001</v>
          </cell>
          <cell r="H15">
            <v>1134.4009000000001</v>
          </cell>
          <cell r="I15">
            <v>20.576000000000001</v>
          </cell>
          <cell r="J15">
            <v>13.224</v>
          </cell>
          <cell r="K15">
            <v>21.411000000000001</v>
          </cell>
          <cell r="L15">
            <v>12.273999999999999</v>
          </cell>
          <cell r="M15">
            <v>1</v>
          </cell>
        </row>
        <row r="16">
          <cell r="A16" t="str">
            <v>T14</v>
          </cell>
          <cell r="B16" t="str">
            <v>T14</v>
          </cell>
          <cell r="C16">
            <v>1310.0174</v>
          </cell>
          <cell r="D16">
            <v>1310.0174</v>
          </cell>
          <cell r="E16">
            <v>20.797000000000001</v>
          </cell>
          <cell r="F16">
            <v>14.07</v>
          </cell>
          <cell r="G16">
            <v>1310.0174</v>
          </cell>
          <cell r="H16">
            <v>1310.0174</v>
          </cell>
          <cell r="I16">
            <v>20.797000000000001</v>
          </cell>
          <cell r="J16">
            <v>14.07</v>
          </cell>
          <cell r="K16">
            <v>21.55</v>
          </cell>
          <cell r="L16">
            <v>12.275</v>
          </cell>
          <cell r="M16">
            <v>1</v>
          </cell>
        </row>
        <row r="17">
          <cell r="A17" t="str">
            <v>TUM</v>
          </cell>
          <cell r="B17" t="str">
            <v>TUM</v>
          </cell>
          <cell r="C17">
            <v>926.13980000000004</v>
          </cell>
          <cell r="D17">
            <v>926.13980000000004</v>
          </cell>
          <cell r="E17">
            <v>20.706</v>
          </cell>
          <cell r="F17">
            <v>13.079000000000001</v>
          </cell>
          <cell r="G17">
            <v>926.13980000000004</v>
          </cell>
          <cell r="H17">
            <v>926.13980000000004</v>
          </cell>
          <cell r="I17">
            <v>20.706</v>
          </cell>
          <cell r="J17">
            <v>13.079000000000001</v>
          </cell>
          <cell r="K17">
            <v>21.632000000000001</v>
          </cell>
          <cell r="L17">
            <v>12.266</v>
          </cell>
          <cell r="M17">
            <v>1</v>
          </cell>
        </row>
        <row r="18">
          <cell r="A18" t="str">
            <v>MAI</v>
          </cell>
          <cell r="B18" t="str">
            <v>MAI</v>
          </cell>
          <cell r="C18">
            <v>150.57769999999999</v>
          </cell>
          <cell r="D18">
            <v>150.57769999999999</v>
          </cell>
          <cell r="E18">
            <v>5.4740000000000002</v>
          </cell>
          <cell r="F18">
            <v>13.855</v>
          </cell>
          <cell r="G18">
            <v>150.57769999999999</v>
          </cell>
          <cell r="H18">
            <v>150.57769999999999</v>
          </cell>
          <cell r="I18">
            <v>5.4740000000000002</v>
          </cell>
          <cell r="J18">
            <v>13.855</v>
          </cell>
          <cell r="K18">
            <v>18.972000000000001</v>
          </cell>
          <cell r="L18">
            <v>11.932</v>
          </cell>
          <cell r="M18">
            <v>1</v>
          </cell>
        </row>
        <row r="19">
          <cell r="M19" t="str">
            <v/>
          </cell>
        </row>
        <row r="20">
          <cell r="M20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52">
          <cell r="M52" t="str">
            <v/>
          </cell>
        </row>
        <row r="53">
          <cell r="M53" t="str">
            <v/>
          </cell>
        </row>
        <row r="54">
          <cell r="M54" t="str">
            <v/>
          </cell>
        </row>
        <row r="55">
          <cell r="M55" t="str">
            <v/>
          </cell>
        </row>
        <row r="56">
          <cell r="M56" t="str">
            <v/>
          </cell>
        </row>
        <row r="57">
          <cell r="M57" t="str">
            <v/>
          </cell>
        </row>
        <row r="58">
          <cell r="M58" t="str">
            <v/>
          </cell>
        </row>
        <row r="59">
          <cell r="M59" t="str">
            <v/>
          </cell>
        </row>
        <row r="60">
          <cell r="M60" t="str">
            <v/>
          </cell>
        </row>
        <row r="61">
          <cell r="M61" t="str">
            <v/>
          </cell>
        </row>
        <row r="62">
          <cell r="M62" t="str">
            <v/>
          </cell>
        </row>
        <row r="63">
          <cell r="M63" t="str">
            <v/>
          </cell>
        </row>
        <row r="64">
          <cell r="M64" t="str">
            <v/>
          </cell>
        </row>
        <row r="65">
          <cell r="M65" t="str">
            <v/>
          </cell>
        </row>
        <row r="66">
          <cell r="M66" t="str">
            <v/>
          </cell>
        </row>
        <row r="67">
          <cell r="M67" t="str">
            <v/>
          </cell>
        </row>
        <row r="68">
          <cell r="M68" t="str">
            <v/>
          </cell>
        </row>
        <row r="69">
          <cell r="M69" t="str">
            <v/>
          </cell>
        </row>
        <row r="70">
          <cell r="M70" t="str">
            <v/>
          </cell>
        </row>
        <row r="71">
          <cell r="M71" t="str">
            <v/>
          </cell>
        </row>
        <row r="72">
          <cell r="M72" t="str">
            <v/>
          </cell>
        </row>
        <row r="73">
          <cell r="M73" t="str">
            <v/>
          </cell>
        </row>
        <row r="74">
          <cell r="M74" t="str">
            <v/>
          </cell>
        </row>
        <row r="75">
          <cell r="M75" t="str">
            <v/>
          </cell>
        </row>
        <row r="76">
          <cell r="M76" t="str">
            <v/>
          </cell>
        </row>
        <row r="77">
          <cell r="M77" t="str">
            <v/>
          </cell>
        </row>
        <row r="78">
          <cell r="M78" t="str">
            <v/>
          </cell>
        </row>
        <row r="79">
          <cell r="M79" t="str">
            <v/>
          </cell>
        </row>
        <row r="80">
          <cell r="M80" t="str">
            <v/>
          </cell>
        </row>
        <row r="81">
          <cell r="M81" t="str">
            <v/>
          </cell>
        </row>
        <row r="82">
          <cell r="M82" t="str">
            <v/>
          </cell>
        </row>
        <row r="83">
          <cell r="M83" t="str">
            <v/>
          </cell>
        </row>
        <row r="84">
          <cell r="M84" t="str">
            <v/>
          </cell>
        </row>
        <row r="85">
          <cell r="M85" t="str">
            <v/>
          </cell>
        </row>
        <row r="86">
          <cell r="M86" t="str">
            <v/>
          </cell>
        </row>
        <row r="87">
          <cell r="M87" t="str">
            <v/>
          </cell>
        </row>
        <row r="88">
          <cell r="M88" t="str">
            <v/>
          </cell>
        </row>
        <row r="89">
          <cell r="M89" t="str">
            <v/>
          </cell>
        </row>
        <row r="90">
          <cell r="M90" t="str">
            <v/>
          </cell>
        </row>
        <row r="91">
          <cell r="M91" t="str">
            <v/>
          </cell>
        </row>
        <row r="92">
          <cell r="M92" t="str">
            <v/>
          </cell>
        </row>
        <row r="93">
          <cell r="M93" t="str">
            <v/>
          </cell>
        </row>
        <row r="94">
          <cell r="M94" t="str">
            <v/>
          </cell>
        </row>
        <row r="95">
          <cell r="M95" t="str">
            <v/>
          </cell>
        </row>
        <row r="96">
          <cell r="M96" t="str">
            <v/>
          </cell>
        </row>
        <row r="97">
          <cell r="M97" t="str">
            <v/>
          </cell>
        </row>
        <row r="98">
          <cell r="M98" t="str">
            <v/>
          </cell>
        </row>
        <row r="99">
          <cell r="M99" t="str">
            <v/>
          </cell>
        </row>
        <row r="100">
          <cell r="M100" t="str">
            <v/>
          </cell>
        </row>
        <row r="101">
          <cell r="M101" t="str">
            <v/>
          </cell>
        </row>
        <row r="102">
          <cell r="M102" t="str">
            <v/>
          </cell>
        </row>
        <row r="103">
          <cell r="M103" t="str">
            <v/>
          </cell>
        </row>
        <row r="104">
          <cell r="M104" t="str">
            <v/>
          </cell>
        </row>
        <row r="105">
          <cell r="M105" t="str">
            <v/>
          </cell>
        </row>
        <row r="106">
          <cell r="M106" t="str">
            <v/>
          </cell>
        </row>
        <row r="107">
          <cell r="M107" t="str">
            <v/>
          </cell>
        </row>
        <row r="108">
          <cell r="M108" t="str">
            <v/>
          </cell>
        </row>
        <row r="109">
          <cell r="M109" t="str">
            <v/>
          </cell>
        </row>
        <row r="110">
          <cell r="M110" t="str">
            <v/>
          </cell>
        </row>
        <row r="111">
          <cell r="M111" t="str">
            <v/>
          </cell>
        </row>
        <row r="112">
          <cell r="M112" t="str">
            <v/>
          </cell>
        </row>
        <row r="113">
          <cell r="M113" t="str">
            <v/>
          </cell>
        </row>
        <row r="114">
          <cell r="M114" t="str">
            <v/>
          </cell>
        </row>
        <row r="115">
          <cell r="M115" t="str">
            <v/>
          </cell>
        </row>
        <row r="116">
          <cell r="M116" t="str">
            <v/>
          </cell>
        </row>
        <row r="117">
          <cell r="M117" t="str">
            <v/>
          </cell>
        </row>
        <row r="118">
          <cell r="M118" t="str">
            <v/>
          </cell>
        </row>
        <row r="119">
          <cell r="M119" t="str">
            <v/>
          </cell>
        </row>
        <row r="120">
          <cell r="M120" t="str">
            <v/>
          </cell>
        </row>
        <row r="121">
          <cell r="M121" t="str">
            <v/>
          </cell>
        </row>
        <row r="122">
          <cell r="M122" t="str">
            <v/>
          </cell>
        </row>
        <row r="123">
          <cell r="M123" t="str">
            <v/>
          </cell>
        </row>
        <row r="124">
          <cell r="M124" t="str">
            <v/>
          </cell>
        </row>
        <row r="125">
          <cell r="M125" t="str">
            <v/>
          </cell>
        </row>
        <row r="126">
          <cell r="M126" t="str">
            <v/>
          </cell>
        </row>
        <row r="127">
          <cell r="M127" t="str">
            <v/>
          </cell>
        </row>
        <row r="128">
          <cell r="M128" t="str">
            <v/>
          </cell>
        </row>
        <row r="129">
          <cell r="M129" t="str">
            <v/>
          </cell>
        </row>
        <row r="130">
          <cell r="M130" t="str">
            <v/>
          </cell>
        </row>
        <row r="131">
          <cell r="M131" t="str">
            <v/>
          </cell>
        </row>
        <row r="132">
          <cell r="M132" t="str">
            <v/>
          </cell>
        </row>
        <row r="133">
          <cell r="M133" t="str">
            <v/>
          </cell>
        </row>
        <row r="134">
          <cell r="M134" t="str">
            <v/>
          </cell>
        </row>
        <row r="135">
          <cell r="M135" t="str">
            <v/>
          </cell>
        </row>
        <row r="136">
          <cell r="M136" t="str">
            <v/>
          </cell>
        </row>
        <row r="137">
          <cell r="M137" t="str">
            <v/>
          </cell>
        </row>
        <row r="138">
          <cell r="M138" t="str">
            <v/>
          </cell>
        </row>
        <row r="139">
          <cell r="M139" t="str">
            <v/>
          </cell>
        </row>
        <row r="140">
          <cell r="M140" t="str">
            <v/>
          </cell>
        </row>
        <row r="141">
          <cell r="M141" t="str">
            <v/>
          </cell>
        </row>
        <row r="142">
          <cell r="M142" t="str">
            <v/>
          </cell>
        </row>
        <row r="143">
          <cell r="M143" t="str">
            <v/>
          </cell>
        </row>
        <row r="144">
          <cell r="M144" t="str">
            <v/>
          </cell>
        </row>
        <row r="145">
          <cell r="M145" t="str">
            <v/>
          </cell>
        </row>
        <row r="146">
          <cell r="M146" t="str">
            <v/>
          </cell>
        </row>
        <row r="147">
          <cell r="M147" t="str">
            <v/>
          </cell>
        </row>
        <row r="148">
          <cell r="M148" t="str">
            <v/>
          </cell>
        </row>
        <row r="149">
          <cell r="M149" t="str">
            <v/>
          </cell>
        </row>
        <row r="150">
          <cell r="M150" t="str">
            <v/>
          </cell>
        </row>
        <row r="151">
          <cell r="M151" t="str">
            <v/>
          </cell>
        </row>
        <row r="152">
          <cell r="M152" t="str">
            <v/>
          </cell>
        </row>
        <row r="153">
          <cell r="M153" t="str">
            <v/>
          </cell>
        </row>
        <row r="154">
          <cell r="M154" t="str">
            <v/>
          </cell>
        </row>
        <row r="155">
          <cell r="M155" t="str">
            <v/>
          </cell>
        </row>
        <row r="156">
          <cell r="M156" t="str">
            <v/>
          </cell>
        </row>
        <row r="157">
          <cell r="M157" t="str">
            <v/>
          </cell>
        </row>
        <row r="158">
          <cell r="M158" t="str">
            <v/>
          </cell>
        </row>
        <row r="159">
          <cell r="M159" t="str">
            <v/>
          </cell>
        </row>
        <row r="160">
          <cell r="M160" t="str">
            <v/>
          </cell>
        </row>
        <row r="161">
          <cell r="M161" t="str">
            <v/>
          </cell>
        </row>
        <row r="162">
          <cell r="M162" t="str">
            <v/>
          </cell>
        </row>
        <row r="163">
          <cell r="M163" t="str">
            <v/>
          </cell>
        </row>
        <row r="164">
          <cell r="M164" t="str">
            <v/>
          </cell>
        </row>
        <row r="165">
          <cell r="M165" t="str">
            <v/>
          </cell>
        </row>
        <row r="166">
          <cell r="M166" t="str">
            <v/>
          </cell>
        </row>
        <row r="167">
          <cell r="M167" t="str">
            <v/>
          </cell>
        </row>
        <row r="168">
          <cell r="M168" t="str">
            <v/>
          </cell>
        </row>
        <row r="169">
          <cell r="M169" t="str">
            <v/>
          </cell>
        </row>
        <row r="170">
          <cell r="M170" t="str">
            <v/>
          </cell>
        </row>
        <row r="171">
          <cell r="M171" t="str">
            <v/>
          </cell>
        </row>
        <row r="172">
          <cell r="M172" t="str">
            <v/>
          </cell>
        </row>
        <row r="173">
          <cell r="M173" t="str">
            <v/>
          </cell>
        </row>
        <row r="174">
          <cell r="M174" t="str">
            <v/>
          </cell>
        </row>
        <row r="175">
          <cell r="M175" t="str">
            <v/>
          </cell>
        </row>
        <row r="176">
          <cell r="M176" t="str">
            <v/>
          </cell>
        </row>
        <row r="177">
          <cell r="M177" t="str">
            <v/>
          </cell>
        </row>
        <row r="178">
          <cell r="M178" t="str">
            <v/>
          </cell>
        </row>
        <row r="179">
          <cell r="M179" t="str">
            <v/>
          </cell>
        </row>
        <row r="180">
          <cell r="M180" t="str">
            <v/>
          </cell>
        </row>
        <row r="181">
          <cell r="M181" t="str">
            <v/>
          </cell>
        </row>
        <row r="182">
          <cell r="M182" t="str">
            <v/>
          </cell>
        </row>
        <row r="183">
          <cell r="M183" t="str">
            <v/>
          </cell>
        </row>
        <row r="184">
          <cell r="M184" t="str">
            <v/>
          </cell>
        </row>
        <row r="185">
          <cell r="M185" t="str">
            <v/>
          </cell>
        </row>
        <row r="186">
          <cell r="M186" t="str">
            <v/>
          </cell>
        </row>
        <row r="187">
          <cell r="M187" t="str">
            <v/>
          </cell>
        </row>
        <row r="188">
          <cell r="M188" t="str">
            <v/>
          </cell>
        </row>
        <row r="189">
          <cell r="M189" t="str">
            <v/>
          </cell>
        </row>
        <row r="190">
          <cell r="M190" t="str">
            <v/>
          </cell>
        </row>
        <row r="191">
          <cell r="M191" t="str">
            <v/>
          </cell>
        </row>
        <row r="192">
          <cell r="M192" t="str">
            <v/>
          </cell>
        </row>
        <row r="193">
          <cell r="M193" t="str">
            <v/>
          </cell>
        </row>
        <row r="194">
          <cell r="M194" t="str">
            <v/>
          </cell>
        </row>
        <row r="195">
          <cell r="M195" t="str">
            <v/>
          </cell>
        </row>
        <row r="196">
          <cell r="M196" t="str">
            <v/>
          </cell>
        </row>
        <row r="197">
          <cell r="M197" t="str">
            <v/>
          </cell>
        </row>
        <row r="198">
          <cell r="M198" t="str">
            <v/>
          </cell>
        </row>
        <row r="199">
          <cell r="M199" t="str">
            <v/>
          </cell>
        </row>
        <row r="200">
          <cell r="M200" t="str">
            <v/>
          </cell>
        </row>
        <row r="201">
          <cell r="M201" t="str">
            <v/>
          </cell>
        </row>
      </sheetData>
      <sheetData sheetId="18">
        <row r="1">
          <cell r="O1">
            <v>12</v>
          </cell>
        </row>
        <row r="2">
          <cell r="A2">
            <v>1</v>
          </cell>
          <cell r="B2">
            <v>1.9528019999999999</v>
          </cell>
          <cell r="C2">
            <v>2.4763000000000002</v>
          </cell>
          <cell r="D2">
            <v>51.074100000000001</v>
          </cell>
          <cell r="E2">
            <v>0</v>
          </cell>
          <cell r="F2">
            <v>2.4763000000000002</v>
          </cell>
          <cell r="G2">
            <v>51.074100000000001</v>
          </cell>
          <cell r="H2">
            <v>0</v>
          </cell>
          <cell r="I2">
            <v>87.758700000000005</v>
          </cell>
          <cell r="J2">
            <v>4.4984999999999999</v>
          </cell>
          <cell r="K2">
            <v>3.7441</v>
          </cell>
          <cell r="L2">
            <v>87.758700000000005</v>
          </cell>
          <cell r="M2">
            <v>4.4984999999999999</v>
          </cell>
          <cell r="N2">
            <v>3.7441</v>
          </cell>
        </row>
        <row r="3">
          <cell r="A3">
            <v>2</v>
          </cell>
          <cell r="B3">
            <v>1.8663339999999999</v>
          </cell>
          <cell r="C3">
            <v>49.630299999999998</v>
          </cell>
          <cell r="D3">
            <v>3.7597</v>
          </cell>
          <cell r="E3">
            <v>0</v>
          </cell>
          <cell r="F3">
            <v>52.1066</v>
          </cell>
          <cell r="G3">
            <v>54.833799999999997</v>
          </cell>
          <cell r="H3">
            <v>0</v>
          </cell>
          <cell r="I3">
            <v>6.3823999999999996</v>
          </cell>
          <cell r="J3">
            <v>87.734300000000005</v>
          </cell>
          <cell r="K3">
            <v>1.2512000000000001</v>
          </cell>
          <cell r="L3">
            <v>94.141099999999994</v>
          </cell>
          <cell r="M3">
            <v>92.232799999999997</v>
          </cell>
          <cell r="N3">
            <v>4.9953000000000003</v>
          </cell>
        </row>
        <row r="4">
          <cell r="A4">
            <v>3</v>
          </cell>
          <cell r="B4">
            <v>1.6405989999999999</v>
          </cell>
          <cell r="C4">
            <v>2.8887</v>
          </cell>
          <cell r="D4">
            <v>2.0825</v>
          </cell>
          <cell r="E4">
            <v>0</v>
          </cell>
          <cell r="F4">
            <v>54.9953</v>
          </cell>
          <cell r="G4">
            <v>56.9163</v>
          </cell>
          <cell r="H4">
            <v>0</v>
          </cell>
          <cell r="I4">
            <v>3.1564000000000001</v>
          </cell>
          <cell r="J4">
            <v>4.6501999999999999</v>
          </cell>
          <cell r="K4">
            <v>46.205399999999997</v>
          </cell>
          <cell r="L4">
            <v>97.297499999999999</v>
          </cell>
          <cell r="M4">
            <v>96.882999999999996</v>
          </cell>
          <cell r="N4">
            <v>51.200699999999998</v>
          </cell>
        </row>
        <row r="5">
          <cell r="A5">
            <v>4</v>
          </cell>
          <cell r="B5">
            <v>0.513266</v>
          </cell>
          <cell r="C5">
            <v>10.634399999999999</v>
          </cell>
          <cell r="D5">
            <v>0.75080000000000002</v>
          </cell>
          <cell r="E5">
            <v>0</v>
          </cell>
          <cell r="F5">
            <v>65.6297</v>
          </cell>
          <cell r="G5">
            <v>57.667099999999998</v>
          </cell>
          <cell r="H5">
            <v>0</v>
          </cell>
          <cell r="I5">
            <v>5.8099999999999999E-2</v>
          </cell>
          <cell r="J5">
            <v>6.3E-3</v>
          </cell>
          <cell r="K5">
            <v>0.35970000000000002</v>
          </cell>
          <cell r="L5">
            <v>97.355599999999995</v>
          </cell>
          <cell r="M5">
            <v>96.889300000000006</v>
          </cell>
          <cell r="N5">
            <v>51.560400000000001</v>
          </cell>
        </row>
        <row r="6">
          <cell r="A6">
            <v>5</v>
          </cell>
          <cell r="B6">
            <v>0.482437</v>
          </cell>
          <cell r="C6">
            <v>1.1968000000000001</v>
          </cell>
          <cell r="D6">
            <v>10.834099999999999</v>
          </cell>
          <cell r="E6">
            <v>0</v>
          </cell>
          <cell r="F6">
            <v>66.826499999999996</v>
          </cell>
          <cell r="G6">
            <v>68.501199999999997</v>
          </cell>
          <cell r="H6">
            <v>0</v>
          </cell>
          <cell r="I6">
            <v>1.133</v>
          </cell>
          <cell r="J6">
            <v>4.1999999999999997E-3</v>
          </cell>
          <cell r="K6">
            <v>0.24129999999999999</v>
          </cell>
          <cell r="L6">
            <v>98.488600000000005</v>
          </cell>
          <cell r="M6">
            <v>96.893500000000003</v>
          </cell>
          <cell r="N6">
            <v>51.801699999999997</v>
          </cell>
        </row>
        <row r="7">
          <cell r="A7">
            <v>6</v>
          </cell>
          <cell r="B7">
            <v>0.42773099999999997</v>
          </cell>
          <cell r="C7">
            <v>0.44009999999999999</v>
          </cell>
          <cell r="D7">
            <v>0.88009999999999999</v>
          </cell>
          <cell r="E7">
            <v>0</v>
          </cell>
          <cell r="F7">
            <v>67.266599999999997</v>
          </cell>
          <cell r="G7">
            <v>69.381299999999996</v>
          </cell>
          <cell r="H7">
            <v>0</v>
          </cell>
          <cell r="I7">
            <v>0.13750000000000001</v>
          </cell>
          <cell r="J7">
            <v>7.4000000000000003E-3</v>
          </cell>
          <cell r="K7">
            <v>9.5998000000000001</v>
          </cell>
          <cell r="L7">
            <v>98.626099999999994</v>
          </cell>
          <cell r="M7">
            <v>96.900899999999993</v>
          </cell>
          <cell r="N7">
            <v>61.401499999999999</v>
          </cell>
        </row>
        <row r="8">
          <cell r="A8">
            <v>7</v>
          </cell>
          <cell r="B8">
            <v>0.25228699999999998</v>
          </cell>
          <cell r="C8">
            <v>5.1459000000000001</v>
          </cell>
          <cell r="D8">
            <v>0.38840000000000002</v>
          </cell>
          <cell r="E8">
            <v>0</v>
          </cell>
          <cell r="F8">
            <v>72.412499999999994</v>
          </cell>
          <cell r="G8">
            <v>69.7697</v>
          </cell>
          <cell r="H8">
            <v>0</v>
          </cell>
          <cell r="I8">
            <v>5.4300000000000001E-2</v>
          </cell>
          <cell r="J8">
            <v>5.5999999999999999E-3</v>
          </cell>
          <cell r="K8">
            <v>0.26329999999999998</v>
          </cell>
          <cell r="L8">
            <v>98.680300000000003</v>
          </cell>
          <cell r="M8">
            <v>96.906499999999994</v>
          </cell>
          <cell r="N8">
            <v>61.6648</v>
          </cell>
        </row>
        <row r="9">
          <cell r="A9">
            <v>8</v>
          </cell>
          <cell r="B9">
            <v>0.223277</v>
          </cell>
          <cell r="C9">
            <v>0.81340000000000001</v>
          </cell>
          <cell r="D9">
            <v>3.5689000000000002</v>
          </cell>
          <cell r="E9">
            <v>0</v>
          </cell>
          <cell r="F9">
            <v>73.225999999999999</v>
          </cell>
          <cell r="G9">
            <v>73.3386</v>
          </cell>
          <cell r="H9">
            <v>0</v>
          </cell>
          <cell r="I9">
            <v>0.4103</v>
          </cell>
          <cell r="J9">
            <v>8.9999999999999998E-4</v>
          </cell>
          <cell r="K9">
            <v>1.0509999999999999</v>
          </cell>
          <cell r="L9">
            <v>99.090599999999995</v>
          </cell>
          <cell r="M9">
            <v>96.907399999999996</v>
          </cell>
          <cell r="N9">
            <v>62.715800000000002</v>
          </cell>
        </row>
        <row r="10">
          <cell r="A10">
            <v>9</v>
          </cell>
          <cell r="B10">
            <v>0.189864</v>
          </cell>
          <cell r="C10">
            <v>0.112</v>
          </cell>
          <cell r="D10">
            <v>1.623</v>
          </cell>
          <cell r="E10">
            <v>0</v>
          </cell>
          <cell r="F10">
            <v>73.337900000000005</v>
          </cell>
          <cell r="G10">
            <v>74.961600000000004</v>
          </cell>
          <cell r="H10">
            <v>0</v>
          </cell>
          <cell r="I10">
            <v>0.1759</v>
          </cell>
          <cell r="J10">
            <v>2E-3</v>
          </cell>
          <cell r="K10">
            <v>3.3784999999999998</v>
          </cell>
          <cell r="L10">
            <v>99.266599999999997</v>
          </cell>
          <cell r="M10">
            <v>96.909300000000002</v>
          </cell>
          <cell r="N10">
            <v>66.094300000000004</v>
          </cell>
        </row>
        <row r="11">
          <cell r="A11">
            <v>10</v>
          </cell>
          <cell r="B11">
            <v>0.15473100000000001</v>
          </cell>
          <cell r="C11">
            <v>2.3658999999999999</v>
          </cell>
          <cell r="D11">
            <v>6.2899999999999998E-2</v>
          </cell>
          <cell r="E11">
            <v>0</v>
          </cell>
          <cell r="F11">
            <v>75.703900000000004</v>
          </cell>
          <cell r="G11">
            <v>75.024600000000007</v>
          </cell>
          <cell r="H11">
            <v>0</v>
          </cell>
          <cell r="I11">
            <v>3.0999999999999999E-3</v>
          </cell>
          <cell r="J11">
            <v>6.1699999999999998E-2</v>
          </cell>
          <cell r="K11">
            <v>0.17810000000000001</v>
          </cell>
          <cell r="L11">
            <v>99.269599999999997</v>
          </cell>
          <cell r="M11">
            <v>96.971000000000004</v>
          </cell>
          <cell r="N11">
            <v>66.272400000000005</v>
          </cell>
        </row>
        <row r="12">
          <cell r="A12">
            <v>11</v>
          </cell>
          <cell r="B12">
            <v>0.13971600000000001</v>
          </cell>
          <cell r="C12">
            <v>3.7600000000000001E-2</v>
          </cell>
          <cell r="D12">
            <v>0.88970000000000005</v>
          </cell>
          <cell r="E12">
            <v>0</v>
          </cell>
          <cell r="F12">
            <v>75.741500000000002</v>
          </cell>
          <cell r="G12">
            <v>75.914299999999997</v>
          </cell>
          <cell r="H12">
            <v>0</v>
          </cell>
          <cell r="I12">
            <v>5.3800000000000001E-2</v>
          </cell>
          <cell r="J12">
            <v>1.2999999999999999E-3</v>
          </cell>
          <cell r="K12">
            <v>0.45779999999999998</v>
          </cell>
          <cell r="L12">
            <v>99.323499999999996</v>
          </cell>
          <cell r="M12">
            <v>96.972300000000004</v>
          </cell>
          <cell r="N12">
            <v>66.730099999999993</v>
          </cell>
        </row>
        <row r="13">
          <cell r="A13">
            <v>12</v>
          </cell>
          <cell r="B13">
            <v>0.128498</v>
          </cell>
          <cell r="C13">
            <v>0.20730000000000001</v>
          </cell>
          <cell r="D13">
            <v>1.1456</v>
          </cell>
          <cell r="E13">
            <v>0</v>
          </cell>
          <cell r="F13">
            <v>75.948800000000006</v>
          </cell>
          <cell r="G13">
            <v>77.059899999999999</v>
          </cell>
          <cell r="H13">
            <v>0</v>
          </cell>
          <cell r="I13">
            <v>6.8000000000000005E-2</v>
          </cell>
          <cell r="J13">
            <v>8.2000000000000007E-3</v>
          </cell>
          <cell r="K13">
            <v>0.1376</v>
          </cell>
          <cell r="L13">
            <v>99.391499999999994</v>
          </cell>
          <cell r="M13">
            <v>96.980599999999995</v>
          </cell>
          <cell r="N13">
            <v>66.867699999999999</v>
          </cell>
        </row>
      </sheetData>
      <sheetData sheetId="19">
        <row r="8">
          <cell r="B8">
            <v>5</v>
          </cell>
          <cell r="C8">
            <v>10</v>
          </cell>
          <cell r="D8">
            <v>20</v>
          </cell>
          <cell r="E8">
            <v>40</v>
          </cell>
          <cell r="F8">
            <v>80</v>
          </cell>
          <cell r="G8">
            <v>160</v>
          </cell>
          <cell r="H8">
            <v>350</v>
          </cell>
        </row>
        <row r="9">
          <cell r="A9">
            <v>0.1</v>
          </cell>
          <cell r="B9">
            <v>0.95</v>
          </cell>
          <cell r="C9">
            <v>0.92</v>
          </cell>
          <cell r="D9">
            <v>0.88</v>
          </cell>
          <cell r="E9">
            <v>0.83</v>
          </cell>
          <cell r="F9">
            <v>0.76</v>
          </cell>
          <cell r="G9">
            <v>0.67</v>
          </cell>
          <cell r="H9">
            <v>0.56000000000000005</v>
          </cell>
        </row>
        <row r="10">
          <cell r="A10">
            <v>5</v>
          </cell>
          <cell r="B10">
            <v>0.89</v>
          </cell>
          <cell r="C10">
            <v>0.87</v>
          </cell>
          <cell r="D10">
            <v>0.84</v>
          </cell>
          <cell r="E10">
            <v>0.8</v>
          </cell>
          <cell r="F10">
            <v>0.73</v>
          </cell>
          <cell r="G10">
            <v>0.65</v>
          </cell>
          <cell r="H10">
            <v>0.54</v>
          </cell>
        </row>
        <row r="11">
          <cell r="A11">
            <v>10</v>
          </cell>
          <cell r="B11">
            <v>0.85</v>
          </cell>
          <cell r="C11">
            <v>0.84</v>
          </cell>
          <cell r="D11">
            <v>0.81</v>
          </cell>
          <cell r="E11">
            <v>0.77</v>
          </cell>
          <cell r="F11">
            <v>0.71</v>
          </cell>
          <cell r="G11">
            <v>0.64</v>
          </cell>
          <cell r="H11">
            <v>0.53</v>
          </cell>
        </row>
        <row r="12">
          <cell r="A12">
            <v>20</v>
          </cell>
          <cell r="B12">
            <v>0.8</v>
          </cell>
          <cell r="C12">
            <v>0.78</v>
          </cell>
          <cell r="D12">
            <v>0.76</v>
          </cell>
          <cell r="E12">
            <v>0.73</v>
          </cell>
          <cell r="F12">
            <v>0.68</v>
          </cell>
          <cell r="G12">
            <v>0.61</v>
          </cell>
          <cell r="H12">
            <v>0.51</v>
          </cell>
        </row>
        <row r="13">
          <cell r="A13">
            <v>40</v>
          </cell>
          <cell r="B13">
            <v>0.72</v>
          </cell>
          <cell r="C13">
            <v>0.72</v>
          </cell>
          <cell r="D13">
            <v>0.7</v>
          </cell>
          <cell r="E13">
            <v>0.67</v>
          </cell>
          <cell r="F13">
            <v>0.63</v>
          </cell>
          <cell r="G13">
            <v>0.56999999999999995</v>
          </cell>
          <cell r="H13">
            <v>0.48</v>
          </cell>
        </row>
        <row r="14">
          <cell r="A14">
            <v>80</v>
          </cell>
          <cell r="B14">
            <v>0.63</v>
          </cell>
          <cell r="C14">
            <v>0.63</v>
          </cell>
          <cell r="D14">
            <v>0.61</v>
          </cell>
          <cell r="E14">
            <v>0.59</v>
          </cell>
          <cell r="F14">
            <v>0.56000000000000005</v>
          </cell>
          <cell r="G14">
            <v>0.51</v>
          </cell>
          <cell r="H14">
            <v>0.44</v>
          </cell>
        </row>
        <row r="15">
          <cell r="A15">
            <v>160</v>
          </cell>
          <cell r="B15">
            <v>0.53</v>
          </cell>
          <cell r="C15">
            <v>0.53</v>
          </cell>
          <cell r="D15">
            <v>0.52</v>
          </cell>
          <cell r="E15">
            <v>0.5</v>
          </cell>
          <cell r="F15">
            <v>0.47</v>
          </cell>
          <cell r="G15">
            <v>0.44</v>
          </cell>
          <cell r="H15">
            <v>0.38</v>
          </cell>
        </row>
      </sheetData>
      <sheetData sheetId="20">
        <row r="4">
          <cell r="Q4" t="str">
            <v>01. Thủ đô Hà Nội</v>
          </cell>
          <cell r="R4" t="str">
            <v>Quận Ba Đình</v>
          </cell>
          <cell r="S4" t="str">
            <v>II.B</v>
          </cell>
          <cell r="T4" t="str">
            <v>(P. Cống Vị)</v>
          </cell>
          <cell r="U4">
            <v>105.8129</v>
          </cell>
          <cell r="V4">
            <v>21.0398</v>
          </cell>
          <cell r="W4">
            <v>9.7600000000000006E-2</v>
          </cell>
        </row>
        <row r="5">
          <cell r="Q5" t="str">
            <v>01. Thủ đô Hà Nội</v>
          </cell>
          <cell r="R5" t="str">
            <v>Quận Cầu Giấy</v>
          </cell>
          <cell r="S5" t="str">
            <v>II.B</v>
          </cell>
          <cell r="T5" t="str">
            <v>(P. Quan Hoa)</v>
          </cell>
          <cell r="U5">
            <v>105.79949999999999</v>
          </cell>
          <cell r="V5">
            <v>21.033300000000001</v>
          </cell>
          <cell r="W5">
            <v>0.1032</v>
          </cell>
        </row>
        <row r="6">
          <cell r="Q6" t="str">
            <v>01. Thủ đô Hà Nội</v>
          </cell>
          <cell r="R6" t="str">
            <v>Quận Đống Đa</v>
          </cell>
          <cell r="S6" t="str">
            <v>II.B</v>
          </cell>
          <cell r="T6" t="str">
            <v>(P. Thổ Quan)</v>
          </cell>
          <cell r="U6">
            <v>105.8329</v>
          </cell>
          <cell r="V6">
            <v>21.0183</v>
          </cell>
          <cell r="W6">
            <v>9.8299999999999998E-2</v>
          </cell>
        </row>
        <row r="7">
          <cell r="Q7" t="str">
            <v>01. Thủ đô Hà Nội</v>
          </cell>
          <cell r="R7" t="str">
            <v>Quận Hai Bà Trưng</v>
          </cell>
          <cell r="S7" t="str">
            <v>II.B</v>
          </cell>
          <cell r="T7" t="str">
            <v>(P. Lê Đại Hành)</v>
          </cell>
          <cell r="U7">
            <v>105.846</v>
          </cell>
          <cell r="V7">
            <v>21.012499999999999</v>
          </cell>
          <cell r="W7">
            <v>9.5899999999999999E-2</v>
          </cell>
        </row>
        <row r="8">
          <cell r="Q8" t="str">
            <v>01. Thủ đô Hà Nội</v>
          </cell>
          <cell r="R8" t="str">
            <v>Quận Hoàn Kiếm</v>
          </cell>
          <cell r="S8" t="str">
            <v>II.B</v>
          </cell>
          <cell r="T8" t="str">
            <v>(P. Hàng Trống)</v>
          </cell>
          <cell r="U8">
            <v>105.8502</v>
          </cell>
          <cell r="V8">
            <v>21.0291</v>
          </cell>
          <cell r="W8">
            <v>8.9200000000000002E-2</v>
          </cell>
        </row>
        <row r="9">
          <cell r="Q9" t="str">
            <v>01. Thủ đô Hà Nội</v>
          </cell>
          <cell r="R9" t="str">
            <v>Quận Hoàng Mai</v>
          </cell>
          <cell r="S9" t="str">
            <v>II.B</v>
          </cell>
          <cell r="T9" t="str">
            <v>(P. Phương Mai)</v>
          </cell>
          <cell r="U9">
            <v>105.8383</v>
          </cell>
          <cell r="V9">
            <v>21.002199999999998</v>
          </cell>
          <cell r="W9">
            <v>0.10009999999999999</v>
          </cell>
        </row>
        <row r="10">
          <cell r="Q10" t="str">
            <v>01. Thủ đô Hà Nội</v>
          </cell>
          <cell r="R10" t="str">
            <v>Quận Long Biên</v>
          </cell>
          <cell r="S10" t="str">
            <v>II.B</v>
          </cell>
          <cell r="T10" t="str">
            <v>(P. Ngọc Thuỵ)</v>
          </cell>
          <cell r="U10">
            <v>105.8908</v>
          </cell>
          <cell r="V10">
            <v>21.055</v>
          </cell>
          <cell r="W10">
            <v>7.4700000000000003E-2</v>
          </cell>
        </row>
        <row r="11">
          <cell r="Q11" t="str">
            <v>01. Thủ đô Hà Nội</v>
          </cell>
          <cell r="R11" t="str">
            <v>Quận Tây Hồ</v>
          </cell>
          <cell r="S11" t="str">
            <v>II.B</v>
          </cell>
          <cell r="T11" t="str">
            <v>(P. Nhật Tân)</v>
          </cell>
          <cell r="U11">
            <v>105.82550000000001</v>
          </cell>
          <cell r="V11">
            <v>21.0779</v>
          </cell>
          <cell r="W11">
            <v>8.1900000000000001E-2</v>
          </cell>
        </row>
        <row r="12">
          <cell r="Q12" t="str">
            <v>01. Thủ đô Hà Nội</v>
          </cell>
          <cell r="R12" t="str">
            <v>Quận Thanh Xuân</v>
          </cell>
          <cell r="S12" t="str">
            <v>II.B</v>
          </cell>
          <cell r="T12" t="str">
            <v>(P. Thanh Xuân Bắc)</v>
          </cell>
          <cell r="U12">
            <v>105.79900000000001</v>
          </cell>
          <cell r="V12">
            <v>20.991099999999999</v>
          </cell>
          <cell r="W12">
            <v>0.10970000000000001</v>
          </cell>
        </row>
        <row r="13">
          <cell r="Q13" t="str">
            <v>01. Thủ đô Hà Nội</v>
          </cell>
          <cell r="R13" t="str">
            <v>Huyện Đông Anh</v>
          </cell>
          <cell r="S13" t="str">
            <v>II.B</v>
          </cell>
          <cell r="T13" t="str">
            <v>(TT. Đông Anh)</v>
          </cell>
          <cell r="U13">
            <v>105.84950000000001</v>
          </cell>
          <cell r="V13">
            <v>21.139399999999998</v>
          </cell>
          <cell r="W13">
            <v>7.5700000000000003E-2</v>
          </cell>
        </row>
        <row r="14">
          <cell r="Q14" t="str">
            <v>01. Thủ đô Hà Nội</v>
          </cell>
          <cell r="R14" t="str">
            <v>Huyện Gia Lâm</v>
          </cell>
          <cell r="S14" t="str">
            <v>II.B</v>
          </cell>
          <cell r="T14" t="str">
            <v>(TT. Trâu Quỳ)</v>
          </cell>
          <cell r="U14">
            <v>105.9366</v>
          </cell>
          <cell r="V14">
            <v>21.019200000000001</v>
          </cell>
          <cell r="W14">
            <v>7.6899999999999996E-2</v>
          </cell>
        </row>
        <row r="15">
          <cell r="Q15" t="str">
            <v>01. Thủ đô Hà Nội</v>
          </cell>
          <cell r="R15" t="str">
            <v>Huyện Sóc Sơn</v>
          </cell>
          <cell r="S15" t="str">
            <v>II.B</v>
          </cell>
          <cell r="T15" t="str">
            <v>(TT. Sóc Sơn)</v>
          </cell>
          <cell r="U15">
            <v>105.8485</v>
          </cell>
          <cell r="V15">
            <v>21.257400000000001</v>
          </cell>
          <cell r="W15">
            <v>9.6199999999999994E-2</v>
          </cell>
        </row>
        <row r="16">
          <cell r="Q16" t="str">
            <v>01. Thủ đô Hà Nội</v>
          </cell>
          <cell r="R16" t="str">
            <v>Huyện Thanh Trì</v>
          </cell>
          <cell r="S16" t="str">
            <v>II.B</v>
          </cell>
          <cell r="T16" t="str">
            <v>(TT. Văn Điển)</v>
          </cell>
          <cell r="U16">
            <v>105.8451</v>
          </cell>
          <cell r="V16">
            <v>20.946100000000001</v>
          </cell>
          <cell r="W16">
            <v>0.1047</v>
          </cell>
        </row>
        <row r="17">
          <cell r="Q17" t="str">
            <v>01. Thủ đô Hà Nội</v>
          </cell>
          <cell r="R17" t="str">
            <v>Huyện Từ Liêm</v>
          </cell>
          <cell r="S17" t="str">
            <v>II.B</v>
          </cell>
          <cell r="T17" t="str">
            <v>(TT. Cầu Diễn)</v>
          </cell>
          <cell r="U17">
            <v>105.7625</v>
          </cell>
          <cell r="V17">
            <v>21.0398</v>
          </cell>
          <cell r="W17">
            <v>0.1081</v>
          </cell>
        </row>
        <row r="18">
          <cell r="Q18" t="str">
            <v>02. TP Hồ Chí Minh</v>
          </cell>
          <cell r="R18" t="str">
            <v>Quận 1</v>
          </cell>
          <cell r="S18" t="str">
            <v>II.A</v>
          </cell>
          <cell r="T18" t="str">
            <v>(P. Bến Nghé)</v>
          </cell>
          <cell r="U18">
            <v>106.6986</v>
          </cell>
          <cell r="V18">
            <v>10.782500000000001</v>
          </cell>
          <cell r="W18">
            <v>8.48E-2</v>
          </cell>
        </row>
        <row r="19">
          <cell r="Q19" t="str">
            <v>02. TP Hồ Chí Minh</v>
          </cell>
          <cell r="R19" t="str">
            <v>Quận 2</v>
          </cell>
          <cell r="S19" t="str">
            <v>II.A</v>
          </cell>
          <cell r="T19" t="str">
            <v>(P. An Phú)</v>
          </cell>
          <cell r="U19">
            <v>106.7482</v>
          </cell>
          <cell r="V19">
            <v>10.792400000000001</v>
          </cell>
          <cell r="W19">
            <v>8.5599999999999996E-2</v>
          </cell>
        </row>
        <row r="20">
          <cell r="Q20" t="str">
            <v>02. TP Hồ Chí Minh</v>
          </cell>
          <cell r="R20" t="str">
            <v>Quận 3</v>
          </cell>
          <cell r="S20" t="str">
            <v>II.A</v>
          </cell>
          <cell r="T20" t="str">
            <v>(P. 4)</v>
          </cell>
          <cell r="U20">
            <v>106.6861</v>
          </cell>
          <cell r="V20">
            <v>10.7759</v>
          </cell>
          <cell r="W20">
            <v>8.43E-2</v>
          </cell>
        </row>
        <row r="21">
          <cell r="Q21" t="str">
            <v>02. TP Hồ Chí Minh</v>
          </cell>
          <cell r="R21" t="str">
            <v>Quận 4</v>
          </cell>
          <cell r="S21" t="str">
            <v>II.A</v>
          </cell>
          <cell r="T21" t="str">
            <v>(P. 12)</v>
          </cell>
          <cell r="U21">
            <v>106.7063</v>
          </cell>
          <cell r="V21">
            <v>10.7674</v>
          </cell>
          <cell r="W21">
            <v>8.4699999999999998E-2</v>
          </cell>
        </row>
        <row r="22">
          <cell r="Q22" t="str">
            <v>02. TP Hồ Chí Minh</v>
          </cell>
          <cell r="R22" t="str">
            <v>Quận 5</v>
          </cell>
          <cell r="S22" t="str">
            <v>II.A</v>
          </cell>
          <cell r="T22" t="str">
            <v>(P. 8)</v>
          </cell>
          <cell r="U22">
            <v>106.6695</v>
          </cell>
          <cell r="V22">
            <v>10.7578</v>
          </cell>
          <cell r="W22">
            <v>7.7399999999999997E-2</v>
          </cell>
        </row>
        <row r="23">
          <cell r="Q23" t="str">
            <v>02. TP Hồ Chí Minh</v>
          </cell>
          <cell r="R23" t="str">
            <v>Quận 6</v>
          </cell>
          <cell r="S23" t="str">
            <v>II.A</v>
          </cell>
          <cell r="T23" t="str">
            <v>(P. 1)</v>
          </cell>
          <cell r="U23">
            <v>106.6506</v>
          </cell>
          <cell r="V23">
            <v>10.7477</v>
          </cell>
          <cell r="W23">
            <v>7.0000000000000007E-2</v>
          </cell>
        </row>
        <row r="24">
          <cell r="Q24" t="str">
            <v>02. TP Hồ Chí Minh</v>
          </cell>
          <cell r="R24" t="str">
            <v>Quận 7</v>
          </cell>
          <cell r="S24" t="str">
            <v>II.A</v>
          </cell>
          <cell r="T24" t="str">
            <v>(P. Phú Mỹ)</v>
          </cell>
          <cell r="U24">
            <v>106.7338</v>
          </cell>
          <cell r="V24">
            <v>10.728400000000001</v>
          </cell>
          <cell r="W24">
            <v>8.4599999999999995E-2</v>
          </cell>
        </row>
        <row r="25">
          <cell r="Q25" t="str">
            <v>02. TP Hồ Chí Minh</v>
          </cell>
          <cell r="R25" t="str">
            <v>Quận 8</v>
          </cell>
          <cell r="S25" t="str">
            <v>II.A</v>
          </cell>
          <cell r="T25" t="str">
            <v>(P. 11)</v>
          </cell>
          <cell r="U25">
            <v>106.66419999999999</v>
          </cell>
          <cell r="V25">
            <v>10.749499999999999</v>
          </cell>
          <cell r="W25">
            <v>7.4499999999999997E-2</v>
          </cell>
        </row>
        <row r="26">
          <cell r="Q26" t="str">
            <v>02. TP Hồ Chí Minh</v>
          </cell>
          <cell r="R26" t="str">
            <v>Quận 9</v>
          </cell>
          <cell r="S26" t="str">
            <v>II.A</v>
          </cell>
          <cell r="T26" t="str">
            <v>(P. Hiệp Phú)</v>
          </cell>
          <cell r="U26">
            <v>106.7698</v>
          </cell>
          <cell r="V26">
            <v>10.8428</v>
          </cell>
          <cell r="W26">
            <v>7.4700000000000003E-2</v>
          </cell>
        </row>
        <row r="27">
          <cell r="Q27" t="str">
            <v>02. TP Hồ Chí Minh</v>
          </cell>
          <cell r="R27" t="str">
            <v>Quận 10</v>
          </cell>
          <cell r="S27" t="str">
            <v>II.A</v>
          </cell>
          <cell r="T27" t="str">
            <v>(P. 14)</v>
          </cell>
          <cell r="U27">
            <v>106.6653</v>
          </cell>
          <cell r="V27">
            <v>10.7689</v>
          </cell>
          <cell r="W27">
            <v>7.7700000000000005E-2</v>
          </cell>
        </row>
        <row r="28">
          <cell r="Q28" t="str">
            <v>02. TP Hồ Chí Minh</v>
          </cell>
          <cell r="R28" t="str">
            <v>Quận 11</v>
          </cell>
          <cell r="S28" t="str">
            <v>II.A</v>
          </cell>
          <cell r="T28" t="str">
            <v>(P. 10)</v>
          </cell>
          <cell r="U28">
            <v>106.643</v>
          </cell>
          <cell r="V28">
            <v>10.764699999999999</v>
          </cell>
          <cell r="W28">
            <v>7.0099999999999996E-2</v>
          </cell>
        </row>
        <row r="29">
          <cell r="Q29" t="str">
            <v>02. TP Hồ Chí Minh</v>
          </cell>
          <cell r="R29" t="str">
            <v>Quận 12</v>
          </cell>
          <cell r="S29" t="str">
            <v>II.A</v>
          </cell>
          <cell r="T29" t="str">
            <v>(P. Tân Chánh Hiệp)</v>
          </cell>
          <cell r="U29">
            <v>106.6498</v>
          </cell>
          <cell r="V29">
            <v>10.863</v>
          </cell>
          <cell r="W29">
            <v>8.1299999999999997E-2</v>
          </cell>
        </row>
        <row r="30">
          <cell r="Q30" t="str">
            <v>02. TP Hồ Chí Minh</v>
          </cell>
          <cell r="R30" t="str">
            <v>Quận Bình Thạnh</v>
          </cell>
          <cell r="S30" t="str">
            <v>II.A</v>
          </cell>
          <cell r="T30" t="str">
            <v>(P. 14)</v>
          </cell>
          <cell r="U30">
            <v>106.69499999999999</v>
          </cell>
          <cell r="V30">
            <v>10.803800000000001</v>
          </cell>
          <cell r="W30">
            <v>8.5300000000000001E-2</v>
          </cell>
        </row>
        <row r="31">
          <cell r="Q31" t="str">
            <v>02. TP Hồ Chí Minh</v>
          </cell>
          <cell r="R31" t="str">
            <v>Quận Gò Vấp</v>
          </cell>
          <cell r="S31" t="str">
            <v>II.A</v>
          </cell>
          <cell r="T31" t="str">
            <v>(P. 10)</v>
          </cell>
          <cell r="U31">
            <v>106.6647</v>
          </cell>
          <cell r="V31">
            <v>10.835000000000001</v>
          </cell>
          <cell r="W31">
            <v>8.3199999999999996E-2</v>
          </cell>
        </row>
        <row r="32">
          <cell r="Q32" t="str">
            <v>02. TP Hồ Chí Minh</v>
          </cell>
          <cell r="R32" t="str">
            <v>Quận Phú Nhuận</v>
          </cell>
          <cell r="S32" t="str">
            <v>II.A</v>
          </cell>
          <cell r="T32" t="str">
            <v>(P. 11)</v>
          </cell>
          <cell r="U32">
            <v>106.6746</v>
          </cell>
          <cell r="V32">
            <v>10.7959</v>
          </cell>
          <cell r="W32">
            <v>8.4400000000000003E-2</v>
          </cell>
        </row>
        <row r="33">
          <cell r="Q33" t="str">
            <v>02. TP Hồ Chí Minh</v>
          </cell>
          <cell r="R33" t="str">
            <v>Quận Tân Bình</v>
          </cell>
          <cell r="S33" t="str">
            <v>II.A</v>
          </cell>
          <cell r="T33" t="str">
            <v>(P. 4)</v>
          </cell>
          <cell r="U33">
            <v>106.65730000000001</v>
          </cell>
          <cell r="V33">
            <v>10.797800000000001</v>
          </cell>
          <cell r="W33">
            <v>7.0199999999999999E-2</v>
          </cell>
        </row>
        <row r="34">
          <cell r="Q34" t="str">
            <v>02. TP Hồ Chí Minh</v>
          </cell>
          <cell r="R34" t="str">
            <v>Quận Tân Phú</v>
          </cell>
          <cell r="S34" t="str">
            <v>II.A</v>
          </cell>
          <cell r="T34" t="str">
            <v>(P. 4)</v>
          </cell>
          <cell r="U34">
            <v>106.6349</v>
          </cell>
          <cell r="V34">
            <v>10.7834</v>
          </cell>
          <cell r="W34">
            <v>7.0199999999999999E-2</v>
          </cell>
        </row>
        <row r="35">
          <cell r="Q35" t="str">
            <v>02. TP Hồ Chí Minh</v>
          </cell>
          <cell r="R35" t="str">
            <v>Quận Thủ Đức</v>
          </cell>
          <cell r="S35" t="str">
            <v>II.A</v>
          </cell>
          <cell r="T35" t="str">
            <v>(P. Bình Thọ)</v>
          </cell>
          <cell r="U35">
            <v>106.7727</v>
          </cell>
          <cell r="V35">
            <v>10.851100000000001</v>
          </cell>
          <cell r="W35">
            <v>7.2700000000000001E-2</v>
          </cell>
        </row>
        <row r="36">
          <cell r="Q36" t="str">
            <v>02. TP Hồ Chí Minh</v>
          </cell>
          <cell r="R36" t="str">
            <v>Huyện Bình Chánh</v>
          </cell>
          <cell r="S36" t="str">
            <v>II.A</v>
          </cell>
          <cell r="T36" t="str">
            <v>(TT. An Lạc)</v>
          </cell>
          <cell r="U36">
            <v>106.61539999999999</v>
          </cell>
          <cell r="V36">
            <v>10.7392</v>
          </cell>
          <cell r="W36">
            <v>5.8900000000000001E-2</v>
          </cell>
        </row>
        <row r="37">
          <cell r="Q37" t="str">
            <v>02. TP Hồ Chí Minh</v>
          </cell>
          <cell r="R37" t="str">
            <v>Huyện Cần Giờ</v>
          </cell>
          <cell r="S37" t="str">
            <v>II.A</v>
          </cell>
          <cell r="T37" t="str">
            <v>(TT. Cần Giờ)</v>
          </cell>
          <cell r="U37">
            <v>106.9512</v>
          </cell>
          <cell r="V37">
            <v>10.4162</v>
          </cell>
          <cell r="W37">
            <v>6.1800000000000001E-2</v>
          </cell>
        </row>
        <row r="38">
          <cell r="Q38" t="str">
            <v>02. TP Hồ Chí Minh</v>
          </cell>
          <cell r="R38" t="str">
            <v>Huyện Củ Chi</v>
          </cell>
          <cell r="S38" t="str">
            <v>I.A</v>
          </cell>
          <cell r="T38" t="str">
            <v>(TT. Củ Chi)</v>
          </cell>
          <cell r="U38">
            <v>106.49339999999999</v>
          </cell>
          <cell r="V38">
            <v>10.9749</v>
          </cell>
          <cell r="W38">
            <v>8.0799999999999997E-2</v>
          </cell>
        </row>
        <row r="39">
          <cell r="Q39" t="str">
            <v>02. TP Hồ Chí Minh</v>
          </cell>
          <cell r="R39" t="str">
            <v>Huyện Hóc Môn</v>
          </cell>
          <cell r="S39" t="str">
            <v>II.A</v>
          </cell>
          <cell r="T39" t="str">
            <v>(TT. Hóc Môn)</v>
          </cell>
          <cell r="U39">
            <v>106.59569999999999</v>
          </cell>
          <cell r="V39">
            <v>10.888999999999999</v>
          </cell>
          <cell r="W39">
            <v>8.0199999999999994E-2</v>
          </cell>
        </row>
        <row r="40">
          <cell r="Q40" t="str">
            <v>02. TP Hồ Chí Minh</v>
          </cell>
          <cell r="R40" t="str">
            <v>Huyện Nhà Bè</v>
          </cell>
          <cell r="S40" t="str">
            <v>II.A</v>
          </cell>
          <cell r="T40" t="str">
            <v>(TT. Nhà Bè)</v>
          </cell>
          <cell r="U40">
            <v>106.7419</v>
          </cell>
          <cell r="V40">
            <v>10.700699999999999</v>
          </cell>
          <cell r="W40">
            <v>8.1900000000000001E-2</v>
          </cell>
        </row>
        <row r="41">
          <cell r="Q41" t="str">
            <v>03. TP Hải Phòng</v>
          </cell>
          <cell r="R41" t="str">
            <v>Quận Hồng Bàng</v>
          </cell>
          <cell r="S41" t="str">
            <v>IV.B</v>
          </cell>
          <cell r="T41" t="str">
            <v>(P. Hoàng Văn Thụ)</v>
          </cell>
          <cell r="U41">
            <v>106.6814</v>
          </cell>
          <cell r="V41">
            <v>20.857800000000001</v>
          </cell>
          <cell r="W41">
            <v>0.129</v>
          </cell>
        </row>
        <row r="42">
          <cell r="Q42" t="str">
            <v>03. TP Hải Phòng</v>
          </cell>
          <cell r="R42" t="str">
            <v>Quận Kiến An</v>
          </cell>
          <cell r="S42" t="str">
            <v>IV.B</v>
          </cell>
          <cell r="T42" t="str">
            <v>(P. Trần Thành Ngọ)</v>
          </cell>
          <cell r="U42">
            <v>106.624</v>
          </cell>
          <cell r="V42">
            <v>20.811199999999999</v>
          </cell>
          <cell r="W42">
            <v>0.12809999999999999</v>
          </cell>
        </row>
        <row r="43">
          <cell r="Q43" t="str">
            <v>03. TP Hải Phòng</v>
          </cell>
          <cell r="R43" t="str">
            <v>Quận Hải An</v>
          </cell>
          <cell r="S43" t="str">
            <v>IV.B</v>
          </cell>
          <cell r="T43" t="str">
            <v>(P. Trần Thành Ngọ)</v>
          </cell>
          <cell r="U43">
            <v>106.68</v>
          </cell>
          <cell r="V43">
            <v>20.840599999999998</v>
          </cell>
          <cell r="W43">
            <v>0.12909999999999999</v>
          </cell>
        </row>
        <row r="44">
          <cell r="Q44" t="str">
            <v>03. TP Hải Phòng</v>
          </cell>
          <cell r="R44" t="str">
            <v>Quận Lê Chân</v>
          </cell>
          <cell r="S44" t="str">
            <v>IV.B</v>
          </cell>
          <cell r="T44" t="str">
            <v>(P. Cát Dài)</v>
          </cell>
          <cell r="U44">
            <v>106.6784</v>
          </cell>
          <cell r="V44">
            <v>20.851400000000002</v>
          </cell>
          <cell r="W44">
            <v>0.1293</v>
          </cell>
        </row>
        <row r="45">
          <cell r="Q45" t="str">
            <v>03. TP Hải Phòng</v>
          </cell>
          <cell r="R45" t="str">
            <v>Quận Ngô Quyền</v>
          </cell>
          <cell r="S45" t="str">
            <v>IV.B</v>
          </cell>
          <cell r="T45" t="str">
            <v>(P. Máy Tơ)</v>
          </cell>
          <cell r="U45">
            <v>106.6952</v>
          </cell>
          <cell r="V45">
            <v>20.862500000000001</v>
          </cell>
          <cell r="W45">
            <v>0.12759999999999999</v>
          </cell>
        </row>
        <row r="46">
          <cell r="Q46" t="str">
            <v>03. TP Hải Phòng</v>
          </cell>
          <cell r="R46" t="str">
            <v>Thị xã Đồ Sơn</v>
          </cell>
          <cell r="S46" t="str">
            <v>V.B</v>
          </cell>
          <cell r="T46" t="str">
            <v>(P. Vạn Sơn)</v>
          </cell>
          <cell r="U46">
            <v>106.78060000000001</v>
          </cell>
          <cell r="V46">
            <v>20.720199999999998</v>
          </cell>
          <cell r="W46">
            <v>8.6999999999999994E-2</v>
          </cell>
        </row>
        <row r="47">
          <cell r="Q47" t="str">
            <v>03. TP Hải Phòng</v>
          </cell>
          <cell r="R47" t="str">
            <v>Huyện An Dương</v>
          </cell>
          <cell r="S47" t="str">
            <v>IV.B</v>
          </cell>
          <cell r="T47" t="str">
            <v>(TT.  An Dương)</v>
          </cell>
          <cell r="U47">
            <v>106.6035</v>
          </cell>
          <cell r="V47">
            <v>20.890999999999998</v>
          </cell>
          <cell r="W47">
            <v>0.13339999999999999</v>
          </cell>
        </row>
        <row r="48">
          <cell r="Q48" t="str">
            <v>03. TP Hải Phòng</v>
          </cell>
          <cell r="R48" t="str">
            <v>Huyện An Lão</v>
          </cell>
          <cell r="S48" t="str">
            <v>IV.B</v>
          </cell>
          <cell r="T48" t="str">
            <v>(TT. An Lão)</v>
          </cell>
          <cell r="U48">
            <v>106.5553</v>
          </cell>
          <cell r="V48">
            <v>20.8232</v>
          </cell>
          <cell r="W48">
            <v>0.1331</v>
          </cell>
        </row>
        <row r="49">
          <cell r="Q49" t="str">
            <v>03. TP Hải Phòng</v>
          </cell>
          <cell r="R49" t="str">
            <v>Huyện Bạch Long Vĩ</v>
          </cell>
          <cell r="S49" t="str">
            <v>V.B</v>
          </cell>
          <cell r="T49" t="str">
            <v>(Bạch Long Vĩ)</v>
          </cell>
          <cell r="U49">
            <v>107.7629</v>
          </cell>
          <cell r="V49">
            <v>20.390499999999999</v>
          </cell>
          <cell r="W49">
            <v>6.3E-3</v>
          </cell>
        </row>
        <row r="50">
          <cell r="Q50" t="str">
            <v>03. TP Hải Phòng</v>
          </cell>
          <cell r="R50" t="str">
            <v>Huyện Cát Hải</v>
          </cell>
          <cell r="S50" t="str">
            <v>V.B</v>
          </cell>
          <cell r="T50" t="str">
            <v>(TT. Cát Bà)</v>
          </cell>
          <cell r="U50">
            <v>107.04989999999999</v>
          </cell>
          <cell r="V50">
            <v>20.725100000000001</v>
          </cell>
          <cell r="W50">
            <v>3.6799999999999999E-2</v>
          </cell>
        </row>
        <row r="51">
          <cell r="Q51" t="str">
            <v>03. TP Hải Phòng</v>
          </cell>
          <cell r="R51" t="str">
            <v>Huyện Hải An</v>
          </cell>
          <cell r="S51" t="str">
            <v>IV.B</v>
          </cell>
          <cell r="T51" t="str">
            <v>(TT. Núi Đôi)</v>
          </cell>
          <cell r="U51">
            <v>106.6688</v>
          </cell>
          <cell r="V51">
            <v>20.752199999999998</v>
          </cell>
          <cell r="W51">
            <v>0.1168</v>
          </cell>
        </row>
        <row r="52">
          <cell r="Q52" t="str">
            <v>03. TP Hải Phòng</v>
          </cell>
          <cell r="R52" t="str">
            <v>Huyện Kiến Thuỵ</v>
          </cell>
          <cell r="S52" t="str">
            <v>V.B</v>
          </cell>
          <cell r="T52" t="str">
            <v>(TT. Núi Đôi)</v>
          </cell>
          <cell r="U52">
            <v>106.6688</v>
          </cell>
          <cell r="V52">
            <v>20.752199999999998</v>
          </cell>
          <cell r="W52">
            <v>0.1168</v>
          </cell>
        </row>
        <row r="53">
          <cell r="Q53" t="str">
            <v>03. TP Hải Phòng</v>
          </cell>
          <cell r="R53" t="str">
            <v>Huyện Thủy Nguyên</v>
          </cell>
          <cell r="S53" t="str">
            <v>III.B</v>
          </cell>
          <cell r="T53" t="str">
            <v>(TT. Núi Đèo)</v>
          </cell>
          <cell r="U53">
            <v>106.6747</v>
          </cell>
          <cell r="V53">
            <v>20.917400000000001</v>
          </cell>
          <cell r="W53">
            <v>0.12720000000000001</v>
          </cell>
        </row>
        <row r="54">
          <cell r="Q54" t="str">
            <v>03. TP Hải Phòng</v>
          </cell>
          <cell r="R54" t="str">
            <v>Huyện Tiên Lãng</v>
          </cell>
          <cell r="S54" t="str">
            <v>V.B</v>
          </cell>
          <cell r="T54" t="str">
            <v>(TT. Tiên Lãng)</v>
          </cell>
          <cell r="U54">
            <v>106.5535</v>
          </cell>
          <cell r="V54">
            <v>20.7257</v>
          </cell>
          <cell r="W54">
            <v>0.1019</v>
          </cell>
        </row>
        <row r="55">
          <cell r="Q55" t="str">
            <v>03. TP Hải Phòng</v>
          </cell>
          <cell r="R55" t="str">
            <v>Huyện Vĩnh Bảo</v>
          </cell>
          <cell r="S55" t="str">
            <v>IV.B</v>
          </cell>
          <cell r="T55" t="str">
            <v>(TT. Vĩnh Bao)</v>
          </cell>
          <cell r="U55">
            <v>106.4786</v>
          </cell>
          <cell r="V55">
            <v>20.693100000000001</v>
          </cell>
          <cell r="W55">
            <v>7.4700000000000003E-2</v>
          </cell>
        </row>
        <row r="56">
          <cell r="Q56" t="str">
            <v>04. TP Đà Nẵng</v>
          </cell>
          <cell r="R56" t="str">
            <v>Quận Hải Châu</v>
          </cell>
          <cell r="S56" t="str">
            <v>II.B</v>
          </cell>
          <cell r="T56" t="str">
            <v>(P. Hai Châu)</v>
          </cell>
          <cell r="U56">
            <v>108.2234</v>
          </cell>
          <cell r="V56">
            <v>16.0749</v>
          </cell>
          <cell r="W56">
            <v>0.10059999999999999</v>
          </cell>
        </row>
        <row r="57">
          <cell r="Q57" t="str">
            <v>04. TP Đà Nẵng</v>
          </cell>
          <cell r="R57" t="str">
            <v>Quận Liên Chiểu</v>
          </cell>
          <cell r="S57" t="str">
            <v>II.B</v>
          </cell>
          <cell r="T57" t="str">
            <v>(P. Hoà Khánh)</v>
          </cell>
          <cell r="U57">
            <v>108.15779999999999</v>
          </cell>
          <cell r="V57">
            <v>16.062799999999999</v>
          </cell>
          <cell r="W57">
            <v>9.4E-2</v>
          </cell>
        </row>
        <row r="58">
          <cell r="Q58" t="str">
            <v>04. TP Đà Nẵng</v>
          </cell>
          <cell r="R58" t="str">
            <v>Quận Ngũ Hành Sơn</v>
          </cell>
          <cell r="S58" t="str">
            <v>II.B</v>
          </cell>
          <cell r="T58" t="str">
            <v>(P. Hoà Hai)</v>
          </cell>
          <cell r="U58">
            <v>108.26009999999999</v>
          </cell>
          <cell r="V58">
            <v>16.0017</v>
          </cell>
          <cell r="W58">
            <v>6.7400000000000002E-2</v>
          </cell>
        </row>
        <row r="59">
          <cell r="Q59" t="str">
            <v>04. TP Đà Nẵng</v>
          </cell>
          <cell r="R59" t="str">
            <v>Quận Sơn Trà</v>
          </cell>
          <cell r="S59" t="str">
            <v>III.B</v>
          </cell>
          <cell r="T59" t="str">
            <v>(P. An Hai Đông)</v>
          </cell>
          <cell r="U59">
            <v>108.2364</v>
          </cell>
          <cell r="V59">
            <v>16.056799999999999</v>
          </cell>
          <cell r="W59">
            <v>9.1800000000000007E-2</v>
          </cell>
        </row>
        <row r="60">
          <cell r="Q60" t="str">
            <v>04. TP Đà Nẵng</v>
          </cell>
          <cell r="R60" t="str">
            <v>Quận Thanh Khê</v>
          </cell>
          <cell r="S60" t="str">
            <v>II.B</v>
          </cell>
          <cell r="T60" t="str">
            <v>(P. Chính Gián)</v>
          </cell>
          <cell r="U60">
            <v>108.1987</v>
          </cell>
          <cell r="V60">
            <v>16.0655</v>
          </cell>
          <cell r="W60">
            <v>9.6699999999999994E-2</v>
          </cell>
        </row>
        <row r="61">
          <cell r="Q61" t="str">
            <v>04. TP Đà Nẵng</v>
          </cell>
          <cell r="R61" t="str">
            <v>Huyện Hòa Vang</v>
          </cell>
          <cell r="S61" t="str">
            <v>II.B</v>
          </cell>
          <cell r="T61" t="str">
            <v>(TT. Hoà Thọ)</v>
          </cell>
          <cell r="U61">
            <v>108.20399999999999</v>
          </cell>
          <cell r="V61">
            <v>16.0168</v>
          </cell>
          <cell r="W61">
            <v>7.2999999999999995E-2</v>
          </cell>
        </row>
        <row r="62">
          <cell r="Q62" t="str">
            <v>04. TP Đà Nẵng</v>
          </cell>
          <cell r="R62" t="str">
            <v>Huyện Hoàng Sa</v>
          </cell>
          <cell r="S62" t="str">
            <v>V.B</v>
          </cell>
          <cell r="T62" t="str">
            <v>(Đao)</v>
          </cell>
          <cell r="U62">
            <v>111.7766</v>
          </cell>
          <cell r="V62">
            <v>16.2423</v>
          </cell>
          <cell r="W62">
            <v>5.4399999999999997E-2</v>
          </cell>
        </row>
        <row r="63">
          <cell r="Q63" t="str">
            <v>05. TP Cần Thơ</v>
          </cell>
          <cell r="R63" t="str">
            <v>Quận Bình Thủy</v>
          </cell>
          <cell r="S63" t="str">
            <v>II.A</v>
          </cell>
          <cell r="U63">
            <v>105.7385</v>
          </cell>
          <cell r="V63">
            <v>10.078799999999999</v>
          </cell>
          <cell r="W63">
            <v>6.8500000000000005E-2</v>
          </cell>
        </row>
        <row r="64">
          <cell r="Q64" t="str">
            <v>05. TP Cần Thơ</v>
          </cell>
          <cell r="R64" t="str">
            <v>Quận Cái Răng</v>
          </cell>
          <cell r="S64" t="str">
            <v>II.A</v>
          </cell>
          <cell r="U64">
            <v>105.7496</v>
          </cell>
          <cell r="V64">
            <v>10.005000000000001</v>
          </cell>
          <cell r="W64">
            <v>5.1499999999999997E-2</v>
          </cell>
        </row>
        <row r="65">
          <cell r="Q65" t="str">
            <v>05. TP Cần Thơ</v>
          </cell>
          <cell r="R65" t="str">
            <v>Quận Ninh Kiều</v>
          </cell>
          <cell r="S65" t="str">
            <v>II.A</v>
          </cell>
          <cell r="U65">
            <v>105.78879999999999</v>
          </cell>
          <cell r="V65">
            <v>10.036099999999999</v>
          </cell>
          <cell r="W65">
            <v>6.6199999999999995E-2</v>
          </cell>
        </row>
        <row r="66">
          <cell r="Q66" t="str">
            <v>05. TP Cần Thơ</v>
          </cell>
          <cell r="R66" t="str">
            <v>Quận Ô Môn</v>
          </cell>
          <cell r="S66" t="str">
            <v>II.A</v>
          </cell>
          <cell r="U66">
            <v>105.6254</v>
          </cell>
          <cell r="V66">
            <v>10.1197</v>
          </cell>
          <cell r="W66">
            <v>5.4600000000000003E-2</v>
          </cell>
        </row>
        <row r="67">
          <cell r="Q67" t="str">
            <v>05. TP Cần Thơ</v>
          </cell>
          <cell r="R67" t="str">
            <v>Huyện Cờ Đỏ</v>
          </cell>
          <cell r="S67" t="str">
            <v>I.A</v>
          </cell>
          <cell r="T67" t="str">
            <v>(TT. Cờ Đỏ)</v>
          </cell>
          <cell r="U67">
            <v>105.4289</v>
          </cell>
          <cell r="V67">
            <v>10.098599999999999</v>
          </cell>
          <cell r="W67">
            <v>2.3599999999999999E-2</v>
          </cell>
        </row>
        <row r="68">
          <cell r="Q68" t="str">
            <v>05. TP Cần Thơ</v>
          </cell>
          <cell r="R68" t="str">
            <v>Huyện Phong Điền</v>
          </cell>
          <cell r="S68" t="str">
            <v>II.A</v>
          </cell>
          <cell r="T68" t="str">
            <v>(TT. Thạch An)</v>
          </cell>
          <cell r="U68">
            <v>105.3301</v>
          </cell>
          <cell r="V68">
            <v>10.1418</v>
          </cell>
          <cell r="W68">
            <v>1.9900000000000001E-2</v>
          </cell>
        </row>
        <row r="69">
          <cell r="Q69" t="str">
            <v>05. TP Cần Thơ</v>
          </cell>
          <cell r="R69" t="str">
            <v>Huyện Thốt Nốt</v>
          </cell>
          <cell r="S69" t="str">
            <v>I.A</v>
          </cell>
          <cell r="T69" t="str">
            <v>(TT. Thốt Nốt)</v>
          </cell>
          <cell r="U69">
            <v>105.5373</v>
          </cell>
          <cell r="V69">
            <v>10.2699</v>
          </cell>
          <cell r="W69">
            <v>6.9800000000000001E-2</v>
          </cell>
        </row>
        <row r="70">
          <cell r="Q70" t="str">
            <v>05. TP Cần Thơ</v>
          </cell>
          <cell r="R70" t="str">
            <v>Huyện Vĩnh Thạnh</v>
          </cell>
          <cell r="S70" t="str">
            <v>I.A</v>
          </cell>
          <cell r="T70" t="str">
            <v>(TT. Thới Lai)</v>
          </cell>
          <cell r="U70">
            <v>105.559</v>
          </cell>
          <cell r="V70">
            <v>10.065099999999999</v>
          </cell>
          <cell r="W70">
            <v>3.3099999999999997E-2</v>
          </cell>
        </row>
        <row r="71">
          <cell r="Q71" t="str">
            <v>06. An Giang</v>
          </cell>
          <cell r="R71" t="str">
            <v>Thành phố Long Xuyên</v>
          </cell>
          <cell r="S71" t="str">
            <v>I.A</v>
          </cell>
          <cell r="T71" t="str">
            <v>(P. Mỹ Bình)</v>
          </cell>
          <cell r="U71">
            <v>105.437</v>
          </cell>
          <cell r="V71">
            <v>10.388</v>
          </cell>
          <cell r="W71">
            <v>6.7000000000000004E-2</v>
          </cell>
        </row>
        <row r="72">
          <cell r="Q72" t="str">
            <v>06. An Giang</v>
          </cell>
          <cell r="R72" t="str">
            <v>Thị xã Châu Đốc</v>
          </cell>
          <cell r="S72" t="str">
            <v>I.A</v>
          </cell>
          <cell r="T72" t="str">
            <v>(P. Châu Phú A)</v>
          </cell>
          <cell r="U72">
            <v>105.113</v>
          </cell>
          <cell r="V72">
            <v>10.717700000000001</v>
          </cell>
          <cell r="W72">
            <v>6.5500000000000003E-2</v>
          </cell>
        </row>
        <row r="73">
          <cell r="Q73" t="str">
            <v>06. An Giang</v>
          </cell>
          <cell r="R73" t="str">
            <v>Huyện An Phú</v>
          </cell>
          <cell r="S73" t="str">
            <v>I.A</v>
          </cell>
          <cell r="T73" t="str">
            <v>(TT. An Phú)</v>
          </cell>
          <cell r="U73">
            <v>105.0941</v>
          </cell>
          <cell r="V73">
            <v>10.810600000000001</v>
          </cell>
          <cell r="W73">
            <v>6.9699999999999998E-2</v>
          </cell>
        </row>
        <row r="74">
          <cell r="Q74" t="str">
            <v>06. An Giang</v>
          </cell>
          <cell r="R74" t="str">
            <v>Huyện Châu Phú</v>
          </cell>
          <cell r="S74" t="str">
            <v>I.A</v>
          </cell>
          <cell r="T74" t="str">
            <v>(TT. Cái Dầu)</v>
          </cell>
          <cell r="U74">
            <v>105.23350000000001</v>
          </cell>
          <cell r="V74">
            <v>10.5801</v>
          </cell>
          <cell r="W74">
            <v>6.0699999999999997E-2</v>
          </cell>
        </row>
        <row r="75">
          <cell r="Q75" t="str">
            <v>06. An Giang</v>
          </cell>
          <cell r="R75" t="str">
            <v>Huyện Châu Thành</v>
          </cell>
          <cell r="S75" t="str">
            <v>I.A</v>
          </cell>
          <cell r="T75" t="str">
            <v>(TT. An Châu)</v>
          </cell>
          <cell r="U75">
            <v>105.389</v>
          </cell>
          <cell r="V75">
            <v>10.444000000000001</v>
          </cell>
          <cell r="W75">
            <v>6.5299999999999997E-2</v>
          </cell>
        </row>
        <row r="76">
          <cell r="Q76" t="str">
            <v>06. An Giang</v>
          </cell>
          <cell r="R76" t="str">
            <v>Huyện Chợ Mới</v>
          </cell>
          <cell r="S76" t="str">
            <v>I.A</v>
          </cell>
          <cell r="T76" t="str">
            <v>(TT. Chợ Mới)</v>
          </cell>
          <cell r="U76">
            <v>105.4033</v>
          </cell>
          <cell r="V76">
            <v>10.551</v>
          </cell>
          <cell r="W76">
            <v>6.0299999999999999E-2</v>
          </cell>
        </row>
        <row r="77">
          <cell r="Q77" t="str">
            <v>06. An Giang</v>
          </cell>
          <cell r="R77" t="str">
            <v>Huyện Phú Tân</v>
          </cell>
          <cell r="S77" t="str">
            <v>I.A</v>
          </cell>
          <cell r="T77" t="str">
            <v>(TT. Chợ Vàm)</v>
          </cell>
          <cell r="U77">
            <v>105.34310000000001</v>
          </cell>
          <cell r="V77">
            <v>10.7165</v>
          </cell>
          <cell r="W77">
            <v>4.4999999999999998E-2</v>
          </cell>
        </row>
        <row r="78">
          <cell r="Q78" t="str">
            <v>06. An Giang</v>
          </cell>
          <cell r="R78" t="str">
            <v>Huyện Tân Châu</v>
          </cell>
          <cell r="S78" t="str">
            <v>I.A</v>
          </cell>
          <cell r="T78" t="str">
            <v>(TT. Tân Châu)</v>
          </cell>
          <cell r="U78">
            <v>105.2428</v>
          </cell>
          <cell r="V78">
            <v>10.800700000000001</v>
          </cell>
          <cell r="W78">
            <v>4.99E-2</v>
          </cell>
        </row>
        <row r="79">
          <cell r="Q79" t="str">
            <v>06. An Giang</v>
          </cell>
          <cell r="R79" t="str">
            <v>Huyện Thoại Sơn</v>
          </cell>
          <cell r="S79" t="str">
            <v>I.A</v>
          </cell>
          <cell r="T79" t="str">
            <v>(TT. Núi Sập)</v>
          </cell>
          <cell r="U79">
            <v>105.2607</v>
          </cell>
          <cell r="V79">
            <v>10.2584</v>
          </cell>
          <cell r="W79">
            <v>2.1999999999999999E-2</v>
          </cell>
        </row>
        <row r="80">
          <cell r="Q80" t="str">
            <v>06. An Giang</v>
          </cell>
          <cell r="R80" t="str">
            <v>Huyện Tri Tôn</v>
          </cell>
          <cell r="S80" t="str">
            <v>I.A</v>
          </cell>
          <cell r="T80" t="str">
            <v>(TT. Tri Tôn)</v>
          </cell>
          <cell r="U80">
            <v>105.0009</v>
          </cell>
          <cell r="V80">
            <v>10.4186</v>
          </cell>
          <cell r="W80">
            <v>1.6199999999999999E-2</v>
          </cell>
        </row>
        <row r="81">
          <cell r="Q81" t="str">
            <v>06. An Giang</v>
          </cell>
          <cell r="R81" t="str">
            <v>Huyện Tịnh Biên</v>
          </cell>
          <cell r="S81" t="str">
            <v>I.A</v>
          </cell>
          <cell r="T81" t="str">
            <v>(TT. Nhà Bàng)</v>
          </cell>
          <cell r="U81">
            <v>105.0081</v>
          </cell>
          <cell r="V81">
            <v>10.6274</v>
          </cell>
          <cell r="W81">
            <v>3.1199999999999999E-2</v>
          </cell>
        </row>
        <row r="82">
          <cell r="Q82" t="str">
            <v>07. Bà Rịa Vũng Tàu</v>
          </cell>
          <cell r="R82" t="str">
            <v>Thành phố Vũng Tàu</v>
          </cell>
          <cell r="S82" t="str">
            <v>I.A</v>
          </cell>
          <cell r="T82" t="str">
            <v>(P. 1)</v>
          </cell>
          <cell r="U82">
            <v>107.07380000000001</v>
          </cell>
          <cell r="V82">
            <v>10.349399999999999</v>
          </cell>
          <cell r="W82">
            <v>6.1199999999999997E-2</v>
          </cell>
        </row>
        <row r="83">
          <cell r="Q83" t="str">
            <v>07. Bà Rịa Vũng Tàu</v>
          </cell>
          <cell r="R83" t="str">
            <v>Thị xã Bà Rịa</v>
          </cell>
          <cell r="S83" t="str">
            <v>I.A</v>
          </cell>
          <cell r="T83" t="str">
            <v>(P. Phước Hiệp)</v>
          </cell>
          <cell r="U83">
            <v>107.1671</v>
          </cell>
          <cell r="V83">
            <v>10.4968</v>
          </cell>
          <cell r="W83">
            <v>3.3000000000000002E-2</v>
          </cell>
        </row>
        <row r="84">
          <cell r="Q84" t="str">
            <v>07. Bà Rịa Vũng Tàu</v>
          </cell>
          <cell r="R84" t="str">
            <v>Huyện Châu Đức</v>
          </cell>
          <cell r="S84" t="str">
            <v>I.A</v>
          </cell>
          <cell r="T84" t="str">
            <v>(TT. Ngãi Giao)</v>
          </cell>
          <cell r="U84">
            <v>107.2465</v>
          </cell>
          <cell r="V84">
            <v>10.648099999999999</v>
          </cell>
          <cell r="W84">
            <v>1.9E-2</v>
          </cell>
        </row>
        <row r="85">
          <cell r="Q85" t="str">
            <v>07. Bà Rịa Vũng Tàu</v>
          </cell>
          <cell r="R85" t="str">
            <v>Huyện Côn Đảo</v>
          </cell>
          <cell r="S85" t="str">
            <v>III.A</v>
          </cell>
          <cell r="T85" t="str">
            <v>(Côn Đao)</v>
          </cell>
          <cell r="U85">
            <v>106.6063</v>
          </cell>
          <cell r="V85">
            <v>8.6920000000000002</v>
          </cell>
          <cell r="W85">
            <v>5.57E-2</v>
          </cell>
        </row>
        <row r="86">
          <cell r="Q86" t="str">
            <v>07. Bà Rịa Vũng Tàu</v>
          </cell>
          <cell r="R86" t="str">
            <v>Huyện Đất Đỏ</v>
          </cell>
          <cell r="S86" t="str">
            <v>I.A</v>
          </cell>
          <cell r="T86" t="str">
            <v>(TT. Đất Đỏ)</v>
          </cell>
          <cell r="U86">
            <v>107.27070000000001</v>
          </cell>
          <cell r="V86">
            <v>10.490600000000001</v>
          </cell>
          <cell r="W86">
            <v>2.5100000000000001E-2</v>
          </cell>
        </row>
        <row r="87">
          <cell r="Q87" t="str">
            <v>07. Bà Rịa Vũng Tàu</v>
          </cell>
          <cell r="R87" t="str">
            <v>Huyện Long Điền</v>
          </cell>
          <cell r="S87" t="str">
            <v>I.A</v>
          </cell>
          <cell r="T87" t="str">
            <v>(TT. Long Điền)</v>
          </cell>
          <cell r="U87">
            <v>107.2101</v>
          </cell>
          <cell r="V87">
            <v>10.4841</v>
          </cell>
          <cell r="W87">
            <v>2.9499999999999998E-2</v>
          </cell>
        </row>
        <row r="88">
          <cell r="Q88" t="str">
            <v>07. Bà Rịa Vũng Tàu</v>
          </cell>
          <cell r="R88" t="str">
            <v>Huyện Tân Thành</v>
          </cell>
          <cell r="S88" t="str">
            <v>I.A</v>
          </cell>
          <cell r="T88" t="str">
            <v>(TT. Phú Mỹ)</v>
          </cell>
          <cell r="U88">
            <v>107.0545</v>
          </cell>
          <cell r="V88">
            <v>10.589499999999999</v>
          </cell>
          <cell r="W88">
            <v>4.4200000000000003E-2</v>
          </cell>
        </row>
        <row r="89">
          <cell r="Q89" t="str">
            <v>07. Bà Rịa Vũng Tàu</v>
          </cell>
          <cell r="R89" t="str">
            <v>Huyện Xuyên Mộc</v>
          </cell>
          <cell r="S89" t="str">
            <v>I.A</v>
          </cell>
          <cell r="T89" t="str">
            <v>(TT. Phước Bửu)</v>
          </cell>
          <cell r="U89">
            <v>107.3981</v>
          </cell>
          <cell r="V89">
            <v>10.5349</v>
          </cell>
          <cell r="W89">
            <v>2.1399999999999999E-2</v>
          </cell>
        </row>
        <row r="90">
          <cell r="Q90" t="str">
            <v>08. Bạc Liêu</v>
          </cell>
          <cell r="R90" t="str">
            <v>Thị xã Bạc Liêu</v>
          </cell>
          <cell r="S90" t="str">
            <v>I.A</v>
          </cell>
          <cell r="T90" t="str">
            <v>(P. 3)</v>
          </cell>
          <cell r="U90">
            <v>105.72029999999999</v>
          </cell>
          <cell r="V90">
            <v>9.2828999999999997</v>
          </cell>
          <cell r="W90">
            <v>2.4799999999999999E-2</v>
          </cell>
        </row>
        <row r="91">
          <cell r="Q91" t="str">
            <v>08. Bạc Liêu</v>
          </cell>
          <cell r="R91" t="str">
            <v>Huyện Đông Hai</v>
          </cell>
          <cell r="S91" t="str">
            <v>I.A</v>
          </cell>
          <cell r="T91" t="str">
            <v>(TT. Gành Hào)</v>
          </cell>
          <cell r="U91">
            <v>105.42100000000001</v>
          </cell>
          <cell r="V91">
            <v>9.0361999999999991</v>
          </cell>
          <cell r="W91">
            <v>2.7300000000000001E-2</v>
          </cell>
        </row>
        <row r="92">
          <cell r="Q92" t="str">
            <v>08. Bạc Liêu</v>
          </cell>
          <cell r="R92" t="str">
            <v>Huyện Giá Rai</v>
          </cell>
          <cell r="S92" t="str">
            <v>I.A</v>
          </cell>
          <cell r="T92" t="str">
            <v>(TT. Giá Rai)</v>
          </cell>
          <cell r="U92">
            <v>105.4564</v>
          </cell>
          <cell r="V92">
            <v>9.2370999999999999</v>
          </cell>
          <cell r="W92">
            <v>1.6199999999999999E-2</v>
          </cell>
        </row>
        <row r="93">
          <cell r="Q93" t="str">
            <v>08. Bạc Liêu</v>
          </cell>
          <cell r="R93" t="str">
            <v>Huyện Hồng Dân</v>
          </cell>
          <cell r="S93" t="str">
            <v>I.A</v>
          </cell>
          <cell r="T93" t="str">
            <v>(TT. Ngan Dừa)</v>
          </cell>
          <cell r="U93">
            <v>105.452</v>
          </cell>
          <cell r="V93">
            <v>9.5814000000000004</v>
          </cell>
          <cell r="W93">
            <v>9.4000000000000004E-3</v>
          </cell>
        </row>
        <row r="94">
          <cell r="Q94" t="str">
            <v>08. Bạc Liêu</v>
          </cell>
          <cell r="R94" t="str">
            <v>Huyện Phước Long</v>
          </cell>
          <cell r="S94" t="str">
            <v>I.A</v>
          </cell>
          <cell r="T94" t="str">
            <v>(TT. Phước Long)</v>
          </cell>
          <cell r="U94">
            <v>105.4603</v>
          </cell>
          <cell r="V94">
            <v>9.4382999999999999</v>
          </cell>
          <cell r="W94">
            <v>1.0500000000000001E-2</v>
          </cell>
        </row>
        <row r="95">
          <cell r="Q95" t="str">
            <v>08. Bạc Liêu</v>
          </cell>
          <cell r="R95" t="str">
            <v>Huyện Vĩnh Lợi</v>
          </cell>
          <cell r="S95" t="str">
            <v>I.A</v>
          </cell>
          <cell r="T95" t="str">
            <v>(TT. Hoà Bình)</v>
          </cell>
          <cell r="U95">
            <v>105.63200000000001</v>
          </cell>
          <cell r="V95">
            <v>9.2851999999999997</v>
          </cell>
          <cell r="W95">
            <v>2.0500000000000001E-2</v>
          </cell>
        </row>
        <row r="96">
          <cell r="Q96" t="str">
            <v>09. Bắc Giang</v>
          </cell>
          <cell r="R96" t="str">
            <v>Thị xã Bắc Giang</v>
          </cell>
          <cell r="S96" t="str">
            <v>II.B</v>
          </cell>
          <cell r="T96" t="str">
            <v>(P. Trần Phú)</v>
          </cell>
          <cell r="U96">
            <v>106.1895</v>
          </cell>
          <cell r="V96">
            <v>21.276499999999999</v>
          </cell>
          <cell r="W96">
            <v>0.1089</v>
          </cell>
        </row>
        <row r="97">
          <cell r="Q97" t="str">
            <v>09. Bắc Giang</v>
          </cell>
          <cell r="R97" t="str">
            <v>Huyện Hiệp Hoà</v>
          </cell>
          <cell r="S97" t="str">
            <v>II.B</v>
          </cell>
          <cell r="T97" t="str">
            <v>(TT. Thắng)</v>
          </cell>
          <cell r="U97">
            <v>105.9825</v>
          </cell>
          <cell r="V97">
            <v>21.3565</v>
          </cell>
          <cell r="W97">
            <v>9.4100000000000003E-2</v>
          </cell>
        </row>
        <row r="98">
          <cell r="Q98" t="str">
            <v>09. Bắc Giang</v>
          </cell>
          <cell r="R98" t="str">
            <v>Huyện Lạng Giang</v>
          </cell>
          <cell r="S98" t="str">
            <v>II.B</v>
          </cell>
          <cell r="T98" t="str">
            <v>(TT. Vôi)</v>
          </cell>
          <cell r="U98">
            <v>106.2606</v>
          </cell>
          <cell r="V98">
            <v>21.352699999999999</v>
          </cell>
          <cell r="W98">
            <v>9.8000000000000004E-2</v>
          </cell>
        </row>
        <row r="99">
          <cell r="Q99" t="str">
            <v>09. Bắc Giang</v>
          </cell>
          <cell r="R99" t="str">
            <v>Huyện Lục Nam</v>
          </cell>
          <cell r="S99" t="str">
            <v>II.B</v>
          </cell>
          <cell r="T99" t="str">
            <v>(TT. Đồi Ngô)</v>
          </cell>
          <cell r="U99">
            <v>106.3837</v>
          </cell>
          <cell r="V99">
            <v>21.302099999999999</v>
          </cell>
          <cell r="W99">
            <v>0.10920000000000001</v>
          </cell>
        </row>
        <row r="100">
          <cell r="Q100" t="str">
            <v>09. Bắc Giang</v>
          </cell>
          <cell r="R100" t="str">
            <v>Huyện Lục Ngạn</v>
          </cell>
          <cell r="S100" t="str">
            <v>II.B</v>
          </cell>
          <cell r="T100" t="str">
            <v>(TT. Chũ)</v>
          </cell>
          <cell r="U100">
            <v>106.56570000000001</v>
          </cell>
          <cell r="V100">
            <v>21.372399999999999</v>
          </cell>
          <cell r="W100">
            <v>6.3600000000000004E-2</v>
          </cell>
        </row>
        <row r="101">
          <cell r="Q101" t="str">
            <v>09. Bắc Giang</v>
          </cell>
          <cell r="R101" t="str">
            <v>Huyện Sơn Động</v>
          </cell>
          <cell r="S101" t="str">
            <v>I.A</v>
          </cell>
          <cell r="T101" t="str">
            <v>(TT. An Châu)</v>
          </cell>
          <cell r="U101">
            <v>106.8515</v>
          </cell>
          <cell r="V101">
            <v>21.336200000000002</v>
          </cell>
          <cell r="W101">
            <v>4.7100000000000003E-2</v>
          </cell>
        </row>
        <row r="102">
          <cell r="Q102" t="str">
            <v>09. Bắc Giang</v>
          </cell>
          <cell r="R102" t="str">
            <v>Huyện Tân Yên</v>
          </cell>
          <cell r="S102" t="str">
            <v>II.B</v>
          </cell>
          <cell r="T102" t="str">
            <v>(TT. Cao Thượng)</v>
          </cell>
          <cell r="U102">
            <v>106.1262</v>
          </cell>
          <cell r="V102">
            <v>21.386399999999998</v>
          </cell>
          <cell r="W102">
            <v>7.1900000000000006E-2</v>
          </cell>
        </row>
        <row r="103">
          <cell r="Q103" t="str">
            <v>09. Bắc Giang</v>
          </cell>
          <cell r="R103" t="str">
            <v>Huyện Việt Yên</v>
          </cell>
          <cell r="S103" t="str">
            <v>II.B</v>
          </cell>
          <cell r="T103" t="str">
            <v>(TT. Bích Động)</v>
          </cell>
          <cell r="U103">
            <v>106.1</v>
          </cell>
          <cell r="V103">
            <v>21.271999999999998</v>
          </cell>
          <cell r="W103">
            <v>0.11219999999999999</v>
          </cell>
        </row>
        <row r="104">
          <cell r="Q104" t="str">
            <v>09. Bắc Giang</v>
          </cell>
          <cell r="R104" t="str">
            <v>Huyện Yên Dũng</v>
          </cell>
          <cell r="S104" t="str">
            <v>II.B</v>
          </cell>
          <cell r="T104" t="str">
            <v>(TT. Neo)</v>
          </cell>
          <cell r="U104">
            <v>106.24290000000001</v>
          </cell>
          <cell r="V104">
            <v>21.203600000000002</v>
          </cell>
          <cell r="W104">
            <v>0.1087</v>
          </cell>
        </row>
        <row r="105">
          <cell r="Q105" t="str">
            <v>09. Bắc Giang</v>
          </cell>
          <cell r="R105" t="str">
            <v>Huyện Yên Thế</v>
          </cell>
          <cell r="S105" t="str">
            <v>II.A</v>
          </cell>
          <cell r="T105" t="str">
            <v>(TT. Cầu Gồ)</v>
          </cell>
          <cell r="U105">
            <v>106.12649999999999</v>
          </cell>
          <cell r="V105">
            <v>21.4771</v>
          </cell>
          <cell r="W105">
            <v>7.9100000000000004E-2</v>
          </cell>
        </row>
        <row r="106">
          <cell r="Q106" t="str">
            <v>10. Bắc Kạn</v>
          </cell>
          <cell r="R106" t="str">
            <v>Thị xã Bắc Kạn</v>
          </cell>
          <cell r="S106" t="str">
            <v>I.A</v>
          </cell>
          <cell r="T106" t="str">
            <v>(P. Phùng Chí Kiên)</v>
          </cell>
          <cell r="U106">
            <v>105.8265</v>
          </cell>
          <cell r="V106">
            <v>22.143899999999999</v>
          </cell>
          <cell r="W106">
            <v>5.96E-2</v>
          </cell>
        </row>
        <row r="107">
          <cell r="Q107" t="str">
            <v>10. Bắc Kạn</v>
          </cell>
          <cell r="R107" t="str">
            <v>Huyện Ba Bể</v>
          </cell>
          <cell r="S107" t="str">
            <v>I.A</v>
          </cell>
          <cell r="T107" t="str">
            <v>(TT. Chợ Rã)</v>
          </cell>
          <cell r="U107">
            <v>105.7186</v>
          </cell>
          <cell r="V107">
            <v>22.451499999999999</v>
          </cell>
          <cell r="W107">
            <v>4.8300000000000003E-2</v>
          </cell>
        </row>
        <row r="108">
          <cell r="Q108" t="str">
            <v>10. Bắc Kạn</v>
          </cell>
          <cell r="R108" t="str">
            <v>Huyện Bạch Thông</v>
          </cell>
          <cell r="S108" t="str">
            <v>I.A</v>
          </cell>
          <cell r="T108" t="str">
            <v>(TT. Phủ Thông)</v>
          </cell>
          <cell r="U108">
            <v>105.8785</v>
          </cell>
          <cell r="V108">
            <v>22.2727</v>
          </cell>
          <cell r="W108">
            <v>6.1499999999999999E-2</v>
          </cell>
        </row>
        <row r="109">
          <cell r="Q109" t="str">
            <v>10. Bắc Kạn</v>
          </cell>
          <cell r="R109" t="str">
            <v>Huyện Chợ Đồn</v>
          </cell>
          <cell r="S109" t="str">
            <v>I.A</v>
          </cell>
          <cell r="T109" t="str">
            <v>(TT. Bằng Lũng)</v>
          </cell>
          <cell r="U109">
            <v>105.59480000000001</v>
          </cell>
          <cell r="V109">
            <v>22.157499999999999</v>
          </cell>
          <cell r="W109">
            <v>2.1700000000000001E-2</v>
          </cell>
        </row>
        <row r="110">
          <cell r="Q110" t="str">
            <v>10. Bắc Kạn</v>
          </cell>
          <cell r="R110" t="str">
            <v>Huyện Chợ Mới</v>
          </cell>
          <cell r="S110" t="str">
            <v>I.A</v>
          </cell>
          <cell r="T110" t="str">
            <v>(TT. Chợ Mới)</v>
          </cell>
          <cell r="U110">
            <v>105.7752</v>
          </cell>
          <cell r="V110">
            <v>21.8826</v>
          </cell>
          <cell r="W110">
            <v>5.8500000000000003E-2</v>
          </cell>
        </row>
        <row r="111">
          <cell r="Q111" t="str">
            <v>10. Bắc Kạn</v>
          </cell>
          <cell r="R111" t="str">
            <v>Huyện Na Rì</v>
          </cell>
          <cell r="S111" t="str">
            <v>I.A</v>
          </cell>
          <cell r="T111" t="str">
            <v>(TT. Yên Lạc)</v>
          </cell>
          <cell r="U111">
            <v>106.1837</v>
          </cell>
          <cell r="V111">
            <v>22.2376</v>
          </cell>
          <cell r="W111">
            <v>2.7099999999999999E-2</v>
          </cell>
        </row>
        <row r="112">
          <cell r="Q112" t="str">
            <v>10. Bắc Kạn</v>
          </cell>
          <cell r="R112" t="str">
            <v>Huyện Ngân Sơn</v>
          </cell>
          <cell r="S112" t="str">
            <v>I.A</v>
          </cell>
          <cell r="T112" t="str">
            <v>(TT. Ngân Sơn)</v>
          </cell>
          <cell r="U112">
            <v>105.9974</v>
          </cell>
          <cell r="V112">
            <v>22.4268</v>
          </cell>
          <cell r="W112">
            <v>3.1399999999999997E-2</v>
          </cell>
        </row>
        <row r="113">
          <cell r="Q113" t="str">
            <v>10. Bắc Kạn</v>
          </cell>
          <cell r="R113" t="str">
            <v>Huyện Pắc Nặm</v>
          </cell>
          <cell r="S113" t="str">
            <v>I.A</v>
          </cell>
          <cell r="T113" t="str">
            <v>(Bộc Bố)</v>
          </cell>
          <cell r="U113">
            <v>105.6643</v>
          </cell>
          <cell r="V113">
            <v>22.6158</v>
          </cell>
          <cell r="W113">
            <v>5.6099999999999997E-2</v>
          </cell>
        </row>
        <row r="114">
          <cell r="Q114" t="str">
            <v>11. Bắc Ninh</v>
          </cell>
          <cell r="R114" t="str">
            <v>Thị xã Bắc Ninh</v>
          </cell>
          <cell r="S114" t="str">
            <v>II.B</v>
          </cell>
          <cell r="T114" t="str">
            <v>(P. Vũ Ninh)</v>
          </cell>
          <cell r="U114">
            <v>106.0707</v>
          </cell>
          <cell r="V114">
            <v>21.186299999999999</v>
          </cell>
          <cell r="W114">
            <v>0.1192</v>
          </cell>
        </row>
        <row r="115">
          <cell r="Q115" t="str">
            <v>11. Bắc Ninh</v>
          </cell>
          <cell r="R115" t="str">
            <v>Huyện Gia Bình</v>
          </cell>
          <cell r="S115" t="str">
            <v>II.B</v>
          </cell>
          <cell r="T115" t="str">
            <v>(TT. Gia Bình)</v>
          </cell>
          <cell r="U115">
            <v>106.19459999999999</v>
          </cell>
          <cell r="V115">
            <v>21.0565</v>
          </cell>
          <cell r="W115">
            <v>0.12970000000000001</v>
          </cell>
        </row>
        <row r="116">
          <cell r="Q116" t="str">
            <v>11. Bắc Ninh</v>
          </cell>
          <cell r="R116" t="str">
            <v>Huyện Lương Tài</v>
          </cell>
          <cell r="S116" t="str">
            <v>II.B</v>
          </cell>
          <cell r="T116" t="str">
            <v>(TT. Thứa)</v>
          </cell>
          <cell r="U116">
            <v>106.2012</v>
          </cell>
          <cell r="V116">
            <v>21.017399999999999</v>
          </cell>
          <cell r="W116">
            <v>0.13159999999999999</v>
          </cell>
        </row>
        <row r="117">
          <cell r="Q117" t="str">
            <v>11. Bắc Ninh</v>
          </cell>
          <cell r="R117" t="str">
            <v>Huyện Quế Võ</v>
          </cell>
          <cell r="S117" t="str">
            <v>II.B</v>
          </cell>
          <cell r="T117" t="str">
            <v>(TT. Phố Mới)</v>
          </cell>
          <cell r="U117">
            <v>106.1532</v>
          </cell>
          <cell r="V117">
            <v>21.153500000000001</v>
          </cell>
          <cell r="W117">
            <v>0.1226</v>
          </cell>
        </row>
        <row r="118">
          <cell r="Q118" t="str">
            <v>11. Bắc Ninh</v>
          </cell>
          <cell r="R118" t="str">
            <v>Huyện Thuận Thành</v>
          </cell>
          <cell r="S118" t="str">
            <v>II.B</v>
          </cell>
          <cell r="T118" t="str">
            <v>(TT. Hồ)</v>
          </cell>
          <cell r="U118">
            <v>106.0856</v>
          </cell>
          <cell r="V118">
            <v>21.0642</v>
          </cell>
          <cell r="W118">
            <v>0.1108</v>
          </cell>
        </row>
        <row r="119">
          <cell r="Q119" t="str">
            <v>11. Bắc Ninh</v>
          </cell>
          <cell r="R119" t="str">
            <v>Huyện Tiên Du</v>
          </cell>
          <cell r="S119" t="str">
            <v>II.B</v>
          </cell>
          <cell r="T119" t="str">
            <v>(TT. Lim)</v>
          </cell>
          <cell r="U119">
            <v>106.0194</v>
          </cell>
          <cell r="V119">
            <v>21.142600000000002</v>
          </cell>
          <cell r="W119">
            <v>0.1109</v>
          </cell>
        </row>
        <row r="120">
          <cell r="Q120" t="str">
            <v>11. Bắc Ninh</v>
          </cell>
          <cell r="R120" t="str">
            <v>Huyện Từ Sơn</v>
          </cell>
          <cell r="S120" t="str">
            <v>II.B</v>
          </cell>
          <cell r="T120" t="str">
            <v>(TT. Từ Sơn)</v>
          </cell>
          <cell r="U120">
            <v>105.9588</v>
          </cell>
          <cell r="V120">
            <v>21.116399999999999</v>
          </cell>
          <cell r="W120">
            <v>9.1899999999999996E-2</v>
          </cell>
        </row>
        <row r="121">
          <cell r="Q121" t="str">
            <v>11. Bắc Ninh</v>
          </cell>
          <cell r="R121" t="str">
            <v>Huyện Yên Phong</v>
          </cell>
          <cell r="S121" t="str">
            <v>II.B</v>
          </cell>
          <cell r="T121" t="str">
            <v>(TT. Chờ)</v>
          </cell>
          <cell r="U121">
            <v>105.95480000000001</v>
          </cell>
          <cell r="V121">
            <v>21.193999999999999</v>
          </cell>
          <cell r="W121">
            <v>0.10390000000000001</v>
          </cell>
        </row>
        <row r="122">
          <cell r="Q122" t="str">
            <v>12. Bến Tre</v>
          </cell>
          <cell r="R122" t="str">
            <v>Thị xã Bến Tre</v>
          </cell>
          <cell r="S122" t="str">
            <v>I.A</v>
          </cell>
          <cell r="T122" t="str">
            <v>(P. 8)</v>
          </cell>
          <cell r="U122">
            <v>106.3822</v>
          </cell>
          <cell r="V122">
            <v>10.2356</v>
          </cell>
          <cell r="W122">
            <v>1.8499999999999999E-2</v>
          </cell>
        </row>
        <row r="123">
          <cell r="Q123" t="str">
            <v>12. Bến Tre</v>
          </cell>
          <cell r="R123" t="str">
            <v>Huyện Ba Tri</v>
          </cell>
          <cell r="S123" t="str">
            <v>I.A</v>
          </cell>
          <cell r="T123" t="str">
            <v>(TT. Ba Tri)</v>
          </cell>
          <cell r="U123">
            <v>106.5894</v>
          </cell>
          <cell r="V123">
            <v>10.039</v>
          </cell>
          <cell r="W123">
            <v>2.75E-2</v>
          </cell>
        </row>
        <row r="124">
          <cell r="Q124" t="str">
            <v>12. Bến Tre</v>
          </cell>
          <cell r="R124" t="str">
            <v>Huyện Bình Đại</v>
          </cell>
          <cell r="S124" t="str">
            <v>I.A</v>
          </cell>
          <cell r="T124" t="str">
            <v>(TT. Bình Đại)</v>
          </cell>
          <cell r="U124">
            <v>106.69289999999999</v>
          </cell>
          <cell r="V124">
            <v>10.1858</v>
          </cell>
          <cell r="W124">
            <v>6.6500000000000004E-2</v>
          </cell>
        </row>
        <row r="125">
          <cell r="Q125" t="str">
            <v>12. Bến Tre</v>
          </cell>
          <cell r="R125" t="str">
            <v>Huyện Châu Thành</v>
          </cell>
          <cell r="S125" t="str">
            <v>I.A</v>
          </cell>
          <cell r="T125" t="str">
            <v>(TT. Châu Thành)</v>
          </cell>
          <cell r="U125">
            <v>106.3597</v>
          </cell>
          <cell r="V125">
            <v>10.3108</v>
          </cell>
          <cell r="W125">
            <v>2.0400000000000001E-2</v>
          </cell>
        </row>
        <row r="126">
          <cell r="Q126" t="str">
            <v>12. Bến Tre</v>
          </cell>
          <cell r="R126" t="str">
            <v>Huyện Chợ Lách</v>
          </cell>
          <cell r="S126" t="str">
            <v>I.A</v>
          </cell>
          <cell r="T126" t="str">
            <v>(TT. Chợ Lách)</v>
          </cell>
          <cell r="U126">
            <v>106.12050000000001</v>
          </cell>
          <cell r="V126">
            <v>10.258800000000001</v>
          </cell>
          <cell r="W126">
            <v>1.5699999999999999E-2</v>
          </cell>
        </row>
        <row r="127">
          <cell r="Q127" t="str">
            <v>12. Bến Tre</v>
          </cell>
          <cell r="R127" t="str">
            <v>Huyện Giồng Chôm</v>
          </cell>
          <cell r="S127" t="str">
            <v>I.A</v>
          </cell>
          <cell r="T127" t="str">
            <v>(TT. Giồng Trôm)</v>
          </cell>
          <cell r="U127">
            <v>106.5076</v>
          </cell>
          <cell r="V127">
            <v>10.148999999999999</v>
          </cell>
          <cell r="W127">
            <v>2.3699999999999999E-2</v>
          </cell>
        </row>
        <row r="128">
          <cell r="Q128" t="str">
            <v>12. Bến Tre</v>
          </cell>
          <cell r="R128" t="str">
            <v>Huyện Mỏ Cầy</v>
          </cell>
          <cell r="S128" t="str">
            <v>I.A</v>
          </cell>
          <cell r="T128" t="str">
            <v>(TT. Mỏ Cầy)</v>
          </cell>
          <cell r="U128">
            <v>106.33369999999999</v>
          </cell>
          <cell r="V128">
            <v>10.1234</v>
          </cell>
          <cell r="W128">
            <v>1.5699999999999999E-2</v>
          </cell>
        </row>
        <row r="129">
          <cell r="Q129" t="str">
            <v>12. Bến Tre</v>
          </cell>
          <cell r="R129" t="str">
            <v>Huyện Thạnh Phú</v>
          </cell>
          <cell r="S129" t="str">
            <v>I.A</v>
          </cell>
          <cell r="T129" t="str">
            <v>(TT. Thạnh Phú)</v>
          </cell>
          <cell r="U129">
            <v>106.5147</v>
          </cell>
          <cell r="V129">
            <v>9.9474</v>
          </cell>
          <cell r="W129">
            <v>2.0899999999999998E-2</v>
          </cell>
        </row>
        <row r="130">
          <cell r="Q130" t="str">
            <v>13. Bình Dương</v>
          </cell>
          <cell r="R130" t="str">
            <v>Thị xã Thủ Dầu Một</v>
          </cell>
          <cell r="S130" t="str">
            <v>II.A</v>
          </cell>
          <cell r="T130" t="str">
            <v>(P. Hiệp Thành)</v>
          </cell>
          <cell r="U130">
            <v>106.6724</v>
          </cell>
          <cell r="V130">
            <v>11.002800000000001</v>
          </cell>
          <cell r="W130">
            <v>8.1299999999999997E-2</v>
          </cell>
        </row>
        <row r="131">
          <cell r="Q131" t="str">
            <v>13. Bình Dương</v>
          </cell>
          <cell r="R131" t="str">
            <v>Huyện Bến Cát</v>
          </cell>
          <cell r="S131" t="str">
            <v>I.A</v>
          </cell>
          <cell r="T131" t="str">
            <v>(TT. Mỹ Phước)</v>
          </cell>
          <cell r="U131">
            <v>106.59</v>
          </cell>
          <cell r="V131">
            <v>11.1547</v>
          </cell>
          <cell r="W131">
            <v>8.9700000000000002E-2</v>
          </cell>
        </row>
        <row r="132">
          <cell r="Q132" t="str">
            <v>13. Bình Dương</v>
          </cell>
          <cell r="R132" t="str">
            <v>Huyện Dầu Tiếng</v>
          </cell>
          <cell r="S132" t="str">
            <v>I.A</v>
          </cell>
          <cell r="T132" t="str">
            <v>(TT. Dầu Tiếng)</v>
          </cell>
          <cell r="U132">
            <v>106.36239999999999</v>
          </cell>
          <cell r="V132">
            <v>11.279500000000001</v>
          </cell>
          <cell r="W132">
            <v>6.3899999999999998E-2</v>
          </cell>
        </row>
        <row r="133">
          <cell r="Q133" t="str">
            <v>13. Bình Dương</v>
          </cell>
          <cell r="R133" t="str">
            <v>Huyện Dĩ An</v>
          </cell>
          <cell r="S133" t="str">
            <v>I.A</v>
          </cell>
          <cell r="T133" t="str">
            <v>(TT. Dĩ An)</v>
          </cell>
          <cell r="U133">
            <v>106.76949999999999</v>
          </cell>
          <cell r="V133">
            <v>10.9071</v>
          </cell>
          <cell r="W133">
            <v>6.6299999999999998E-2</v>
          </cell>
        </row>
        <row r="134">
          <cell r="Q134" t="str">
            <v>13. Bình Dương</v>
          </cell>
          <cell r="R134" t="str">
            <v>Huyện Phú Giáo</v>
          </cell>
          <cell r="S134" t="str">
            <v>II.A</v>
          </cell>
          <cell r="T134" t="str">
            <v>(TT. Phước Vĩnh)</v>
          </cell>
          <cell r="U134">
            <v>106.7953</v>
          </cell>
          <cell r="V134">
            <v>11.291499999999999</v>
          </cell>
          <cell r="W134">
            <v>8.77E-2</v>
          </cell>
        </row>
        <row r="135">
          <cell r="Q135" t="str">
            <v>13. Bình Dương</v>
          </cell>
          <cell r="R135" t="str">
            <v>Huyện Tân Uyên</v>
          </cell>
          <cell r="S135" t="str">
            <v>II.A</v>
          </cell>
          <cell r="T135" t="str">
            <v>(TT. Uyên Hưng)</v>
          </cell>
          <cell r="U135">
            <v>106.8034</v>
          </cell>
          <cell r="V135">
            <v>11.0647</v>
          </cell>
          <cell r="W135">
            <v>4.3299999999999998E-2</v>
          </cell>
        </row>
        <row r="136">
          <cell r="Q136" t="str">
            <v>13. Bình Dương</v>
          </cell>
          <cell r="R136" t="str">
            <v>Huyện Thuận An</v>
          </cell>
          <cell r="S136" t="str">
            <v>I.A</v>
          </cell>
          <cell r="T136" t="str">
            <v>(TT. Lái Thiêu)</v>
          </cell>
          <cell r="U136">
            <v>106.6999</v>
          </cell>
          <cell r="V136">
            <v>10.9053</v>
          </cell>
          <cell r="W136">
            <v>8.1199999999999994E-2</v>
          </cell>
        </row>
        <row r="137">
          <cell r="Q137" t="str">
            <v>14. Bình Định</v>
          </cell>
          <cell r="R137" t="str">
            <v>Thành phố Quy Nhơn</v>
          </cell>
          <cell r="S137" t="str">
            <v>IV.B</v>
          </cell>
          <cell r="T137" t="str">
            <v>(P. Lê Lợi)</v>
          </cell>
          <cell r="U137">
            <v>109.23090000000001</v>
          </cell>
          <cell r="V137">
            <v>13.7704</v>
          </cell>
          <cell r="W137">
            <v>9.4100000000000003E-2</v>
          </cell>
        </row>
        <row r="138">
          <cell r="Q138" t="str">
            <v>14. Bình Định</v>
          </cell>
          <cell r="R138" t="str">
            <v>Huyện An Lão</v>
          </cell>
          <cell r="S138" t="str">
            <v>III.B</v>
          </cell>
          <cell r="T138" t="str">
            <v>(TT. An Lão)</v>
          </cell>
          <cell r="U138">
            <v>108.8854</v>
          </cell>
          <cell r="V138">
            <v>14.615600000000001</v>
          </cell>
          <cell r="W138">
            <v>0.1031</v>
          </cell>
        </row>
        <row r="139">
          <cell r="Q139" t="str">
            <v>14. Bình Định</v>
          </cell>
          <cell r="R139" t="str">
            <v>Huyện An Nhơn</v>
          </cell>
          <cell r="S139" t="str">
            <v>IV.B</v>
          </cell>
          <cell r="T139" t="str">
            <v>(TT. Bình Định)</v>
          </cell>
          <cell r="U139">
            <v>109.11199999999999</v>
          </cell>
          <cell r="V139">
            <v>13.8888</v>
          </cell>
          <cell r="W139">
            <v>0.1061</v>
          </cell>
        </row>
        <row r="140">
          <cell r="Q140" t="str">
            <v>14. Bình Định</v>
          </cell>
          <cell r="R140" t="str">
            <v>Huyện Hoài Ân</v>
          </cell>
          <cell r="S140" t="str">
            <v>III.B</v>
          </cell>
          <cell r="T140" t="str">
            <v>(TT. Tăng Bạt Hổ)</v>
          </cell>
          <cell r="U140">
            <v>108.97199999999999</v>
          </cell>
          <cell r="V140">
            <v>14.366099999999999</v>
          </cell>
          <cell r="W140">
            <v>0.1057</v>
          </cell>
        </row>
        <row r="141">
          <cell r="Q141" t="str">
            <v>14. Bình Định</v>
          </cell>
          <cell r="R141" t="str">
            <v>Huyện Hoài Nhơn</v>
          </cell>
          <cell r="S141" t="str">
            <v>III.B</v>
          </cell>
          <cell r="T141" t="str">
            <v>(TT. Bồng Sơn)</v>
          </cell>
          <cell r="U141">
            <v>109.0154</v>
          </cell>
          <cell r="V141">
            <v>14.434699999999999</v>
          </cell>
          <cell r="W141">
            <v>0.10489999999999999</v>
          </cell>
        </row>
        <row r="142">
          <cell r="Q142" t="str">
            <v>14. Bình Định</v>
          </cell>
          <cell r="R142" t="str">
            <v>Huyện Phù Cát</v>
          </cell>
          <cell r="S142" t="str">
            <v>IV.B</v>
          </cell>
          <cell r="T142" t="str">
            <v>(TT. Ngô Mây)</v>
          </cell>
          <cell r="U142">
            <v>109.05670000000001</v>
          </cell>
          <cell r="V142">
            <v>14.003399999999999</v>
          </cell>
          <cell r="W142">
            <v>0.107</v>
          </cell>
        </row>
        <row r="143">
          <cell r="Q143" t="str">
            <v>14. Bình Định</v>
          </cell>
          <cell r="R143" t="str">
            <v>Huyện Phù Mỹ</v>
          </cell>
          <cell r="S143" t="str">
            <v>III.B</v>
          </cell>
          <cell r="T143" t="str">
            <v>(TT. Phù Mỹ)</v>
          </cell>
          <cell r="U143">
            <v>109.051</v>
          </cell>
          <cell r="V143">
            <v>14.175000000000001</v>
          </cell>
          <cell r="W143">
            <v>0.1008</v>
          </cell>
        </row>
        <row r="144">
          <cell r="Q144" t="str">
            <v>14. Bình Định</v>
          </cell>
          <cell r="R144" t="str">
            <v>Huyện Tây Sơn</v>
          </cell>
          <cell r="S144" t="str">
            <v>III.B</v>
          </cell>
          <cell r="T144" t="str">
            <v>(TT. Phú Phong)</v>
          </cell>
          <cell r="U144">
            <v>108.91379999999999</v>
          </cell>
          <cell r="V144">
            <v>13.9109</v>
          </cell>
          <cell r="W144">
            <v>0.10970000000000001</v>
          </cell>
        </row>
        <row r="145">
          <cell r="Q145" t="str">
            <v>14. Bình Định</v>
          </cell>
          <cell r="R145" t="str">
            <v>Huyện Tuy Phước</v>
          </cell>
          <cell r="S145" t="str">
            <v>IV.B</v>
          </cell>
          <cell r="T145" t="str">
            <v>(TT. Tuy Phước)</v>
          </cell>
          <cell r="U145">
            <v>109.1645</v>
          </cell>
          <cell r="V145">
            <v>13.8284</v>
          </cell>
          <cell r="W145">
            <v>0.1067</v>
          </cell>
        </row>
        <row r="146">
          <cell r="Q146" t="str">
            <v>14. Bình Định</v>
          </cell>
          <cell r="R146" t="str">
            <v>Huyện Vân Canh</v>
          </cell>
          <cell r="S146" t="str">
            <v>III.B</v>
          </cell>
          <cell r="T146" t="str">
            <v>(TT. Vân Canh)</v>
          </cell>
          <cell r="U146">
            <v>108.99769999999999</v>
          </cell>
          <cell r="V146">
            <v>13.6225</v>
          </cell>
          <cell r="W146">
            <v>0.1053</v>
          </cell>
        </row>
        <row r="147">
          <cell r="Q147" t="str">
            <v>14. Bình Định</v>
          </cell>
          <cell r="R147" t="str">
            <v>Huyện Vĩnh Thạnh</v>
          </cell>
          <cell r="S147" t="str">
            <v>II.A</v>
          </cell>
          <cell r="T147" t="str">
            <v>(TT. Vĩnh Thạnh)</v>
          </cell>
          <cell r="U147">
            <v>108.78189999999999</v>
          </cell>
          <cell r="V147">
            <v>14.140700000000001</v>
          </cell>
          <cell r="W147">
            <v>9.8500000000000004E-2</v>
          </cell>
        </row>
        <row r="148">
          <cell r="Q148" t="str">
            <v>15. Bình Phước</v>
          </cell>
          <cell r="R148" t="str">
            <v>Thị xã Đồng Xoài</v>
          </cell>
          <cell r="S148" t="str">
            <v>I.A</v>
          </cell>
          <cell r="T148" t="str">
            <v>(P. Tân Phú)</v>
          </cell>
          <cell r="U148">
            <v>106.9008</v>
          </cell>
          <cell r="V148">
            <v>11.5396</v>
          </cell>
          <cell r="W148">
            <v>6.7799999999999999E-2</v>
          </cell>
        </row>
        <row r="149">
          <cell r="Q149" t="str">
            <v>15. Bình Phước</v>
          </cell>
          <cell r="R149" t="str">
            <v>Huyện Bình Long</v>
          </cell>
          <cell r="S149" t="str">
            <v>I.A</v>
          </cell>
          <cell r="T149" t="str">
            <v>(TT. An Lộc)</v>
          </cell>
          <cell r="U149">
            <v>106.6073</v>
          </cell>
          <cell r="V149">
            <v>11.651400000000001</v>
          </cell>
          <cell r="W149">
            <v>7.17E-2</v>
          </cell>
        </row>
        <row r="150">
          <cell r="Q150" t="str">
            <v>15. Bình Phước</v>
          </cell>
          <cell r="R150" t="str">
            <v>Huyện Bù Đăng</v>
          </cell>
          <cell r="S150" t="str">
            <v>I.A</v>
          </cell>
          <cell r="T150" t="str">
            <v>(TT. Đức Phong)</v>
          </cell>
          <cell r="U150">
            <v>107.24760000000001</v>
          </cell>
          <cell r="V150">
            <v>11.8131</v>
          </cell>
          <cell r="W150">
            <v>3.7900000000000003E-2</v>
          </cell>
        </row>
        <row r="151">
          <cell r="Q151" t="str">
            <v>15. Bình Phước</v>
          </cell>
          <cell r="R151" t="str">
            <v>Huyện Bù Đốp</v>
          </cell>
          <cell r="S151" t="str">
            <v>I.A</v>
          </cell>
          <cell r="T151" t="str">
            <v>(TT. Lộc Ninh)</v>
          </cell>
          <cell r="U151">
            <v>106.8113</v>
          </cell>
          <cell r="V151">
            <v>12.0151</v>
          </cell>
          <cell r="W151">
            <v>2.0199999999999999E-2</v>
          </cell>
        </row>
        <row r="152">
          <cell r="Q152" t="str">
            <v>15. Bình Phước</v>
          </cell>
          <cell r="R152" t="str">
            <v>Huyện Chơn Thành</v>
          </cell>
          <cell r="S152" t="str">
            <v>I.A</v>
          </cell>
          <cell r="T152" t="str">
            <v>(TT. Chơn Thành)</v>
          </cell>
          <cell r="U152">
            <v>106.61579999999999</v>
          </cell>
          <cell r="V152">
            <v>11.417</v>
          </cell>
          <cell r="W152">
            <v>5.67E-2</v>
          </cell>
        </row>
        <row r="153">
          <cell r="Q153" t="str">
            <v>15. Bình Phước</v>
          </cell>
          <cell r="R153" t="str">
            <v>Huyện Đồng Phú</v>
          </cell>
          <cell r="S153" t="str">
            <v>I.A</v>
          </cell>
          <cell r="T153" t="str">
            <v>(TT. Đồng Phú)</v>
          </cell>
          <cell r="U153">
            <v>106.861</v>
          </cell>
          <cell r="V153">
            <v>11.4649</v>
          </cell>
          <cell r="W153">
            <v>7.4200000000000002E-2</v>
          </cell>
        </row>
        <row r="154">
          <cell r="Q154" t="str">
            <v>15. Bình Phước</v>
          </cell>
          <cell r="R154" t="str">
            <v>Huyện Lộc Ninh</v>
          </cell>
          <cell r="S154" t="str">
            <v>I.A</v>
          </cell>
          <cell r="T154" t="str">
            <v>(TT. Lộc Ninh)</v>
          </cell>
          <cell r="U154">
            <v>106.58969999999999</v>
          </cell>
          <cell r="V154">
            <v>11.845700000000001</v>
          </cell>
          <cell r="W154">
            <v>8.0600000000000005E-2</v>
          </cell>
        </row>
        <row r="155">
          <cell r="Q155" t="str">
            <v>15. Bình Phước</v>
          </cell>
          <cell r="R155" t="str">
            <v>Huyện Phước Long</v>
          </cell>
          <cell r="S155" t="str">
            <v>I.A</v>
          </cell>
          <cell r="T155" t="str">
            <v>(TT. Thác Mơ)</v>
          </cell>
          <cell r="U155">
            <v>107.00060000000001</v>
          </cell>
          <cell r="V155">
            <v>11.8582</v>
          </cell>
          <cell r="W155">
            <v>1.7899999999999999E-2</v>
          </cell>
        </row>
        <row r="156">
          <cell r="Q156" t="str">
            <v>16. Bình Thuận</v>
          </cell>
          <cell r="R156" t="str">
            <v>Thành phố Phan Thiết</v>
          </cell>
          <cell r="S156" t="str">
            <v>I.A</v>
          </cell>
          <cell r="T156" t="str">
            <v>(P. Đức Thắng)</v>
          </cell>
          <cell r="U156">
            <v>108.1022</v>
          </cell>
          <cell r="V156">
            <v>10.923400000000001</v>
          </cell>
          <cell r="W156">
            <v>2.46E-2</v>
          </cell>
        </row>
        <row r="157">
          <cell r="Q157" t="str">
            <v>16. Bình Thuận</v>
          </cell>
          <cell r="R157" t="str">
            <v>Huyện Bắc Bình</v>
          </cell>
          <cell r="S157" t="str">
            <v>I.A</v>
          </cell>
          <cell r="T157" t="str">
            <v>(TT. Chợ Lầu)</v>
          </cell>
          <cell r="U157">
            <v>108.50369999999999</v>
          </cell>
          <cell r="V157">
            <v>11.2216</v>
          </cell>
          <cell r="W157">
            <v>2.2200000000000001E-2</v>
          </cell>
        </row>
        <row r="158">
          <cell r="Q158" t="str">
            <v>16. Bình Thuận</v>
          </cell>
          <cell r="R158" t="str">
            <v>Huyện Đức Linh</v>
          </cell>
          <cell r="S158" t="str">
            <v>I.A</v>
          </cell>
          <cell r="T158" t="str">
            <v>(TT. Võ Xu)</v>
          </cell>
          <cell r="U158">
            <v>107.5659</v>
          </cell>
          <cell r="V158">
            <v>11.1891</v>
          </cell>
          <cell r="W158">
            <v>2.5100000000000001E-2</v>
          </cell>
        </row>
        <row r="159">
          <cell r="Q159" t="str">
            <v>16. Bình Thuận</v>
          </cell>
          <cell r="R159" t="str">
            <v>Huyện Hàm Tân</v>
          </cell>
          <cell r="S159" t="str">
            <v>I.A</v>
          </cell>
          <cell r="T159" t="str">
            <v>(TT. La Gi)</v>
          </cell>
          <cell r="U159">
            <v>107.7569</v>
          </cell>
          <cell r="V159">
            <v>10.6869</v>
          </cell>
          <cell r="W159">
            <v>5.57E-2</v>
          </cell>
        </row>
        <row r="160">
          <cell r="Q160" t="str">
            <v>16. Bình Thuận</v>
          </cell>
          <cell r="R160" t="str">
            <v>Huyện Hàm Thuận Bắc</v>
          </cell>
          <cell r="S160" t="str">
            <v>I.A</v>
          </cell>
          <cell r="T160" t="str">
            <v>(TT. Ma Lâm)</v>
          </cell>
          <cell r="U160">
            <v>108.1302</v>
          </cell>
          <cell r="V160">
            <v>11.070399999999999</v>
          </cell>
          <cell r="W160">
            <v>2.1999999999999999E-2</v>
          </cell>
        </row>
        <row r="161">
          <cell r="Q161" t="str">
            <v>16. Bình Thuận</v>
          </cell>
          <cell r="R161" t="str">
            <v>Huyện Hàm Thuận Nam</v>
          </cell>
          <cell r="S161" t="str">
            <v>I.A</v>
          </cell>
          <cell r="T161" t="str">
            <v>(TT. Thuận Nam)</v>
          </cell>
          <cell r="U161">
            <v>107.8772</v>
          </cell>
          <cell r="V161">
            <v>10.8474</v>
          </cell>
          <cell r="W161">
            <v>3.0200000000000001E-2</v>
          </cell>
        </row>
        <row r="162">
          <cell r="Q162" t="str">
            <v>16. Bình Thuận</v>
          </cell>
          <cell r="R162" t="str">
            <v>Huyện Phú Quí</v>
          </cell>
          <cell r="S162" t="str">
            <v>II.A</v>
          </cell>
          <cell r="T162" t="str">
            <v>(TT. Phú Quý)</v>
          </cell>
          <cell r="U162">
            <v>108.93770000000001</v>
          </cell>
          <cell r="V162">
            <v>10.5421</v>
          </cell>
          <cell r="W162">
            <v>5.3999999999999999E-2</v>
          </cell>
        </row>
        <row r="163">
          <cell r="Q163" t="str">
            <v>16. Bình Thuận</v>
          </cell>
          <cell r="R163" t="str">
            <v>Huyện Tánh Linh</v>
          </cell>
          <cell r="S163" t="str">
            <v>I.A</v>
          </cell>
          <cell r="T163" t="str">
            <v>(TT. Lạc Tánh)</v>
          </cell>
          <cell r="U163">
            <v>107.6803</v>
          </cell>
          <cell r="V163">
            <v>11.085599999999999</v>
          </cell>
          <cell r="W163">
            <v>4.2200000000000001E-2</v>
          </cell>
        </row>
        <row r="164">
          <cell r="Q164" t="str">
            <v>16. Bình Thuận</v>
          </cell>
          <cell r="R164" t="str">
            <v>Huyện Tuy Phong</v>
          </cell>
          <cell r="S164" t="str">
            <v>I.A</v>
          </cell>
          <cell r="T164" t="str">
            <v>(TT. Liên Hương)</v>
          </cell>
          <cell r="U164">
            <v>108.7334</v>
          </cell>
          <cell r="V164">
            <v>11.2285</v>
          </cell>
          <cell r="W164">
            <v>3.73E-2</v>
          </cell>
        </row>
        <row r="165">
          <cell r="Q165" t="str">
            <v>17. Cà Mau</v>
          </cell>
          <cell r="R165" t="str">
            <v>Thành phố Cà Mau</v>
          </cell>
          <cell r="S165" t="str">
            <v>II.A</v>
          </cell>
          <cell r="T165" t="str">
            <v>(P. 5)</v>
          </cell>
          <cell r="U165">
            <v>105.1502</v>
          </cell>
          <cell r="V165">
            <v>9.1759000000000004</v>
          </cell>
          <cell r="W165">
            <v>1.1299999999999999E-2</v>
          </cell>
        </row>
        <row r="166">
          <cell r="Q166" t="str">
            <v>17. Cà Mau</v>
          </cell>
          <cell r="R166" t="str">
            <v>Huyện Cái Nước</v>
          </cell>
          <cell r="S166" t="str">
            <v>II.A</v>
          </cell>
          <cell r="T166" t="str">
            <v>(TT. Cái Nước)</v>
          </cell>
          <cell r="U166">
            <v>105.0132</v>
          </cell>
          <cell r="V166">
            <v>8.9382999999999999</v>
          </cell>
          <cell r="W166">
            <v>1.54E-2</v>
          </cell>
        </row>
        <row r="167">
          <cell r="Q167" t="str">
            <v>17. Cà Mau</v>
          </cell>
          <cell r="R167" t="str">
            <v>Huyện Đầm Dơi</v>
          </cell>
          <cell r="S167" t="str">
            <v>I.A</v>
          </cell>
          <cell r="T167" t="str">
            <v>(TT. Đầm Dơi)</v>
          </cell>
          <cell r="U167">
            <v>105.196</v>
          </cell>
          <cell r="V167">
            <v>8.9907000000000004</v>
          </cell>
          <cell r="W167">
            <v>1.9099999999999999E-2</v>
          </cell>
        </row>
        <row r="168">
          <cell r="Q168" t="str">
            <v>17. Cà Mau</v>
          </cell>
          <cell r="R168" t="str">
            <v>Huyện Năm Căn</v>
          </cell>
          <cell r="S168" t="str">
            <v>II.A</v>
          </cell>
          <cell r="T168" t="str">
            <v>(TT. Năm Căn)</v>
          </cell>
          <cell r="U168">
            <v>104.9932</v>
          </cell>
          <cell r="V168">
            <v>8.7609999999999992</v>
          </cell>
          <cell r="W168">
            <v>2.5600000000000001E-2</v>
          </cell>
        </row>
        <row r="169">
          <cell r="Q169" t="str">
            <v>17. Cà Mau</v>
          </cell>
          <cell r="R169" t="str">
            <v>Huyện Ngọc Hiển</v>
          </cell>
          <cell r="S169" t="str">
            <v>II.A</v>
          </cell>
          <cell r="T169" t="str">
            <v>(TT. Đầm Dơi)</v>
          </cell>
          <cell r="U169">
            <v>104.7574</v>
          </cell>
          <cell r="V169">
            <v>8.6012000000000004</v>
          </cell>
          <cell r="W169">
            <v>1.3299999999999999E-2</v>
          </cell>
        </row>
        <row r="170">
          <cell r="Q170" t="str">
            <v>17. Cà Mau</v>
          </cell>
          <cell r="R170" t="str">
            <v>Huyện Phú Tân</v>
          </cell>
          <cell r="S170" t="str">
            <v>II.A</v>
          </cell>
          <cell r="T170" t="str">
            <v>(TT. Cái Đôi Vòm)</v>
          </cell>
          <cell r="U170">
            <v>104.84699999999999</v>
          </cell>
          <cell r="V170">
            <v>8.8713999999999995</v>
          </cell>
          <cell r="W170">
            <v>1.3100000000000001E-2</v>
          </cell>
        </row>
        <row r="171">
          <cell r="Q171" t="str">
            <v>17. Cà Mau</v>
          </cell>
          <cell r="R171" t="str">
            <v>Huyện Thới Bình</v>
          </cell>
          <cell r="S171" t="str">
            <v>I.A</v>
          </cell>
          <cell r="T171" t="str">
            <v>(TT. Thới Bình)</v>
          </cell>
          <cell r="U171">
            <v>105.0946</v>
          </cell>
          <cell r="V171">
            <v>9.3516999999999992</v>
          </cell>
          <cell r="W171">
            <v>8.3999999999999995E-3</v>
          </cell>
        </row>
        <row r="172">
          <cell r="Q172" t="str">
            <v>17. Cà Mau</v>
          </cell>
          <cell r="R172" t="str">
            <v>Huyện Trần Văn Thời</v>
          </cell>
          <cell r="S172" t="str">
            <v>II.A</v>
          </cell>
          <cell r="T172" t="str">
            <v>(TT. Trần Văn Thời)</v>
          </cell>
          <cell r="U172">
            <v>104.9774</v>
          </cell>
          <cell r="V172">
            <v>9.0789000000000009</v>
          </cell>
          <cell r="W172">
            <v>1.0800000000000001E-2</v>
          </cell>
        </row>
        <row r="173">
          <cell r="Q173" t="str">
            <v>17. Cà Mau</v>
          </cell>
          <cell r="R173" t="str">
            <v>Huyện U Minh</v>
          </cell>
          <cell r="S173" t="str">
            <v>II.A</v>
          </cell>
          <cell r="T173" t="str">
            <v>(TT. U Minh)</v>
          </cell>
          <cell r="U173">
            <v>104.9695</v>
          </cell>
          <cell r="V173">
            <v>9.4105000000000008</v>
          </cell>
          <cell r="W173">
            <v>6.7999999999999996E-3</v>
          </cell>
        </row>
        <row r="174">
          <cell r="Q174" t="str">
            <v>18. Cao Bằng</v>
          </cell>
          <cell r="R174" t="str">
            <v>Thị xã Cao Bằng</v>
          </cell>
          <cell r="S174" t="str">
            <v>II.A</v>
          </cell>
          <cell r="T174" t="str">
            <v>(P. Hợp Giang)</v>
          </cell>
          <cell r="U174">
            <v>106.2606</v>
          </cell>
          <cell r="V174">
            <v>22.666499999999999</v>
          </cell>
          <cell r="W174">
            <v>8.14E-2</v>
          </cell>
        </row>
        <row r="175">
          <cell r="Q175" t="str">
            <v>18. Cao Bằng</v>
          </cell>
          <cell r="R175" t="str">
            <v>Huyện Bảo Lâm</v>
          </cell>
          <cell r="S175" t="str">
            <v>I.A</v>
          </cell>
          <cell r="T175" t="str">
            <v>(TT. Bao Lâm)</v>
          </cell>
          <cell r="U175">
            <v>105.4919</v>
          </cell>
          <cell r="V175">
            <v>22.8323</v>
          </cell>
          <cell r="W175">
            <v>4.6600000000000003E-2</v>
          </cell>
        </row>
        <row r="176">
          <cell r="Q176" t="str">
            <v>18. Cao Bằng</v>
          </cell>
          <cell r="R176" t="str">
            <v>Huyện Bảo Lạc</v>
          </cell>
          <cell r="S176" t="str">
            <v>I.A</v>
          </cell>
          <cell r="T176" t="str">
            <v>(TT. Bao Lạc)</v>
          </cell>
          <cell r="U176">
            <v>105.67919999999999</v>
          </cell>
          <cell r="V176">
            <v>22.9499</v>
          </cell>
          <cell r="W176">
            <v>3.8399999999999997E-2</v>
          </cell>
        </row>
        <row r="177">
          <cell r="Q177" t="str">
            <v>18. Cao Bằng</v>
          </cell>
          <cell r="R177" t="str">
            <v>Huyện Hà Quảng</v>
          </cell>
          <cell r="S177" t="str">
            <v>I.A</v>
          </cell>
          <cell r="T177" t="str">
            <v>(TT. Hà Quang)</v>
          </cell>
          <cell r="U177">
            <v>106.0776</v>
          </cell>
          <cell r="V177">
            <v>22.901</v>
          </cell>
          <cell r="W177">
            <v>6.3500000000000001E-2</v>
          </cell>
        </row>
        <row r="178">
          <cell r="Q178" t="str">
            <v>18. Cao Bằng</v>
          </cell>
          <cell r="R178" t="str">
            <v>Huyện Hạ Lang</v>
          </cell>
          <cell r="S178" t="str">
            <v>I.A</v>
          </cell>
          <cell r="T178" t="str">
            <v>(TT. Hạ Lang)</v>
          </cell>
          <cell r="U178">
            <v>106.6799</v>
          </cell>
          <cell r="V178">
            <v>22.695699999999999</v>
          </cell>
          <cell r="W178">
            <v>1.55E-2</v>
          </cell>
        </row>
        <row r="179">
          <cell r="Q179" t="str">
            <v>18. Cao Bằng</v>
          </cell>
          <cell r="R179" t="str">
            <v>Huyện Hòa An</v>
          </cell>
          <cell r="S179" t="str">
            <v>I.A</v>
          </cell>
          <cell r="T179" t="str">
            <v>(TT. Nước Hai)</v>
          </cell>
          <cell r="U179">
            <v>106.1464</v>
          </cell>
          <cell r="V179">
            <v>22.7425</v>
          </cell>
          <cell r="W179">
            <v>7.6499999999999999E-2</v>
          </cell>
        </row>
        <row r="180">
          <cell r="Q180" t="str">
            <v>18. Cao Bằng</v>
          </cell>
          <cell r="R180" t="str">
            <v>Huyện Nguyên Bình</v>
          </cell>
          <cell r="S180" t="str">
            <v>I.A</v>
          </cell>
          <cell r="T180" t="str">
            <v>(TT. Nguyên Bình)</v>
          </cell>
          <cell r="U180">
            <v>105.9627</v>
          </cell>
          <cell r="V180">
            <v>22.651399999999999</v>
          </cell>
          <cell r="W180">
            <v>3.15E-2</v>
          </cell>
        </row>
        <row r="181">
          <cell r="Q181" t="str">
            <v>18. Cao Bằng</v>
          </cell>
          <cell r="R181" t="str">
            <v>Huyện Phục Hòa</v>
          </cell>
          <cell r="S181" t="str">
            <v>I.A</v>
          </cell>
          <cell r="T181" t="str">
            <v>(TT. Tà Lùng)</v>
          </cell>
          <cell r="U181">
            <v>106.5643</v>
          </cell>
          <cell r="V181">
            <v>22.498100000000001</v>
          </cell>
          <cell r="W181">
            <v>3.6999999999999998E-2</v>
          </cell>
        </row>
        <row r="182">
          <cell r="Q182" t="str">
            <v>18. Cao Bằng</v>
          </cell>
          <cell r="R182" t="str">
            <v>Huyện Quảng Uyên</v>
          </cell>
          <cell r="S182" t="str">
            <v>I.A</v>
          </cell>
          <cell r="T182" t="str">
            <v>(TT. Quang Uyên)</v>
          </cell>
          <cell r="U182">
            <v>106.441</v>
          </cell>
          <cell r="V182">
            <v>22.696999999999999</v>
          </cell>
          <cell r="W182">
            <v>3.8800000000000001E-2</v>
          </cell>
        </row>
        <row r="183">
          <cell r="Q183" t="str">
            <v>18. Cao Bằng</v>
          </cell>
          <cell r="R183" t="str">
            <v>Huyện Thạch An</v>
          </cell>
          <cell r="S183" t="str">
            <v>I.A</v>
          </cell>
          <cell r="T183" t="str">
            <v>(TT. Đông Khê)</v>
          </cell>
          <cell r="U183">
            <v>106.43300000000001</v>
          </cell>
          <cell r="V183">
            <v>22.428599999999999</v>
          </cell>
          <cell r="W183">
            <v>7.85E-2</v>
          </cell>
        </row>
        <row r="184">
          <cell r="Q184" t="str">
            <v>18. Cao Bằng</v>
          </cell>
          <cell r="R184" t="str">
            <v>Huyện Thông Nông</v>
          </cell>
          <cell r="S184" t="str">
            <v>I.A</v>
          </cell>
          <cell r="T184" t="str">
            <v>(TT. Thông Nông)</v>
          </cell>
          <cell r="U184">
            <v>105.9817</v>
          </cell>
          <cell r="V184">
            <v>22.785299999999999</v>
          </cell>
          <cell r="W184">
            <v>4.7300000000000002E-2</v>
          </cell>
        </row>
        <row r="185">
          <cell r="Q185" t="str">
            <v>18. Cao Bằng</v>
          </cell>
          <cell r="R185" t="str">
            <v>Huyện Trà Lĩnh</v>
          </cell>
          <cell r="S185" t="str">
            <v>I.A</v>
          </cell>
          <cell r="T185" t="str">
            <v>(TT. Hùng Quốc)</v>
          </cell>
          <cell r="U185">
            <v>106.32250000000001</v>
          </cell>
          <cell r="V185">
            <v>22.8277</v>
          </cell>
          <cell r="W185">
            <v>3.6200000000000003E-2</v>
          </cell>
        </row>
        <row r="186">
          <cell r="Q186" t="str">
            <v>18. Cao Bằng</v>
          </cell>
          <cell r="R186" t="str">
            <v>Huyện Trùng Khánh</v>
          </cell>
          <cell r="S186" t="str">
            <v>I.A</v>
          </cell>
          <cell r="T186" t="str">
            <v>(TT.Trùng Khánh)</v>
          </cell>
          <cell r="U186">
            <v>106.5222</v>
          </cell>
          <cell r="V186">
            <v>22.834099999999999</v>
          </cell>
          <cell r="W186">
            <v>1.8100000000000002E-2</v>
          </cell>
        </row>
        <row r="187">
          <cell r="Q187" t="str">
            <v>19. Đăk Lăk</v>
          </cell>
          <cell r="R187" t="str">
            <v>Thành phố Buôn Ma Thuột</v>
          </cell>
          <cell r="S187" t="str">
            <v>I.A</v>
          </cell>
          <cell r="T187" t="str">
            <v>(P. Tự An)</v>
          </cell>
          <cell r="U187">
            <v>108.0427</v>
          </cell>
          <cell r="V187">
            <v>12.6736</v>
          </cell>
          <cell r="W187">
            <v>1.2699999999999999E-2</v>
          </cell>
        </row>
        <row r="188">
          <cell r="Q188" t="str">
            <v>19. Đăk Lăk</v>
          </cell>
          <cell r="R188" t="str">
            <v>Huyện Buôn Đôn</v>
          </cell>
          <cell r="S188" t="str">
            <v>I.A</v>
          </cell>
          <cell r="T188" t="str">
            <v>(TT. Buôn Đôn)</v>
          </cell>
          <cell r="U188">
            <v>107.8954</v>
          </cell>
          <cell r="V188">
            <v>12.811199999999999</v>
          </cell>
          <cell r="W188">
            <v>8.3999999999999995E-3</v>
          </cell>
        </row>
        <row r="189">
          <cell r="Q189" t="str">
            <v>19. Đăk Lăk</v>
          </cell>
          <cell r="R189" t="str">
            <v>Huyện CM'gar</v>
          </cell>
          <cell r="S189" t="str">
            <v>I.A</v>
          </cell>
          <cell r="T189" t="str">
            <v>(TT. Quang Phú)</v>
          </cell>
          <cell r="U189">
            <v>108.07769999999999</v>
          </cell>
          <cell r="V189">
            <v>12.817500000000001</v>
          </cell>
          <cell r="W189">
            <v>1.01E-2</v>
          </cell>
        </row>
        <row r="190">
          <cell r="Q190" t="str">
            <v>19. Đăk Lăk</v>
          </cell>
          <cell r="R190" t="str">
            <v>Huyện Ea H'leo</v>
          </cell>
          <cell r="S190" t="str">
            <v>I.A</v>
          </cell>
          <cell r="T190" t="str">
            <v>(TT. Ea Drăng)</v>
          </cell>
          <cell r="U190">
            <v>108.20780000000001</v>
          </cell>
          <cell r="V190">
            <v>13.2079</v>
          </cell>
          <cell r="W190">
            <v>1.46E-2</v>
          </cell>
        </row>
        <row r="191">
          <cell r="Q191" t="str">
            <v>19. Đăk Lăk</v>
          </cell>
          <cell r="R191" t="str">
            <v>Huyện Ea Kar</v>
          </cell>
          <cell r="S191" t="str">
            <v>I.A</v>
          </cell>
          <cell r="T191" t="str">
            <v>(TT. Ea Kar)</v>
          </cell>
          <cell r="U191">
            <v>108.4528</v>
          </cell>
          <cell r="V191">
            <v>12.816800000000001</v>
          </cell>
          <cell r="W191">
            <v>1.89E-2</v>
          </cell>
        </row>
        <row r="192">
          <cell r="Q192" t="str">
            <v>19. Đăk Lăk</v>
          </cell>
          <cell r="R192" t="str">
            <v>Huyện Ea Súp</v>
          </cell>
          <cell r="S192" t="str">
            <v>I.A</v>
          </cell>
          <cell r="T192" t="str">
            <v>(TT. Ea Sút)</v>
          </cell>
          <cell r="U192">
            <v>107.8853</v>
          </cell>
          <cell r="V192">
            <v>13.0753</v>
          </cell>
          <cell r="W192">
            <v>7.4999999999999997E-3</v>
          </cell>
        </row>
        <row r="193">
          <cell r="Q193" t="str">
            <v>19. Đăk Lăk</v>
          </cell>
          <cell r="R193" t="str">
            <v>Huyện Krông Ana</v>
          </cell>
          <cell r="S193" t="str">
            <v>I.A</v>
          </cell>
          <cell r="T193" t="str">
            <v>(TT. Buôn Trấp)</v>
          </cell>
          <cell r="U193">
            <v>108.0322</v>
          </cell>
          <cell r="V193">
            <v>12.4854</v>
          </cell>
          <cell r="W193">
            <v>2.1499999999999998E-2</v>
          </cell>
        </row>
        <row r="194">
          <cell r="Q194" t="str">
            <v>19. Đăk Lăk</v>
          </cell>
          <cell r="R194" t="str">
            <v>Huyện Krông Bông</v>
          </cell>
          <cell r="S194" t="str">
            <v>I.A</v>
          </cell>
          <cell r="T194" t="str">
            <v>(TT. Krông Kmar)</v>
          </cell>
          <cell r="U194">
            <v>108.3404</v>
          </cell>
          <cell r="V194">
            <v>12.511900000000001</v>
          </cell>
          <cell r="W194">
            <v>4.5499999999999999E-2</v>
          </cell>
        </row>
        <row r="195">
          <cell r="Q195" t="str">
            <v>19. Đăk Lăk</v>
          </cell>
          <cell r="R195" t="str">
            <v>Huyện Krông Búk</v>
          </cell>
          <cell r="S195" t="str">
            <v>I.A</v>
          </cell>
          <cell r="T195" t="str">
            <v>(TT. Buôn Hồ)</v>
          </cell>
          <cell r="U195">
            <v>108.2649</v>
          </cell>
          <cell r="V195">
            <v>12.9116</v>
          </cell>
          <cell r="W195">
            <v>1.14E-2</v>
          </cell>
        </row>
        <row r="196">
          <cell r="Q196" t="str">
            <v>19. Đăk Lăk</v>
          </cell>
          <cell r="R196" t="str">
            <v>Huyện Krông Năng</v>
          </cell>
          <cell r="S196" t="str">
            <v>I.A</v>
          </cell>
          <cell r="T196" t="str">
            <v>(TT. KRông Năng)</v>
          </cell>
          <cell r="U196">
            <v>108.3514</v>
          </cell>
          <cell r="V196">
            <v>12.9534</v>
          </cell>
          <cell r="W196">
            <v>1.29E-2</v>
          </cell>
        </row>
        <row r="197">
          <cell r="Q197" t="str">
            <v>19. Đăk Lăk</v>
          </cell>
          <cell r="R197" t="str">
            <v>Huyện Krông Pắk</v>
          </cell>
          <cell r="S197" t="str">
            <v>I.A</v>
          </cell>
          <cell r="T197" t="str">
            <v>(TT. Phước An)</v>
          </cell>
          <cell r="U197">
            <v>108.3083</v>
          </cell>
          <cell r="V197">
            <v>12.7112</v>
          </cell>
          <cell r="W197">
            <v>1.8800000000000001E-2</v>
          </cell>
        </row>
        <row r="198">
          <cell r="Q198" t="str">
            <v>19. Đăk Lăk</v>
          </cell>
          <cell r="R198" t="str">
            <v>Huyện Lăk</v>
          </cell>
          <cell r="S198" t="str">
            <v>I.A</v>
          </cell>
          <cell r="T198" t="str">
            <v>(TT. Liên Sơn)</v>
          </cell>
          <cell r="U198">
            <v>108.17100000000001</v>
          </cell>
          <cell r="V198">
            <v>12.4077</v>
          </cell>
          <cell r="W198">
            <v>4.4999999999999998E-2</v>
          </cell>
        </row>
        <row r="199">
          <cell r="Q199" t="str">
            <v>19. Đăk Lăk</v>
          </cell>
          <cell r="R199" t="str">
            <v>Huyện M'Đrắk</v>
          </cell>
          <cell r="S199" t="str">
            <v>I.A</v>
          </cell>
          <cell r="T199" t="str">
            <v>(TT. M'Đrắk)</v>
          </cell>
          <cell r="U199">
            <v>108.74339999999999</v>
          </cell>
          <cell r="V199">
            <v>12.749499999999999</v>
          </cell>
          <cell r="W199">
            <v>5.67E-2</v>
          </cell>
        </row>
        <row r="200">
          <cell r="Q200" t="str">
            <v>20. Đăk Nông</v>
          </cell>
          <cell r="R200" t="str">
            <v>Huyện Cư Jút</v>
          </cell>
          <cell r="S200" t="str">
            <v>I.A</v>
          </cell>
          <cell r="T200" t="str">
            <v>(TT. Ea T'Ling)</v>
          </cell>
          <cell r="U200">
            <v>107.893</v>
          </cell>
          <cell r="V200">
            <v>12.588200000000001</v>
          </cell>
          <cell r="W200">
            <v>1.23E-2</v>
          </cell>
        </row>
        <row r="201">
          <cell r="Q201" t="str">
            <v>20. Đăk Nông</v>
          </cell>
          <cell r="R201" t="str">
            <v>Huyện Đắk Mil</v>
          </cell>
          <cell r="S201" t="str">
            <v>I.A</v>
          </cell>
          <cell r="T201" t="str">
            <v>(TT. Đăk Mil)</v>
          </cell>
          <cell r="U201">
            <v>107.6195</v>
          </cell>
          <cell r="V201">
            <v>12.449199999999999</v>
          </cell>
          <cell r="W201">
            <v>1.0999999999999999E-2</v>
          </cell>
        </row>
        <row r="202">
          <cell r="Q202" t="str">
            <v>20. Đăk Nông</v>
          </cell>
          <cell r="R202" t="str">
            <v>Huyện Đắk Nông</v>
          </cell>
          <cell r="S202" t="str">
            <v>I.A</v>
          </cell>
          <cell r="T202" t="str">
            <v>(TT. Gia Nghĩa)</v>
          </cell>
          <cell r="U202">
            <v>107.68810000000001</v>
          </cell>
          <cell r="V202">
            <v>12.0031</v>
          </cell>
          <cell r="W202">
            <v>5.8400000000000001E-2</v>
          </cell>
        </row>
        <row r="203">
          <cell r="Q203" t="str">
            <v>20. Đăk Nông</v>
          </cell>
          <cell r="R203" t="str">
            <v>Huyện Đắk RLấp</v>
          </cell>
          <cell r="S203" t="str">
            <v>I.A</v>
          </cell>
          <cell r="T203" t="str">
            <v>(TT. Kiến Đức)</v>
          </cell>
          <cell r="U203">
            <v>107.5093</v>
          </cell>
          <cell r="V203">
            <v>11.9975</v>
          </cell>
          <cell r="W203">
            <v>3.39E-2</v>
          </cell>
        </row>
        <row r="204">
          <cell r="Q204" t="str">
            <v>20. Đăk Nông</v>
          </cell>
          <cell r="R204" t="str">
            <v>Huyện Đắk Song</v>
          </cell>
          <cell r="S204" t="str">
            <v>I.A</v>
          </cell>
          <cell r="T204" t="str">
            <v>(TT. Đăk Song)</v>
          </cell>
          <cell r="U204">
            <v>107.6027</v>
          </cell>
          <cell r="V204">
            <v>12.2692</v>
          </cell>
          <cell r="W204">
            <v>1.6400000000000001E-2</v>
          </cell>
        </row>
        <row r="205">
          <cell r="Q205" t="str">
            <v>20. Đăk Nông</v>
          </cell>
          <cell r="R205" t="str">
            <v>Huyện Krông Nô</v>
          </cell>
          <cell r="S205" t="str">
            <v>I.A</v>
          </cell>
          <cell r="T205" t="str">
            <v>(TT. Đắk Mân)</v>
          </cell>
          <cell r="U205">
            <v>107.878</v>
          </cell>
          <cell r="V205">
            <v>12.454499999999999</v>
          </cell>
          <cell r="W205">
            <v>1.72E-2</v>
          </cell>
        </row>
        <row r="206">
          <cell r="Q206" t="str">
            <v>21. Điện Biên</v>
          </cell>
          <cell r="R206" t="str">
            <v>Thành phố Điện Biên Phủ</v>
          </cell>
          <cell r="S206" t="str">
            <v>II.A</v>
          </cell>
          <cell r="T206" t="str">
            <v>(P. Him Lam)</v>
          </cell>
          <cell r="U206">
            <v>103.0326</v>
          </cell>
          <cell r="V206">
            <v>21.406099999999999</v>
          </cell>
          <cell r="W206">
            <v>0.12809999999999999</v>
          </cell>
        </row>
        <row r="207">
          <cell r="Q207" t="str">
            <v>21. Điện Biên</v>
          </cell>
          <cell r="R207" t="str">
            <v>Thị xã Lai Châu</v>
          </cell>
          <cell r="S207" t="str">
            <v>II.A</v>
          </cell>
          <cell r="T207" t="str">
            <v>(P. Na Lay)</v>
          </cell>
          <cell r="U207">
            <v>103.1484</v>
          </cell>
          <cell r="V207">
            <v>22.034199999999998</v>
          </cell>
          <cell r="W207">
            <v>0.14860000000000001</v>
          </cell>
        </row>
        <row r="208">
          <cell r="Q208" t="str">
            <v>21. Điện Biên</v>
          </cell>
          <cell r="R208" t="str">
            <v>Huyện Điện Biên</v>
          </cell>
          <cell r="S208" t="str">
            <v>I.A</v>
          </cell>
          <cell r="T208" t="str">
            <v>(TT. Mường Thanh)</v>
          </cell>
          <cell r="U208">
            <v>103.00879999999999</v>
          </cell>
          <cell r="V208">
            <v>21.364100000000001</v>
          </cell>
          <cell r="W208">
            <v>0.12809999999999999</v>
          </cell>
        </row>
        <row r="209">
          <cell r="Q209" t="str">
            <v>21. Điện Biên</v>
          </cell>
          <cell r="R209" t="str">
            <v>Huyện Điện Biên Đông</v>
          </cell>
          <cell r="S209" t="str">
            <v>I.A</v>
          </cell>
          <cell r="T209" t="str">
            <v>(TT. Điện Biên Đông)</v>
          </cell>
          <cell r="U209">
            <v>103.2483</v>
          </cell>
          <cell r="V209">
            <v>21.255299999999998</v>
          </cell>
          <cell r="W209">
            <v>0.1183</v>
          </cell>
        </row>
        <row r="210">
          <cell r="Q210" t="str">
            <v>21. Điện Biên</v>
          </cell>
          <cell r="R210" t="str">
            <v>Huyện Mường Lay</v>
          </cell>
          <cell r="S210" t="str">
            <v>I.A</v>
          </cell>
          <cell r="T210" t="str">
            <v>(TT. Mường Lay)</v>
          </cell>
          <cell r="U210">
            <v>103.0913</v>
          </cell>
          <cell r="V210">
            <v>21.758800000000001</v>
          </cell>
          <cell r="W210">
            <v>0.15160000000000001</v>
          </cell>
        </row>
        <row r="211">
          <cell r="Q211" t="str">
            <v>21. Điện Biên</v>
          </cell>
          <cell r="R211" t="str">
            <v>Huyện Mường Nhé</v>
          </cell>
          <cell r="S211" t="str">
            <v>I.A</v>
          </cell>
          <cell r="T211" t="str">
            <v>(TT. Điện Biên Đông)</v>
          </cell>
          <cell r="U211">
            <v>102.50060000000001</v>
          </cell>
          <cell r="V211">
            <v>22.1587</v>
          </cell>
          <cell r="W211">
            <v>0.11409999999999999</v>
          </cell>
        </row>
        <row r="212">
          <cell r="Q212" t="str">
            <v>21. Điện Biên</v>
          </cell>
          <cell r="R212" t="str">
            <v>Huyện Tủa Chùa</v>
          </cell>
          <cell r="S212" t="str">
            <v>I.A</v>
          </cell>
          <cell r="T212" t="str">
            <v>(TT. Tủa Chùa)</v>
          </cell>
          <cell r="U212">
            <v>103.3329</v>
          </cell>
          <cell r="V212">
            <v>21.855899999999998</v>
          </cell>
          <cell r="W212">
            <v>0.1404</v>
          </cell>
        </row>
        <row r="213">
          <cell r="Q213" t="str">
            <v>21. Điện Biên</v>
          </cell>
          <cell r="R213" t="str">
            <v>Huyện Tuần Giáo</v>
          </cell>
          <cell r="S213" t="str">
            <v>I.A</v>
          </cell>
          <cell r="T213" t="str">
            <v>(TT. Tuần Giáo)</v>
          </cell>
          <cell r="U213">
            <v>103.4205</v>
          </cell>
          <cell r="V213">
            <v>21.593599999999999</v>
          </cell>
          <cell r="W213">
            <v>0.1124</v>
          </cell>
        </row>
        <row r="214">
          <cell r="Q214" t="str">
            <v>22. Đồng Nai</v>
          </cell>
          <cell r="R214" t="str">
            <v>Thành phố Biên Hoà</v>
          </cell>
          <cell r="S214" t="str">
            <v>II.A</v>
          </cell>
          <cell r="T214" t="str">
            <v>(P. Thanh Bình)</v>
          </cell>
          <cell r="U214">
            <v>106.8172</v>
          </cell>
          <cell r="V214">
            <v>10.9467</v>
          </cell>
          <cell r="W214">
            <v>4.5400000000000003E-2</v>
          </cell>
        </row>
        <row r="215">
          <cell r="Q215" t="str">
            <v>22. Đồng Nai</v>
          </cell>
          <cell r="R215" t="str">
            <v>Thị xã Long Khánh</v>
          </cell>
          <cell r="S215" t="str">
            <v>I.A</v>
          </cell>
          <cell r="T215" t="str">
            <v>(TT. Xuân Lộc)</v>
          </cell>
          <cell r="U215">
            <v>107.2467</v>
          </cell>
          <cell r="V215">
            <v>10.9336</v>
          </cell>
          <cell r="W215">
            <v>3.0099999999999998E-2</v>
          </cell>
        </row>
        <row r="216">
          <cell r="Q216" t="str">
            <v>22. Đồng Nai</v>
          </cell>
          <cell r="R216" t="str">
            <v>Huyện Cẩm Mỹ</v>
          </cell>
          <cell r="S216" t="str">
            <v>I.A</v>
          </cell>
          <cell r="T216" t="str">
            <v>(TT. Trang Bom)</v>
          </cell>
          <cell r="U216">
            <v>107.23139999999999</v>
          </cell>
          <cell r="V216">
            <v>10.8249</v>
          </cell>
          <cell r="W216">
            <v>2.07E-2</v>
          </cell>
        </row>
        <row r="217">
          <cell r="Q217" t="str">
            <v>22. Đồng Nai</v>
          </cell>
          <cell r="R217" t="str">
            <v>Huyện Định Quán</v>
          </cell>
          <cell r="S217" t="str">
            <v>I.A</v>
          </cell>
          <cell r="T217" t="str">
            <v>(TT. Định Quán)</v>
          </cell>
          <cell r="U217">
            <v>107.3514</v>
          </cell>
          <cell r="V217">
            <v>11.1975</v>
          </cell>
          <cell r="W217">
            <v>4.41E-2</v>
          </cell>
        </row>
        <row r="218">
          <cell r="Q218" t="str">
            <v>22. Đồng Nai</v>
          </cell>
          <cell r="R218" t="str">
            <v>Huyện Long Thành</v>
          </cell>
          <cell r="S218" t="str">
            <v>II.A</v>
          </cell>
          <cell r="T218" t="str">
            <v>(TT. Long Thành)</v>
          </cell>
          <cell r="U218">
            <v>106.95</v>
          </cell>
          <cell r="V218">
            <v>10.7799</v>
          </cell>
          <cell r="W218">
            <v>3.7400000000000003E-2</v>
          </cell>
        </row>
        <row r="219">
          <cell r="Q219" t="str">
            <v>22. Đồng Nai</v>
          </cell>
          <cell r="R219" t="str">
            <v>Huyện Nhơn Trạch</v>
          </cell>
          <cell r="S219" t="str">
            <v>II.A</v>
          </cell>
          <cell r="T219" t="str">
            <v>(TT. Nhơn Trạch)</v>
          </cell>
          <cell r="U219">
            <v>106.9281</v>
          </cell>
          <cell r="V219">
            <v>10.7363</v>
          </cell>
          <cell r="W219">
            <v>4.7199999999999999E-2</v>
          </cell>
        </row>
        <row r="220">
          <cell r="Q220" t="str">
            <v>22. Đồng Nai</v>
          </cell>
          <cell r="R220" t="str">
            <v>Huyện Tân Phú</v>
          </cell>
          <cell r="S220" t="str">
            <v>I.A</v>
          </cell>
          <cell r="T220" t="str">
            <v>(TT. Tân Phú)</v>
          </cell>
          <cell r="U220">
            <v>107.43519999999999</v>
          </cell>
          <cell r="V220">
            <v>11.271000000000001</v>
          </cell>
          <cell r="W220">
            <v>2.3599999999999999E-2</v>
          </cell>
        </row>
        <row r="221">
          <cell r="Q221" t="str">
            <v>22. Đồng Nai</v>
          </cell>
          <cell r="R221" t="str">
            <v>Huyện Thống Nhất</v>
          </cell>
          <cell r="S221" t="str">
            <v>I.A</v>
          </cell>
          <cell r="T221" t="str">
            <v>(TT. Định Quán)</v>
          </cell>
          <cell r="U221">
            <v>107.16800000000001</v>
          </cell>
          <cell r="V221">
            <v>11.060499999999999</v>
          </cell>
          <cell r="W221">
            <v>3.8300000000000001E-2</v>
          </cell>
        </row>
        <row r="222">
          <cell r="Q222" t="str">
            <v>22. Đồng Nai</v>
          </cell>
          <cell r="R222" t="str">
            <v>Huyện Trảng Bom</v>
          </cell>
          <cell r="S222" t="str">
            <v>I.A</v>
          </cell>
          <cell r="T222" t="str">
            <v>(TT. Trang Bom)</v>
          </cell>
          <cell r="U222">
            <v>107.00360000000001</v>
          </cell>
          <cell r="V222">
            <v>10.955299999999999</v>
          </cell>
          <cell r="W222">
            <v>2.1700000000000001E-2</v>
          </cell>
        </row>
        <row r="223">
          <cell r="Q223" t="str">
            <v>22. Đồng Nai</v>
          </cell>
          <cell r="R223" t="str">
            <v>Huyện Vĩnh Cừu</v>
          </cell>
          <cell r="S223" t="str">
            <v>I.A</v>
          </cell>
          <cell r="T223" t="str">
            <v>(TT. Vĩnh An)</v>
          </cell>
          <cell r="U223">
            <v>107.0385</v>
          </cell>
          <cell r="V223">
            <v>11.0982</v>
          </cell>
          <cell r="W223">
            <v>2.8400000000000002E-2</v>
          </cell>
        </row>
        <row r="224">
          <cell r="Q224" t="str">
            <v>22. Đồng Nai</v>
          </cell>
          <cell r="R224" t="str">
            <v>Huyện Xuân Lộc</v>
          </cell>
          <cell r="S224" t="str">
            <v>I.A</v>
          </cell>
          <cell r="T224" t="str">
            <v>(TT. Gia Ray)</v>
          </cell>
          <cell r="U224">
            <v>107.4037</v>
          </cell>
          <cell r="V224">
            <v>10.9277</v>
          </cell>
          <cell r="W224">
            <v>5.0900000000000001E-2</v>
          </cell>
        </row>
        <row r="225">
          <cell r="Q225" t="str">
            <v>23. Đồng Tháp</v>
          </cell>
          <cell r="R225" t="str">
            <v>Thị xã Cao Lãnh</v>
          </cell>
          <cell r="S225" t="str">
            <v>I.A</v>
          </cell>
          <cell r="T225" t="str">
            <v>(TT. Mỹ Thọ)</v>
          </cell>
          <cell r="U225">
            <v>105.6332</v>
          </cell>
          <cell r="V225">
            <v>10.456</v>
          </cell>
          <cell r="W225">
            <v>3.6600000000000001E-2</v>
          </cell>
        </row>
        <row r="226">
          <cell r="Q226" t="str">
            <v>23. Đồng Tháp</v>
          </cell>
          <cell r="R226" t="str">
            <v>Thị xã Sa Đéc</v>
          </cell>
          <cell r="S226" t="str">
            <v>I.A</v>
          </cell>
          <cell r="T226" t="str">
            <v>(P. 1)</v>
          </cell>
          <cell r="U226">
            <v>105.7629</v>
          </cell>
          <cell r="V226">
            <v>10.2981</v>
          </cell>
          <cell r="W226">
            <v>0.04</v>
          </cell>
        </row>
        <row r="227">
          <cell r="Q227" t="str">
            <v>23. Đồng Tháp</v>
          </cell>
          <cell r="R227" t="str">
            <v>Huyện Cao Lãnh</v>
          </cell>
          <cell r="S227" t="str">
            <v>I.A</v>
          </cell>
          <cell r="T227" t="str">
            <v>(TT. Mỹ Thọ)</v>
          </cell>
          <cell r="U227">
            <v>105.70180000000001</v>
          </cell>
          <cell r="V227">
            <v>10.442</v>
          </cell>
          <cell r="W227">
            <v>2.9100000000000001E-2</v>
          </cell>
        </row>
        <row r="228">
          <cell r="Q228" t="str">
            <v>23. Đồng Tháp</v>
          </cell>
          <cell r="R228" t="str">
            <v>Huyện Châu Thành</v>
          </cell>
          <cell r="S228" t="str">
            <v>I.A</v>
          </cell>
          <cell r="T228" t="str">
            <v>(TT. Cái Tàu Hạ)</v>
          </cell>
          <cell r="U228">
            <v>105.8733</v>
          </cell>
          <cell r="V228">
            <v>10.2601</v>
          </cell>
          <cell r="W228">
            <v>2.98E-2</v>
          </cell>
        </row>
        <row r="229">
          <cell r="Q229" t="str">
            <v>23. Đồng Tháp</v>
          </cell>
          <cell r="R229" t="str">
            <v>Huyện Hồng Ngự</v>
          </cell>
          <cell r="S229" t="str">
            <v>I.A</v>
          </cell>
          <cell r="T229" t="str">
            <v>(TT. Hồng Ngự)</v>
          </cell>
          <cell r="U229">
            <v>105.34</v>
          </cell>
          <cell r="V229">
            <v>10.8119</v>
          </cell>
          <cell r="W229">
            <v>3.2099999999999997E-2</v>
          </cell>
        </row>
        <row r="230">
          <cell r="Q230" t="str">
            <v>23. Đồng Tháp</v>
          </cell>
          <cell r="R230" t="str">
            <v>Huyện Lai Vung</v>
          </cell>
          <cell r="S230" t="str">
            <v>I.A</v>
          </cell>
          <cell r="T230" t="str">
            <v>(TT. Lai Vung)</v>
          </cell>
          <cell r="U230">
            <v>105.65940000000001</v>
          </cell>
          <cell r="V230">
            <v>10.287599999999999</v>
          </cell>
          <cell r="W230">
            <v>6.0699999999999997E-2</v>
          </cell>
        </row>
        <row r="231">
          <cell r="Q231" t="str">
            <v>23. Đồng Tháp</v>
          </cell>
          <cell r="R231" t="str">
            <v>Huyện Lấp Vò</v>
          </cell>
          <cell r="S231" t="str">
            <v>I.A</v>
          </cell>
          <cell r="T231" t="str">
            <v>(TT. Lấp Vò)</v>
          </cell>
          <cell r="U231">
            <v>105.5228</v>
          </cell>
          <cell r="V231">
            <v>10.363799999999999</v>
          </cell>
          <cell r="W231">
            <v>7.3400000000000007E-2</v>
          </cell>
        </row>
        <row r="232">
          <cell r="Q232" t="str">
            <v>23. Đồng Tháp</v>
          </cell>
          <cell r="R232" t="str">
            <v>Huyện Tam Nông</v>
          </cell>
          <cell r="S232" t="str">
            <v>I.A</v>
          </cell>
          <cell r="T232" t="str">
            <v>(TT. Tràm Chim)</v>
          </cell>
          <cell r="U232">
            <v>105.5609</v>
          </cell>
          <cell r="V232">
            <v>10.674799999999999</v>
          </cell>
          <cell r="W232">
            <v>2.2499999999999999E-2</v>
          </cell>
        </row>
        <row r="233">
          <cell r="Q233" t="str">
            <v>23. Đồng Tháp</v>
          </cell>
          <cell r="R233" t="str">
            <v>Huyện Tân Hồng</v>
          </cell>
          <cell r="S233" t="str">
            <v>I.A</v>
          </cell>
          <cell r="T233" t="str">
            <v>(TT. Sa Rài)</v>
          </cell>
          <cell r="U233">
            <v>105.4571</v>
          </cell>
          <cell r="V233">
            <v>10.8712</v>
          </cell>
          <cell r="W233">
            <v>1.8200000000000001E-2</v>
          </cell>
        </row>
        <row r="234">
          <cell r="Q234" t="str">
            <v>23. Đồng Tháp</v>
          </cell>
          <cell r="R234" t="str">
            <v>Huyện Thanh Bình</v>
          </cell>
          <cell r="S234" t="str">
            <v>I.A</v>
          </cell>
          <cell r="T234" t="str">
            <v>(TT. Thanh Bình)</v>
          </cell>
          <cell r="U234">
            <v>105.4862</v>
          </cell>
          <cell r="V234">
            <v>10.5616</v>
          </cell>
          <cell r="W234">
            <v>4.36E-2</v>
          </cell>
        </row>
        <row r="235">
          <cell r="Q235" t="str">
            <v>23. Đồng Tháp</v>
          </cell>
          <cell r="R235" t="str">
            <v>Huyện Tháp Mười</v>
          </cell>
          <cell r="S235" t="str">
            <v>I.A</v>
          </cell>
          <cell r="T235" t="str">
            <v>(TT. Mỹ An)</v>
          </cell>
          <cell r="U235">
            <v>105.84350000000001</v>
          </cell>
          <cell r="V235">
            <v>10.524100000000001</v>
          </cell>
          <cell r="W235">
            <v>1.55E-2</v>
          </cell>
        </row>
        <row r="236">
          <cell r="Q236" t="str">
            <v>24. Gia Lai</v>
          </cell>
          <cell r="R236" t="str">
            <v>Thành phố Plei Ku</v>
          </cell>
          <cell r="S236" t="str">
            <v>I.A</v>
          </cell>
          <cell r="T236" t="str">
            <v>(P. Diên Hồng)</v>
          </cell>
          <cell r="U236">
            <v>107.99120000000001</v>
          </cell>
          <cell r="V236">
            <v>13.9742</v>
          </cell>
          <cell r="W236">
            <v>5.11E-2</v>
          </cell>
        </row>
        <row r="237">
          <cell r="Q237" t="str">
            <v>24. Gia Lai</v>
          </cell>
          <cell r="R237" t="str">
            <v>Thị xã An Khê</v>
          </cell>
          <cell r="S237" t="str">
            <v>I.A</v>
          </cell>
          <cell r="T237" t="str">
            <v>(TT. An Khê)</v>
          </cell>
          <cell r="U237">
            <v>108.6641</v>
          </cell>
          <cell r="V237">
            <v>13.951700000000001</v>
          </cell>
          <cell r="W237">
            <v>7.7299999999999994E-2</v>
          </cell>
        </row>
        <row r="238">
          <cell r="Q238" t="str">
            <v>24. Gia Lai</v>
          </cell>
          <cell r="R238" t="str">
            <v>Huyện Ayun Pa</v>
          </cell>
          <cell r="S238" t="str">
            <v>I.A</v>
          </cell>
          <cell r="T238" t="str">
            <v>(TT. Ayun Pa)</v>
          </cell>
          <cell r="U238">
            <v>108.43980000000001</v>
          </cell>
          <cell r="V238">
            <v>13.410299999999999</v>
          </cell>
          <cell r="W238">
            <v>5.0799999999999998E-2</v>
          </cell>
        </row>
        <row r="239">
          <cell r="Q239" t="str">
            <v>24. Gia Lai</v>
          </cell>
          <cell r="R239" t="str">
            <v>Huyện Chư Păh</v>
          </cell>
          <cell r="S239" t="str">
            <v>I.A</v>
          </cell>
          <cell r="T239" t="str">
            <v>(TT. Phú Hoà)</v>
          </cell>
          <cell r="U239">
            <v>107.9699</v>
          </cell>
          <cell r="V239">
            <v>14.1073</v>
          </cell>
          <cell r="W239">
            <v>5.9400000000000001E-2</v>
          </cell>
        </row>
        <row r="240">
          <cell r="Q240" t="str">
            <v>24. Gia Lai</v>
          </cell>
          <cell r="R240" t="str">
            <v>Huyện Chư Prông</v>
          </cell>
          <cell r="S240" t="str">
            <v>I.A</v>
          </cell>
          <cell r="T240" t="str">
            <v>(TT. Chư Prông)</v>
          </cell>
          <cell r="U240">
            <v>107.8897</v>
          </cell>
          <cell r="V240">
            <v>13.7597</v>
          </cell>
          <cell r="W240">
            <v>2.1000000000000001E-2</v>
          </cell>
        </row>
        <row r="241">
          <cell r="Q241" t="str">
            <v>24. Gia Lai</v>
          </cell>
          <cell r="R241" t="str">
            <v>Huyện Chư Sê</v>
          </cell>
          <cell r="S241" t="str">
            <v>I.A</v>
          </cell>
          <cell r="T241" t="str">
            <v>(TT. Chư sê)</v>
          </cell>
          <cell r="U241">
            <v>108.0732</v>
          </cell>
          <cell r="V241">
            <v>13.700699999999999</v>
          </cell>
          <cell r="W241">
            <v>3.4500000000000003E-2</v>
          </cell>
        </row>
        <row r="242">
          <cell r="Q242" t="str">
            <v>24. Gia Lai</v>
          </cell>
          <cell r="R242" t="str">
            <v>Huyện Đăk Đoa</v>
          </cell>
          <cell r="S242" t="str">
            <v>I.A</v>
          </cell>
          <cell r="T242" t="str">
            <v>(TT.  Đak Đoa)</v>
          </cell>
          <cell r="U242">
            <v>108.12050000000001</v>
          </cell>
          <cell r="V242">
            <v>13.9945</v>
          </cell>
          <cell r="W242">
            <v>5.7700000000000001E-2</v>
          </cell>
        </row>
        <row r="243">
          <cell r="Q243" t="str">
            <v>24. Gia Lai</v>
          </cell>
          <cell r="R243" t="str">
            <v>Huyện Đăk Pơ</v>
          </cell>
          <cell r="S243" t="str">
            <v>I.A</v>
          </cell>
          <cell r="T243" t="str">
            <v>(Đak Pơ)</v>
          </cell>
          <cell r="U243">
            <v>108.6712</v>
          </cell>
          <cell r="V243">
            <v>14.0825</v>
          </cell>
          <cell r="W243">
            <v>7.3099999999999998E-2</v>
          </cell>
        </row>
        <row r="244">
          <cell r="Q244" t="str">
            <v>24. Gia Lai</v>
          </cell>
          <cell r="R244" t="str">
            <v>Huyện Đức Cơ</v>
          </cell>
          <cell r="S244" t="str">
            <v>I.A</v>
          </cell>
          <cell r="T244" t="str">
            <v>(TT. Chư Ty)</v>
          </cell>
          <cell r="U244">
            <v>107.6949</v>
          </cell>
          <cell r="V244">
            <v>13.8011</v>
          </cell>
          <cell r="W244">
            <v>2.0199999999999999E-2</v>
          </cell>
        </row>
        <row r="245">
          <cell r="Q245" t="str">
            <v>24. Gia Lai</v>
          </cell>
          <cell r="R245" t="str">
            <v>Huyện Ia Grai</v>
          </cell>
          <cell r="S245" t="str">
            <v>I.A</v>
          </cell>
          <cell r="T245" t="str">
            <v>(TT. Ia Kha)</v>
          </cell>
          <cell r="U245">
            <v>107.8351</v>
          </cell>
          <cell r="V245">
            <v>13.9612</v>
          </cell>
          <cell r="W245">
            <v>2.75E-2</v>
          </cell>
        </row>
        <row r="246">
          <cell r="Q246" t="str">
            <v>24. Gia Lai</v>
          </cell>
          <cell r="R246" t="str">
            <v>Huyện Ia Pơ</v>
          </cell>
          <cell r="S246" t="str">
            <v>I.A</v>
          </cell>
          <cell r="T246" t="str">
            <v>(Kim Tân)</v>
          </cell>
          <cell r="U246">
            <v>108.4572</v>
          </cell>
          <cell r="V246">
            <v>13.540800000000001</v>
          </cell>
          <cell r="W246">
            <v>6.2199999999999998E-2</v>
          </cell>
        </row>
        <row r="247">
          <cell r="Q247" t="str">
            <v>24. Gia Lai</v>
          </cell>
          <cell r="R247" t="str">
            <v>Huyện K'Bang</v>
          </cell>
          <cell r="S247" t="str">
            <v>I.A</v>
          </cell>
          <cell r="T247" t="str">
            <v>(TT. Kbang)</v>
          </cell>
          <cell r="U247">
            <v>108.5984</v>
          </cell>
          <cell r="V247">
            <v>14.145300000000001</v>
          </cell>
          <cell r="W247">
            <v>6.9699999999999998E-2</v>
          </cell>
        </row>
        <row r="248">
          <cell r="Q248" t="str">
            <v>24. Gia Lai</v>
          </cell>
          <cell r="R248" t="str">
            <v>Huyện Kông Chro</v>
          </cell>
          <cell r="S248" t="str">
            <v>I.A</v>
          </cell>
          <cell r="T248" t="str">
            <v>(TT. Kông Chro)</v>
          </cell>
          <cell r="U248">
            <v>108.5214</v>
          </cell>
          <cell r="V248">
            <v>13.801299999999999</v>
          </cell>
          <cell r="W248">
            <v>7.17E-2</v>
          </cell>
        </row>
        <row r="249">
          <cell r="Q249" t="str">
            <v>24. Gia Lai</v>
          </cell>
          <cell r="R249" t="str">
            <v>Huyện Krông Pa</v>
          </cell>
          <cell r="S249" t="str">
            <v>I.A</v>
          </cell>
          <cell r="T249" t="str">
            <v>(TT. Phú Túc)</v>
          </cell>
          <cell r="U249">
            <v>108.69580000000001</v>
          </cell>
          <cell r="V249">
            <v>13.198399999999999</v>
          </cell>
          <cell r="W249">
            <v>6.0400000000000002E-2</v>
          </cell>
        </row>
        <row r="250">
          <cell r="Q250" t="str">
            <v>24. Gia Lai</v>
          </cell>
          <cell r="R250" t="str">
            <v>Huyện Mang Yang.</v>
          </cell>
          <cell r="S250" t="str">
            <v>I.A</v>
          </cell>
          <cell r="T250" t="str">
            <v>(TT. Kon Dơng)</v>
          </cell>
          <cell r="U250">
            <v>108.2525</v>
          </cell>
          <cell r="V250">
            <v>14.0427</v>
          </cell>
          <cell r="W250">
            <v>4.0500000000000001E-2</v>
          </cell>
        </row>
        <row r="251">
          <cell r="Q251" t="str">
            <v>25. Hà Giang</v>
          </cell>
          <cell r="R251" t="str">
            <v>Thị xã Hà Giang</v>
          </cell>
          <cell r="S251" t="str">
            <v>I.A</v>
          </cell>
          <cell r="T251" t="str">
            <v>(P. Trần Phú)</v>
          </cell>
          <cell r="U251">
            <v>104.9838</v>
          </cell>
          <cell r="V251">
            <v>22.832799999999999</v>
          </cell>
          <cell r="W251">
            <v>6.8199999999999997E-2</v>
          </cell>
        </row>
        <row r="252">
          <cell r="Q252" t="str">
            <v>25. Hà Giang</v>
          </cell>
          <cell r="R252" t="str">
            <v>Huyện Bắc Mê</v>
          </cell>
          <cell r="S252" t="str">
            <v>I.A</v>
          </cell>
          <cell r="T252" t="str">
            <v>(TT. Bắc Mê)</v>
          </cell>
          <cell r="U252">
            <v>105.3053</v>
          </cell>
          <cell r="V252">
            <v>22.741199999999999</v>
          </cell>
          <cell r="W252">
            <v>3.56E-2</v>
          </cell>
        </row>
        <row r="253">
          <cell r="Q253" t="str">
            <v>25. Hà Giang</v>
          </cell>
          <cell r="R253" t="str">
            <v>Huyện Bắc Quang</v>
          </cell>
          <cell r="S253" t="str">
            <v>I.A</v>
          </cell>
          <cell r="T253" t="str">
            <v>(TT. Việt Quang)</v>
          </cell>
          <cell r="U253">
            <v>104.806</v>
          </cell>
          <cell r="V253">
            <v>22.414999999999999</v>
          </cell>
          <cell r="W253">
            <v>3.2000000000000001E-2</v>
          </cell>
        </row>
        <row r="254">
          <cell r="Q254" t="str">
            <v>25. Hà Giang</v>
          </cell>
          <cell r="R254" t="str">
            <v>Huyện Đồng Văn</v>
          </cell>
          <cell r="S254" t="str">
            <v>I.A</v>
          </cell>
          <cell r="T254" t="str">
            <v>(TT. Đồng Văn)</v>
          </cell>
          <cell r="U254">
            <v>105.3565</v>
          </cell>
          <cell r="V254">
            <v>23.280899999999999</v>
          </cell>
          <cell r="W254">
            <v>2.2100000000000002E-2</v>
          </cell>
        </row>
        <row r="255">
          <cell r="Q255" t="str">
            <v>25. Hà Giang</v>
          </cell>
          <cell r="R255" t="str">
            <v>Huyện Hoàng Su Phì</v>
          </cell>
          <cell r="S255" t="str">
            <v>I.A</v>
          </cell>
          <cell r="T255" t="str">
            <v>(TT. Vinh Quang)</v>
          </cell>
          <cell r="U255">
            <v>104.68510000000001</v>
          </cell>
          <cell r="V255">
            <v>22.738800000000001</v>
          </cell>
          <cell r="W255">
            <v>1.7600000000000001E-2</v>
          </cell>
        </row>
        <row r="256">
          <cell r="Q256" t="str">
            <v>25. Hà Giang</v>
          </cell>
          <cell r="R256" t="str">
            <v>Huyện Mèo Vạc</v>
          </cell>
          <cell r="S256" t="str">
            <v>I.A</v>
          </cell>
          <cell r="T256" t="str">
            <v>(TT. Mèo Vạc)</v>
          </cell>
          <cell r="U256">
            <v>105.4104</v>
          </cell>
          <cell r="V256">
            <v>23.160499999999999</v>
          </cell>
          <cell r="W256">
            <v>3.6900000000000002E-2</v>
          </cell>
        </row>
        <row r="257">
          <cell r="Q257" t="str">
            <v>25. Hà Giang</v>
          </cell>
          <cell r="R257" t="str">
            <v>Huyện Quang Bình</v>
          </cell>
          <cell r="S257" t="str">
            <v>I.A</v>
          </cell>
          <cell r="T257" t="str">
            <v>(Yên Bình)</v>
          </cell>
          <cell r="U257">
            <v>104.5866</v>
          </cell>
          <cell r="V257">
            <v>22.4133</v>
          </cell>
          <cell r="W257">
            <v>5.1999999999999998E-2</v>
          </cell>
        </row>
        <row r="258">
          <cell r="Q258" t="str">
            <v>25. Hà Giang</v>
          </cell>
          <cell r="R258" t="str">
            <v>Huyện Quản Bạ</v>
          </cell>
          <cell r="S258" t="str">
            <v>I.A</v>
          </cell>
          <cell r="T258" t="str">
            <v>(TT. Tam Sơn)</v>
          </cell>
          <cell r="U258">
            <v>104.9897</v>
          </cell>
          <cell r="V258">
            <v>23.066199999999998</v>
          </cell>
          <cell r="W258">
            <v>3.8600000000000002E-2</v>
          </cell>
        </row>
        <row r="259">
          <cell r="Q259" t="str">
            <v>25. Hà Giang</v>
          </cell>
          <cell r="R259" t="str">
            <v>Huyện Vị Xuyên</v>
          </cell>
          <cell r="S259" t="str">
            <v>I.A</v>
          </cell>
          <cell r="T259" t="str">
            <v>(TT. Vị Xuyên)</v>
          </cell>
          <cell r="U259">
            <v>104.9799</v>
          </cell>
          <cell r="V259">
            <v>22.667200000000001</v>
          </cell>
          <cell r="W259">
            <v>3.85E-2</v>
          </cell>
        </row>
        <row r="260">
          <cell r="Q260" t="str">
            <v>25. Hà Giang</v>
          </cell>
          <cell r="R260" t="str">
            <v>Huyện Xín Mần</v>
          </cell>
          <cell r="S260" t="str">
            <v>I.A</v>
          </cell>
          <cell r="T260" t="str">
            <v>(TT. Cốc Pài)</v>
          </cell>
          <cell r="U260">
            <v>104.4546</v>
          </cell>
          <cell r="V260">
            <v>22.694700000000001</v>
          </cell>
          <cell r="W260">
            <v>2.1600000000000001E-2</v>
          </cell>
        </row>
        <row r="261">
          <cell r="Q261" t="str">
            <v>25. Hà Giang</v>
          </cell>
          <cell r="R261" t="str">
            <v>Huyện Yên Minh</v>
          </cell>
          <cell r="S261" t="str">
            <v>I.A</v>
          </cell>
          <cell r="T261" t="str">
            <v>(TT. Yên Minh)</v>
          </cell>
          <cell r="U261">
            <v>105.1463</v>
          </cell>
          <cell r="V261">
            <v>23.118400000000001</v>
          </cell>
          <cell r="W261">
            <v>5.6800000000000003E-2</v>
          </cell>
        </row>
        <row r="262">
          <cell r="Q262" t="str">
            <v>26. Hà Nam</v>
          </cell>
          <cell r="R262" t="str">
            <v>Thị xã Phủ Lý</v>
          </cell>
          <cell r="S262" t="str">
            <v>II.B</v>
          </cell>
          <cell r="T262" t="str">
            <v>(P. Quang Trung)</v>
          </cell>
          <cell r="U262">
            <v>105.91549999999999</v>
          </cell>
          <cell r="V262">
            <v>20.544799999999999</v>
          </cell>
          <cell r="W262">
            <v>0.11890000000000001</v>
          </cell>
        </row>
        <row r="263">
          <cell r="Q263" t="str">
            <v>26. Hà Nam</v>
          </cell>
          <cell r="R263" t="str">
            <v>Huyện Bình Lục</v>
          </cell>
          <cell r="S263" t="str">
            <v>III.B</v>
          </cell>
          <cell r="T263" t="str">
            <v>(TT. Bình Mỹ)</v>
          </cell>
          <cell r="U263">
            <v>106.0031</v>
          </cell>
          <cell r="V263">
            <v>20.493099999999998</v>
          </cell>
          <cell r="W263">
            <v>0.1143</v>
          </cell>
        </row>
        <row r="264">
          <cell r="Q264" t="str">
            <v>26. Hà Nam</v>
          </cell>
          <cell r="R264" t="str">
            <v>Huyện Duy Tiên</v>
          </cell>
          <cell r="S264" t="str">
            <v>III.B</v>
          </cell>
          <cell r="T264" t="str">
            <v>(TT. Hòa Mạc)</v>
          </cell>
          <cell r="U264">
            <v>105.99079999999999</v>
          </cell>
          <cell r="V264">
            <v>20.642299999999999</v>
          </cell>
          <cell r="W264">
            <v>0.1118</v>
          </cell>
        </row>
        <row r="265">
          <cell r="Q265" t="str">
            <v>26. Hà Nam</v>
          </cell>
          <cell r="R265" t="str">
            <v>Huyện Kim Bảng</v>
          </cell>
          <cell r="S265" t="str">
            <v>II.B</v>
          </cell>
          <cell r="T265" t="str">
            <v>(TT. Quế)</v>
          </cell>
          <cell r="U265">
            <v>105.8728</v>
          </cell>
          <cell r="V265">
            <v>20.577200000000001</v>
          </cell>
          <cell r="W265">
            <v>0.1134</v>
          </cell>
        </row>
        <row r="266">
          <cell r="Q266" t="str">
            <v>26. Hà Nam</v>
          </cell>
          <cell r="R266" t="str">
            <v>Huyện Lý Nhân</v>
          </cell>
          <cell r="S266" t="str">
            <v>III.B</v>
          </cell>
          <cell r="T266" t="str">
            <v>(TT. Vĩnh Trụ)</v>
          </cell>
          <cell r="U266">
            <v>106.0292</v>
          </cell>
          <cell r="V266">
            <v>20.56</v>
          </cell>
          <cell r="W266">
            <v>0.11310000000000001</v>
          </cell>
        </row>
        <row r="267">
          <cell r="Q267" t="str">
            <v>26. Hà Nam</v>
          </cell>
          <cell r="R267" t="str">
            <v>Huyện Thanh Liêm</v>
          </cell>
          <cell r="S267" t="str">
            <v>III.B</v>
          </cell>
          <cell r="T267" t="str">
            <v>(TT. Thanh Liêm)</v>
          </cell>
          <cell r="U267">
            <v>105.9491</v>
          </cell>
          <cell r="V267">
            <v>20.4726</v>
          </cell>
          <cell r="W267">
            <v>0.1149</v>
          </cell>
        </row>
        <row r="268">
          <cell r="Q268" t="str">
            <v>27. Hà Tây</v>
          </cell>
          <cell r="R268" t="str">
            <v>Thị xã Hà Đông</v>
          </cell>
          <cell r="S268" t="str">
            <v>II.B</v>
          </cell>
          <cell r="T268" t="str">
            <v>(P. Nguyễn Trãi)</v>
          </cell>
          <cell r="U268">
            <v>105.77889999999999</v>
          </cell>
          <cell r="V268">
            <v>20.9712</v>
          </cell>
          <cell r="W268">
            <v>0.11310000000000001</v>
          </cell>
        </row>
        <row r="269">
          <cell r="Q269" t="str">
            <v>27. Hà Tây</v>
          </cell>
          <cell r="R269" t="str">
            <v>Thị xã Sơn Tây</v>
          </cell>
          <cell r="S269" t="str">
            <v>II.B</v>
          </cell>
          <cell r="T269" t="str">
            <v>(P. Quang Trung)</v>
          </cell>
          <cell r="U269">
            <v>105.5103</v>
          </cell>
          <cell r="V269">
            <v>21.131399999999999</v>
          </cell>
          <cell r="W269">
            <v>0.1145</v>
          </cell>
        </row>
        <row r="270">
          <cell r="Q270" t="str">
            <v>27. Hà Tây</v>
          </cell>
          <cell r="R270" t="str">
            <v>Huyện Ba Vì</v>
          </cell>
          <cell r="S270" t="str">
            <v>II.B</v>
          </cell>
          <cell r="T270" t="str">
            <v>(TT. Ba Vì)</v>
          </cell>
          <cell r="U270">
            <v>105.4251</v>
          </cell>
          <cell r="V270">
            <v>21.195799999999998</v>
          </cell>
          <cell r="W270">
            <v>0.1167</v>
          </cell>
        </row>
        <row r="271">
          <cell r="Q271" t="str">
            <v>27. Hà Tây</v>
          </cell>
          <cell r="R271" t="str">
            <v>Huyện Chương Mỹ</v>
          </cell>
          <cell r="S271" t="str">
            <v>II.B</v>
          </cell>
          <cell r="T271" t="str">
            <v>(TT. Chúc Sơn)</v>
          </cell>
          <cell r="U271">
            <v>105.70099999999999</v>
          </cell>
          <cell r="V271">
            <v>20.916399999999999</v>
          </cell>
          <cell r="W271">
            <v>0.11409999999999999</v>
          </cell>
        </row>
        <row r="272">
          <cell r="Q272" t="str">
            <v>27. Hà Tây</v>
          </cell>
          <cell r="R272" t="str">
            <v>Huyện Đan Phượng</v>
          </cell>
          <cell r="S272" t="str">
            <v>II.B</v>
          </cell>
          <cell r="T272" t="str">
            <v>(TT. Phùng)</v>
          </cell>
          <cell r="U272">
            <v>105.65779999999999</v>
          </cell>
          <cell r="V272">
            <v>21.089500000000001</v>
          </cell>
          <cell r="W272">
            <v>0.11550000000000001</v>
          </cell>
        </row>
        <row r="273">
          <cell r="Q273" t="str">
            <v>27. Hà Tây</v>
          </cell>
          <cell r="R273" t="str">
            <v>Huyện Hoài Đức</v>
          </cell>
          <cell r="S273" t="str">
            <v>II.B</v>
          </cell>
          <cell r="T273" t="str">
            <v>(TT. Trôi)</v>
          </cell>
          <cell r="U273">
            <v>105.7098</v>
          </cell>
          <cell r="V273">
            <v>21.067699999999999</v>
          </cell>
          <cell r="W273">
            <v>0.1123</v>
          </cell>
        </row>
        <row r="274">
          <cell r="Q274" t="str">
            <v>27. Hà Tây</v>
          </cell>
          <cell r="R274" t="str">
            <v>Huyện Mỹ Đức</v>
          </cell>
          <cell r="S274" t="str">
            <v>II.B</v>
          </cell>
          <cell r="T274" t="str">
            <v>(TT. Tế Tiêu)</v>
          </cell>
          <cell r="U274">
            <v>105.73560000000001</v>
          </cell>
          <cell r="V274">
            <v>20.683700000000002</v>
          </cell>
          <cell r="W274">
            <v>9.1200000000000003E-2</v>
          </cell>
        </row>
        <row r="275">
          <cell r="Q275" t="str">
            <v>27. Hà Tây</v>
          </cell>
          <cell r="R275" t="str">
            <v>Huyện Phú Xuyên</v>
          </cell>
          <cell r="S275" t="str">
            <v>II.B</v>
          </cell>
          <cell r="T275" t="str">
            <v>(TT. Phú Xuyên)</v>
          </cell>
          <cell r="U275">
            <v>105.9152</v>
          </cell>
          <cell r="V275">
            <v>20.743400000000001</v>
          </cell>
          <cell r="W275">
            <v>0.11459999999999999</v>
          </cell>
        </row>
        <row r="276">
          <cell r="Q276" t="str">
            <v>27. Hà Tây</v>
          </cell>
          <cell r="R276" t="str">
            <v>Huyện Phúc Thọ</v>
          </cell>
          <cell r="S276" t="str">
            <v>II.B</v>
          </cell>
          <cell r="T276" t="str">
            <v>(TT. Phúc Thọ)</v>
          </cell>
          <cell r="U276">
            <v>105.5397</v>
          </cell>
          <cell r="V276">
            <v>21.107099999999999</v>
          </cell>
          <cell r="W276">
            <v>0.11409999999999999</v>
          </cell>
        </row>
        <row r="277">
          <cell r="Q277" t="str">
            <v>27. Hà Tây</v>
          </cell>
          <cell r="R277" t="str">
            <v>Huyện Quốc Oai</v>
          </cell>
          <cell r="S277" t="str">
            <v>II.B</v>
          </cell>
          <cell r="T277" t="str">
            <v>(TT. Quốc Oai)</v>
          </cell>
          <cell r="U277">
            <v>105.6431</v>
          </cell>
          <cell r="V277">
            <v>20.9923</v>
          </cell>
          <cell r="W277">
            <v>0.11609999999999999</v>
          </cell>
        </row>
        <row r="278">
          <cell r="Q278" t="str">
            <v>27. Hà Tây</v>
          </cell>
          <cell r="R278" t="str">
            <v>Huyện Thạch Thất</v>
          </cell>
          <cell r="S278" t="str">
            <v>II.B</v>
          </cell>
          <cell r="T278" t="str">
            <v>(TT. Liên Quan)</v>
          </cell>
          <cell r="U278">
            <v>105.57689999999999</v>
          </cell>
          <cell r="V278">
            <v>21.054400000000001</v>
          </cell>
          <cell r="W278">
            <v>0.114</v>
          </cell>
        </row>
        <row r="279">
          <cell r="Q279" t="str">
            <v>27. Hà Tây</v>
          </cell>
          <cell r="R279" t="str">
            <v>Huyện Thanh Oai</v>
          </cell>
          <cell r="S279" t="str">
            <v>II.B</v>
          </cell>
          <cell r="T279" t="str">
            <v>(TT. Kim Bài)</v>
          </cell>
          <cell r="U279">
            <v>105.76479999999999</v>
          </cell>
          <cell r="V279">
            <v>20.855</v>
          </cell>
          <cell r="W279">
            <v>0.1128</v>
          </cell>
        </row>
        <row r="280">
          <cell r="Q280" t="str">
            <v>27. Hà Tây</v>
          </cell>
          <cell r="R280" t="str">
            <v>Huyện Thường Tín</v>
          </cell>
          <cell r="S280" t="str">
            <v>II.B</v>
          </cell>
          <cell r="T280" t="str">
            <v>(TT. Thường Tín)</v>
          </cell>
          <cell r="U280">
            <v>105.8612</v>
          </cell>
          <cell r="V280">
            <v>20.870899999999999</v>
          </cell>
          <cell r="W280">
            <v>0.1104</v>
          </cell>
        </row>
        <row r="281">
          <cell r="Q281" t="str">
            <v>27. Hà Tây</v>
          </cell>
          <cell r="R281" t="str">
            <v>Huyện Ứng Hoà</v>
          </cell>
          <cell r="S281" t="str">
            <v>II.B</v>
          </cell>
          <cell r="T281" t="str">
            <v>(TT. Vân Đình)</v>
          </cell>
          <cell r="U281">
            <v>105.7701</v>
          </cell>
          <cell r="V281">
            <v>20.738499999999998</v>
          </cell>
          <cell r="W281">
            <v>0.11169999999999999</v>
          </cell>
        </row>
        <row r="282">
          <cell r="Q282" t="str">
            <v>28. Hà Tĩnh</v>
          </cell>
          <cell r="R282" t="str">
            <v>Thị xã Hà Tĩnh</v>
          </cell>
          <cell r="S282" t="str">
            <v>IV.B</v>
          </cell>
          <cell r="T282" t="str">
            <v>(P. Bắc Hà)</v>
          </cell>
          <cell r="U282">
            <v>105.8967</v>
          </cell>
          <cell r="V282">
            <v>18.3462</v>
          </cell>
          <cell r="W282">
            <v>0.1168</v>
          </cell>
        </row>
        <row r="283">
          <cell r="Q283" t="str">
            <v>28. Hà Tĩnh</v>
          </cell>
          <cell r="R283" t="str">
            <v>Thị xã Hồng Lĩnh</v>
          </cell>
          <cell r="S283" t="str">
            <v>IV.B</v>
          </cell>
          <cell r="T283" t="str">
            <v>(P. Nam Hồng)</v>
          </cell>
          <cell r="U283">
            <v>105.7076</v>
          </cell>
          <cell r="V283">
            <v>18.527000000000001</v>
          </cell>
          <cell r="W283">
            <v>0.111</v>
          </cell>
        </row>
        <row r="284">
          <cell r="Q284" t="str">
            <v>28. Hà Tĩnh</v>
          </cell>
          <cell r="R284" t="str">
            <v>Huyện Can Lộc</v>
          </cell>
          <cell r="S284" t="str">
            <v>IV.B</v>
          </cell>
          <cell r="T284" t="str">
            <v>(TT. Nghèn)</v>
          </cell>
          <cell r="U284">
            <v>105.7753</v>
          </cell>
          <cell r="V284">
            <v>18.454799999999999</v>
          </cell>
          <cell r="W284">
            <v>0.1172</v>
          </cell>
        </row>
        <row r="285">
          <cell r="Q285" t="str">
            <v>28. Hà Tĩnh</v>
          </cell>
          <cell r="R285" t="str">
            <v>Huyện Cẩm Xuyên</v>
          </cell>
          <cell r="S285" t="str">
            <v>IV.B</v>
          </cell>
          <cell r="T285" t="str">
            <v>(TT. Cẩm Xuyên)</v>
          </cell>
          <cell r="U285">
            <v>105.9943</v>
          </cell>
          <cell r="V285">
            <v>18.256499999999999</v>
          </cell>
          <cell r="W285">
            <v>0.1133</v>
          </cell>
        </row>
        <row r="286">
          <cell r="Q286" t="str">
            <v>28. Hà Tĩnh</v>
          </cell>
          <cell r="R286" t="str">
            <v>Huyện Đức Thọ</v>
          </cell>
          <cell r="S286" t="str">
            <v>III.B</v>
          </cell>
          <cell r="T286" t="str">
            <v>(TT. Đức Thọ)</v>
          </cell>
          <cell r="U286">
            <v>105.5835</v>
          </cell>
          <cell r="V286">
            <v>18.532800000000002</v>
          </cell>
          <cell r="W286">
            <v>0.11409999999999999</v>
          </cell>
        </row>
        <row r="287">
          <cell r="Q287" t="str">
            <v>28. Hà Tĩnh</v>
          </cell>
          <cell r="R287" t="str">
            <v>Huyện Hương Khê</v>
          </cell>
          <cell r="S287" t="str">
            <v>II.B</v>
          </cell>
          <cell r="T287" t="str">
            <v>(TT. Hương Khê)</v>
          </cell>
          <cell r="U287">
            <v>105.7056</v>
          </cell>
          <cell r="V287">
            <v>18.173400000000001</v>
          </cell>
          <cell r="W287">
            <v>4.9799999999999997E-2</v>
          </cell>
        </row>
        <row r="288">
          <cell r="Q288" t="str">
            <v>28. Hà Tĩnh</v>
          </cell>
          <cell r="R288" t="str">
            <v>Huyện Hương Sơn</v>
          </cell>
          <cell r="S288" t="str">
            <v>II.B</v>
          </cell>
          <cell r="T288" t="str">
            <v>(TT. Phố Châu)</v>
          </cell>
          <cell r="U288">
            <v>105.42310000000001</v>
          </cell>
          <cell r="V288">
            <v>18.512</v>
          </cell>
          <cell r="W288">
            <v>8.7300000000000003E-2</v>
          </cell>
        </row>
        <row r="289">
          <cell r="Q289" t="str">
            <v>28. Hà Tĩnh</v>
          </cell>
          <cell r="R289" t="str">
            <v>Huyện Kỳ Anh</v>
          </cell>
          <cell r="S289" t="str">
            <v>V.B</v>
          </cell>
          <cell r="T289" t="str">
            <v>(TT. Kỳ Anh)</v>
          </cell>
          <cell r="U289">
            <v>106.3004</v>
          </cell>
          <cell r="V289">
            <v>18.069600000000001</v>
          </cell>
          <cell r="W289">
            <v>0.1013</v>
          </cell>
        </row>
        <row r="290">
          <cell r="Q290" t="str">
            <v>28. Hà Tĩnh</v>
          </cell>
          <cell r="R290" t="str">
            <v>Huyện Nghi Xuân</v>
          </cell>
          <cell r="S290" t="str">
            <v>IV.B</v>
          </cell>
          <cell r="T290" t="str">
            <v>(TT. Nghi Xuân)</v>
          </cell>
          <cell r="U290">
            <v>105.7546</v>
          </cell>
          <cell r="V290">
            <v>18.662400000000002</v>
          </cell>
          <cell r="W290">
            <v>0.10829999999999999</v>
          </cell>
        </row>
        <row r="291">
          <cell r="Q291" t="str">
            <v>28. Hà Tĩnh</v>
          </cell>
          <cell r="R291" t="str">
            <v>Huyện Thạch Hà</v>
          </cell>
          <cell r="S291" t="str">
            <v>IV.B</v>
          </cell>
          <cell r="T291" t="str">
            <v>(TT. Cày)</v>
          </cell>
          <cell r="U291">
            <v>105.8647</v>
          </cell>
          <cell r="V291">
            <v>18.364999999999998</v>
          </cell>
          <cell r="W291">
            <v>0.1163</v>
          </cell>
        </row>
        <row r="292">
          <cell r="Q292" t="str">
            <v>28. Hà Tĩnh</v>
          </cell>
          <cell r="R292" t="str">
            <v>Huyện Vũ Quang</v>
          </cell>
          <cell r="S292" t="str">
            <v>II.B</v>
          </cell>
          <cell r="T292" t="str">
            <v>(TT. Vũ Quang)</v>
          </cell>
          <cell r="U292">
            <v>105.49890000000001</v>
          </cell>
          <cell r="V292">
            <v>18.379799999999999</v>
          </cell>
          <cell r="W292">
            <v>5.9700000000000003E-2</v>
          </cell>
        </row>
        <row r="293">
          <cell r="Q293" t="str">
            <v>29. Hải Dương</v>
          </cell>
          <cell r="R293" t="str">
            <v>Thành phố Hải Dương</v>
          </cell>
          <cell r="S293" t="str">
            <v>III.B</v>
          </cell>
          <cell r="T293" t="str">
            <v>(P. Nguyễn Trãi)</v>
          </cell>
          <cell r="U293">
            <v>106.32640000000001</v>
          </cell>
          <cell r="V293">
            <v>20.9406</v>
          </cell>
          <cell r="W293">
            <v>0.1303</v>
          </cell>
        </row>
        <row r="294">
          <cell r="Q294" t="str">
            <v>29. Hải Dương</v>
          </cell>
          <cell r="R294" t="str">
            <v>Huyện Bình Giang</v>
          </cell>
          <cell r="S294" t="str">
            <v>III.B</v>
          </cell>
          <cell r="T294" t="str">
            <v>(TT. Kẻ Sặt)</v>
          </cell>
          <cell r="U294">
            <v>106.1447</v>
          </cell>
          <cell r="V294">
            <v>20.908799999999999</v>
          </cell>
          <cell r="W294">
            <v>7.5200000000000003E-2</v>
          </cell>
        </row>
        <row r="295">
          <cell r="Q295" t="str">
            <v>29. Hải Dương</v>
          </cell>
          <cell r="R295" t="str">
            <v>Huyện Cẩm Giàng</v>
          </cell>
          <cell r="S295" t="str">
            <v>II.B</v>
          </cell>
          <cell r="T295" t="str">
            <v>(TT. Lai Cách)</v>
          </cell>
          <cell r="U295">
            <v>106.27460000000001</v>
          </cell>
          <cell r="V295">
            <v>20.945699999999999</v>
          </cell>
          <cell r="W295">
            <v>0.12230000000000001</v>
          </cell>
        </row>
        <row r="296">
          <cell r="Q296" t="str">
            <v>29. Hải Dương</v>
          </cell>
          <cell r="R296" t="str">
            <v>Huyện Chí Linh</v>
          </cell>
          <cell r="S296" t="str">
            <v>II.B</v>
          </cell>
          <cell r="T296" t="str">
            <v>(T.T Sao Đỏ)</v>
          </cell>
          <cell r="U296">
            <v>106.39190000000001</v>
          </cell>
          <cell r="V296">
            <v>21.112100000000002</v>
          </cell>
          <cell r="W296">
            <v>0.11890000000000001</v>
          </cell>
        </row>
        <row r="297">
          <cell r="Q297" t="str">
            <v>29. Hải Dương</v>
          </cell>
          <cell r="R297" t="str">
            <v>Huyện Gia Lộc</v>
          </cell>
          <cell r="S297" t="str">
            <v>III.B</v>
          </cell>
          <cell r="T297" t="str">
            <v>(TT. Gia Lộc)</v>
          </cell>
          <cell r="U297">
            <v>106.29510000000001</v>
          </cell>
          <cell r="V297">
            <v>20.869199999999999</v>
          </cell>
          <cell r="W297">
            <v>0.10009999999999999</v>
          </cell>
        </row>
        <row r="298">
          <cell r="Q298" t="str">
            <v>29. Hải Dương</v>
          </cell>
          <cell r="R298" t="str">
            <v>Huyện Kim Thành</v>
          </cell>
          <cell r="S298" t="str">
            <v>III.B</v>
          </cell>
          <cell r="T298" t="str">
            <v>(TT. Phú Thái)</v>
          </cell>
          <cell r="U298">
            <v>106.5129</v>
          </cell>
          <cell r="V298">
            <v>20.9678</v>
          </cell>
          <cell r="W298">
            <v>0.1265</v>
          </cell>
        </row>
        <row r="299">
          <cell r="Q299" t="str">
            <v>29. Hải Dương</v>
          </cell>
          <cell r="R299" t="str">
            <v>Huyện Kinh Môn</v>
          </cell>
          <cell r="S299" t="str">
            <v>II.B</v>
          </cell>
          <cell r="T299" t="str">
            <v>(TT. An Lưu)</v>
          </cell>
          <cell r="U299">
            <v>106.5532</v>
          </cell>
          <cell r="V299">
            <v>20.988600000000002</v>
          </cell>
          <cell r="W299">
            <v>0.1212</v>
          </cell>
        </row>
        <row r="300">
          <cell r="Q300" t="str">
            <v>29. Hải Dương</v>
          </cell>
          <cell r="R300" t="str">
            <v>Huyện Nam Sách</v>
          </cell>
          <cell r="S300" t="str">
            <v>III.B</v>
          </cell>
          <cell r="T300" t="str">
            <v>(TT. Nam Sách)</v>
          </cell>
          <cell r="U300">
            <v>106.334</v>
          </cell>
          <cell r="V300">
            <v>20.992699999999999</v>
          </cell>
          <cell r="W300">
            <v>0.13350000000000001</v>
          </cell>
        </row>
        <row r="301">
          <cell r="Q301" t="str">
            <v>29. Hải Dương</v>
          </cell>
          <cell r="R301" t="str">
            <v>Huyện Ninh Giang</v>
          </cell>
          <cell r="S301" t="str">
            <v>IV.B</v>
          </cell>
          <cell r="T301" t="str">
            <v>(TT. Ninh Giang)</v>
          </cell>
          <cell r="U301">
            <v>106.3959</v>
          </cell>
          <cell r="V301">
            <v>20.731400000000001</v>
          </cell>
          <cell r="W301">
            <v>7.0099999999999996E-2</v>
          </cell>
        </row>
        <row r="302">
          <cell r="Q302" t="str">
            <v>29. Hải Dương</v>
          </cell>
          <cell r="R302" t="str">
            <v>Huyện Thanh Hà</v>
          </cell>
          <cell r="S302" t="str">
            <v>III.B</v>
          </cell>
          <cell r="T302" t="str">
            <v>(TT. Thanh Hà)</v>
          </cell>
          <cell r="U302">
            <v>106.4697</v>
          </cell>
          <cell r="V302">
            <v>20.845600000000001</v>
          </cell>
          <cell r="W302">
            <v>0.13600000000000001</v>
          </cell>
        </row>
        <row r="303">
          <cell r="Q303" t="str">
            <v>29. Hải Dương</v>
          </cell>
          <cell r="R303" t="str">
            <v>Huyện Thanh Miện</v>
          </cell>
          <cell r="S303" t="str">
            <v>III.B</v>
          </cell>
          <cell r="T303" t="str">
            <v>(TT. Thanh Miện)</v>
          </cell>
          <cell r="U303">
            <v>106.24509999999999</v>
          </cell>
          <cell r="V303">
            <v>20.788699999999999</v>
          </cell>
          <cell r="W303">
            <v>6.3600000000000004E-2</v>
          </cell>
        </row>
        <row r="304">
          <cell r="Q304" t="str">
            <v>29. Hải Dương</v>
          </cell>
          <cell r="R304" t="str">
            <v>Huyện Tứ Kỳ</v>
          </cell>
          <cell r="S304" t="str">
            <v>IV.B</v>
          </cell>
          <cell r="T304" t="str">
            <v>(TT. Tứ Kỳ)</v>
          </cell>
          <cell r="U304">
            <v>106.4012</v>
          </cell>
          <cell r="V304">
            <v>20.8216</v>
          </cell>
          <cell r="W304">
            <v>0.11360000000000001</v>
          </cell>
        </row>
        <row r="305">
          <cell r="Q305" t="str">
            <v>30. Hậu Giang</v>
          </cell>
          <cell r="R305" t="str">
            <v>Thị xã Vị Thanh</v>
          </cell>
          <cell r="S305" t="str">
            <v>I.A</v>
          </cell>
          <cell r="T305" t="str">
            <v>(P.5)</v>
          </cell>
          <cell r="U305">
            <v>105.4718</v>
          </cell>
          <cell r="V305">
            <v>9.7861999999999991</v>
          </cell>
          <cell r="W305">
            <v>1.2E-2</v>
          </cell>
        </row>
        <row r="306">
          <cell r="Q306" t="str">
            <v>30. Hậu Giang</v>
          </cell>
          <cell r="R306" t="str">
            <v>Huyện Châu Thành</v>
          </cell>
          <cell r="S306" t="str">
            <v>I.A</v>
          </cell>
          <cell r="T306" t="str">
            <v>(TT. Ngã Sáu)</v>
          </cell>
          <cell r="U306">
            <v>105.8081</v>
          </cell>
          <cell r="V306">
            <v>9.9217999999999993</v>
          </cell>
          <cell r="W306">
            <v>4.5600000000000002E-2</v>
          </cell>
        </row>
        <row r="307">
          <cell r="Q307" t="str">
            <v>30. Hậu Giang</v>
          </cell>
          <cell r="R307" t="str">
            <v>Huyện Châu Thành A</v>
          </cell>
          <cell r="S307" t="str">
            <v>I.A</v>
          </cell>
          <cell r="T307" t="str">
            <v>(TT. Tân Thuận)</v>
          </cell>
          <cell r="U307">
            <v>105.6293</v>
          </cell>
          <cell r="V307">
            <v>9.9234000000000009</v>
          </cell>
          <cell r="W307">
            <v>2.47E-2</v>
          </cell>
        </row>
        <row r="308">
          <cell r="Q308" t="str">
            <v>30. Hậu Giang</v>
          </cell>
          <cell r="R308" t="str">
            <v>Huyện Long Mỹ</v>
          </cell>
          <cell r="S308" t="str">
            <v>I.A</v>
          </cell>
          <cell r="T308" t="str">
            <v>(TT. Long Mỹ)</v>
          </cell>
          <cell r="U308">
            <v>105.5715</v>
          </cell>
          <cell r="V308">
            <v>9.6795000000000009</v>
          </cell>
          <cell r="W308">
            <v>1.18E-2</v>
          </cell>
        </row>
        <row r="309">
          <cell r="Q309" t="str">
            <v>30. Hậu Giang</v>
          </cell>
          <cell r="R309" t="str">
            <v>Huyện Phụng Hiệp</v>
          </cell>
          <cell r="S309" t="str">
            <v>I.A</v>
          </cell>
          <cell r="T309" t="str">
            <v>(TT. Phụng Hiệp)</v>
          </cell>
          <cell r="U309">
            <v>105.8244</v>
          </cell>
          <cell r="V309">
            <v>9.8102</v>
          </cell>
          <cell r="W309">
            <v>3.0800000000000001E-2</v>
          </cell>
        </row>
        <row r="310">
          <cell r="Q310" t="str">
            <v>30. Hậu Giang</v>
          </cell>
          <cell r="R310" t="str">
            <v>Huyện Vị Thuỷ</v>
          </cell>
          <cell r="S310" t="str">
            <v>I.A</v>
          </cell>
          <cell r="T310" t="str">
            <v>(TT. Nàng Màu)</v>
          </cell>
          <cell r="U310">
            <v>105.5354</v>
          </cell>
          <cell r="V310">
            <v>9.7520000000000007</v>
          </cell>
          <cell r="W310">
            <v>1.26E-2</v>
          </cell>
        </row>
        <row r="311">
          <cell r="Q311" t="str">
            <v>31. Hòa Bình</v>
          </cell>
          <cell r="R311" t="str">
            <v>Thị xã Hoà Bình</v>
          </cell>
          <cell r="S311" t="str">
            <v>I.A</v>
          </cell>
          <cell r="T311" t="str">
            <v>(P. Phương Lâm)</v>
          </cell>
          <cell r="U311">
            <v>105.3399</v>
          </cell>
          <cell r="V311">
            <v>20.820900000000002</v>
          </cell>
          <cell r="W311">
            <v>8.8499999999999995E-2</v>
          </cell>
        </row>
        <row r="312">
          <cell r="Q312" t="str">
            <v>31. Hòa Bình</v>
          </cell>
          <cell r="R312" t="str">
            <v>Huyện Cao Phong</v>
          </cell>
          <cell r="S312" t="str">
            <v>I.A</v>
          </cell>
          <cell r="T312" t="str">
            <v>(TT. Cao Phong)</v>
          </cell>
          <cell r="U312">
            <v>105.32470000000001</v>
          </cell>
          <cell r="V312">
            <v>20.707899999999999</v>
          </cell>
          <cell r="W312">
            <v>6.7100000000000007E-2</v>
          </cell>
        </row>
        <row r="313">
          <cell r="Q313" t="str">
            <v>31. Hòa Bình</v>
          </cell>
          <cell r="R313" t="str">
            <v>Huyện Đà Bắc</v>
          </cell>
          <cell r="S313" t="str">
            <v>I.A</v>
          </cell>
          <cell r="T313" t="str">
            <v>(TT.  Đà Bắc)</v>
          </cell>
          <cell r="U313">
            <v>105.2542</v>
          </cell>
          <cell r="V313">
            <v>20.877800000000001</v>
          </cell>
          <cell r="W313">
            <v>9.0499999999999997E-2</v>
          </cell>
        </row>
        <row r="314">
          <cell r="Q314" t="str">
            <v>31. Hòa Bình</v>
          </cell>
          <cell r="R314" t="str">
            <v>Huyện Kim Bôi</v>
          </cell>
          <cell r="S314" t="str">
            <v>I.B</v>
          </cell>
          <cell r="T314" t="str">
            <v>(TT. Bo)</v>
          </cell>
          <cell r="U314">
            <v>105.53619999999999</v>
          </cell>
          <cell r="V314">
            <v>20.671800000000001</v>
          </cell>
          <cell r="W314">
            <v>4.0599999999999997E-2</v>
          </cell>
        </row>
        <row r="315">
          <cell r="Q315" t="str">
            <v>31. Hòa Bình</v>
          </cell>
          <cell r="R315" t="str">
            <v>Huyện Kỳ Sơn</v>
          </cell>
          <cell r="S315" t="str">
            <v>I.A</v>
          </cell>
          <cell r="T315" t="str">
            <v>(TT. Kỳ sơn)</v>
          </cell>
          <cell r="U315">
            <v>105.3561</v>
          </cell>
          <cell r="V315">
            <v>20.887899999999998</v>
          </cell>
          <cell r="W315">
            <v>9.1700000000000004E-2</v>
          </cell>
        </row>
        <row r="316">
          <cell r="Q316" t="str">
            <v>31. Hòa Bình</v>
          </cell>
          <cell r="R316" t="str">
            <v>Huyện Lạc Sơn</v>
          </cell>
          <cell r="S316" t="str">
            <v>I.B</v>
          </cell>
          <cell r="T316" t="str">
            <v>(TT. Vụ Ban)</v>
          </cell>
          <cell r="U316">
            <v>105.44280000000001</v>
          </cell>
          <cell r="V316">
            <v>20.464400000000001</v>
          </cell>
          <cell r="W316">
            <v>0.1177</v>
          </cell>
        </row>
        <row r="317">
          <cell r="Q317" t="str">
            <v>31. Hòa Bình</v>
          </cell>
          <cell r="R317" t="str">
            <v>Huyện Lạc Thuỷ</v>
          </cell>
          <cell r="S317" t="str">
            <v>II.B</v>
          </cell>
          <cell r="T317" t="str">
            <v>(TT. Chi Nê)</v>
          </cell>
          <cell r="U317">
            <v>105.7775</v>
          </cell>
          <cell r="V317">
            <v>20.490400000000001</v>
          </cell>
          <cell r="W317">
            <v>6.4199999999999993E-2</v>
          </cell>
        </row>
        <row r="318">
          <cell r="Q318" t="str">
            <v>31. Hòa Bình</v>
          </cell>
          <cell r="R318" t="str">
            <v>Huyện Luơng Sơn</v>
          </cell>
          <cell r="S318" t="str">
            <v>II.B</v>
          </cell>
          <cell r="T318" t="str">
            <v>(TT. Lương Sơn)</v>
          </cell>
          <cell r="U318">
            <v>105.5389</v>
          </cell>
          <cell r="V318">
            <v>20.8766</v>
          </cell>
          <cell r="W318">
            <v>6.9800000000000001E-2</v>
          </cell>
        </row>
        <row r="319">
          <cell r="Q319" t="str">
            <v>31. Hòa Bình</v>
          </cell>
          <cell r="R319" t="str">
            <v>Huyện Mai Châu</v>
          </cell>
          <cell r="S319" t="str">
            <v>I.A</v>
          </cell>
          <cell r="T319" t="str">
            <v>(TT. Mai Châu)</v>
          </cell>
          <cell r="U319">
            <v>105.0924</v>
          </cell>
          <cell r="V319">
            <v>20.664100000000001</v>
          </cell>
          <cell r="W319">
            <v>0.12690000000000001</v>
          </cell>
        </row>
        <row r="320">
          <cell r="Q320" t="str">
            <v>31. Hòa Bình</v>
          </cell>
          <cell r="R320" t="str">
            <v>Huyện Tân Lạc</v>
          </cell>
          <cell r="S320" t="str">
            <v>I.A</v>
          </cell>
          <cell r="T320" t="str">
            <v>(TT. Mường Khến)</v>
          </cell>
          <cell r="U320">
            <v>105.27670000000001</v>
          </cell>
          <cell r="V320">
            <v>20.621099999999998</v>
          </cell>
          <cell r="W320">
            <v>8.48E-2</v>
          </cell>
        </row>
        <row r="321">
          <cell r="Q321" t="str">
            <v>31. Hòa Bình</v>
          </cell>
          <cell r="R321" t="str">
            <v>Huyện Yên Thuỷ</v>
          </cell>
          <cell r="S321" t="str">
            <v>II.B</v>
          </cell>
          <cell r="T321" t="str">
            <v>(TT. Hàng Trạm)</v>
          </cell>
          <cell r="U321">
            <v>105.6228</v>
          </cell>
          <cell r="V321">
            <v>20.3949</v>
          </cell>
          <cell r="W321">
            <v>9.64E-2</v>
          </cell>
        </row>
        <row r="322">
          <cell r="Q322" t="str">
            <v>32. Hưng Yên</v>
          </cell>
          <cell r="R322" t="str">
            <v>Thị xã Hưng Yên</v>
          </cell>
          <cell r="S322" t="str">
            <v>III.B</v>
          </cell>
          <cell r="T322" t="str">
            <v>(P. Minh Khai)</v>
          </cell>
          <cell r="U322">
            <v>106.0513</v>
          </cell>
          <cell r="V322">
            <v>20.646999999999998</v>
          </cell>
          <cell r="W322">
            <v>0.11269999999999999</v>
          </cell>
        </row>
        <row r="323">
          <cell r="Q323" t="str">
            <v>32. Hưng Yên</v>
          </cell>
          <cell r="R323" t="str">
            <v>Huyện Ân Thi</v>
          </cell>
          <cell r="S323" t="str">
            <v>II.B</v>
          </cell>
          <cell r="T323" t="str">
            <v>(TT. Ân Thi)</v>
          </cell>
          <cell r="U323">
            <v>106.089</v>
          </cell>
          <cell r="V323">
            <v>20.8188</v>
          </cell>
          <cell r="W323">
            <v>8.1100000000000005E-2</v>
          </cell>
        </row>
        <row r="324">
          <cell r="Q324" t="str">
            <v>32. Hưng Yên</v>
          </cell>
          <cell r="R324" t="str">
            <v>Huyện Khoái Châu</v>
          </cell>
          <cell r="S324" t="str">
            <v>II.B</v>
          </cell>
          <cell r="T324" t="str">
            <v>(TT. Khoái Châu)</v>
          </cell>
          <cell r="U324">
            <v>105.9776</v>
          </cell>
          <cell r="V324">
            <v>20.839300000000001</v>
          </cell>
          <cell r="W324">
            <v>0.1046</v>
          </cell>
        </row>
        <row r="325">
          <cell r="Q325" t="str">
            <v>32. Hưng Yên</v>
          </cell>
          <cell r="R325" t="str">
            <v>Huyện Kim Động</v>
          </cell>
          <cell r="S325" t="str">
            <v>II.B</v>
          </cell>
          <cell r="T325" t="str">
            <v>(TT. Lương Hội)</v>
          </cell>
          <cell r="U325">
            <v>106.0598</v>
          </cell>
          <cell r="V325">
            <v>20.739699999999999</v>
          </cell>
          <cell r="W325">
            <v>0.1081</v>
          </cell>
        </row>
        <row r="326">
          <cell r="Q326" t="str">
            <v>32. Hưng Yên</v>
          </cell>
          <cell r="R326" t="str">
            <v>Huyện Mỹ Hào</v>
          </cell>
          <cell r="S326" t="str">
            <v>II.B</v>
          </cell>
          <cell r="T326" t="str">
            <v>(TT. Bần Yên Nhân)</v>
          </cell>
          <cell r="U326">
            <v>106.0581</v>
          </cell>
          <cell r="V326">
            <v>20.9346</v>
          </cell>
          <cell r="W326">
            <v>7.2499999999999995E-2</v>
          </cell>
        </row>
        <row r="327">
          <cell r="Q327" t="str">
            <v>32. Hưng Yên</v>
          </cell>
          <cell r="R327" t="str">
            <v>Huyện Phù Cừ</v>
          </cell>
          <cell r="S327" t="str">
            <v>III.B</v>
          </cell>
          <cell r="T327" t="str">
            <v>(TT. Trần Cao)</v>
          </cell>
          <cell r="U327">
            <v>106.1782</v>
          </cell>
          <cell r="V327">
            <v>20.733699999999999</v>
          </cell>
          <cell r="W327">
            <v>7.9500000000000001E-2</v>
          </cell>
        </row>
        <row r="328">
          <cell r="Q328" t="str">
            <v>32. Hưng Yên</v>
          </cell>
          <cell r="R328" t="str">
            <v>Huyện Tiên Lữ</v>
          </cell>
          <cell r="S328" t="str">
            <v>III.B</v>
          </cell>
          <cell r="T328" t="str">
            <v>(TT. Vương)</v>
          </cell>
          <cell r="U328">
            <v>106.1174</v>
          </cell>
          <cell r="V328">
            <v>20.700800000000001</v>
          </cell>
          <cell r="W328">
            <v>0.1047</v>
          </cell>
        </row>
        <row r="329">
          <cell r="Q329" t="str">
            <v>32. Hưng Yên</v>
          </cell>
          <cell r="R329" t="str">
            <v>Huyện Văn Giang</v>
          </cell>
          <cell r="S329" t="str">
            <v>II.B</v>
          </cell>
          <cell r="T329" t="str">
            <v>(TT. Văn Giang)</v>
          </cell>
          <cell r="U329">
            <v>105.9272</v>
          </cell>
          <cell r="V329">
            <v>20.9359</v>
          </cell>
          <cell r="W329">
            <v>8.8499999999999995E-2</v>
          </cell>
        </row>
        <row r="330">
          <cell r="Q330" t="str">
            <v>32. Hưng Yên</v>
          </cell>
          <cell r="R330" t="str">
            <v>Huyện Văn Lâm</v>
          </cell>
          <cell r="S330" t="str">
            <v>II.B</v>
          </cell>
          <cell r="T330" t="str">
            <v>(TT. Như Quỳnh)</v>
          </cell>
          <cell r="U330">
            <v>105.98820000000001</v>
          </cell>
          <cell r="V330">
            <v>20.977799999999998</v>
          </cell>
          <cell r="W330">
            <v>7.4800000000000005E-2</v>
          </cell>
        </row>
        <row r="331">
          <cell r="Q331" t="str">
            <v>32. Hưng Yên</v>
          </cell>
          <cell r="R331" t="str">
            <v>Huyện Yên Mỹ</v>
          </cell>
          <cell r="S331" t="str">
            <v>II.B</v>
          </cell>
          <cell r="T331" t="str">
            <v>(TT. Yên Mỹ)</v>
          </cell>
          <cell r="U331">
            <v>106.0341</v>
          </cell>
          <cell r="V331">
            <v>20.882899999999999</v>
          </cell>
          <cell r="W331">
            <v>8.0799999999999997E-2</v>
          </cell>
        </row>
        <row r="332">
          <cell r="Q332" t="str">
            <v>33. Khánh Hoà</v>
          </cell>
          <cell r="R332" t="str">
            <v>Thành phố Nha Trang</v>
          </cell>
          <cell r="S332" t="str">
            <v>I.A</v>
          </cell>
          <cell r="T332" t="str">
            <v>(P. Tân Lập)</v>
          </cell>
          <cell r="U332">
            <v>109.19159999999999</v>
          </cell>
          <cell r="V332">
            <v>12.2448</v>
          </cell>
          <cell r="W332">
            <v>3.32E-2</v>
          </cell>
        </row>
        <row r="333">
          <cell r="Q333" t="str">
            <v>33. Khánh Hoà</v>
          </cell>
          <cell r="R333" t="str">
            <v>Thị xã Cam Ranh</v>
          </cell>
          <cell r="S333" t="str">
            <v>I.A</v>
          </cell>
          <cell r="T333" t="str">
            <v>(P. Ba Ngoi)</v>
          </cell>
          <cell r="U333">
            <v>109.13330000000001</v>
          </cell>
          <cell r="V333">
            <v>11.913</v>
          </cell>
          <cell r="W333">
            <v>2.1499999999999998E-2</v>
          </cell>
        </row>
        <row r="334">
          <cell r="Q334" t="str">
            <v>33. Khánh Hoà</v>
          </cell>
          <cell r="R334" t="str">
            <v>Huyện Diên Khánh</v>
          </cell>
          <cell r="S334" t="str">
            <v>I.A</v>
          </cell>
          <cell r="T334" t="str">
            <v>(TT. Diên Khánh)</v>
          </cell>
          <cell r="U334">
            <v>109.0984</v>
          </cell>
          <cell r="V334">
            <v>12.2577</v>
          </cell>
          <cell r="W334">
            <v>2.9899999999999999E-2</v>
          </cell>
        </row>
        <row r="335">
          <cell r="Q335" t="str">
            <v>33. Khánh Hoà</v>
          </cell>
          <cell r="R335" t="str">
            <v>Huyện Khánh Sơn</v>
          </cell>
          <cell r="S335" t="str">
            <v>I.A</v>
          </cell>
          <cell r="T335" t="str">
            <v>(TT. Tô Hạp)</v>
          </cell>
          <cell r="U335">
            <v>108.9512</v>
          </cell>
          <cell r="V335">
            <v>12.002800000000001</v>
          </cell>
          <cell r="W335">
            <v>4.4999999999999998E-2</v>
          </cell>
        </row>
        <row r="336">
          <cell r="Q336" t="str">
            <v>33. Khánh Hoà</v>
          </cell>
          <cell r="R336" t="str">
            <v>Huyện Khánh Vĩnh</v>
          </cell>
          <cell r="S336" t="str">
            <v>I.A</v>
          </cell>
          <cell r="T336" t="str">
            <v>(TT. Khánh Vĩnh)</v>
          </cell>
          <cell r="U336">
            <v>108.9046</v>
          </cell>
          <cell r="V336">
            <v>12.2799</v>
          </cell>
          <cell r="W336">
            <v>2.01E-2</v>
          </cell>
        </row>
        <row r="337">
          <cell r="Q337" t="str">
            <v>33. Khánh Hoà</v>
          </cell>
          <cell r="R337" t="str">
            <v>Huyện Ninh Hòa</v>
          </cell>
          <cell r="S337" t="str">
            <v>II.A</v>
          </cell>
          <cell r="T337" t="str">
            <v>(TT. Ninh Hoà)</v>
          </cell>
          <cell r="U337">
            <v>109.12569999999999</v>
          </cell>
          <cell r="V337">
            <v>12.490500000000001</v>
          </cell>
          <cell r="W337">
            <v>3.4299999999999997E-2</v>
          </cell>
        </row>
        <row r="338">
          <cell r="Q338" t="str">
            <v>33. Khánh Hoà</v>
          </cell>
          <cell r="R338" t="str">
            <v>Huyện Trường Sa</v>
          </cell>
          <cell r="S338" t="str">
            <v>III.B</v>
          </cell>
          <cell r="T338" t="str">
            <v>(Đao)</v>
          </cell>
          <cell r="U338">
            <v>114.41800000000001</v>
          </cell>
          <cell r="V338">
            <v>7.8177000000000003</v>
          </cell>
          <cell r="W338">
            <v>1.6899999999999998E-2</v>
          </cell>
        </row>
        <row r="339">
          <cell r="Q339" t="str">
            <v>33. Khánh Hoà</v>
          </cell>
          <cell r="R339" t="str">
            <v>Huyện Vạn Ninh</v>
          </cell>
          <cell r="S339" t="str">
            <v>II.B</v>
          </cell>
          <cell r="T339" t="str">
            <v>(TT. Vạn Giã)</v>
          </cell>
          <cell r="U339">
            <v>109.22709999999999</v>
          </cell>
          <cell r="V339">
            <v>12.698399999999999</v>
          </cell>
          <cell r="W339">
            <v>1.9699999999999999E-2</v>
          </cell>
        </row>
        <row r="340">
          <cell r="Q340" t="str">
            <v>34. Kiên Giang</v>
          </cell>
          <cell r="R340" t="str">
            <v>Thị xã Hà Tiên</v>
          </cell>
          <cell r="S340" t="str">
            <v>II.A</v>
          </cell>
          <cell r="T340" t="str">
            <v>(P. Đông Hồ)</v>
          </cell>
          <cell r="U340">
            <v>104.4902</v>
          </cell>
          <cell r="V340">
            <v>10.3857</v>
          </cell>
          <cell r="W340">
            <v>5.7000000000000002E-3</v>
          </cell>
        </row>
        <row r="341">
          <cell r="Q341" t="str">
            <v>34. Kiên Giang</v>
          </cell>
          <cell r="R341" t="str">
            <v>Thị xã Rạch Giá</v>
          </cell>
          <cell r="S341" t="str">
            <v>II.A</v>
          </cell>
          <cell r="T341" t="str">
            <v>(P. Vĩnh Thanh Vân)</v>
          </cell>
          <cell r="U341">
            <v>105.0866</v>
          </cell>
          <cell r="V341">
            <v>10.0106</v>
          </cell>
          <cell r="W341">
            <v>9.4000000000000004E-3</v>
          </cell>
        </row>
        <row r="342">
          <cell r="Q342" t="str">
            <v>34. Kiên Giang</v>
          </cell>
          <cell r="R342" t="str">
            <v>Huyện An Biên</v>
          </cell>
          <cell r="S342" t="str">
            <v>II.A</v>
          </cell>
          <cell r="T342" t="str">
            <v>(TT. Thứ Ba)</v>
          </cell>
          <cell r="U342">
            <v>105.0617</v>
          </cell>
          <cell r="V342">
            <v>9.8110999999999997</v>
          </cell>
          <cell r="W342">
            <v>7.4000000000000003E-3</v>
          </cell>
        </row>
        <row r="343">
          <cell r="Q343" t="str">
            <v>34. Kiên Giang</v>
          </cell>
          <cell r="R343" t="str">
            <v>Huyện An Minh</v>
          </cell>
          <cell r="S343" t="str">
            <v>II.A</v>
          </cell>
          <cell r="T343" t="str">
            <v>(TT. Thứ Mười Một)</v>
          </cell>
          <cell r="U343">
            <v>104.9464</v>
          </cell>
          <cell r="V343">
            <v>9.6122999999999994</v>
          </cell>
          <cell r="W343">
            <v>5.8999999999999999E-3</v>
          </cell>
        </row>
        <row r="344">
          <cell r="Q344" t="str">
            <v>34. Kiên Giang</v>
          </cell>
          <cell r="R344" t="str">
            <v>Huyện Châu Thành</v>
          </cell>
          <cell r="S344" t="str">
            <v>II.A</v>
          </cell>
          <cell r="T344" t="str">
            <v>(TT. Minh Lương)</v>
          </cell>
          <cell r="U344">
            <v>105.1587</v>
          </cell>
          <cell r="V344">
            <v>9.9032999999999998</v>
          </cell>
          <cell r="W344">
            <v>9.1999999999999998E-3</v>
          </cell>
        </row>
        <row r="345">
          <cell r="Q345" t="str">
            <v>34. Kiên Giang</v>
          </cell>
          <cell r="R345" t="str">
            <v>Huyện Giồng Riềng</v>
          </cell>
          <cell r="S345" t="str">
            <v>I.A</v>
          </cell>
          <cell r="T345" t="str">
            <v>(TT. Giồng  Riềng)</v>
          </cell>
          <cell r="U345">
            <v>105.3125</v>
          </cell>
          <cell r="V345">
            <v>9.9085000000000001</v>
          </cell>
          <cell r="W345">
            <v>1.17E-2</v>
          </cell>
        </row>
        <row r="346">
          <cell r="Q346" t="str">
            <v>34. Kiên Giang</v>
          </cell>
          <cell r="R346" t="str">
            <v>Huyện Gò Quao</v>
          </cell>
          <cell r="S346" t="str">
            <v>I.A</v>
          </cell>
          <cell r="T346" t="str">
            <v>(TT. Gò Quao)</v>
          </cell>
          <cell r="U346">
            <v>105.27209999999999</v>
          </cell>
          <cell r="V346">
            <v>9.7311999999999994</v>
          </cell>
          <cell r="W346">
            <v>8.6999999999999994E-3</v>
          </cell>
        </row>
        <row r="347">
          <cell r="Q347" t="str">
            <v>34. Kiên Giang</v>
          </cell>
          <cell r="R347" t="str">
            <v>Huyện Hòn Đất</v>
          </cell>
          <cell r="S347" t="str">
            <v>II.A</v>
          </cell>
          <cell r="T347" t="str">
            <v>(TT. Hòn Đất)</v>
          </cell>
          <cell r="U347">
            <v>104.9258</v>
          </cell>
          <cell r="V347">
            <v>10.1869</v>
          </cell>
          <cell r="W347">
            <v>9.4000000000000004E-3</v>
          </cell>
        </row>
        <row r="348">
          <cell r="Q348" t="str">
            <v>34. Kiên Giang</v>
          </cell>
          <cell r="R348" t="str">
            <v>Huyện Kiên Hải</v>
          </cell>
          <cell r="S348" t="str">
            <v>I.A</v>
          </cell>
          <cell r="T348" t="str">
            <v>(Đao)</v>
          </cell>
          <cell r="U348">
            <v>104.30200000000001</v>
          </cell>
          <cell r="V348">
            <v>9.7204999999999995</v>
          </cell>
          <cell r="W348">
            <v>4.0000000000000001E-3</v>
          </cell>
        </row>
        <row r="349">
          <cell r="Q349" t="str">
            <v>34. Kiên Giang</v>
          </cell>
          <cell r="R349" t="str">
            <v>Huyện Kiên Lương</v>
          </cell>
          <cell r="S349" t="str">
            <v>II.A</v>
          </cell>
          <cell r="T349" t="str">
            <v>(TT. Kiên Lương)</v>
          </cell>
          <cell r="U349">
            <v>104.643</v>
          </cell>
          <cell r="V349">
            <v>10.2858</v>
          </cell>
          <cell r="W349">
            <v>6.8999999999999999E-3</v>
          </cell>
        </row>
        <row r="350">
          <cell r="Q350" t="str">
            <v>34. Kiên Giang</v>
          </cell>
          <cell r="R350" t="str">
            <v>Huyện Phú Quốc</v>
          </cell>
          <cell r="S350" t="str">
            <v>III.A</v>
          </cell>
          <cell r="T350" t="str">
            <v>(TT. Dương Đông)</v>
          </cell>
          <cell r="U350">
            <v>103.9584</v>
          </cell>
          <cell r="V350">
            <v>10.2125</v>
          </cell>
          <cell r="W350">
            <v>4.0000000000000001E-3</v>
          </cell>
        </row>
        <row r="351">
          <cell r="Q351" t="str">
            <v>34. Kiên Giang</v>
          </cell>
          <cell r="R351" t="str">
            <v>Huyện Tân Hiệp</v>
          </cell>
          <cell r="S351" t="str">
            <v>I.A</v>
          </cell>
          <cell r="T351" t="str">
            <v>(TT. Tân Hiệp)</v>
          </cell>
          <cell r="U351">
            <v>105.29989999999999</v>
          </cell>
          <cell r="V351">
            <v>10.1309</v>
          </cell>
          <cell r="W351">
            <v>1.7899999999999999E-2</v>
          </cell>
        </row>
        <row r="352">
          <cell r="Q352" t="str">
            <v>34. Kiên Giang</v>
          </cell>
          <cell r="R352" t="str">
            <v>Huyện Vĩnh Thuận</v>
          </cell>
          <cell r="S352" t="str">
            <v>I.A</v>
          </cell>
          <cell r="T352" t="str">
            <v>(TT. Vĩnh Thuận)</v>
          </cell>
          <cell r="U352">
            <v>105.2589</v>
          </cell>
          <cell r="V352">
            <v>9.5126000000000008</v>
          </cell>
          <cell r="W352">
            <v>8.2000000000000007E-3</v>
          </cell>
        </row>
        <row r="353">
          <cell r="Q353" t="str">
            <v>35. Kon Tum</v>
          </cell>
          <cell r="R353" t="str">
            <v>Thị xã Kon Tum</v>
          </cell>
          <cell r="S353" t="str">
            <v>I.A</v>
          </cell>
          <cell r="T353" t="str">
            <v>(P. Thắng Lợi)</v>
          </cell>
          <cell r="U353">
            <v>108.0073</v>
          </cell>
          <cell r="V353">
            <v>14.354699999999999</v>
          </cell>
          <cell r="W353">
            <v>7.5800000000000006E-2</v>
          </cell>
        </row>
        <row r="354">
          <cell r="Q354" t="str">
            <v>35. Kon Tum</v>
          </cell>
          <cell r="R354" t="str">
            <v>Huyện Đắk Glei</v>
          </cell>
          <cell r="S354" t="str">
            <v>I.A</v>
          </cell>
          <cell r="T354" t="str">
            <v>(TT. Đắk Glei)</v>
          </cell>
          <cell r="U354">
            <v>107.7364</v>
          </cell>
          <cell r="V354">
            <v>15.0914</v>
          </cell>
          <cell r="W354">
            <v>7.17E-2</v>
          </cell>
        </row>
        <row r="355">
          <cell r="Q355" t="str">
            <v>35. Kon Tum</v>
          </cell>
          <cell r="R355" t="str">
            <v>Huyện Đắk Hà</v>
          </cell>
          <cell r="S355" t="str">
            <v>I.A</v>
          </cell>
          <cell r="T355" t="str">
            <v>(TT. Đắk Hà)</v>
          </cell>
          <cell r="U355">
            <v>107.9194</v>
          </cell>
          <cell r="V355">
            <v>14.526400000000001</v>
          </cell>
          <cell r="W355">
            <v>5.0500000000000003E-2</v>
          </cell>
        </row>
        <row r="356">
          <cell r="Q356" t="str">
            <v>35. Kon Tum</v>
          </cell>
          <cell r="R356" t="str">
            <v>Huyện Đắk Tô</v>
          </cell>
          <cell r="S356" t="str">
            <v>I.A</v>
          </cell>
          <cell r="T356" t="str">
            <v>(TT. Đắk Tô)</v>
          </cell>
          <cell r="U356">
            <v>107.8386</v>
          </cell>
          <cell r="V356">
            <v>14.6615</v>
          </cell>
          <cell r="W356">
            <v>5.5E-2</v>
          </cell>
        </row>
        <row r="357">
          <cell r="Q357" t="str">
            <v>35. Kon Tum</v>
          </cell>
          <cell r="R357" t="str">
            <v>Huyện Kon Plong</v>
          </cell>
          <cell r="S357" t="str">
            <v>I.A</v>
          </cell>
          <cell r="T357" t="str">
            <v>(Kon Leng)</v>
          </cell>
          <cell r="U357">
            <v>108.3459</v>
          </cell>
          <cell r="V357">
            <v>14.6134</v>
          </cell>
          <cell r="W357">
            <v>7.6200000000000004E-2</v>
          </cell>
        </row>
        <row r="358">
          <cell r="Q358" t="str">
            <v>35. Kon Tum</v>
          </cell>
          <cell r="R358" t="str">
            <v>Huyện Kon Rẫy</v>
          </cell>
          <cell r="S358" t="str">
            <v>I.A</v>
          </cell>
          <cell r="T358" t="str">
            <v>(TT. Tân Lập)</v>
          </cell>
          <cell r="U358">
            <v>108.2508</v>
          </cell>
          <cell r="V358">
            <v>14.5197</v>
          </cell>
          <cell r="W358">
            <v>7.9600000000000004E-2</v>
          </cell>
        </row>
        <row r="359">
          <cell r="Q359" t="str">
            <v>35. Kon Tum</v>
          </cell>
          <cell r="R359" t="str">
            <v>Huyện Ngọc Hồi</v>
          </cell>
          <cell r="S359" t="str">
            <v>I.A</v>
          </cell>
          <cell r="T359" t="str">
            <v>(TT. Plei Kần)</v>
          </cell>
          <cell r="U359">
            <v>107.6962</v>
          </cell>
          <cell r="V359">
            <v>14.707000000000001</v>
          </cell>
          <cell r="W359">
            <v>7.3800000000000004E-2</v>
          </cell>
        </row>
        <row r="360">
          <cell r="Q360" t="str">
            <v>35. Kon Tum</v>
          </cell>
          <cell r="R360" t="str">
            <v>Huyện Sa Thầy</v>
          </cell>
          <cell r="S360" t="str">
            <v>I.A</v>
          </cell>
          <cell r="T360" t="str">
            <v>(TT. Sa Thầy)</v>
          </cell>
          <cell r="U360">
            <v>107.7933</v>
          </cell>
          <cell r="V360">
            <v>14.420199999999999</v>
          </cell>
          <cell r="W360">
            <v>5.4199999999999998E-2</v>
          </cell>
        </row>
        <row r="361">
          <cell r="Q361" t="str">
            <v>36. Lai Châu</v>
          </cell>
          <cell r="R361" t="str">
            <v>Thị xã Lai Châu</v>
          </cell>
          <cell r="S361" t="str">
            <v>I.A</v>
          </cell>
          <cell r="U361">
            <v>103.4729</v>
          </cell>
          <cell r="V361">
            <v>22.3916</v>
          </cell>
          <cell r="W361">
            <v>7.0000000000000007E-2</v>
          </cell>
        </row>
        <row r="362">
          <cell r="Q362" t="str">
            <v>36. Lai Châu</v>
          </cell>
          <cell r="R362" t="str">
            <v>Huyện Mường Tè</v>
          </cell>
          <cell r="S362" t="str">
            <v>I.A</v>
          </cell>
          <cell r="T362" t="str">
            <v>(TT. Mường Tè)</v>
          </cell>
          <cell r="U362">
            <v>102.8201</v>
          </cell>
          <cell r="V362">
            <v>22.3871</v>
          </cell>
          <cell r="W362">
            <v>0.1195</v>
          </cell>
        </row>
        <row r="363">
          <cell r="Q363" t="str">
            <v>36. Lai Châu</v>
          </cell>
          <cell r="R363" t="str">
            <v>Huyện Phong Thổ</v>
          </cell>
          <cell r="S363" t="str">
            <v>I.A</v>
          </cell>
          <cell r="T363" t="str">
            <v>(TT. Phong Thổ)</v>
          </cell>
          <cell r="U363">
            <v>103.4629</v>
          </cell>
          <cell r="V363">
            <v>22.385899999999999</v>
          </cell>
          <cell r="W363">
            <v>7.0099999999999996E-2</v>
          </cell>
        </row>
        <row r="364">
          <cell r="Q364" t="str">
            <v>36. Lai Châu</v>
          </cell>
          <cell r="R364" t="str">
            <v>Huyện Sìn Hồ</v>
          </cell>
          <cell r="S364" t="str">
            <v>I.A</v>
          </cell>
          <cell r="T364" t="str">
            <v>(TT. Sìn Hồ)</v>
          </cell>
          <cell r="U364">
            <v>103.2513</v>
          </cell>
          <cell r="V364">
            <v>22.351099999999999</v>
          </cell>
          <cell r="W364">
            <v>0.12970000000000001</v>
          </cell>
        </row>
        <row r="365">
          <cell r="Q365" t="str">
            <v>36. Lai Châu</v>
          </cell>
          <cell r="R365" t="str">
            <v>Huyện Tam Đường</v>
          </cell>
          <cell r="S365" t="str">
            <v>I.A</v>
          </cell>
          <cell r="T365" t="str">
            <v>(TT. Tam Đường)</v>
          </cell>
          <cell r="U365">
            <v>103.4729</v>
          </cell>
          <cell r="V365">
            <v>22.3916</v>
          </cell>
          <cell r="W365">
            <v>7.0099999999999996E-2</v>
          </cell>
        </row>
        <row r="366">
          <cell r="Q366" t="str">
            <v>36. Lai Châu</v>
          </cell>
          <cell r="R366" t="str">
            <v>Huyện Than Uyên</v>
          </cell>
          <cell r="S366" t="str">
            <v>I.A</v>
          </cell>
          <cell r="T366" t="str">
            <v>(TT. Than Uyên)</v>
          </cell>
          <cell r="U366">
            <v>103.8897</v>
          </cell>
          <cell r="V366">
            <v>21.962800000000001</v>
          </cell>
          <cell r="W366">
            <v>0.1152</v>
          </cell>
        </row>
        <row r="367">
          <cell r="Q367" t="str">
            <v>37. Lạng Sơn</v>
          </cell>
          <cell r="R367" t="str">
            <v>Thành phố Lạng Sơn</v>
          </cell>
          <cell r="S367" t="str">
            <v>I.A</v>
          </cell>
          <cell r="T367" t="str">
            <v>(P. Vĩnh Trại)</v>
          </cell>
          <cell r="U367">
            <v>106.76</v>
          </cell>
          <cell r="V367">
            <v>21.8535</v>
          </cell>
          <cell r="W367">
            <v>8.0500000000000002E-2</v>
          </cell>
        </row>
        <row r="368">
          <cell r="Q368" t="str">
            <v>37. Lạng Sơn</v>
          </cell>
          <cell r="R368" t="str">
            <v>Huyện Bắc Sơn</v>
          </cell>
          <cell r="S368" t="str">
            <v>I.A</v>
          </cell>
          <cell r="T368" t="str">
            <v>(TT. Bắc Sơn)</v>
          </cell>
          <cell r="U368">
            <v>106.3172</v>
          </cell>
          <cell r="V368">
            <v>21.901900000000001</v>
          </cell>
          <cell r="W368">
            <v>1.7600000000000001E-2</v>
          </cell>
        </row>
        <row r="369">
          <cell r="Q369" t="str">
            <v>37. Lạng Sơn</v>
          </cell>
          <cell r="R369" t="str">
            <v>Huyện Bình Gia</v>
          </cell>
          <cell r="S369" t="str">
            <v>I.A</v>
          </cell>
          <cell r="T369" t="str">
            <v>(TT. Bình Gia)</v>
          </cell>
          <cell r="U369">
            <v>106.3716</v>
          </cell>
          <cell r="V369">
            <v>21.948399999999999</v>
          </cell>
          <cell r="W369">
            <v>2.0500000000000001E-2</v>
          </cell>
        </row>
        <row r="370">
          <cell r="Q370" t="str">
            <v>37. Lạng Sơn</v>
          </cell>
          <cell r="R370" t="str">
            <v>Huyện Cao Lộc</v>
          </cell>
          <cell r="S370" t="str">
            <v>I.A</v>
          </cell>
          <cell r="T370" t="str">
            <v>(TT. Cao Lộc)</v>
          </cell>
          <cell r="U370">
            <v>106.7684</v>
          </cell>
          <cell r="V370">
            <v>21.866299999999999</v>
          </cell>
          <cell r="W370">
            <v>8.0199999999999994E-2</v>
          </cell>
        </row>
        <row r="371">
          <cell r="Q371" t="str">
            <v>37. Lạng Sơn</v>
          </cell>
          <cell r="R371" t="str">
            <v>Huyện Chi Lăng</v>
          </cell>
          <cell r="S371" t="str">
            <v>I.A</v>
          </cell>
          <cell r="T371" t="str">
            <v>(TT. Đồng Mỏ)</v>
          </cell>
          <cell r="U371">
            <v>106.57640000000001</v>
          </cell>
          <cell r="V371">
            <v>21.661000000000001</v>
          </cell>
          <cell r="W371">
            <v>2.1299999999999999E-2</v>
          </cell>
        </row>
        <row r="372">
          <cell r="Q372" t="str">
            <v>37. Lạng Sơn</v>
          </cell>
          <cell r="R372" t="str">
            <v>Huyện Đình Lập</v>
          </cell>
          <cell r="S372" t="str">
            <v>I.A</v>
          </cell>
          <cell r="T372" t="str">
            <v>(TT. Đình lập)</v>
          </cell>
          <cell r="U372">
            <v>107.0962</v>
          </cell>
          <cell r="V372">
            <v>21.546199999999999</v>
          </cell>
          <cell r="W372">
            <v>8.0199999999999994E-2</v>
          </cell>
        </row>
        <row r="373">
          <cell r="Q373" t="str">
            <v>37. Lạng Sơn</v>
          </cell>
          <cell r="R373" t="str">
            <v>Huyện Hữu Lũng</v>
          </cell>
          <cell r="S373" t="str">
            <v>I.A</v>
          </cell>
          <cell r="T373" t="str">
            <v>(TT. Hữu Lũng)</v>
          </cell>
          <cell r="U373">
            <v>106.3449</v>
          </cell>
          <cell r="V373">
            <v>21.509699999999999</v>
          </cell>
          <cell r="W373">
            <v>8.2000000000000003E-2</v>
          </cell>
        </row>
        <row r="374">
          <cell r="Q374" t="str">
            <v>37. Lạng Sơn</v>
          </cell>
          <cell r="R374" t="str">
            <v>Huyện Lộc Bình</v>
          </cell>
          <cell r="S374" t="str">
            <v>I.A</v>
          </cell>
          <cell r="T374" t="str">
            <v>(TT. Lộc Bình)</v>
          </cell>
          <cell r="U374">
            <v>106.9265</v>
          </cell>
          <cell r="V374">
            <v>21.757300000000001</v>
          </cell>
          <cell r="W374">
            <v>8.0600000000000005E-2</v>
          </cell>
        </row>
        <row r="375">
          <cell r="Q375" t="str">
            <v>37. Lạng Sơn</v>
          </cell>
          <cell r="R375" t="str">
            <v>Huyện Tràng Định</v>
          </cell>
          <cell r="S375" t="str">
            <v>I.A</v>
          </cell>
          <cell r="T375" t="str">
            <v>(TT. Thất Khê)</v>
          </cell>
          <cell r="U375">
            <v>106.473</v>
          </cell>
          <cell r="V375">
            <v>22.2531</v>
          </cell>
          <cell r="W375">
            <v>8.0100000000000005E-2</v>
          </cell>
        </row>
        <row r="376">
          <cell r="Q376" t="str">
            <v>37. Lạng Sơn</v>
          </cell>
          <cell r="R376" t="str">
            <v>Huyện Văn Lãng</v>
          </cell>
          <cell r="S376" t="str">
            <v>I.A</v>
          </cell>
          <cell r="T376" t="str">
            <v>(TT. Na Sầm)</v>
          </cell>
          <cell r="U376">
            <v>106.6161</v>
          </cell>
          <cell r="V376">
            <v>22.054500000000001</v>
          </cell>
          <cell r="W376">
            <v>8.0199999999999994E-2</v>
          </cell>
        </row>
        <row r="377">
          <cell r="Q377" t="str">
            <v>37. Lạng Sơn</v>
          </cell>
          <cell r="R377" t="str">
            <v>Huyện Văn Quan</v>
          </cell>
          <cell r="S377" t="str">
            <v>I.A</v>
          </cell>
          <cell r="T377" t="str">
            <v>(TT. Văn Quan)</v>
          </cell>
          <cell r="U377">
            <v>106.54730000000001</v>
          </cell>
          <cell r="V377">
            <v>21.8657</v>
          </cell>
          <cell r="W377">
            <v>3.0099999999999998E-2</v>
          </cell>
        </row>
        <row r="378">
          <cell r="Q378" t="str">
            <v>38. Lào Cai</v>
          </cell>
          <cell r="R378" t="str">
            <v>Thị xã Lào Cai</v>
          </cell>
          <cell r="S378" t="str">
            <v>II.A</v>
          </cell>
          <cell r="T378" t="str">
            <v>(P. Cốc Lừu)</v>
          </cell>
          <cell r="U378">
            <v>103.96850000000001</v>
          </cell>
          <cell r="V378">
            <v>22.507100000000001</v>
          </cell>
          <cell r="W378">
            <v>0.1116</v>
          </cell>
        </row>
        <row r="379">
          <cell r="Q379" t="str">
            <v>38. Lào Cai</v>
          </cell>
          <cell r="R379" t="str">
            <v>Thị Xã Cam Đường</v>
          </cell>
          <cell r="S379" t="str">
            <v>I.A</v>
          </cell>
          <cell r="T379" t="str">
            <v>(P. Pom Hán)</v>
          </cell>
          <cell r="U379">
            <v>104.01600000000001</v>
          </cell>
          <cell r="V379">
            <v>22.417999999999999</v>
          </cell>
          <cell r="W379">
            <v>9.7199999999999995E-2</v>
          </cell>
        </row>
        <row r="380">
          <cell r="Q380" t="str">
            <v>38. Lào Cai</v>
          </cell>
          <cell r="R380" t="str">
            <v>Huyện Bắc Hà</v>
          </cell>
          <cell r="S380" t="str">
            <v>I.A</v>
          </cell>
          <cell r="T380" t="str">
            <v>(TT. Bắc Hà)</v>
          </cell>
          <cell r="U380">
            <v>104.2915</v>
          </cell>
          <cell r="V380">
            <v>22.5395</v>
          </cell>
          <cell r="W380">
            <v>5.9299999999999999E-2</v>
          </cell>
        </row>
        <row r="381">
          <cell r="Q381" t="str">
            <v>38. Lào Cai</v>
          </cell>
          <cell r="R381" t="str">
            <v>Huyện Bảo Thắng</v>
          </cell>
          <cell r="S381" t="str">
            <v>I.A</v>
          </cell>
          <cell r="T381" t="str">
            <v>(TT. Phố Lu)</v>
          </cell>
          <cell r="U381">
            <v>104.1867</v>
          </cell>
          <cell r="V381">
            <v>22.3185</v>
          </cell>
          <cell r="W381">
            <v>0.1094</v>
          </cell>
        </row>
        <row r="382">
          <cell r="Q382" t="str">
            <v>38. Lào Cai</v>
          </cell>
          <cell r="R382" t="str">
            <v>Huyện Bảo Yên</v>
          </cell>
          <cell r="S382" t="str">
            <v>I.A</v>
          </cell>
          <cell r="T382" t="str">
            <v>(TT. Phố Ràng)</v>
          </cell>
          <cell r="U382">
            <v>104.4765</v>
          </cell>
          <cell r="V382">
            <v>22.237400000000001</v>
          </cell>
          <cell r="W382">
            <v>0.1132</v>
          </cell>
        </row>
        <row r="383">
          <cell r="Q383" t="str">
            <v>38. Lào Cai</v>
          </cell>
          <cell r="R383" t="str">
            <v>Huyện Bát Xát</v>
          </cell>
          <cell r="S383" t="str">
            <v>I.A</v>
          </cell>
          <cell r="T383" t="str">
            <v>(TT. Bát Sát)</v>
          </cell>
          <cell r="U383">
            <v>103.89360000000001</v>
          </cell>
          <cell r="V383">
            <v>22.536999999999999</v>
          </cell>
          <cell r="W383">
            <v>0.1042</v>
          </cell>
        </row>
        <row r="384">
          <cell r="Q384" t="str">
            <v>38. Lào Cai</v>
          </cell>
          <cell r="R384" t="str">
            <v>Huyện Mường Khương</v>
          </cell>
          <cell r="S384" t="str">
            <v>I.A</v>
          </cell>
          <cell r="T384" t="str">
            <v>(TT. Mường Khương)</v>
          </cell>
          <cell r="U384">
            <v>104.10299999999999</v>
          </cell>
          <cell r="V384">
            <v>22.7713</v>
          </cell>
          <cell r="W384">
            <v>3.8399999999999997E-2</v>
          </cell>
        </row>
        <row r="385">
          <cell r="Q385" t="str">
            <v>38. Lào Cai</v>
          </cell>
          <cell r="R385" t="str">
            <v>Huyện Sa Pa</v>
          </cell>
          <cell r="S385" t="str">
            <v>I.A</v>
          </cell>
          <cell r="T385" t="str">
            <v>(TT. Sa Pa)</v>
          </cell>
          <cell r="U385">
            <v>103.8456</v>
          </cell>
          <cell r="V385">
            <v>22.3352</v>
          </cell>
          <cell r="W385">
            <v>4.2700000000000002E-2</v>
          </cell>
        </row>
        <row r="386">
          <cell r="Q386" t="str">
            <v>38. Lào Cai</v>
          </cell>
          <cell r="R386" t="str">
            <v>Huyện Văn Bàn</v>
          </cell>
          <cell r="S386" t="str">
            <v>I.A</v>
          </cell>
          <cell r="T386" t="str">
            <v>(TT. Khánh Yên)</v>
          </cell>
          <cell r="U386">
            <v>104.2508</v>
          </cell>
          <cell r="V386">
            <v>22.091799999999999</v>
          </cell>
          <cell r="W386">
            <v>5.67E-2</v>
          </cell>
        </row>
        <row r="387">
          <cell r="Q387" t="str">
            <v>38. Lào Cai</v>
          </cell>
          <cell r="R387" t="str">
            <v>Huyện Xi Ma Cai</v>
          </cell>
          <cell r="S387" t="str">
            <v>I.A</v>
          </cell>
          <cell r="T387" t="str">
            <v>(Si Ma Cai)</v>
          </cell>
          <cell r="U387">
            <v>104.2946</v>
          </cell>
          <cell r="V387">
            <v>22.697500000000002</v>
          </cell>
          <cell r="W387">
            <v>2.9100000000000001E-2</v>
          </cell>
        </row>
        <row r="388">
          <cell r="Q388" t="str">
            <v>39. Lâm Đồng</v>
          </cell>
          <cell r="R388" t="str">
            <v>Thành phố Đà Lạt</v>
          </cell>
          <cell r="S388" t="str">
            <v>I.A</v>
          </cell>
          <cell r="T388" t="str">
            <v>(P. 3)</v>
          </cell>
          <cell r="U388">
            <v>108.434</v>
          </cell>
          <cell r="V388">
            <v>11.936</v>
          </cell>
          <cell r="W388">
            <v>2.1899999999999999E-2</v>
          </cell>
        </row>
        <row r="389">
          <cell r="Q389" t="str">
            <v>39. Lâm Đồng</v>
          </cell>
          <cell r="R389" t="str">
            <v>Thị xã Bảo Lộc</v>
          </cell>
          <cell r="S389" t="str">
            <v>I.A</v>
          </cell>
          <cell r="T389" t="str">
            <v>(P. B'Lao)</v>
          </cell>
          <cell r="U389">
            <v>107.8074</v>
          </cell>
          <cell r="V389">
            <v>11.542400000000001</v>
          </cell>
          <cell r="W389">
            <v>1.54E-2</v>
          </cell>
        </row>
        <row r="390">
          <cell r="Q390" t="str">
            <v>39. Lâm Đồng</v>
          </cell>
          <cell r="R390" t="str">
            <v>Huyện Bảo Lâm</v>
          </cell>
          <cell r="S390" t="str">
            <v>I.A</v>
          </cell>
          <cell r="T390" t="str">
            <v>(TT. Lộc Thắng)</v>
          </cell>
          <cell r="U390">
            <v>107.8259</v>
          </cell>
          <cell r="V390">
            <v>11.642300000000001</v>
          </cell>
          <cell r="W390">
            <v>1.7399999999999999E-2</v>
          </cell>
        </row>
        <row r="391">
          <cell r="Q391" t="str">
            <v>39. Lâm Đồng</v>
          </cell>
          <cell r="R391" t="str">
            <v>Huyện Cát Tiên</v>
          </cell>
          <cell r="S391" t="str">
            <v>I.A</v>
          </cell>
          <cell r="T391" t="str">
            <v>(TT. Đồng Nai)</v>
          </cell>
          <cell r="U391">
            <v>107.3605</v>
          </cell>
          <cell r="V391">
            <v>11.584</v>
          </cell>
          <cell r="W391">
            <v>4.5499999999999999E-2</v>
          </cell>
        </row>
        <row r="392">
          <cell r="Q392" t="str">
            <v>39. Lâm Đồng</v>
          </cell>
          <cell r="R392" t="str">
            <v>Huyện Di Linh</v>
          </cell>
          <cell r="S392" t="str">
            <v>I.A</v>
          </cell>
          <cell r="T392" t="str">
            <v>(TT. Di Linh)</v>
          </cell>
          <cell r="U392">
            <v>108.0746</v>
          </cell>
          <cell r="V392">
            <v>11.5777</v>
          </cell>
          <cell r="W392">
            <v>2.4500000000000001E-2</v>
          </cell>
        </row>
        <row r="393">
          <cell r="Q393" t="str">
            <v>39. Lâm Đồng</v>
          </cell>
          <cell r="R393" t="str">
            <v>Huyện Đa Huoai</v>
          </cell>
          <cell r="S393" t="str">
            <v>I.A</v>
          </cell>
          <cell r="T393" t="str">
            <v>(TT. Ma Đa Gui)</v>
          </cell>
          <cell r="U393">
            <v>107.5346</v>
          </cell>
          <cell r="V393">
            <v>11.387700000000001</v>
          </cell>
          <cell r="W393">
            <v>1.54E-2</v>
          </cell>
        </row>
        <row r="394">
          <cell r="Q394" t="str">
            <v>39. Lâm Đồng</v>
          </cell>
          <cell r="R394" t="str">
            <v>Huyện Đa Tẻh</v>
          </cell>
          <cell r="S394" t="str">
            <v>I.A</v>
          </cell>
          <cell r="T394" t="str">
            <v>(TT. Đạ Tẻh)</v>
          </cell>
          <cell r="U394">
            <v>107.4845</v>
          </cell>
          <cell r="V394">
            <v>11.5129</v>
          </cell>
          <cell r="W394">
            <v>2.2800000000000001E-2</v>
          </cell>
        </row>
        <row r="395">
          <cell r="Q395" t="str">
            <v>39. Lâm Đồng</v>
          </cell>
          <cell r="R395" t="str">
            <v>Huyện Đơn Dương</v>
          </cell>
          <cell r="S395" t="str">
            <v>I.A</v>
          </cell>
          <cell r="T395" t="str">
            <v>(TT. Thạnh Mỹ )</v>
          </cell>
          <cell r="U395">
            <v>108.4924</v>
          </cell>
          <cell r="V395">
            <v>11.762600000000001</v>
          </cell>
          <cell r="W395">
            <v>4.5699999999999998E-2</v>
          </cell>
        </row>
        <row r="396">
          <cell r="Q396" t="str">
            <v>39. Lâm Đồng</v>
          </cell>
          <cell r="R396" t="str">
            <v>Huyện Đức Trọng</v>
          </cell>
          <cell r="S396" t="str">
            <v>I.A</v>
          </cell>
          <cell r="T396" t="str">
            <v>(TT. Liên Nghĩa)</v>
          </cell>
          <cell r="U396">
            <v>108.37520000000001</v>
          </cell>
          <cell r="V396">
            <v>11.7339</v>
          </cell>
          <cell r="W396">
            <v>3.56E-2</v>
          </cell>
        </row>
        <row r="397">
          <cell r="Q397" t="str">
            <v>39. Lâm Đồng</v>
          </cell>
          <cell r="R397" t="str">
            <v>Huyện Lâm Hà</v>
          </cell>
          <cell r="S397" t="str">
            <v>I.A</v>
          </cell>
          <cell r="T397" t="str">
            <v>(TT. Đinh Văn)</v>
          </cell>
          <cell r="U397">
            <v>108.2542</v>
          </cell>
          <cell r="V397">
            <v>11.7882</v>
          </cell>
          <cell r="W397">
            <v>2.1499999999999998E-2</v>
          </cell>
        </row>
        <row r="398">
          <cell r="Q398" t="str">
            <v>39. Lâm Đồng</v>
          </cell>
          <cell r="R398" t="str">
            <v>Huyện Lạc Dương</v>
          </cell>
          <cell r="S398" t="str">
            <v>I.A</v>
          </cell>
          <cell r="T398" t="str">
            <v>(TT. Lạc Dương)</v>
          </cell>
          <cell r="U398">
            <v>108.4085</v>
          </cell>
          <cell r="V398">
            <v>12.0091</v>
          </cell>
          <cell r="W398">
            <v>1.8700000000000001E-2</v>
          </cell>
        </row>
        <row r="399">
          <cell r="Q399" t="str">
            <v>40. Long An</v>
          </cell>
          <cell r="R399" t="str">
            <v>Thị xã Tân An</v>
          </cell>
          <cell r="S399" t="str">
            <v>II.A</v>
          </cell>
          <cell r="T399" t="str">
            <v>(P. 1)</v>
          </cell>
          <cell r="U399">
            <v>106.4117</v>
          </cell>
          <cell r="V399">
            <v>10.5418</v>
          </cell>
          <cell r="W399">
            <v>5.16E-2</v>
          </cell>
        </row>
        <row r="400">
          <cell r="Q400" t="str">
            <v>40. Long An</v>
          </cell>
          <cell r="R400" t="str">
            <v>Huyện Bến Lức</v>
          </cell>
          <cell r="S400" t="str">
            <v>I.A</v>
          </cell>
          <cell r="T400" t="str">
            <v>(TT. Bến Lức)</v>
          </cell>
          <cell r="U400">
            <v>106.4866</v>
          </cell>
          <cell r="V400">
            <v>10.6381</v>
          </cell>
          <cell r="W400">
            <v>6.4699999999999994E-2</v>
          </cell>
        </row>
        <row r="401">
          <cell r="Q401" t="str">
            <v>40. Long An</v>
          </cell>
          <cell r="R401" t="str">
            <v>Huyện Cần Giuộc</v>
          </cell>
          <cell r="S401" t="str">
            <v>I.A</v>
          </cell>
          <cell r="T401" t="str">
            <v>(TT. Cần Giuộc)</v>
          </cell>
          <cell r="U401">
            <v>106.67100000000001</v>
          </cell>
          <cell r="V401">
            <v>10.6053</v>
          </cell>
          <cell r="W401">
            <v>6.2199999999999998E-2</v>
          </cell>
        </row>
        <row r="402">
          <cell r="Q402" t="str">
            <v>40. Long An</v>
          </cell>
          <cell r="R402" t="str">
            <v>Huyện Cầu Đước</v>
          </cell>
          <cell r="S402" t="str">
            <v>I.A</v>
          </cell>
          <cell r="T402" t="str">
            <v>(TT. Cần Đước)</v>
          </cell>
          <cell r="U402">
            <v>106.6048</v>
          </cell>
          <cell r="V402">
            <v>10.5036</v>
          </cell>
          <cell r="W402">
            <v>6.5000000000000002E-2</v>
          </cell>
        </row>
        <row r="403">
          <cell r="Q403" t="str">
            <v>40. Long An</v>
          </cell>
          <cell r="R403" t="str">
            <v>Huyện Châu Thành</v>
          </cell>
          <cell r="S403" t="str">
            <v>I.A</v>
          </cell>
          <cell r="T403" t="str">
            <v>(TT. Tầm Vu)</v>
          </cell>
          <cell r="U403">
            <v>106.46810000000001</v>
          </cell>
          <cell r="V403">
            <v>10.444800000000001</v>
          </cell>
          <cell r="W403">
            <v>4.8500000000000001E-2</v>
          </cell>
        </row>
        <row r="404">
          <cell r="Q404" t="str">
            <v>40. Long An</v>
          </cell>
          <cell r="R404" t="str">
            <v>Huyện Đức Hoà</v>
          </cell>
          <cell r="S404" t="str">
            <v>I.A</v>
          </cell>
          <cell r="T404" t="str">
            <v>(TT. Hậu Nghĩa)</v>
          </cell>
          <cell r="U404">
            <v>106.38720000000001</v>
          </cell>
          <cell r="V404">
            <v>10.9079</v>
          </cell>
          <cell r="W404">
            <v>5.3999999999999999E-2</v>
          </cell>
        </row>
        <row r="405">
          <cell r="Q405" t="str">
            <v>40. Long An</v>
          </cell>
          <cell r="R405" t="str">
            <v>Huyện Đức Huệ</v>
          </cell>
          <cell r="S405" t="str">
            <v>I.A</v>
          </cell>
          <cell r="T405" t="str">
            <v>(TT. Đông Thành)</v>
          </cell>
          <cell r="U405">
            <v>106.29640000000001</v>
          </cell>
          <cell r="V405">
            <v>10.8986</v>
          </cell>
          <cell r="W405">
            <v>6.54E-2</v>
          </cell>
        </row>
        <row r="406">
          <cell r="Q406" t="str">
            <v>40. Long An</v>
          </cell>
          <cell r="R406" t="str">
            <v>Huyện Mộc Hoá</v>
          </cell>
          <cell r="S406" t="str">
            <v>I.A</v>
          </cell>
          <cell r="T406" t="str">
            <v>(TT. Mộc Hoá)</v>
          </cell>
          <cell r="U406">
            <v>105.9376</v>
          </cell>
          <cell r="V406">
            <v>10.7775</v>
          </cell>
          <cell r="W406">
            <v>1.5800000000000002E-2</v>
          </cell>
        </row>
        <row r="407">
          <cell r="Q407" t="str">
            <v>40. Long An</v>
          </cell>
          <cell r="R407" t="str">
            <v>Huyện Tân Hưng</v>
          </cell>
          <cell r="S407" t="str">
            <v>I.A</v>
          </cell>
          <cell r="T407" t="str">
            <v>(TT. Tân Hưng)</v>
          </cell>
          <cell r="U407">
            <v>105.66160000000001</v>
          </cell>
          <cell r="V407">
            <v>10.835699999999999</v>
          </cell>
          <cell r="W407">
            <v>1.2999999999999999E-2</v>
          </cell>
        </row>
        <row r="408">
          <cell r="Q408" t="str">
            <v>40. Long An</v>
          </cell>
          <cell r="R408" t="str">
            <v>Huyện Tân Thạnh</v>
          </cell>
          <cell r="S408" t="str">
            <v>I.A</v>
          </cell>
          <cell r="T408" t="str">
            <v>(TT. Tân Thạnh)</v>
          </cell>
          <cell r="U408">
            <v>106.04770000000001</v>
          </cell>
          <cell r="V408">
            <v>10.6081</v>
          </cell>
          <cell r="W408">
            <v>1.5599999999999999E-2</v>
          </cell>
        </row>
        <row r="409">
          <cell r="Q409" t="str">
            <v>40. Long An</v>
          </cell>
          <cell r="R409" t="str">
            <v>Huyện Tân Trụ</v>
          </cell>
          <cell r="S409" t="str">
            <v>I.A</v>
          </cell>
          <cell r="T409" t="str">
            <v>(TT. Tân Trụ)</v>
          </cell>
          <cell r="U409">
            <v>106.50790000000001</v>
          </cell>
          <cell r="V409">
            <v>10.514799999999999</v>
          </cell>
          <cell r="W409">
            <v>6.4000000000000001E-2</v>
          </cell>
        </row>
        <row r="410">
          <cell r="Q410" t="str">
            <v>40. Long An</v>
          </cell>
          <cell r="R410" t="str">
            <v>Huyện Thạnh Hoá</v>
          </cell>
          <cell r="S410" t="str">
            <v>I.A</v>
          </cell>
          <cell r="T410" t="str">
            <v>(TT. Thạnh Hóa)</v>
          </cell>
          <cell r="U410">
            <v>106.16670000000001</v>
          </cell>
          <cell r="V410">
            <v>10.6538</v>
          </cell>
          <cell r="W410">
            <v>2.46E-2</v>
          </cell>
        </row>
        <row r="411">
          <cell r="Q411" t="str">
            <v>40. Long An</v>
          </cell>
          <cell r="R411" t="str">
            <v>Huyện Thủ Thừa</v>
          </cell>
          <cell r="S411" t="str">
            <v>I.A</v>
          </cell>
          <cell r="T411" t="str">
            <v>(TT. Thủ Thừa)</v>
          </cell>
          <cell r="U411">
            <v>106.4051</v>
          </cell>
          <cell r="V411">
            <v>10.6053</v>
          </cell>
          <cell r="W411">
            <v>6.0299999999999999E-2</v>
          </cell>
        </row>
        <row r="412">
          <cell r="Q412" t="str">
            <v>40. Long An</v>
          </cell>
          <cell r="R412" t="str">
            <v>Huyện Vĩnh Hưng</v>
          </cell>
          <cell r="S412" t="str">
            <v>I.A</v>
          </cell>
          <cell r="T412" t="str">
            <v>(TT. Vĩnh Hưng)</v>
          </cell>
          <cell r="U412">
            <v>105.78959999999999</v>
          </cell>
          <cell r="V412">
            <v>10.886200000000001</v>
          </cell>
          <cell r="W412">
            <v>1.37E-2</v>
          </cell>
        </row>
        <row r="413">
          <cell r="Q413" t="str">
            <v>41. Nam Định</v>
          </cell>
          <cell r="R413" t="str">
            <v>Thành phố Nam Định</v>
          </cell>
          <cell r="S413" t="str">
            <v>IV.B</v>
          </cell>
          <cell r="T413" t="str">
            <v>(P. Ngô Quyền)</v>
          </cell>
          <cell r="U413">
            <v>106.1713</v>
          </cell>
          <cell r="V413">
            <v>20.427700000000002</v>
          </cell>
          <cell r="W413">
            <v>0.11799999999999999</v>
          </cell>
        </row>
        <row r="414">
          <cell r="Q414" t="str">
            <v>41. Nam Định</v>
          </cell>
          <cell r="R414" t="str">
            <v>Huyện Giao Thủy</v>
          </cell>
          <cell r="S414" t="str">
            <v>V.B</v>
          </cell>
          <cell r="T414" t="str">
            <v>(TT. Ngô Đồng)</v>
          </cell>
          <cell r="U414">
            <v>106.44070000000001</v>
          </cell>
          <cell r="V414">
            <v>20.282900000000001</v>
          </cell>
          <cell r="W414">
            <v>0.1145</v>
          </cell>
        </row>
        <row r="415">
          <cell r="Q415" t="str">
            <v>41. Nam Định</v>
          </cell>
          <cell r="R415" t="str">
            <v>Huyện Hải Hậu</v>
          </cell>
          <cell r="S415" t="str">
            <v>V.B</v>
          </cell>
          <cell r="T415" t="str">
            <v>(TT. Yên Định)</v>
          </cell>
          <cell r="U415">
            <v>106.2958</v>
          </cell>
          <cell r="V415">
            <v>20.1998</v>
          </cell>
          <cell r="W415">
            <v>0.1139</v>
          </cell>
        </row>
        <row r="416">
          <cell r="Q416" t="str">
            <v>41. Nam Định</v>
          </cell>
          <cell r="R416" t="str">
            <v>Huyện Mỹ Lộc</v>
          </cell>
          <cell r="S416" t="str">
            <v>IV.B</v>
          </cell>
          <cell r="T416" t="str">
            <v>(TT. Mỹ Lộc)</v>
          </cell>
          <cell r="U416">
            <v>106.0881</v>
          </cell>
          <cell r="V416">
            <v>20.441199999999998</v>
          </cell>
          <cell r="W416">
            <v>0.1167</v>
          </cell>
        </row>
        <row r="417">
          <cell r="Q417" t="str">
            <v>41. Nam Định</v>
          </cell>
          <cell r="R417" t="str">
            <v>Huyện Nam Trực</v>
          </cell>
          <cell r="S417" t="str">
            <v>IV.B</v>
          </cell>
          <cell r="T417" t="str">
            <v>(TT. Nam Trực)</v>
          </cell>
          <cell r="U417">
            <v>106.17610000000001</v>
          </cell>
          <cell r="V417">
            <v>20.3355</v>
          </cell>
          <cell r="W417">
            <v>0.1142</v>
          </cell>
        </row>
        <row r="418">
          <cell r="Q418" t="str">
            <v>41. Nam Định</v>
          </cell>
          <cell r="R418" t="str">
            <v>Huyện Nghĩa Hưng</v>
          </cell>
          <cell r="S418" t="str">
            <v>V.B</v>
          </cell>
          <cell r="T418" t="str">
            <v>(TT. Liễu Đề)</v>
          </cell>
          <cell r="U418">
            <v>106.18089999999999</v>
          </cell>
          <cell r="V418">
            <v>20.220099999999999</v>
          </cell>
          <cell r="W418">
            <v>0.1157</v>
          </cell>
        </row>
        <row r="419">
          <cell r="Q419" t="str">
            <v>41. Nam Định</v>
          </cell>
          <cell r="R419" t="str">
            <v>Huyện Trực Ninh</v>
          </cell>
          <cell r="S419" t="str">
            <v>V.B</v>
          </cell>
          <cell r="T419" t="str">
            <v>(TT. Cổ Lễ)</v>
          </cell>
          <cell r="U419">
            <v>106.2642</v>
          </cell>
          <cell r="V419">
            <v>20.3233</v>
          </cell>
          <cell r="W419">
            <v>0.11550000000000001</v>
          </cell>
        </row>
        <row r="420">
          <cell r="Q420" t="str">
            <v>41. Nam Định</v>
          </cell>
          <cell r="R420" t="str">
            <v>Huyện Vụ Bản</v>
          </cell>
          <cell r="S420" t="str">
            <v>IV.B</v>
          </cell>
          <cell r="T420" t="str">
            <v>(TT. Gôi)</v>
          </cell>
          <cell r="U420">
            <v>106.0727</v>
          </cell>
          <cell r="V420">
            <v>20.331600000000002</v>
          </cell>
          <cell r="W420">
            <v>0.1163</v>
          </cell>
        </row>
        <row r="421">
          <cell r="Q421" t="str">
            <v>41. Nam Định</v>
          </cell>
          <cell r="R421" t="str">
            <v>Huyện Xuân Trường</v>
          </cell>
          <cell r="S421" t="str">
            <v>V.B</v>
          </cell>
          <cell r="T421" t="str">
            <v>(TT. Xuân Ngọc)</v>
          </cell>
          <cell r="U421">
            <v>106.331</v>
          </cell>
          <cell r="V421">
            <v>20.2972</v>
          </cell>
          <cell r="W421">
            <v>0.1176</v>
          </cell>
        </row>
        <row r="422">
          <cell r="Q422" t="str">
            <v>41. Nam Định</v>
          </cell>
          <cell r="R422" t="str">
            <v>Huyện Ý Yên</v>
          </cell>
          <cell r="S422" t="str">
            <v>IV.B</v>
          </cell>
          <cell r="T422" t="str">
            <v>(TT. Lâm)</v>
          </cell>
          <cell r="U422">
            <v>106.0074</v>
          </cell>
          <cell r="V422">
            <v>20.3292</v>
          </cell>
          <cell r="W422">
            <v>0.1123</v>
          </cell>
        </row>
        <row r="423">
          <cell r="Q423" t="str">
            <v>42. Nghệ An</v>
          </cell>
          <cell r="R423" t="str">
            <v>Thành phố Vinh</v>
          </cell>
          <cell r="S423" t="str">
            <v>IV.B</v>
          </cell>
          <cell r="T423" t="str">
            <v>(P. Lê Mao)</v>
          </cell>
          <cell r="U423">
            <v>105.6814</v>
          </cell>
          <cell r="V423">
            <v>18.671199999999999</v>
          </cell>
          <cell r="W423">
            <v>0.1041</v>
          </cell>
        </row>
        <row r="424">
          <cell r="Q424" t="str">
            <v>42. Nghệ An</v>
          </cell>
          <cell r="R424" t="str">
            <v>Thị xã Cửa Lò</v>
          </cell>
          <cell r="S424" t="str">
            <v>IV.B</v>
          </cell>
          <cell r="T424" t="str">
            <v>(P. Nghi Thuỷ)</v>
          </cell>
          <cell r="U424">
            <v>105.7163</v>
          </cell>
          <cell r="V424">
            <v>18.819900000000001</v>
          </cell>
          <cell r="W424">
            <v>0.1071</v>
          </cell>
        </row>
        <row r="425">
          <cell r="Q425" t="str">
            <v>42. Nghệ An</v>
          </cell>
          <cell r="R425" t="str">
            <v>Huyện Anh Sơn</v>
          </cell>
          <cell r="S425" t="str">
            <v>I.A</v>
          </cell>
          <cell r="T425" t="str">
            <v>(TT. Anh Sơn)</v>
          </cell>
          <cell r="U425">
            <v>105.08320000000001</v>
          </cell>
          <cell r="V425">
            <v>18.930499999999999</v>
          </cell>
          <cell r="W425">
            <v>0.10730000000000001</v>
          </cell>
        </row>
        <row r="426">
          <cell r="Q426" t="str">
            <v>42. Nghệ An</v>
          </cell>
          <cell r="R426" t="str">
            <v>Huyện Con Cuông</v>
          </cell>
          <cell r="S426" t="str">
            <v>I.A</v>
          </cell>
          <cell r="T426" t="str">
            <v>(TT. Con Cuông)</v>
          </cell>
          <cell r="U426">
            <v>104.8801</v>
          </cell>
          <cell r="V426">
            <v>19.049600000000002</v>
          </cell>
          <cell r="W426">
            <v>0.11020000000000001</v>
          </cell>
        </row>
        <row r="427">
          <cell r="Q427" t="str">
            <v>42. Nghệ An</v>
          </cell>
          <cell r="R427" t="str">
            <v>Huyện Diễn Châu</v>
          </cell>
          <cell r="S427" t="str">
            <v>III.B</v>
          </cell>
          <cell r="T427" t="str">
            <v>(TT. Diễn Châu)</v>
          </cell>
          <cell r="U427">
            <v>105.59910000000001</v>
          </cell>
          <cell r="V427">
            <v>18.9771</v>
          </cell>
          <cell r="W427">
            <v>7.8799999999999995E-2</v>
          </cell>
        </row>
        <row r="428">
          <cell r="Q428" t="str">
            <v>42. Nghệ An</v>
          </cell>
          <cell r="R428" t="str">
            <v>Huyện Đô Lương</v>
          </cell>
          <cell r="S428" t="str">
            <v>II.B</v>
          </cell>
          <cell r="T428" t="str">
            <v>(TT. Đô Lương)</v>
          </cell>
          <cell r="U428">
            <v>105.3062</v>
          </cell>
          <cell r="V428">
            <v>18.9039</v>
          </cell>
          <cell r="W428">
            <v>0.10920000000000001</v>
          </cell>
        </row>
        <row r="429">
          <cell r="Q429" t="str">
            <v>42. Nghệ An</v>
          </cell>
          <cell r="R429" t="str">
            <v>Huyện Hưng Nguyên</v>
          </cell>
          <cell r="S429" t="str">
            <v>III.B</v>
          </cell>
          <cell r="T429" t="str">
            <v>(TT. Hưng Nguyên)</v>
          </cell>
          <cell r="U429">
            <v>105.6285</v>
          </cell>
          <cell r="V429">
            <v>18.671199999999999</v>
          </cell>
          <cell r="W429">
            <v>0.1037</v>
          </cell>
        </row>
        <row r="430">
          <cell r="Q430" t="str">
            <v>42. Nghệ An</v>
          </cell>
          <cell r="R430" t="str">
            <v>Huyện Kỳ Sơn</v>
          </cell>
          <cell r="S430" t="str">
            <v>I.A</v>
          </cell>
          <cell r="T430" t="str">
            <v>(TT. Mường Xén)</v>
          </cell>
          <cell r="U430">
            <v>104.1545</v>
          </cell>
          <cell r="V430">
            <v>19.3947</v>
          </cell>
          <cell r="W430">
            <v>8.8800000000000004E-2</v>
          </cell>
        </row>
        <row r="431">
          <cell r="Q431" t="str">
            <v>42. Nghệ An</v>
          </cell>
          <cell r="R431" t="str">
            <v>Huyện Nam Đàn</v>
          </cell>
          <cell r="S431" t="str">
            <v>II.B</v>
          </cell>
          <cell r="T431" t="str">
            <v>(TT. Nam Đàn)</v>
          </cell>
          <cell r="U431">
            <v>105.4922</v>
          </cell>
          <cell r="V431">
            <v>18.702100000000002</v>
          </cell>
          <cell r="W431">
            <v>0.1082</v>
          </cell>
        </row>
        <row r="432">
          <cell r="Q432" t="str">
            <v>42. Nghệ An</v>
          </cell>
          <cell r="R432" t="str">
            <v>Huyện Nghi Lộc</v>
          </cell>
          <cell r="S432" t="str">
            <v>IV.B</v>
          </cell>
          <cell r="T432" t="str">
            <v>(TT. Quán Hành)</v>
          </cell>
          <cell r="U432">
            <v>105.64570000000001</v>
          </cell>
          <cell r="V432">
            <v>18.783300000000001</v>
          </cell>
          <cell r="W432">
            <v>0.1086</v>
          </cell>
        </row>
        <row r="433">
          <cell r="Q433" t="str">
            <v>42. Nghệ An</v>
          </cell>
          <cell r="R433" t="str">
            <v>Huyện Nghĩa Đàn</v>
          </cell>
          <cell r="S433" t="str">
            <v>II.B</v>
          </cell>
          <cell r="T433" t="str">
            <v>(TT. Thái Hoà)</v>
          </cell>
          <cell r="U433">
            <v>105.4359</v>
          </cell>
          <cell r="V433">
            <v>19.325700000000001</v>
          </cell>
          <cell r="W433">
            <v>4.2700000000000002E-2</v>
          </cell>
        </row>
        <row r="434">
          <cell r="Q434" t="str">
            <v>42. Nghệ An</v>
          </cell>
          <cell r="R434" t="str">
            <v>Huyện Quế Phong</v>
          </cell>
          <cell r="S434" t="str">
            <v>I.A</v>
          </cell>
          <cell r="T434" t="str">
            <v>(TT. Kim Sơn)</v>
          </cell>
          <cell r="U434">
            <v>104.9242</v>
          </cell>
          <cell r="V434">
            <v>19.6144</v>
          </cell>
          <cell r="W434">
            <v>2.7699999999999999E-2</v>
          </cell>
        </row>
        <row r="435">
          <cell r="Q435" t="str">
            <v>42. Nghệ An</v>
          </cell>
          <cell r="R435" t="str">
            <v>Huyện Quỳ Châu</v>
          </cell>
          <cell r="S435" t="str">
            <v>I.A</v>
          </cell>
          <cell r="T435" t="str">
            <v>(TT. Quỳ Châu)</v>
          </cell>
          <cell r="U435">
            <v>105.0955</v>
          </cell>
          <cell r="V435">
            <v>19.548500000000001</v>
          </cell>
          <cell r="W435">
            <v>3.5000000000000003E-2</v>
          </cell>
        </row>
        <row r="436">
          <cell r="Q436" t="str">
            <v>42. Nghệ An</v>
          </cell>
          <cell r="R436" t="str">
            <v>Huyện Quỳ Hợp</v>
          </cell>
          <cell r="S436" t="str">
            <v>I.A</v>
          </cell>
          <cell r="T436" t="str">
            <v>(TT. Quỳ Hợp)</v>
          </cell>
          <cell r="U436">
            <v>105.1837</v>
          </cell>
          <cell r="V436">
            <v>19.325399999999998</v>
          </cell>
          <cell r="W436">
            <v>3.7400000000000003E-2</v>
          </cell>
        </row>
        <row r="437">
          <cell r="Q437" t="str">
            <v>42. Nghệ An</v>
          </cell>
          <cell r="R437" t="str">
            <v>Huyện Quỳnh Lưu</v>
          </cell>
          <cell r="S437" t="str">
            <v>III.B</v>
          </cell>
          <cell r="T437" t="str">
            <v>(TT. Cầu Giát)</v>
          </cell>
          <cell r="U437">
            <v>105.6306</v>
          </cell>
          <cell r="V437">
            <v>19.147500000000001</v>
          </cell>
          <cell r="W437">
            <v>3.9E-2</v>
          </cell>
        </row>
        <row r="438">
          <cell r="Q438" t="str">
            <v>42. Nghệ An</v>
          </cell>
          <cell r="R438" t="str">
            <v>Huyện Tân Kỳ</v>
          </cell>
          <cell r="S438" t="str">
            <v>I.A</v>
          </cell>
          <cell r="T438" t="str">
            <v>(TT. Tân Kỳ)</v>
          </cell>
          <cell r="U438">
            <v>105.26949999999999</v>
          </cell>
          <cell r="V438">
            <v>19.048999999999999</v>
          </cell>
          <cell r="W438">
            <v>8.8599999999999998E-2</v>
          </cell>
        </row>
        <row r="439">
          <cell r="Q439" t="str">
            <v>42. Nghệ An</v>
          </cell>
          <cell r="R439" t="str">
            <v>Huyện Thanh Chương</v>
          </cell>
          <cell r="S439" t="str">
            <v>I.A</v>
          </cell>
          <cell r="T439" t="str">
            <v>(TT. Thanh Chương)</v>
          </cell>
          <cell r="U439">
            <v>105.33629999999999</v>
          </cell>
          <cell r="V439">
            <v>18.785599999999999</v>
          </cell>
          <cell r="W439">
            <v>0.1071</v>
          </cell>
        </row>
        <row r="440">
          <cell r="Q440" t="str">
            <v>42. Nghệ An</v>
          </cell>
          <cell r="R440" t="str">
            <v>Huyện Tương Dương</v>
          </cell>
          <cell r="S440" t="str">
            <v>I.A</v>
          </cell>
          <cell r="T440" t="str">
            <v>(TT. Hoà Bình)</v>
          </cell>
          <cell r="U440">
            <v>104.4773</v>
          </cell>
          <cell r="V440">
            <v>19.259899999999998</v>
          </cell>
          <cell r="W440">
            <v>9.5399999999999999E-2</v>
          </cell>
        </row>
        <row r="441">
          <cell r="Q441" t="str">
            <v>42. Nghệ An</v>
          </cell>
          <cell r="R441" t="str">
            <v>Huyện Yên Thành</v>
          </cell>
          <cell r="S441" t="str">
            <v>II.B</v>
          </cell>
          <cell r="T441" t="str">
            <v>(TT. Yên Minh)</v>
          </cell>
          <cell r="U441">
            <v>105.4645</v>
          </cell>
          <cell r="V441">
            <v>18.997199999999999</v>
          </cell>
          <cell r="W441">
            <v>9.2399999999999996E-2</v>
          </cell>
        </row>
        <row r="442">
          <cell r="Q442" t="str">
            <v>43. Ninh Bình</v>
          </cell>
          <cell r="R442" t="str">
            <v>Thị xã Ninh Bình</v>
          </cell>
          <cell r="S442" t="str">
            <v>V.B</v>
          </cell>
          <cell r="T442" t="str">
            <v>(P. Thanh Bình)</v>
          </cell>
          <cell r="U442">
            <v>105.98180000000001</v>
          </cell>
          <cell r="V442">
            <v>20.2563</v>
          </cell>
          <cell r="W442">
            <v>9.8400000000000001E-2</v>
          </cell>
        </row>
        <row r="443">
          <cell r="Q443" t="str">
            <v>43. Ninh Bình</v>
          </cell>
          <cell r="R443" t="str">
            <v>Thị xã Tam Điệp</v>
          </cell>
          <cell r="S443" t="str">
            <v>V.B</v>
          </cell>
          <cell r="T443" t="str">
            <v>(P. Bắc Sơn)</v>
          </cell>
          <cell r="U443">
            <v>105.9191</v>
          </cell>
          <cell r="V443">
            <v>20.1571</v>
          </cell>
          <cell r="W443">
            <v>9.1999999999999998E-2</v>
          </cell>
        </row>
        <row r="444">
          <cell r="Q444" t="str">
            <v>43. Ninh Bình</v>
          </cell>
          <cell r="R444" t="str">
            <v>Huyện Gia Viễn</v>
          </cell>
          <cell r="S444" t="str">
            <v>IV.B</v>
          </cell>
          <cell r="T444" t="str">
            <v>(TT. Me)</v>
          </cell>
          <cell r="U444">
            <v>105.83459999999999</v>
          </cell>
          <cell r="V444">
            <v>20.3476</v>
          </cell>
          <cell r="W444">
            <v>7.2400000000000006E-2</v>
          </cell>
        </row>
        <row r="445">
          <cell r="Q445" t="str">
            <v>43. Ninh Bình</v>
          </cell>
          <cell r="R445" t="str">
            <v>Huyện Hoa Lư</v>
          </cell>
          <cell r="S445" t="str">
            <v>V.B</v>
          </cell>
          <cell r="T445" t="str">
            <v>(TT. Hoa Lư)</v>
          </cell>
          <cell r="U445">
            <v>105.9543</v>
          </cell>
          <cell r="V445">
            <v>20.299299999999999</v>
          </cell>
          <cell r="W445">
            <v>9.8299999999999998E-2</v>
          </cell>
        </row>
        <row r="446">
          <cell r="Q446" t="str">
            <v>43. Ninh Bình</v>
          </cell>
          <cell r="R446" t="str">
            <v>Huyện Kim Sơn</v>
          </cell>
          <cell r="S446" t="str">
            <v>V.B</v>
          </cell>
          <cell r="T446" t="str">
            <v>(TT. Phát Diệm)</v>
          </cell>
          <cell r="U446">
            <v>106.08459999999999</v>
          </cell>
          <cell r="V446">
            <v>20.091899999999999</v>
          </cell>
          <cell r="W446">
            <v>0.1053</v>
          </cell>
        </row>
        <row r="447">
          <cell r="Q447" t="str">
            <v>43. Ninh Bình</v>
          </cell>
          <cell r="R447" t="str">
            <v>Huyện Nho Quan</v>
          </cell>
          <cell r="S447" t="str">
            <v>III.B</v>
          </cell>
          <cell r="T447" t="str">
            <v>(TT. Nho Quan)</v>
          </cell>
          <cell r="U447">
            <v>105.75230000000001</v>
          </cell>
          <cell r="V447">
            <v>20.323399999999999</v>
          </cell>
          <cell r="W447">
            <v>8.2500000000000004E-2</v>
          </cell>
        </row>
        <row r="448">
          <cell r="Q448" t="str">
            <v>43. Ninh Bình</v>
          </cell>
          <cell r="R448" t="str">
            <v>Huyện Yên Khánh</v>
          </cell>
          <cell r="S448" t="str">
            <v>V.B</v>
          </cell>
          <cell r="T448" t="str">
            <v>(TT. Yên Ninh)</v>
          </cell>
          <cell r="U448">
            <v>106.062</v>
          </cell>
          <cell r="V448">
            <v>20.185700000000001</v>
          </cell>
          <cell r="W448">
            <v>0.1067</v>
          </cell>
        </row>
        <row r="449">
          <cell r="Q449" t="str">
            <v>43. Ninh Bình</v>
          </cell>
          <cell r="R449" t="str">
            <v>Huyện Yên Mô</v>
          </cell>
          <cell r="S449" t="str">
            <v>IV.B</v>
          </cell>
          <cell r="T449" t="str">
            <v>(TT. Yên Thịnh)</v>
          </cell>
          <cell r="U449">
            <v>106.0057</v>
          </cell>
          <cell r="V449">
            <v>20.162600000000001</v>
          </cell>
          <cell r="W449">
            <v>9.2299999999999993E-2</v>
          </cell>
        </row>
        <row r="450">
          <cell r="Q450" t="str">
            <v>44. Ninh Thuận</v>
          </cell>
          <cell r="R450" t="str">
            <v>Thị xã Phan Rang Tháp Chàm</v>
          </cell>
          <cell r="S450" t="str">
            <v>II.A</v>
          </cell>
          <cell r="T450" t="str">
            <v>(P. Mỹ Hương)</v>
          </cell>
          <cell r="U450">
            <v>108.9893</v>
          </cell>
          <cell r="V450">
            <v>11.567600000000001</v>
          </cell>
          <cell r="W450">
            <v>2.3099999999999999E-2</v>
          </cell>
        </row>
        <row r="451">
          <cell r="Q451" t="str">
            <v>44. Ninh Thuận</v>
          </cell>
          <cell r="R451" t="str">
            <v>Huyện Bác ái</v>
          </cell>
          <cell r="S451" t="str">
            <v>I.A</v>
          </cell>
          <cell r="T451" t="str">
            <v>(TT. Bác ái)</v>
          </cell>
          <cell r="U451">
            <v>108.8877</v>
          </cell>
          <cell r="V451">
            <v>11.8302</v>
          </cell>
          <cell r="W451">
            <v>3.2500000000000001E-2</v>
          </cell>
        </row>
        <row r="452">
          <cell r="Q452" t="str">
            <v>44. Ninh Thuận</v>
          </cell>
          <cell r="R452" t="str">
            <v>Huyện Ninh Hải</v>
          </cell>
          <cell r="S452" t="str">
            <v>II.A</v>
          </cell>
          <cell r="T452" t="str">
            <v>(TT. Khánh Hai)</v>
          </cell>
          <cell r="U452">
            <v>109.0365</v>
          </cell>
          <cell r="V452">
            <v>11.590400000000001</v>
          </cell>
          <cell r="W452">
            <v>2.4500000000000001E-2</v>
          </cell>
        </row>
        <row r="453">
          <cell r="Q453" t="str">
            <v>44. Ninh Thuận</v>
          </cell>
          <cell r="R453" t="str">
            <v>Huyện Ninh Phước</v>
          </cell>
          <cell r="S453" t="str">
            <v>II.A</v>
          </cell>
          <cell r="T453" t="str">
            <v>(TT. Phước Dân)</v>
          </cell>
          <cell r="U453">
            <v>108.9234</v>
          </cell>
          <cell r="V453">
            <v>11.522600000000001</v>
          </cell>
          <cell r="W453">
            <v>2.2200000000000001E-2</v>
          </cell>
        </row>
        <row r="454">
          <cell r="Q454" t="str">
            <v>44. Ninh Thuận</v>
          </cell>
          <cell r="R454" t="str">
            <v>Huyện Ninh Sơn</v>
          </cell>
          <cell r="S454" t="str">
            <v>I.A</v>
          </cell>
          <cell r="T454" t="str">
            <v>(TT. Tân Sơn)</v>
          </cell>
          <cell r="U454">
            <v>108.78440000000001</v>
          </cell>
          <cell r="V454">
            <v>11.7736</v>
          </cell>
          <cell r="W454">
            <v>3.6900000000000002E-2</v>
          </cell>
        </row>
        <row r="455">
          <cell r="Q455" t="str">
            <v>45. Phú Thọ</v>
          </cell>
          <cell r="R455" t="str">
            <v>Thành phố Việt Trì</v>
          </cell>
          <cell r="S455" t="str">
            <v>II.B</v>
          </cell>
          <cell r="T455" t="str">
            <v>(P. Thọ Sơn)</v>
          </cell>
          <cell r="U455">
            <v>105.4105</v>
          </cell>
          <cell r="V455">
            <v>21.305900000000001</v>
          </cell>
          <cell r="W455">
            <v>0.1128</v>
          </cell>
        </row>
        <row r="456">
          <cell r="Q456" t="str">
            <v>45. Phú Thọ</v>
          </cell>
          <cell r="R456" t="str">
            <v>Thị xã Phú Thọ</v>
          </cell>
          <cell r="S456" t="str">
            <v>II.B</v>
          </cell>
          <cell r="T456" t="str">
            <v>(P. Âu Cơ)</v>
          </cell>
          <cell r="U456">
            <v>105.2214</v>
          </cell>
          <cell r="V456">
            <v>21.401299999999999</v>
          </cell>
          <cell r="W456">
            <v>0.11600000000000001</v>
          </cell>
        </row>
        <row r="457">
          <cell r="Q457" t="str">
            <v>45. Phú Thọ</v>
          </cell>
          <cell r="R457" t="str">
            <v>Huyện Đoan Hùng</v>
          </cell>
          <cell r="S457" t="str">
            <v>II.B</v>
          </cell>
          <cell r="T457" t="str">
            <v>(TT. Đoan Hùng)</v>
          </cell>
          <cell r="U457">
            <v>105.179</v>
          </cell>
          <cell r="V457">
            <v>21.6328</v>
          </cell>
          <cell r="W457">
            <v>0.1089</v>
          </cell>
        </row>
        <row r="458">
          <cell r="Q458" t="str">
            <v>45. Phú Thọ</v>
          </cell>
          <cell r="R458" t="str">
            <v>Huyện Hạ Hoà</v>
          </cell>
          <cell r="S458" t="str">
            <v>I.A</v>
          </cell>
          <cell r="T458" t="str">
            <v>(TT. Hạ Hoà)</v>
          </cell>
          <cell r="U458">
            <v>105.0065</v>
          </cell>
          <cell r="V458">
            <v>21.5627</v>
          </cell>
          <cell r="W458">
            <v>0.1111</v>
          </cell>
        </row>
        <row r="459">
          <cell r="Q459" t="str">
            <v>45. Phú Thọ</v>
          </cell>
          <cell r="R459" t="str">
            <v>Huyện Lâm Thao</v>
          </cell>
          <cell r="S459" t="str">
            <v>II.B</v>
          </cell>
          <cell r="T459" t="str">
            <v>(TT. Lâm Thao)</v>
          </cell>
          <cell r="U459">
            <v>105.28189999999999</v>
          </cell>
          <cell r="V459">
            <v>21.3294</v>
          </cell>
          <cell r="W459">
            <v>0.10979999999999999</v>
          </cell>
        </row>
        <row r="460">
          <cell r="Q460" t="str">
            <v>45. Phú Thọ</v>
          </cell>
          <cell r="R460" t="str">
            <v>Huyện Phù Ninh</v>
          </cell>
          <cell r="S460" t="str">
            <v>II.B</v>
          </cell>
          <cell r="T460" t="str">
            <v>(TT. Phong Châu)</v>
          </cell>
          <cell r="U460">
            <v>105.3052</v>
          </cell>
          <cell r="V460">
            <v>21.4101</v>
          </cell>
          <cell r="W460">
            <v>0.1132</v>
          </cell>
        </row>
        <row r="461">
          <cell r="Q461" t="str">
            <v>45. Phú Thọ</v>
          </cell>
          <cell r="R461" t="str">
            <v>Huyện Sông Thao</v>
          </cell>
          <cell r="S461" t="str">
            <v>I.A</v>
          </cell>
          <cell r="T461" t="str">
            <v>(TT. Sông Thao)</v>
          </cell>
          <cell r="U461">
            <v>105.1326</v>
          </cell>
          <cell r="V461">
            <v>21.4222</v>
          </cell>
          <cell r="W461">
            <v>0.10879999999999999</v>
          </cell>
        </row>
        <row r="462">
          <cell r="Q462" t="str">
            <v>45. Phú Thọ</v>
          </cell>
          <cell r="R462" t="str">
            <v>Huyện Tam Nông</v>
          </cell>
          <cell r="S462" t="str">
            <v>II.B</v>
          </cell>
          <cell r="T462" t="str">
            <v>(TT. Hưng Hoá)</v>
          </cell>
          <cell r="U462">
            <v>105.2921</v>
          </cell>
          <cell r="V462">
            <v>21.2514</v>
          </cell>
          <cell r="W462">
            <v>0.10970000000000001</v>
          </cell>
        </row>
        <row r="463">
          <cell r="Q463" t="str">
            <v>45. Phú Thọ</v>
          </cell>
          <cell r="R463" t="str">
            <v>Huyện Thanh Ba</v>
          </cell>
          <cell r="S463" t="str">
            <v>II.B</v>
          </cell>
          <cell r="T463" t="str">
            <v>(TT. Thanh Ba)</v>
          </cell>
          <cell r="U463">
            <v>105.1407</v>
          </cell>
          <cell r="V463">
            <v>21.499099999999999</v>
          </cell>
          <cell r="W463">
            <v>0.11360000000000001</v>
          </cell>
        </row>
        <row r="464">
          <cell r="Q464" t="str">
            <v>45. Phú Thọ</v>
          </cell>
          <cell r="R464" t="str">
            <v>Huyện Thanh Sơn</v>
          </cell>
          <cell r="S464" t="str">
            <v>I.A</v>
          </cell>
          <cell r="T464" t="str">
            <v>(TT. Thanh Sơn)</v>
          </cell>
          <cell r="U464">
            <v>105.1797</v>
          </cell>
          <cell r="V464">
            <v>21.202400000000001</v>
          </cell>
          <cell r="W464">
            <v>6.8900000000000003E-2</v>
          </cell>
        </row>
        <row r="465">
          <cell r="Q465" t="str">
            <v>45. Phú Thọ</v>
          </cell>
          <cell r="R465" t="str">
            <v>Huyện Thanh Thuỷ</v>
          </cell>
          <cell r="S465" t="str">
            <v>II.B</v>
          </cell>
          <cell r="T465" t="str">
            <v>(TT. Thanh Thuỷ)</v>
          </cell>
          <cell r="U465">
            <v>105.2807</v>
          </cell>
          <cell r="V465">
            <v>21.170200000000001</v>
          </cell>
          <cell r="W465">
            <v>9.9699999999999997E-2</v>
          </cell>
        </row>
        <row r="466">
          <cell r="Q466" t="str">
            <v>45. Phú Thọ</v>
          </cell>
          <cell r="R466" t="str">
            <v>Huyện Yên Lập</v>
          </cell>
          <cell r="S466" t="str">
            <v>I.A</v>
          </cell>
          <cell r="T466" t="str">
            <v>(TT.Yên Lập)</v>
          </cell>
          <cell r="U466">
            <v>105.04810000000001</v>
          </cell>
          <cell r="V466">
            <v>21.353999999999999</v>
          </cell>
          <cell r="W466">
            <v>6.1699999999999998E-2</v>
          </cell>
        </row>
        <row r="467">
          <cell r="Q467" t="str">
            <v>46. Phú Yên</v>
          </cell>
          <cell r="R467" t="str">
            <v>Thị xã Tuy Hoà</v>
          </cell>
          <cell r="S467" t="str">
            <v>II.B</v>
          </cell>
          <cell r="T467" t="str">
            <v>(P. 1)</v>
          </cell>
          <cell r="U467">
            <v>109.3244</v>
          </cell>
          <cell r="V467">
            <v>13.0924</v>
          </cell>
          <cell r="W467">
            <v>6.9000000000000006E-2</v>
          </cell>
        </row>
        <row r="468">
          <cell r="Q468" t="str">
            <v>46. Phú Yên</v>
          </cell>
          <cell r="R468" t="str">
            <v>Huyện Đồng Xuân</v>
          </cell>
          <cell r="S468" t="str">
            <v>II.B</v>
          </cell>
          <cell r="T468" t="str">
            <v>(TT. La Hai)</v>
          </cell>
          <cell r="U468">
            <v>109.1065</v>
          </cell>
          <cell r="V468">
            <v>13.3787</v>
          </cell>
          <cell r="W468">
            <v>0.1095</v>
          </cell>
        </row>
        <row r="469">
          <cell r="Q469" t="str">
            <v>46. Phú Yên</v>
          </cell>
          <cell r="R469" t="str">
            <v>Huyện Phú Hòa</v>
          </cell>
          <cell r="S469" t="str">
            <v>II.B</v>
          </cell>
          <cell r="T469" t="str">
            <v>(Hoà Mỹ Đông)</v>
          </cell>
          <cell r="U469">
            <v>109.2269</v>
          </cell>
          <cell r="V469">
            <v>12.9527</v>
          </cell>
          <cell r="W469">
            <v>5.2299999999999999E-2</v>
          </cell>
        </row>
        <row r="470">
          <cell r="Q470" t="str">
            <v>46. Phú Yên</v>
          </cell>
          <cell r="R470" t="str">
            <v>Huyện Sông Cầu</v>
          </cell>
          <cell r="S470" t="str">
            <v>III.B</v>
          </cell>
          <cell r="T470" t="str">
            <v>(TT. Sông Cầu)</v>
          </cell>
          <cell r="U470">
            <v>109.22110000000001</v>
          </cell>
          <cell r="V470">
            <v>13.459</v>
          </cell>
          <cell r="W470">
            <v>0.1033</v>
          </cell>
        </row>
        <row r="471">
          <cell r="Q471" t="str">
            <v>46. Phú Yên</v>
          </cell>
          <cell r="R471" t="str">
            <v>Huyện Sông Hinh</v>
          </cell>
          <cell r="S471" t="str">
            <v>I.A</v>
          </cell>
          <cell r="T471" t="str">
            <v>(TT. Hai Riêng)</v>
          </cell>
          <cell r="U471">
            <v>108.9032</v>
          </cell>
          <cell r="V471">
            <v>12.986499999999999</v>
          </cell>
          <cell r="W471">
            <v>5.11E-2</v>
          </cell>
        </row>
        <row r="472">
          <cell r="Q472" t="str">
            <v>46. Phú Yên</v>
          </cell>
          <cell r="R472" t="str">
            <v>Huyện Sơn Hoà</v>
          </cell>
          <cell r="S472" t="str">
            <v>I.A</v>
          </cell>
          <cell r="T472" t="str">
            <v>(TT. Củng Sơn)</v>
          </cell>
          <cell r="U472">
            <v>108.9598</v>
          </cell>
          <cell r="V472">
            <v>13.0578</v>
          </cell>
          <cell r="W472">
            <v>7.1900000000000006E-2</v>
          </cell>
        </row>
        <row r="473">
          <cell r="Q473" t="str">
            <v>46. Phú Yên</v>
          </cell>
          <cell r="R473" t="str">
            <v>Huyện Tuy An</v>
          </cell>
          <cell r="S473" t="str">
            <v>II.B</v>
          </cell>
          <cell r="T473" t="str">
            <v>(TT. Chí Thạnh)</v>
          </cell>
          <cell r="U473">
            <v>109.21510000000001</v>
          </cell>
          <cell r="V473">
            <v>13.308</v>
          </cell>
          <cell r="W473">
            <v>0.1061</v>
          </cell>
        </row>
        <row r="474">
          <cell r="Q474" t="str">
            <v>46. Phú Yên</v>
          </cell>
          <cell r="R474" t="str">
            <v>Huyện Tuy Ho</v>
          </cell>
          <cell r="S474" t="str">
            <v>II.B</v>
          </cell>
          <cell r="T474" t="str">
            <v>(TT. Phú Lâm)</v>
          </cell>
          <cell r="U474">
            <v>109.3121</v>
          </cell>
          <cell r="V474">
            <v>13.066599999999999</v>
          </cell>
          <cell r="W474">
            <v>6.5600000000000006E-2</v>
          </cell>
        </row>
        <row r="475">
          <cell r="Q475" t="str">
            <v>47. Quảng Bình</v>
          </cell>
          <cell r="R475" t="str">
            <v>Thị xã Đồng Hới</v>
          </cell>
          <cell r="S475" t="str">
            <v>II.B</v>
          </cell>
          <cell r="T475" t="str">
            <v>(P. Hai Đình)</v>
          </cell>
          <cell r="U475">
            <v>106.6224</v>
          </cell>
          <cell r="V475">
            <v>17.465499999999999</v>
          </cell>
          <cell r="W475">
            <v>9.5000000000000001E-2</v>
          </cell>
        </row>
        <row r="476">
          <cell r="Q476" t="str">
            <v>47. Quảng Bình</v>
          </cell>
          <cell r="R476" t="str">
            <v>Huyện Bố Trạch</v>
          </cell>
          <cell r="S476" t="str">
            <v>II.B</v>
          </cell>
          <cell r="T476" t="str">
            <v>(TT. Hoàn Lão)</v>
          </cell>
          <cell r="U476">
            <v>106.5333</v>
          </cell>
          <cell r="V476">
            <v>17.587</v>
          </cell>
          <cell r="W476">
            <v>4.07E-2</v>
          </cell>
        </row>
        <row r="477">
          <cell r="Q477" t="str">
            <v>47. Quảng Bình</v>
          </cell>
          <cell r="R477" t="str">
            <v>Huyện Lệ Thuỷ</v>
          </cell>
          <cell r="S477" t="str">
            <v>II.B</v>
          </cell>
          <cell r="T477" t="str">
            <v>(TT. Kiến Giang)</v>
          </cell>
          <cell r="U477">
            <v>106.7856</v>
          </cell>
          <cell r="V477">
            <v>17.226099999999999</v>
          </cell>
          <cell r="W477">
            <v>3.1899999999999998E-2</v>
          </cell>
        </row>
        <row r="478">
          <cell r="Q478" t="str">
            <v>47. Quảng Bình</v>
          </cell>
          <cell r="R478" t="str">
            <v>Huyện Minh Hoá</v>
          </cell>
          <cell r="S478" t="str">
            <v>I.A</v>
          </cell>
          <cell r="T478" t="str">
            <v>(TT. Quy Đạt)</v>
          </cell>
          <cell r="U478">
            <v>105.9696</v>
          </cell>
          <cell r="V478">
            <v>17.815100000000001</v>
          </cell>
          <cell r="W478">
            <v>3.15E-2</v>
          </cell>
        </row>
        <row r="479">
          <cell r="Q479" t="str">
            <v>47. Quảng Bình</v>
          </cell>
          <cell r="R479" t="str">
            <v>Huyện Quảng Ninh</v>
          </cell>
          <cell r="S479" t="str">
            <v>II.B</v>
          </cell>
          <cell r="T479" t="str">
            <v>(TT. Quán Hầu)</v>
          </cell>
          <cell r="U479">
            <v>106.6378</v>
          </cell>
          <cell r="V479">
            <v>17.408000000000001</v>
          </cell>
          <cell r="W479">
            <v>2.6599999999999999E-2</v>
          </cell>
        </row>
        <row r="480">
          <cell r="Q480" t="str">
            <v>47. Quảng Bình</v>
          </cell>
          <cell r="R480" t="str">
            <v>Huyện Quảng Trạch</v>
          </cell>
          <cell r="S480" t="str">
            <v>II.B</v>
          </cell>
          <cell r="T480" t="str">
            <v>(TT. Ba Đồn)</v>
          </cell>
          <cell r="U480">
            <v>106.4247</v>
          </cell>
          <cell r="V480">
            <v>17.752400000000002</v>
          </cell>
          <cell r="W480">
            <v>4.3999999999999997E-2</v>
          </cell>
        </row>
        <row r="481">
          <cell r="Q481" t="str">
            <v>47. Quảng Bình</v>
          </cell>
          <cell r="R481" t="str">
            <v>Huyện Tuyên Hoá</v>
          </cell>
          <cell r="S481" t="str">
            <v>I.B</v>
          </cell>
          <cell r="T481" t="str">
            <v>(TT. Đồng Lê)</v>
          </cell>
          <cell r="U481">
            <v>106.0193</v>
          </cell>
          <cell r="V481">
            <v>17.883900000000001</v>
          </cell>
          <cell r="W481">
            <v>4.2599999999999999E-2</v>
          </cell>
        </row>
        <row r="482">
          <cell r="Q482" t="str">
            <v>48. Quảng Nam</v>
          </cell>
          <cell r="R482" t="str">
            <v>Thị xã Tam Kỳ</v>
          </cell>
          <cell r="S482" t="str">
            <v>III.B</v>
          </cell>
          <cell r="T482" t="str">
            <v>(P. An Xuân)</v>
          </cell>
          <cell r="U482">
            <v>108.4922</v>
          </cell>
          <cell r="V482">
            <v>15.5656</v>
          </cell>
          <cell r="W482">
            <v>8.0199999999999994E-2</v>
          </cell>
        </row>
        <row r="483">
          <cell r="Q483" t="str">
            <v>48. Quảng Nam</v>
          </cell>
          <cell r="R483" t="str">
            <v>Thị xã Hội An</v>
          </cell>
          <cell r="S483" t="str">
            <v>III.B</v>
          </cell>
          <cell r="T483" t="str">
            <v>(P. Minh An)</v>
          </cell>
          <cell r="U483">
            <v>108.3317</v>
          </cell>
          <cell r="V483">
            <v>15.8782</v>
          </cell>
          <cell r="W483">
            <v>3.2399999999999998E-2</v>
          </cell>
        </row>
        <row r="484">
          <cell r="Q484" t="str">
            <v>48. Quảng Nam</v>
          </cell>
          <cell r="R484" t="str">
            <v>Huyện Bắc Trà My</v>
          </cell>
          <cell r="S484" t="str">
            <v>II.A</v>
          </cell>
          <cell r="T484" t="str">
            <v>(TT. Trà My)</v>
          </cell>
          <cell r="U484">
            <v>108.2229</v>
          </cell>
          <cell r="V484">
            <v>15.343500000000001</v>
          </cell>
          <cell r="W484">
            <v>6.93E-2</v>
          </cell>
        </row>
        <row r="485">
          <cell r="Q485" t="str">
            <v>48. Quảng Nam</v>
          </cell>
          <cell r="R485" t="str">
            <v>Huyện Duy Xuyên</v>
          </cell>
          <cell r="S485" t="str">
            <v>II.B</v>
          </cell>
          <cell r="T485" t="str">
            <v>(TT. Nam Phước)</v>
          </cell>
          <cell r="U485">
            <v>108.2518</v>
          </cell>
          <cell r="V485">
            <v>15.825699999999999</v>
          </cell>
          <cell r="W485">
            <v>2.63E-2</v>
          </cell>
        </row>
        <row r="486">
          <cell r="Q486" t="str">
            <v>48. Quảng Nam</v>
          </cell>
          <cell r="R486" t="str">
            <v>Huyện Đại Lộc</v>
          </cell>
          <cell r="S486" t="str">
            <v>II.B</v>
          </cell>
          <cell r="T486" t="str">
            <v>(TT. ái Nghĩa)</v>
          </cell>
          <cell r="U486">
            <v>108.11369999999999</v>
          </cell>
          <cell r="V486">
            <v>15.882300000000001</v>
          </cell>
          <cell r="W486">
            <v>0.03</v>
          </cell>
        </row>
        <row r="487">
          <cell r="Q487" t="str">
            <v>48. Quảng Nam</v>
          </cell>
          <cell r="R487" t="str">
            <v>Huyện Điện Bàn</v>
          </cell>
          <cell r="S487" t="str">
            <v>II.B</v>
          </cell>
          <cell r="T487" t="str">
            <v>(TT. Vĩnh Điện)</v>
          </cell>
          <cell r="U487">
            <v>108.2467</v>
          </cell>
          <cell r="V487">
            <v>15.893599999999999</v>
          </cell>
          <cell r="W487">
            <v>3.4099999999999998E-2</v>
          </cell>
        </row>
        <row r="488">
          <cell r="Q488" t="str">
            <v>48. Quảng Nam</v>
          </cell>
          <cell r="R488" t="str">
            <v>Huyện Đông Giang</v>
          </cell>
          <cell r="S488" t="str">
            <v>I.A</v>
          </cell>
          <cell r="T488" t="str">
            <v>(TT. P Rao)</v>
          </cell>
          <cell r="U488">
            <v>107.65309999999999</v>
          </cell>
          <cell r="V488">
            <v>15.928100000000001</v>
          </cell>
          <cell r="W488">
            <v>5.4699999999999999E-2</v>
          </cell>
        </row>
        <row r="489">
          <cell r="Q489" t="str">
            <v>48. Quảng Nam</v>
          </cell>
          <cell r="R489" t="str">
            <v>Huyện Hiệp Đức</v>
          </cell>
          <cell r="S489" t="str">
            <v>II.B</v>
          </cell>
          <cell r="T489" t="str">
            <v>(TT. Tân An)</v>
          </cell>
          <cell r="U489">
            <v>108.11790000000001</v>
          </cell>
          <cell r="V489">
            <v>15.5823</v>
          </cell>
          <cell r="W489">
            <v>8.5999999999999993E-2</v>
          </cell>
        </row>
        <row r="490">
          <cell r="Q490" t="str">
            <v>48. Quảng Nam</v>
          </cell>
          <cell r="R490" t="str">
            <v>Huyện Nam Giang</v>
          </cell>
          <cell r="S490" t="str">
            <v>I.A</v>
          </cell>
          <cell r="T490" t="str">
            <v>(TT. Thạch Mỹ)</v>
          </cell>
          <cell r="U490">
            <v>107.8319</v>
          </cell>
          <cell r="V490">
            <v>15.750500000000001</v>
          </cell>
          <cell r="W490">
            <v>4.1700000000000001E-2</v>
          </cell>
        </row>
        <row r="491">
          <cell r="Q491" t="str">
            <v>48. Quảng Nam</v>
          </cell>
          <cell r="R491" t="str">
            <v>Huyện Nam Trà My</v>
          </cell>
          <cell r="S491" t="str">
            <v>II.A</v>
          </cell>
          <cell r="T491" t="str">
            <v>(Trà Mai)</v>
          </cell>
          <cell r="U491">
            <v>108.1127</v>
          </cell>
          <cell r="V491">
            <v>15.157400000000001</v>
          </cell>
          <cell r="W491">
            <v>6.2700000000000006E-2</v>
          </cell>
        </row>
        <row r="492">
          <cell r="Q492" t="str">
            <v>48. Quảng Nam</v>
          </cell>
          <cell r="R492" t="str">
            <v>Huyện Núi Thành</v>
          </cell>
          <cell r="S492" t="str">
            <v>III.B</v>
          </cell>
          <cell r="T492" t="str">
            <v>(TT. Núi Thành)</v>
          </cell>
          <cell r="U492">
            <v>108.6581</v>
          </cell>
          <cell r="V492">
            <v>15.4321</v>
          </cell>
          <cell r="W492">
            <v>5.8000000000000003E-2</v>
          </cell>
        </row>
        <row r="493">
          <cell r="Q493" t="str">
            <v>48. Quảng Nam</v>
          </cell>
          <cell r="R493" t="str">
            <v>Huyện Phước Sơn</v>
          </cell>
          <cell r="S493" t="str">
            <v>I.A</v>
          </cell>
          <cell r="T493" t="str">
            <v>(TT. Khâm Đức)</v>
          </cell>
          <cell r="U493">
            <v>107.7991</v>
          </cell>
          <cell r="V493">
            <v>15.459899999999999</v>
          </cell>
          <cell r="W493">
            <v>0.1017</v>
          </cell>
        </row>
        <row r="494">
          <cell r="Q494" t="str">
            <v>48. Quảng Nam</v>
          </cell>
          <cell r="R494" t="str">
            <v>Huyện Quế Sơn</v>
          </cell>
          <cell r="S494" t="str">
            <v>II.B</v>
          </cell>
          <cell r="T494" t="str">
            <v>(TT. Đông Phú)</v>
          </cell>
          <cell r="U494">
            <v>108.2192</v>
          </cell>
          <cell r="V494">
            <v>15.6736</v>
          </cell>
          <cell r="W494">
            <v>4.9299999999999997E-2</v>
          </cell>
        </row>
        <row r="495">
          <cell r="Q495" t="str">
            <v>48. Quảng Nam</v>
          </cell>
          <cell r="R495" t="str">
            <v>Huyện Tây Giang</v>
          </cell>
          <cell r="S495" t="str">
            <v>I.A</v>
          </cell>
          <cell r="T495" t="str">
            <v>(Plăng)</v>
          </cell>
          <cell r="U495">
            <v>107.47580000000001</v>
          </cell>
          <cell r="V495">
            <v>15.8583</v>
          </cell>
          <cell r="W495">
            <v>9.2399999999999996E-2</v>
          </cell>
        </row>
        <row r="496">
          <cell r="Q496" t="str">
            <v>48. Quảng Nam</v>
          </cell>
          <cell r="R496" t="str">
            <v>Huyện Thăng Bình</v>
          </cell>
          <cell r="S496" t="str">
            <v>III.B</v>
          </cell>
          <cell r="T496" t="str">
            <v>(TT. Hà Lam)</v>
          </cell>
          <cell r="U496">
            <v>108.3556</v>
          </cell>
          <cell r="V496">
            <v>15.742599999999999</v>
          </cell>
          <cell r="W496">
            <v>3.0099999999999998E-2</v>
          </cell>
        </row>
        <row r="497">
          <cell r="Q497" t="str">
            <v>48. Quảng Nam</v>
          </cell>
          <cell r="R497" t="str">
            <v>Huyện Tiên Phước</v>
          </cell>
          <cell r="S497" t="str">
            <v>II.B</v>
          </cell>
          <cell r="T497" t="str">
            <v>(TT. Tiên Kỳ)</v>
          </cell>
          <cell r="U497">
            <v>108.30670000000001</v>
          </cell>
          <cell r="V497">
            <v>15.489800000000001</v>
          </cell>
          <cell r="W497">
            <v>9.1899999999999996E-2</v>
          </cell>
        </row>
        <row r="498">
          <cell r="Q498" t="str">
            <v>49. Quảng Ngãi</v>
          </cell>
          <cell r="R498" t="str">
            <v>Thị xã Quảng Ngãi</v>
          </cell>
          <cell r="S498" t="str">
            <v>III.B</v>
          </cell>
          <cell r="T498" t="str">
            <v>(P. Trần Hưng Đạo)</v>
          </cell>
          <cell r="U498">
            <v>108.8009</v>
          </cell>
          <cell r="V498">
            <v>15.1225</v>
          </cell>
          <cell r="W498">
            <v>8.2400000000000001E-2</v>
          </cell>
        </row>
        <row r="499">
          <cell r="Q499" t="str">
            <v>49. Quảng Ngãi</v>
          </cell>
          <cell r="R499" t="str">
            <v>Huyện Ba Tơ</v>
          </cell>
          <cell r="S499" t="str">
            <v>II.B</v>
          </cell>
          <cell r="T499" t="str">
            <v>(TT. Ba Tơ)</v>
          </cell>
          <cell r="U499">
            <v>108.7376</v>
          </cell>
          <cell r="V499">
            <v>14.7681</v>
          </cell>
          <cell r="W499">
            <v>0.10680000000000001</v>
          </cell>
        </row>
        <row r="500">
          <cell r="Q500" t="str">
            <v>49. Quảng Ngãi</v>
          </cell>
          <cell r="R500" t="str">
            <v>Huyện Bình Sơn</v>
          </cell>
          <cell r="S500" t="str">
            <v>III.B</v>
          </cell>
          <cell r="T500" t="str">
            <v>(TT. Châu ổ)</v>
          </cell>
          <cell r="U500">
            <v>108.7572</v>
          </cell>
          <cell r="V500">
            <v>15.3001</v>
          </cell>
          <cell r="W500">
            <v>5.1900000000000002E-2</v>
          </cell>
        </row>
        <row r="501">
          <cell r="Q501" t="str">
            <v>49. Quảng Ngãi</v>
          </cell>
          <cell r="R501" t="str">
            <v>Huyện Đức Phổ</v>
          </cell>
          <cell r="S501" t="str">
            <v>III.B</v>
          </cell>
          <cell r="T501" t="str">
            <v>(TT. Đức Phổ)</v>
          </cell>
          <cell r="U501">
            <v>108.9563</v>
          </cell>
          <cell r="V501">
            <v>14.811999999999999</v>
          </cell>
          <cell r="W501">
            <v>0.106</v>
          </cell>
        </row>
        <row r="502">
          <cell r="Q502" t="str">
            <v>49. Quảng Ngãi</v>
          </cell>
          <cell r="R502" t="str">
            <v>Huyện Lý Sơn</v>
          </cell>
          <cell r="S502" t="str">
            <v>III.B</v>
          </cell>
          <cell r="T502" t="str">
            <v>(TT. Lý Sơn)</v>
          </cell>
          <cell r="U502">
            <v>109.11579999999999</v>
          </cell>
          <cell r="V502">
            <v>15.3751</v>
          </cell>
          <cell r="W502">
            <v>8.0199999999999994E-2</v>
          </cell>
        </row>
        <row r="503">
          <cell r="Q503" t="str">
            <v>49. Quảng Ngãi</v>
          </cell>
          <cell r="R503" t="str">
            <v>Huyện Minh Long</v>
          </cell>
          <cell r="S503" t="str">
            <v>II.B</v>
          </cell>
          <cell r="T503" t="str">
            <v>(TT. Long Hiệp)</v>
          </cell>
          <cell r="U503">
            <v>108.70050000000001</v>
          </cell>
          <cell r="V503">
            <v>14.931900000000001</v>
          </cell>
          <cell r="W503">
            <v>3.5000000000000003E-2</v>
          </cell>
        </row>
        <row r="504">
          <cell r="Q504" t="str">
            <v>49. Quảng Ngãi</v>
          </cell>
          <cell r="R504" t="str">
            <v>Huyện Mộ Đức</v>
          </cell>
          <cell r="S504" t="str">
            <v>II.B</v>
          </cell>
          <cell r="T504" t="str">
            <v>(TT. Mộ Đức)</v>
          </cell>
          <cell r="U504">
            <v>108.8875</v>
          </cell>
          <cell r="V504">
            <v>14.9575</v>
          </cell>
          <cell r="W504">
            <v>4.9299999999999997E-2</v>
          </cell>
        </row>
        <row r="505">
          <cell r="Q505" t="str">
            <v>49. Quảng Ngãi</v>
          </cell>
          <cell r="R505" t="str">
            <v>Huyện Nghĩa Hành</v>
          </cell>
          <cell r="S505" t="str">
            <v>II.B</v>
          </cell>
          <cell r="T505" t="str">
            <v>(TT. Chợ Chùa)</v>
          </cell>
          <cell r="U505">
            <v>108.7783</v>
          </cell>
          <cell r="V505">
            <v>15.048500000000001</v>
          </cell>
          <cell r="W505">
            <v>5.4199999999999998E-2</v>
          </cell>
        </row>
        <row r="506">
          <cell r="Q506" t="str">
            <v>49. Quảng Ngãi</v>
          </cell>
          <cell r="R506" t="str">
            <v>Huyện Sơn Hà</v>
          </cell>
          <cell r="S506" t="str">
            <v>II.B</v>
          </cell>
          <cell r="T506" t="str">
            <v>(TT. Di Lăng)</v>
          </cell>
          <cell r="U506">
            <v>108.4688</v>
          </cell>
          <cell r="V506">
            <v>15.041499999999999</v>
          </cell>
          <cell r="W506">
            <v>4.5699999999999998E-2</v>
          </cell>
        </row>
        <row r="507">
          <cell r="Q507" t="str">
            <v>49. Quảng Ngãi</v>
          </cell>
          <cell r="R507" t="str">
            <v>Huyện Sơn Tây</v>
          </cell>
          <cell r="S507" t="str">
            <v>II.B</v>
          </cell>
          <cell r="T507" t="str">
            <v>(Sơn Dung)</v>
          </cell>
          <cell r="U507">
            <v>108.33750000000001</v>
          </cell>
          <cell r="V507">
            <v>14.994300000000001</v>
          </cell>
          <cell r="W507">
            <v>3.0599999999999999E-2</v>
          </cell>
        </row>
        <row r="508">
          <cell r="Q508" t="str">
            <v>49. Quảng Ngãi</v>
          </cell>
          <cell r="R508" t="str">
            <v>Huyện Sơn Tịnh</v>
          </cell>
          <cell r="S508" t="str">
            <v>II.B</v>
          </cell>
          <cell r="T508" t="str">
            <v>(TT. Sơn Tịnh)</v>
          </cell>
          <cell r="U508">
            <v>108.79730000000001</v>
          </cell>
          <cell r="V508">
            <v>15.1562</v>
          </cell>
          <cell r="W508">
            <v>9.1200000000000003E-2</v>
          </cell>
        </row>
        <row r="509">
          <cell r="Q509" t="str">
            <v>49. Quảng Ngãi</v>
          </cell>
          <cell r="R509" t="str">
            <v>Huyện Tây Trà</v>
          </cell>
          <cell r="S509" t="str">
            <v>II.B</v>
          </cell>
          <cell r="T509" t="str">
            <v>(Sơn Dung)</v>
          </cell>
          <cell r="U509">
            <v>108.35639999999999</v>
          </cell>
          <cell r="V509">
            <v>15.1677</v>
          </cell>
          <cell r="W509">
            <v>8.8700000000000001E-2</v>
          </cell>
        </row>
        <row r="510">
          <cell r="Q510" t="str">
            <v>49. Quảng Ngãi</v>
          </cell>
          <cell r="R510" t="str">
            <v>Huyện Trà Bồng</v>
          </cell>
          <cell r="S510" t="str">
            <v>II.B</v>
          </cell>
          <cell r="T510" t="str">
            <v>(TT. Trà Xuân)</v>
          </cell>
          <cell r="U510">
            <v>108.5231</v>
          </cell>
          <cell r="V510">
            <v>15.2559</v>
          </cell>
          <cell r="W510">
            <v>8.0399999999999999E-2</v>
          </cell>
        </row>
        <row r="511">
          <cell r="Q511" t="str">
            <v>49. Quảng Ngãi</v>
          </cell>
          <cell r="R511" t="str">
            <v>Huyện Tư Nghĩa</v>
          </cell>
          <cell r="S511" t="str">
            <v>II.B</v>
          </cell>
          <cell r="T511" t="str">
            <v>(TT. La Hà)</v>
          </cell>
          <cell r="U511">
            <v>108.8258</v>
          </cell>
          <cell r="V511">
            <v>15.0899</v>
          </cell>
          <cell r="W511">
            <v>7.0699999999999999E-2</v>
          </cell>
        </row>
        <row r="512">
          <cell r="Q512" t="str">
            <v>50. Quảng Ninh</v>
          </cell>
          <cell r="R512" t="str">
            <v>Thành phố Hạ Long</v>
          </cell>
          <cell r="S512" t="str">
            <v>IV.B</v>
          </cell>
          <cell r="T512" t="str">
            <v>(P. Hồng Gai)</v>
          </cell>
          <cell r="U512">
            <v>107.0742</v>
          </cell>
          <cell r="V512">
            <v>20.948599999999999</v>
          </cell>
          <cell r="W512">
            <v>8.8200000000000001E-2</v>
          </cell>
        </row>
        <row r="513">
          <cell r="Q513" t="str">
            <v>50. Quảng Ninh</v>
          </cell>
          <cell r="R513" t="str">
            <v>Thị xã Cẩm Phả</v>
          </cell>
          <cell r="S513" t="str">
            <v>IV.B</v>
          </cell>
          <cell r="T513" t="str">
            <v>(P. Cẩm Thành)</v>
          </cell>
          <cell r="U513">
            <v>107.2782</v>
          </cell>
          <cell r="V513">
            <v>21.0122</v>
          </cell>
          <cell r="W513">
            <v>7.2099999999999997E-2</v>
          </cell>
        </row>
        <row r="514">
          <cell r="Q514" t="str">
            <v>50. Quảng Ninh</v>
          </cell>
          <cell r="R514" t="str">
            <v>Thị xã Móng Cái</v>
          </cell>
          <cell r="S514" t="str">
            <v>IV.B</v>
          </cell>
          <cell r="T514" t="str">
            <v>(P. Trần Phú)</v>
          </cell>
          <cell r="U514">
            <v>107.9704</v>
          </cell>
          <cell r="V514">
            <v>21.5304</v>
          </cell>
          <cell r="W514">
            <v>5.7700000000000001E-2</v>
          </cell>
        </row>
        <row r="515">
          <cell r="Q515" t="str">
            <v>50. Quảng Ninh</v>
          </cell>
          <cell r="R515" t="str">
            <v>Thị xã Uông Bí</v>
          </cell>
          <cell r="S515" t="str">
            <v>II.B</v>
          </cell>
          <cell r="T515" t="str">
            <v>(P. Trưng Vương)</v>
          </cell>
          <cell r="U515">
            <v>106.79179999999999</v>
          </cell>
          <cell r="V515">
            <v>21.032800000000002</v>
          </cell>
          <cell r="W515">
            <v>0.1142</v>
          </cell>
        </row>
        <row r="516">
          <cell r="Q516" t="str">
            <v>50. Quảng Ninh</v>
          </cell>
          <cell r="R516" t="str">
            <v>Huyện Ba Chẽ</v>
          </cell>
          <cell r="S516" t="str">
            <v>II.B</v>
          </cell>
          <cell r="T516" t="str">
            <v>(TT. Ba Chẽ)</v>
          </cell>
          <cell r="U516">
            <v>107.2796</v>
          </cell>
          <cell r="V516">
            <v>21.273</v>
          </cell>
          <cell r="W516">
            <v>0.10340000000000001</v>
          </cell>
        </row>
        <row r="517">
          <cell r="Q517" t="str">
            <v>50. Quảng Ninh</v>
          </cell>
          <cell r="R517" t="str">
            <v>Huyện Bình Liêu</v>
          </cell>
          <cell r="S517" t="str">
            <v>I.A</v>
          </cell>
          <cell r="T517" t="str">
            <v>(TT. Bình Liêu)</v>
          </cell>
          <cell r="U517">
            <v>107.396</v>
          </cell>
          <cell r="V517">
            <v>21.5246</v>
          </cell>
          <cell r="W517">
            <v>4.5499999999999999E-2</v>
          </cell>
        </row>
        <row r="518">
          <cell r="Q518" t="str">
            <v>50. Quảng Ninh</v>
          </cell>
          <cell r="R518" t="str">
            <v>Huyện Cô Tô</v>
          </cell>
          <cell r="S518" t="str">
            <v>IV.B</v>
          </cell>
          <cell r="T518" t="str">
            <v>(Đao)</v>
          </cell>
          <cell r="U518">
            <v>107.76479999999999</v>
          </cell>
          <cell r="V518">
            <v>20.971699999999998</v>
          </cell>
          <cell r="W518">
            <v>1.6500000000000001E-2</v>
          </cell>
        </row>
        <row r="519">
          <cell r="Q519" t="str">
            <v>50. Quảng Ninh</v>
          </cell>
          <cell r="R519" t="str">
            <v>Huyện Đầm Hà</v>
          </cell>
          <cell r="S519" t="str">
            <v>III.B</v>
          </cell>
          <cell r="T519" t="str">
            <v>(TT. Đầm Hà)</v>
          </cell>
          <cell r="U519">
            <v>107.59529999999999</v>
          </cell>
          <cell r="V519">
            <v>21.353400000000001</v>
          </cell>
          <cell r="W519">
            <v>6.8699999999999997E-2</v>
          </cell>
        </row>
        <row r="520">
          <cell r="Q520" t="str">
            <v>50. Quảng Ninh</v>
          </cell>
          <cell r="R520" t="str">
            <v>Huyện Đông Triều</v>
          </cell>
          <cell r="S520" t="str">
            <v>II.B</v>
          </cell>
          <cell r="T520" t="str">
            <v>(TT. Đông Triều)</v>
          </cell>
          <cell r="U520">
            <v>106.51349999999999</v>
          </cell>
          <cell r="V520">
            <v>21.082100000000001</v>
          </cell>
          <cell r="W520">
            <v>0.1118</v>
          </cell>
        </row>
        <row r="521">
          <cell r="Q521" t="str">
            <v>50. Quảng Ninh</v>
          </cell>
          <cell r="R521" t="str">
            <v>Huyện Hải Hà</v>
          </cell>
          <cell r="S521" t="str">
            <v>III.B</v>
          </cell>
          <cell r="T521" t="str">
            <v>(TT. Quang Hà)</v>
          </cell>
          <cell r="U521">
            <v>107.75360000000001</v>
          </cell>
          <cell r="V521">
            <v>21.450399999999998</v>
          </cell>
          <cell r="W521">
            <v>5.5800000000000002E-2</v>
          </cell>
        </row>
        <row r="522">
          <cell r="Q522" t="str">
            <v>50. Quảng Ninh</v>
          </cell>
          <cell r="R522" t="str">
            <v>Huyện Hải Ninh</v>
          </cell>
          <cell r="S522" t="str">
            <v>IV.B</v>
          </cell>
          <cell r="T522" t="str">
            <v>(TT. Quang Hà)</v>
          </cell>
          <cell r="U522">
            <v>107.75360000000001</v>
          </cell>
          <cell r="V522">
            <v>21.450399999999998</v>
          </cell>
          <cell r="W522">
            <v>5.5800000000000002E-2</v>
          </cell>
        </row>
        <row r="523">
          <cell r="Q523" t="str">
            <v>50. Quảng Ninh</v>
          </cell>
          <cell r="R523" t="str">
            <v>Huyện Hoành Bồ</v>
          </cell>
          <cell r="S523" t="str">
            <v>III.B</v>
          </cell>
          <cell r="T523" t="str">
            <v>(TT. Trới)</v>
          </cell>
          <cell r="U523">
            <v>106.9905</v>
          </cell>
          <cell r="V523">
            <v>21.028400000000001</v>
          </cell>
          <cell r="W523">
            <v>0.1082</v>
          </cell>
        </row>
        <row r="524">
          <cell r="Q524" t="str">
            <v>50. Quảng Ninh</v>
          </cell>
          <cell r="R524" t="str">
            <v>Huyện Tiên Yên</v>
          </cell>
          <cell r="S524" t="str">
            <v>III.B</v>
          </cell>
          <cell r="T524" t="str">
            <v>(TT. Tiên Yên)</v>
          </cell>
          <cell r="U524">
            <v>107.40389999999999</v>
          </cell>
          <cell r="V524">
            <v>21.3324</v>
          </cell>
          <cell r="W524">
            <v>7.8200000000000006E-2</v>
          </cell>
        </row>
        <row r="525">
          <cell r="Q525" t="str">
            <v>50. Quảng Ninh</v>
          </cell>
          <cell r="R525" t="str">
            <v>Huyện Vân Đồn</v>
          </cell>
          <cell r="S525" t="str">
            <v>IV.B</v>
          </cell>
          <cell r="T525" t="str">
            <v>(TT. Cái Rồng)</v>
          </cell>
          <cell r="U525">
            <v>107.4194</v>
          </cell>
          <cell r="V525">
            <v>21.073</v>
          </cell>
          <cell r="W525">
            <v>6.8900000000000003E-2</v>
          </cell>
        </row>
        <row r="526">
          <cell r="Q526" t="str">
            <v>50. Quảng Ninh</v>
          </cell>
          <cell r="R526" t="str">
            <v>Huyện Yên Hưng</v>
          </cell>
          <cell r="S526" t="str">
            <v>IV.B</v>
          </cell>
          <cell r="T526" t="str">
            <v>(TT. Quang Yên)</v>
          </cell>
          <cell r="U526">
            <v>106.79859999999999</v>
          </cell>
          <cell r="V526">
            <v>20.939599999999999</v>
          </cell>
          <cell r="W526">
            <v>0.122</v>
          </cell>
        </row>
        <row r="527">
          <cell r="Q527" t="str">
            <v>51. Quảng Trị</v>
          </cell>
          <cell r="R527" t="str">
            <v>Thị xã Đông Hà</v>
          </cell>
          <cell r="S527" t="str">
            <v>II.B</v>
          </cell>
          <cell r="T527" t="str">
            <v>(P. 1)</v>
          </cell>
          <cell r="U527">
            <v>107.0986</v>
          </cell>
          <cell r="V527">
            <v>16.823499999999999</v>
          </cell>
          <cell r="W527">
            <v>2.75E-2</v>
          </cell>
        </row>
        <row r="528">
          <cell r="Q528" t="str">
            <v>51. Quảng Trị</v>
          </cell>
          <cell r="R528" t="str">
            <v>Thị xã Quảng Trị</v>
          </cell>
          <cell r="S528" t="str">
            <v>II.B</v>
          </cell>
          <cell r="T528" t="str">
            <v>(P. 1)</v>
          </cell>
          <cell r="U528">
            <v>107.1872</v>
          </cell>
          <cell r="V528">
            <v>16.742100000000001</v>
          </cell>
          <cell r="W528">
            <v>3.0099999999999998E-2</v>
          </cell>
        </row>
        <row r="529">
          <cell r="Q529" t="str">
            <v>51. Quảng Trị</v>
          </cell>
          <cell r="R529" t="str">
            <v>Huyện Cam Lộ</v>
          </cell>
          <cell r="S529" t="str">
            <v>II.B</v>
          </cell>
          <cell r="T529" t="str">
            <v>(TT. Cam Lộ)</v>
          </cell>
          <cell r="U529">
            <v>107.0043</v>
          </cell>
          <cell r="V529">
            <v>16.809200000000001</v>
          </cell>
          <cell r="W529">
            <v>2.81E-2</v>
          </cell>
        </row>
        <row r="530">
          <cell r="Q530" t="str">
            <v>51. Quảng Trị</v>
          </cell>
          <cell r="R530" t="str">
            <v>Huyện Đa Krông</v>
          </cell>
          <cell r="S530" t="str">
            <v>II.B</v>
          </cell>
          <cell r="T530" t="str">
            <v>(TT. Đa Krông)</v>
          </cell>
          <cell r="U530">
            <v>106.8158</v>
          </cell>
          <cell r="V530">
            <v>16.66</v>
          </cell>
          <cell r="W530">
            <v>6.1199999999999997E-2</v>
          </cell>
        </row>
        <row r="531">
          <cell r="Q531" t="str">
            <v>51. Quảng Trị</v>
          </cell>
          <cell r="R531" t="str">
            <v>Huyện Gio Linh</v>
          </cell>
          <cell r="S531" t="str">
            <v>II.B</v>
          </cell>
          <cell r="T531" t="str">
            <v>(TT. Gio Linh)</v>
          </cell>
          <cell r="U531">
            <v>107.07599999999999</v>
          </cell>
          <cell r="V531">
            <v>16.933800000000002</v>
          </cell>
          <cell r="W531">
            <v>3.1699999999999999E-2</v>
          </cell>
        </row>
        <row r="532">
          <cell r="Q532" t="str">
            <v>51. Quảng Trị</v>
          </cell>
          <cell r="R532" t="str">
            <v>Huyện Hải Lăng</v>
          </cell>
          <cell r="S532" t="str">
            <v>II.B</v>
          </cell>
          <cell r="T532" t="str">
            <v>(TT. Hai Lăng)</v>
          </cell>
          <cell r="U532">
            <v>107.2461</v>
          </cell>
          <cell r="V532">
            <v>16.692499999999999</v>
          </cell>
          <cell r="W532">
            <v>3.49E-2</v>
          </cell>
        </row>
        <row r="533">
          <cell r="Q533" t="str">
            <v>51. Quảng Trị</v>
          </cell>
          <cell r="R533" t="str">
            <v>Huyện Hướng Hoá</v>
          </cell>
          <cell r="S533" t="str">
            <v>I.A</v>
          </cell>
          <cell r="T533" t="str">
            <v>(TT. Khe Sanh)</v>
          </cell>
          <cell r="U533">
            <v>106.72929999999999</v>
          </cell>
          <cell r="V533">
            <v>16.624700000000001</v>
          </cell>
          <cell r="W533">
            <v>5.3900000000000003E-2</v>
          </cell>
        </row>
        <row r="534">
          <cell r="Q534" t="str">
            <v>51. Quảng Trị</v>
          </cell>
          <cell r="R534" t="str">
            <v>Huyện Triệu Phong</v>
          </cell>
          <cell r="S534" t="str">
            <v>III.B</v>
          </cell>
          <cell r="T534" t="str">
            <v>(TT. ái Tử)</v>
          </cell>
          <cell r="U534">
            <v>107.1605</v>
          </cell>
          <cell r="V534">
            <v>16.775600000000001</v>
          </cell>
          <cell r="W534">
            <v>2.86E-2</v>
          </cell>
        </row>
        <row r="535">
          <cell r="Q535" t="str">
            <v>51. Quảng Trị</v>
          </cell>
          <cell r="R535" t="str">
            <v>Huyện Vĩnh Linh</v>
          </cell>
          <cell r="S535" t="str">
            <v>II.B</v>
          </cell>
          <cell r="T535" t="str">
            <v>(TT. Hồ Xá)</v>
          </cell>
          <cell r="U535">
            <v>107.0141</v>
          </cell>
          <cell r="V535">
            <v>17.060400000000001</v>
          </cell>
          <cell r="W535">
            <v>3.73E-2</v>
          </cell>
        </row>
        <row r="536">
          <cell r="Q536" t="str">
            <v>52. Sóc Trăng</v>
          </cell>
          <cell r="R536" t="str">
            <v>Thị xã Sóc Trăng</v>
          </cell>
          <cell r="S536" t="str">
            <v>I.A</v>
          </cell>
          <cell r="T536" t="str">
            <v>(P. 2)</v>
          </cell>
          <cell r="U536">
            <v>105.9722</v>
          </cell>
          <cell r="V536">
            <v>9.6052999999999997</v>
          </cell>
          <cell r="W536">
            <v>2.58E-2</v>
          </cell>
        </row>
        <row r="537">
          <cell r="Q537" t="str">
            <v>52. Sóc Trăng</v>
          </cell>
          <cell r="R537" t="str">
            <v>Huyện Cù Lao Dung</v>
          </cell>
          <cell r="S537" t="str">
            <v>I.A</v>
          </cell>
          <cell r="T537" t="str">
            <v>(TT. Vĩnh Châu)</v>
          </cell>
          <cell r="U537">
            <v>106.16289999999999</v>
          </cell>
          <cell r="V537">
            <v>9.6275999999999993</v>
          </cell>
          <cell r="W537">
            <v>5.5399999999999998E-2</v>
          </cell>
        </row>
        <row r="538">
          <cell r="Q538" t="str">
            <v>52. Sóc Trăng</v>
          </cell>
          <cell r="R538" t="str">
            <v>Huyện Kế Sách</v>
          </cell>
          <cell r="S538" t="str">
            <v>I.A</v>
          </cell>
          <cell r="T538" t="str">
            <v>(TT. Kế Sách)</v>
          </cell>
          <cell r="U538">
            <v>105.9838</v>
          </cell>
          <cell r="V538">
            <v>9.7691999999999997</v>
          </cell>
          <cell r="W538">
            <v>4.6399999999999997E-2</v>
          </cell>
        </row>
        <row r="539">
          <cell r="Q539" t="str">
            <v>52. Sóc Trăng</v>
          </cell>
          <cell r="R539" t="str">
            <v>Huyện Long Phú</v>
          </cell>
          <cell r="S539" t="str">
            <v>I.A</v>
          </cell>
          <cell r="T539" t="str">
            <v>(TT. Long Phú)</v>
          </cell>
          <cell r="U539">
            <v>106.12479999999999</v>
          </cell>
          <cell r="V539">
            <v>9.6079000000000008</v>
          </cell>
          <cell r="W539">
            <v>4.4600000000000001E-2</v>
          </cell>
        </row>
        <row r="540">
          <cell r="Q540" t="str">
            <v>52. Sóc Trăng</v>
          </cell>
          <cell r="R540" t="str">
            <v>Huyện Mỹ Tú</v>
          </cell>
          <cell r="S540" t="str">
            <v>I.A</v>
          </cell>
          <cell r="T540" t="str">
            <v>(TT. Huỳnh Hữu Nghĩa)</v>
          </cell>
          <cell r="U540">
            <v>105.80970000000001</v>
          </cell>
          <cell r="V540">
            <v>9.6367999999999991</v>
          </cell>
          <cell r="W540">
            <v>1.7299999999999999E-2</v>
          </cell>
        </row>
        <row r="541">
          <cell r="Q541" t="str">
            <v>52. Sóc Trăng</v>
          </cell>
          <cell r="R541" t="str">
            <v>Huyện Mỹ Xuyên</v>
          </cell>
          <cell r="S541" t="str">
            <v>I.A</v>
          </cell>
          <cell r="T541" t="str">
            <v>(TT. Mỹ Xuyên)</v>
          </cell>
          <cell r="U541">
            <v>105.9868</v>
          </cell>
          <cell r="V541">
            <v>9.5586000000000002</v>
          </cell>
          <cell r="W541">
            <v>2.5000000000000001E-2</v>
          </cell>
        </row>
        <row r="542">
          <cell r="Q542" t="str">
            <v>52. Sóc Trăng</v>
          </cell>
          <cell r="R542" t="str">
            <v>Huyện Ngã Năm</v>
          </cell>
          <cell r="S542" t="str">
            <v>I.A</v>
          </cell>
          <cell r="T542" t="str">
            <v>(TT. Ngã Năm)</v>
          </cell>
          <cell r="U542">
            <v>105.5963</v>
          </cell>
          <cell r="V542">
            <v>9.5662000000000003</v>
          </cell>
          <cell r="W542">
            <v>1.11E-2</v>
          </cell>
        </row>
        <row r="543">
          <cell r="Q543" t="str">
            <v>52. Sóc Trăng</v>
          </cell>
          <cell r="R543" t="str">
            <v>Huyện Thạnh Trị</v>
          </cell>
          <cell r="S543" t="str">
            <v>I.A</v>
          </cell>
          <cell r="T543" t="str">
            <v>(TT. Phú Lộc)</v>
          </cell>
          <cell r="U543">
            <v>105.74299999999999</v>
          </cell>
          <cell r="V543">
            <v>9.43</v>
          </cell>
          <cell r="W543">
            <v>1.6299999999999999E-2</v>
          </cell>
        </row>
        <row r="544">
          <cell r="Q544" t="str">
            <v>52. Sóc Trăng</v>
          </cell>
          <cell r="R544" t="str">
            <v>Huyện Vĩnh Châu</v>
          </cell>
          <cell r="S544" t="str">
            <v>I.A</v>
          </cell>
          <cell r="T544" t="str">
            <v>(TT. Vĩnh Châu)</v>
          </cell>
          <cell r="U544">
            <v>105.98</v>
          </cell>
          <cell r="V544">
            <v>9.3279999999999994</v>
          </cell>
          <cell r="W544">
            <v>3.9600000000000003E-2</v>
          </cell>
        </row>
        <row r="545">
          <cell r="Q545" t="str">
            <v>53. Sơn La</v>
          </cell>
          <cell r="R545" t="str">
            <v>Thị xã Sơn La</v>
          </cell>
          <cell r="S545" t="str">
            <v>II.A</v>
          </cell>
          <cell r="T545" t="str">
            <v>(P. Chiềng Lề)</v>
          </cell>
          <cell r="U545">
            <v>103.9106</v>
          </cell>
          <cell r="V545">
            <v>21.3323</v>
          </cell>
          <cell r="W545">
            <v>0.1893</v>
          </cell>
        </row>
        <row r="546">
          <cell r="Q546" t="str">
            <v>53. Sơn La</v>
          </cell>
          <cell r="R546" t="str">
            <v>Huyện Bắc Yên</v>
          </cell>
          <cell r="S546" t="str">
            <v>I.A</v>
          </cell>
          <cell r="T546" t="str">
            <v>(TT. Bắc Yên)</v>
          </cell>
          <cell r="U546">
            <v>104.4209</v>
          </cell>
          <cell r="V546">
            <v>21.247699999999998</v>
          </cell>
          <cell r="W546">
            <v>8.7099999999999997E-2</v>
          </cell>
        </row>
        <row r="547">
          <cell r="Q547" t="str">
            <v>53. Sơn La</v>
          </cell>
          <cell r="R547" t="str">
            <v>Huyện Mai Sơn</v>
          </cell>
          <cell r="S547" t="str">
            <v>I.A</v>
          </cell>
          <cell r="T547" t="str">
            <v>(TT. Hát Lót)</v>
          </cell>
          <cell r="U547">
            <v>104.1065</v>
          </cell>
          <cell r="V547">
            <v>21.1953</v>
          </cell>
          <cell r="W547">
            <v>0.1111</v>
          </cell>
        </row>
        <row r="548">
          <cell r="Q548" t="str">
            <v>53. Sơn La</v>
          </cell>
          <cell r="R548" t="str">
            <v>Huyện Mộc Châu</v>
          </cell>
          <cell r="S548" t="str">
            <v>I.A</v>
          </cell>
          <cell r="T548" t="str">
            <v>(TT. Mộc Châu)</v>
          </cell>
          <cell r="U548">
            <v>104.6237</v>
          </cell>
          <cell r="V548">
            <v>20.851700000000001</v>
          </cell>
          <cell r="W548">
            <v>0.1197</v>
          </cell>
        </row>
        <row r="549">
          <cell r="Q549" t="str">
            <v>53. Sơn La</v>
          </cell>
          <cell r="R549" t="str">
            <v>Huyện Mường La</v>
          </cell>
          <cell r="S549" t="str">
            <v>I.A</v>
          </cell>
          <cell r="T549" t="str">
            <v>(TT. Mường La)</v>
          </cell>
          <cell r="U549">
            <v>104.0273</v>
          </cell>
          <cell r="V549">
            <v>21.517099999999999</v>
          </cell>
          <cell r="W549">
            <v>0.10050000000000001</v>
          </cell>
        </row>
        <row r="550">
          <cell r="Q550" t="str">
            <v>53. Sơn La</v>
          </cell>
          <cell r="R550" t="str">
            <v>Huyện Phù Yên</v>
          </cell>
          <cell r="S550" t="str">
            <v>I.A</v>
          </cell>
          <cell r="T550" t="str">
            <v>(TT. Phù Yên)</v>
          </cell>
          <cell r="U550">
            <v>104.64530000000001</v>
          </cell>
          <cell r="V550">
            <v>21.2591</v>
          </cell>
          <cell r="W550">
            <v>8.2600000000000007E-2</v>
          </cell>
        </row>
        <row r="551">
          <cell r="Q551" t="str">
            <v>53. Sơn La</v>
          </cell>
          <cell r="R551" t="str">
            <v>Huyện Quỳnh Nhai</v>
          </cell>
          <cell r="S551" t="str">
            <v>I.A</v>
          </cell>
          <cell r="T551" t="str">
            <v>(TT. Quỳnh Nhai)</v>
          </cell>
          <cell r="U551">
            <v>103.5701</v>
          </cell>
          <cell r="V551">
            <v>21.850100000000001</v>
          </cell>
          <cell r="W551">
            <v>8.3199999999999996E-2</v>
          </cell>
        </row>
        <row r="552">
          <cell r="Q552" t="str">
            <v>53. Sơn La</v>
          </cell>
          <cell r="R552" t="str">
            <v>Huyện Sông Mã</v>
          </cell>
          <cell r="S552" t="str">
            <v>I.A</v>
          </cell>
          <cell r="T552" t="str">
            <v>(TT. Sông Mã)</v>
          </cell>
          <cell r="U552">
            <v>103.7478</v>
          </cell>
          <cell r="V552">
            <v>21.051600000000001</v>
          </cell>
          <cell r="W552">
            <v>0.1193</v>
          </cell>
        </row>
        <row r="553">
          <cell r="Q553" t="str">
            <v>53. Sơn La</v>
          </cell>
          <cell r="R553" t="str">
            <v>Huyện Sốp Cộp</v>
          </cell>
          <cell r="S553" t="str">
            <v>I.A</v>
          </cell>
          <cell r="T553" t="str">
            <v>(TT. Sốp Cộp)</v>
          </cell>
          <cell r="U553">
            <v>103.59950000000001</v>
          </cell>
          <cell r="V553">
            <v>20.939</v>
          </cell>
          <cell r="W553">
            <v>0.1183</v>
          </cell>
        </row>
        <row r="554">
          <cell r="Q554" t="str">
            <v>53. Sơn La</v>
          </cell>
          <cell r="R554" t="str">
            <v>Huyện Thuận Châu</v>
          </cell>
          <cell r="S554" t="str">
            <v>I.A</v>
          </cell>
          <cell r="T554" t="str">
            <v>(TT. Thuận Châu)</v>
          </cell>
          <cell r="U554">
            <v>103.6885</v>
          </cell>
          <cell r="V554">
            <v>21.437200000000001</v>
          </cell>
          <cell r="W554">
            <v>0.1318</v>
          </cell>
        </row>
        <row r="555">
          <cell r="Q555" t="str">
            <v>53. Sơn La</v>
          </cell>
          <cell r="R555" t="str">
            <v>Huyện Yên Châu</v>
          </cell>
          <cell r="S555" t="str">
            <v>I.A</v>
          </cell>
          <cell r="T555" t="str">
            <v>(TT. Yên Châu)</v>
          </cell>
          <cell r="U555">
            <v>104.29940000000001</v>
          </cell>
          <cell r="V555">
            <v>21.047699999999999</v>
          </cell>
          <cell r="W555">
            <v>0.1077</v>
          </cell>
        </row>
        <row r="556">
          <cell r="Q556" t="str">
            <v>54. Tây Ninh</v>
          </cell>
          <cell r="R556" t="str">
            <v>Thị xã Tây Ninh</v>
          </cell>
          <cell r="S556" t="str">
            <v>I.A</v>
          </cell>
          <cell r="T556" t="str">
            <v>(P. 2)</v>
          </cell>
          <cell r="U556">
            <v>106.086</v>
          </cell>
          <cell r="V556">
            <v>11.311500000000001</v>
          </cell>
          <cell r="W556">
            <v>5.7500000000000002E-2</v>
          </cell>
        </row>
        <row r="557">
          <cell r="Q557" t="str">
            <v>54. Tây Ninh</v>
          </cell>
          <cell r="R557" t="str">
            <v>Huyện Bến Cầu</v>
          </cell>
          <cell r="S557" t="str">
            <v>I.A</v>
          </cell>
          <cell r="T557" t="str">
            <v>(TT. Bến Cầu)</v>
          </cell>
          <cell r="U557">
            <v>106.1786</v>
          </cell>
          <cell r="V557">
            <v>11.1114</v>
          </cell>
          <cell r="W557">
            <v>6.3100000000000003E-2</v>
          </cell>
        </row>
        <row r="558">
          <cell r="Q558" t="str">
            <v>54. Tây Ninh</v>
          </cell>
          <cell r="R558" t="str">
            <v>Huyện Châu Thành</v>
          </cell>
          <cell r="S558" t="str">
            <v>I.A</v>
          </cell>
          <cell r="T558" t="str">
            <v>(TT. Châu Thành)</v>
          </cell>
          <cell r="U558">
            <v>106.02979999999999</v>
          </cell>
          <cell r="V558">
            <v>11.3133</v>
          </cell>
          <cell r="W558">
            <v>6.5000000000000002E-2</v>
          </cell>
        </row>
        <row r="559">
          <cell r="Q559" t="str">
            <v>54. Tây Ninh</v>
          </cell>
          <cell r="R559" t="str">
            <v>Huyện Dương Minh Châu</v>
          </cell>
          <cell r="S559" t="str">
            <v>I.A</v>
          </cell>
          <cell r="T559" t="str">
            <v>(TT. Dương Minh Châu)</v>
          </cell>
          <cell r="U559">
            <v>106.22</v>
          </cell>
          <cell r="V559">
            <v>11.3772</v>
          </cell>
          <cell r="W559">
            <v>6.4699999999999994E-2</v>
          </cell>
        </row>
        <row r="560">
          <cell r="Q560" t="str">
            <v>54. Tây Ninh</v>
          </cell>
          <cell r="R560" t="str">
            <v>Huyện Gò Dầu</v>
          </cell>
          <cell r="S560" t="str">
            <v>I.A</v>
          </cell>
          <cell r="T560" t="str">
            <v>(TT. Gò Dầu)</v>
          </cell>
          <cell r="U560">
            <v>106.26439999999999</v>
          </cell>
          <cell r="V560">
            <v>11.084</v>
          </cell>
          <cell r="W560">
            <v>5.7799999999999997E-2</v>
          </cell>
        </row>
        <row r="561">
          <cell r="Q561" t="str">
            <v>54. Tây Ninh</v>
          </cell>
          <cell r="R561" t="str">
            <v>Huyện Hoà Thành</v>
          </cell>
          <cell r="S561" t="str">
            <v>I.A</v>
          </cell>
          <cell r="T561" t="str">
            <v>(TT. Hoà Thành)</v>
          </cell>
          <cell r="U561">
            <v>106.12730000000001</v>
          </cell>
          <cell r="V561">
            <v>11.2883</v>
          </cell>
          <cell r="W561">
            <v>5.5100000000000003E-2</v>
          </cell>
        </row>
        <row r="562">
          <cell r="Q562" t="str">
            <v>54. Tây Ninh</v>
          </cell>
          <cell r="R562" t="str">
            <v>Huyện Tân Biên</v>
          </cell>
          <cell r="S562" t="str">
            <v>I.A</v>
          </cell>
          <cell r="T562" t="str">
            <v>(TT. Tân Biên)</v>
          </cell>
          <cell r="U562">
            <v>106.0048</v>
          </cell>
          <cell r="V562">
            <v>11.5436</v>
          </cell>
          <cell r="W562">
            <v>5.7000000000000002E-2</v>
          </cell>
        </row>
        <row r="563">
          <cell r="Q563" t="str">
            <v>54. Tây Ninh</v>
          </cell>
          <cell r="R563" t="str">
            <v>Huyện Tân Châu</v>
          </cell>
          <cell r="S563" t="str">
            <v>I.A</v>
          </cell>
          <cell r="T563" t="str">
            <v>(TT. Tân Châu)</v>
          </cell>
          <cell r="U563">
            <v>106.1614</v>
          </cell>
          <cell r="V563">
            <v>11.5541</v>
          </cell>
          <cell r="W563">
            <v>6.4699999999999994E-2</v>
          </cell>
        </row>
        <row r="564">
          <cell r="Q564" t="str">
            <v>54. Tây Ninh</v>
          </cell>
          <cell r="R564" t="str">
            <v>Huyện Trảng Bàng</v>
          </cell>
          <cell r="S564" t="str">
            <v>I.A</v>
          </cell>
          <cell r="T564" t="str">
            <v>(TT. Trang Bàng)</v>
          </cell>
          <cell r="U564">
            <v>106.3586</v>
          </cell>
          <cell r="V564">
            <v>11.031000000000001</v>
          </cell>
          <cell r="W564">
            <v>6.3399999999999998E-2</v>
          </cell>
        </row>
        <row r="565">
          <cell r="Q565" t="str">
            <v>55. Thái Bình</v>
          </cell>
          <cell r="R565" t="str">
            <v>Thành phố Thái Bình</v>
          </cell>
          <cell r="S565" t="str">
            <v>IV.B</v>
          </cell>
          <cell r="T565" t="str">
            <v>(P. Lê Hồng Phong)</v>
          </cell>
          <cell r="U565">
            <v>106.342</v>
          </cell>
          <cell r="V565">
            <v>20.4467</v>
          </cell>
          <cell r="W565">
            <v>0.1074</v>
          </cell>
        </row>
        <row r="566">
          <cell r="Q566" t="str">
            <v>55. Thái Bình</v>
          </cell>
          <cell r="R566" t="str">
            <v>Huyện Đông Hưng</v>
          </cell>
          <cell r="S566" t="str">
            <v>IV.B</v>
          </cell>
          <cell r="T566" t="str">
            <v>(TT. Đông Hưng)</v>
          </cell>
          <cell r="U566">
            <v>106.3533</v>
          </cell>
          <cell r="V566">
            <v>20.557600000000001</v>
          </cell>
          <cell r="W566">
            <v>7.6600000000000001E-2</v>
          </cell>
        </row>
        <row r="567">
          <cell r="Q567" t="str">
            <v>55. Thái Bình</v>
          </cell>
          <cell r="R567" t="str">
            <v>Huyện Hưng Hà</v>
          </cell>
          <cell r="S567" t="str">
            <v>IV.B</v>
          </cell>
          <cell r="T567" t="str">
            <v>(TT. Hưng Hà)</v>
          </cell>
          <cell r="U567">
            <v>106.22410000000001</v>
          </cell>
          <cell r="V567">
            <v>20.590800000000002</v>
          </cell>
          <cell r="W567">
            <v>0.1032</v>
          </cell>
        </row>
        <row r="568">
          <cell r="Q568" t="str">
            <v>55. Thái Bình</v>
          </cell>
          <cell r="R568" t="str">
            <v>Huyện Kiến Xương</v>
          </cell>
          <cell r="S568" t="str">
            <v>V.B</v>
          </cell>
          <cell r="T568" t="str">
            <v>(TT. Kiến Xương)</v>
          </cell>
          <cell r="U568">
            <v>106.43680000000001</v>
          </cell>
          <cell r="V568">
            <v>20.389399999999998</v>
          </cell>
          <cell r="W568">
            <v>0.1012</v>
          </cell>
        </row>
        <row r="569">
          <cell r="Q569" t="str">
            <v>55. Thái Bình</v>
          </cell>
          <cell r="R569" t="str">
            <v>Huyện Quỳnh Phụ</v>
          </cell>
          <cell r="S569" t="str">
            <v>IV.B</v>
          </cell>
          <cell r="T569" t="str">
            <v>(TT. Quỳnh Côi)</v>
          </cell>
          <cell r="U569">
            <v>106.3274</v>
          </cell>
          <cell r="V569">
            <v>20.6615</v>
          </cell>
          <cell r="W569">
            <v>6.1699999999999998E-2</v>
          </cell>
        </row>
        <row r="570">
          <cell r="Q570" t="str">
            <v>55. Thái Bình</v>
          </cell>
          <cell r="R570" t="str">
            <v>Huyện Thái Thuỵ</v>
          </cell>
          <cell r="S570" t="str">
            <v>V.B</v>
          </cell>
          <cell r="T570" t="str">
            <v>(TT. Diêm Điền)</v>
          </cell>
          <cell r="U570">
            <v>106.5663</v>
          </cell>
          <cell r="V570">
            <v>20.561299999999999</v>
          </cell>
          <cell r="W570">
            <v>5.2299999999999999E-2</v>
          </cell>
        </row>
        <row r="571">
          <cell r="Q571" t="str">
            <v>55. Thái Bình</v>
          </cell>
          <cell r="R571" t="str">
            <v>Huyện Tiền Hải</v>
          </cell>
          <cell r="S571" t="str">
            <v>V.B</v>
          </cell>
          <cell r="T571" t="str">
            <v>(TT. Tiền Hai)</v>
          </cell>
          <cell r="U571">
            <v>106.5029</v>
          </cell>
          <cell r="V571">
            <v>20.4055</v>
          </cell>
          <cell r="W571">
            <v>7.7700000000000005E-2</v>
          </cell>
        </row>
        <row r="572">
          <cell r="Q572" t="str">
            <v>55. Thái Bình</v>
          </cell>
          <cell r="R572" t="str">
            <v>Huyện Vũ Thư</v>
          </cell>
          <cell r="S572" t="str">
            <v>IV.B</v>
          </cell>
          <cell r="T572" t="str">
            <v>(TT. Vũ Thư)</v>
          </cell>
          <cell r="U572">
            <v>106.2962</v>
          </cell>
          <cell r="V572">
            <v>20.4361</v>
          </cell>
          <cell r="W572">
            <v>0.11260000000000001</v>
          </cell>
        </row>
        <row r="573">
          <cell r="Q573" t="str">
            <v>56. Thái Nguyên</v>
          </cell>
          <cell r="R573" t="str">
            <v>Thành phố Thái Nguyên</v>
          </cell>
          <cell r="S573" t="str">
            <v>II.B</v>
          </cell>
          <cell r="T573" t="str">
            <v>(P. Trưng Vương)</v>
          </cell>
          <cell r="U573">
            <v>105.8437</v>
          </cell>
          <cell r="V573">
            <v>21.596699999999998</v>
          </cell>
          <cell r="W573">
            <v>9.2799999999999994E-2</v>
          </cell>
        </row>
        <row r="574">
          <cell r="Q574" t="str">
            <v>56. Thái Nguyên</v>
          </cell>
          <cell r="R574" t="str">
            <v>Thị xã Sông Công</v>
          </cell>
          <cell r="S574" t="str">
            <v>II.B</v>
          </cell>
          <cell r="T574" t="str">
            <v>(P. Tân Quang)</v>
          </cell>
          <cell r="U574">
            <v>105.8506</v>
          </cell>
          <cell r="V574">
            <v>21.482500000000002</v>
          </cell>
          <cell r="W574">
            <v>8.5599999999999996E-2</v>
          </cell>
        </row>
        <row r="575">
          <cell r="Q575" t="str">
            <v>56. Thái Nguyên</v>
          </cell>
          <cell r="R575" t="str">
            <v>Huyện Đại Từ</v>
          </cell>
          <cell r="S575" t="str">
            <v>II.A</v>
          </cell>
          <cell r="T575" t="str">
            <v>(TT. Đại Từ)</v>
          </cell>
          <cell r="U575">
            <v>105.6416</v>
          </cell>
          <cell r="V575">
            <v>21.630299999999998</v>
          </cell>
          <cell r="W575">
            <v>0.11849999999999999</v>
          </cell>
        </row>
        <row r="576">
          <cell r="Q576" t="str">
            <v>56. Thái Nguyên</v>
          </cell>
          <cell r="R576" t="str">
            <v>Huyện Định Hoá</v>
          </cell>
          <cell r="S576" t="str">
            <v>I.A</v>
          </cell>
          <cell r="T576" t="str">
            <v>(TT. Chợ Chu)</v>
          </cell>
          <cell r="U576">
            <v>105.6459</v>
          </cell>
          <cell r="V576">
            <v>21.909500000000001</v>
          </cell>
          <cell r="W576">
            <v>4.6800000000000001E-2</v>
          </cell>
        </row>
        <row r="577">
          <cell r="Q577" t="str">
            <v>56. Thái Nguyên</v>
          </cell>
          <cell r="R577" t="str">
            <v>Huyện Đồng Hỷ</v>
          </cell>
          <cell r="S577" t="str">
            <v>II.B</v>
          </cell>
          <cell r="T577" t="str">
            <v>(TT. Chùa Hang)</v>
          </cell>
          <cell r="U577">
            <v>105.83929999999999</v>
          </cell>
          <cell r="V577">
            <v>21.627400000000002</v>
          </cell>
          <cell r="W577">
            <v>9.5299999999999996E-2</v>
          </cell>
        </row>
        <row r="578">
          <cell r="Q578" t="str">
            <v>56. Thái Nguyên</v>
          </cell>
          <cell r="R578" t="str">
            <v>Huyện Phổ Yên</v>
          </cell>
          <cell r="S578" t="str">
            <v>II.B</v>
          </cell>
          <cell r="T578" t="str">
            <v>(TT. Ba Hàng)</v>
          </cell>
          <cell r="U578">
            <v>105.87779999999999</v>
          </cell>
          <cell r="V578">
            <v>21.414100000000001</v>
          </cell>
          <cell r="W578">
            <v>9.4500000000000001E-2</v>
          </cell>
        </row>
        <row r="579">
          <cell r="Q579" t="str">
            <v>56. Thái Nguyên</v>
          </cell>
          <cell r="R579" t="str">
            <v>Huyện Phú Bình</v>
          </cell>
          <cell r="S579" t="str">
            <v>II.B</v>
          </cell>
          <cell r="T579" t="str">
            <v>(TT. úc Sơn)</v>
          </cell>
          <cell r="U579">
            <v>105.97750000000001</v>
          </cell>
          <cell r="V579">
            <v>21.459700000000002</v>
          </cell>
          <cell r="W579">
            <v>6.4600000000000005E-2</v>
          </cell>
        </row>
        <row r="580">
          <cell r="Q580" t="str">
            <v>56. Thái Nguyên</v>
          </cell>
          <cell r="R580" t="str">
            <v>Huyện Phú Lương</v>
          </cell>
          <cell r="S580" t="str">
            <v>I.A</v>
          </cell>
          <cell r="T580" t="str">
            <v>(TT. Đu)</v>
          </cell>
          <cell r="U580">
            <v>105.7037</v>
          </cell>
          <cell r="V580">
            <v>21.731300000000001</v>
          </cell>
          <cell r="W580">
            <v>0.1032</v>
          </cell>
        </row>
        <row r="581">
          <cell r="Q581" t="str">
            <v>56. Thái Nguyên</v>
          </cell>
          <cell r="R581" t="str">
            <v>Huyện Võ Nhai</v>
          </cell>
          <cell r="S581" t="str">
            <v>I.A</v>
          </cell>
          <cell r="T581" t="str">
            <v>(TT. Đình Ca)</v>
          </cell>
          <cell r="U581">
            <v>106.0762</v>
          </cell>
          <cell r="V581">
            <v>21.751000000000001</v>
          </cell>
          <cell r="W581">
            <v>4.5100000000000001E-2</v>
          </cell>
        </row>
        <row r="582">
          <cell r="Q582" t="str">
            <v>57. Thanh Hóa</v>
          </cell>
          <cell r="R582" t="str">
            <v>Thành phố Thanh Hoá</v>
          </cell>
          <cell r="S582" t="str">
            <v>IV.B</v>
          </cell>
          <cell r="T582" t="str">
            <v>(P. Điện Biên)</v>
          </cell>
          <cell r="U582">
            <v>105.77800000000001</v>
          </cell>
          <cell r="V582">
            <v>19.8126</v>
          </cell>
          <cell r="W582">
            <v>9.1800000000000007E-2</v>
          </cell>
        </row>
        <row r="583">
          <cell r="Q583" t="str">
            <v>57. Thanh Hóa</v>
          </cell>
          <cell r="R583" t="str">
            <v>Thị xã Bỉm Sơn</v>
          </cell>
          <cell r="S583" t="str">
            <v>IV.B</v>
          </cell>
          <cell r="T583" t="str">
            <v>(P. Bắc Sơn)</v>
          </cell>
          <cell r="U583">
            <v>105.85720000000001</v>
          </cell>
          <cell r="V583">
            <v>20.099799999999998</v>
          </cell>
          <cell r="W583">
            <v>0.1205</v>
          </cell>
        </row>
        <row r="584">
          <cell r="Q584" t="str">
            <v>57. Thanh Hóa</v>
          </cell>
          <cell r="R584" t="str">
            <v>Thị xã Sầm Sơn</v>
          </cell>
          <cell r="S584" t="str">
            <v>IV.B</v>
          </cell>
          <cell r="T584" t="str">
            <v>(P. Bắc Sơn)</v>
          </cell>
          <cell r="U584">
            <v>105.89749999999999</v>
          </cell>
          <cell r="V584">
            <v>19.737400000000001</v>
          </cell>
          <cell r="W584">
            <v>7.9799999999999996E-2</v>
          </cell>
        </row>
        <row r="585">
          <cell r="Q585" t="str">
            <v>57. Thanh Hóa</v>
          </cell>
          <cell r="R585" t="str">
            <v>Huyện Bá Thước</v>
          </cell>
          <cell r="S585" t="str">
            <v>I.A</v>
          </cell>
          <cell r="T585" t="str">
            <v>(TT. Cành Nàng)</v>
          </cell>
          <cell r="U585">
            <v>105.2334</v>
          </cell>
          <cell r="V585">
            <v>20.346</v>
          </cell>
          <cell r="W585">
            <v>0.11840000000000001</v>
          </cell>
        </row>
        <row r="586">
          <cell r="Q586" t="str">
            <v>57. Thanh Hóa</v>
          </cell>
          <cell r="R586" t="str">
            <v>Huyện Cẩm Thuỷ</v>
          </cell>
          <cell r="S586" t="str">
            <v>II.B</v>
          </cell>
          <cell r="T586" t="str">
            <v>(TT. Cẩm Thuỷ)</v>
          </cell>
          <cell r="U586">
            <v>105.4752</v>
          </cell>
          <cell r="V586">
            <v>20.2163</v>
          </cell>
          <cell r="W586">
            <v>0.1172</v>
          </cell>
        </row>
        <row r="587">
          <cell r="Q587" t="str">
            <v>57. Thanh Hóa</v>
          </cell>
          <cell r="R587" t="str">
            <v>Huyện Đông Sơn</v>
          </cell>
          <cell r="S587" t="str">
            <v>III.B</v>
          </cell>
          <cell r="T587" t="str">
            <v>(TT. Rừng Thông )</v>
          </cell>
          <cell r="U587">
            <v>105.7332</v>
          </cell>
          <cell r="V587">
            <v>19.816099999999999</v>
          </cell>
          <cell r="W587">
            <v>9.2899999999999996E-2</v>
          </cell>
        </row>
        <row r="588">
          <cell r="Q588" t="str">
            <v>57. Thanh Hóa</v>
          </cell>
          <cell r="R588" t="str">
            <v>Huyện Hà Trung</v>
          </cell>
          <cell r="S588" t="str">
            <v>IV.B</v>
          </cell>
          <cell r="T588" t="str">
            <v>(TT. Hà Trung)</v>
          </cell>
          <cell r="U588">
            <v>105.8519</v>
          </cell>
          <cell r="V588">
            <v>20.011600000000001</v>
          </cell>
          <cell r="W588">
            <v>0.1439</v>
          </cell>
        </row>
        <row r="589">
          <cell r="Q589" t="str">
            <v>57. Thanh Hóa</v>
          </cell>
          <cell r="R589" t="str">
            <v>Huyện Hậu Lộc</v>
          </cell>
          <cell r="S589" t="str">
            <v>IV.B</v>
          </cell>
          <cell r="T589" t="str">
            <v>(TT. Hậu Lộc)</v>
          </cell>
          <cell r="U589">
            <v>105.8903</v>
          </cell>
          <cell r="V589">
            <v>19.916799999999999</v>
          </cell>
          <cell r="W589">
            <v>0.12609999999999999</v>
          </cell>
        </row>
        <row r="590">
          <cell r="Q590" t="str">
            <v>57. Thanh Hóa</v>
          </cell>
          <cell r="R590" t="str">
            <v>Huyện Hoằng Hoá</v>
          </cell>
          <cell r="S590" t="str">
            <v>IV.B</v>
          </cell>
          <cell r="T590" t="str">
            <v>(TT. Bút Sơn)</v>
          </cell>
          <cell r="U590">
            <v>105.85380000000001</v>
          </cell>
          <cell r="V590">
            <v>19.861999999999998</v>
          </cell>
          <cell r="W590">
            <v>0.10539999999999999</v>
          </cell>
        </row>
        <row r="591">
          <cell r="Q591" t="str">
            <v>57. Thanh Hóa</v>
          </cell>
          <cell r="R591" t="str">
            <v>Huyện Lang Chánh</v>
          </cell>
          <cell r="S591" t="str">
            <v>I.A</v>
          </cell>
          <cell r="T591" t="str">
            <v>(TT. Lang Chánh)</v>
          </cell>
          <cell r="U591">
            <v>105.24290000000001</v>
          </cell>
          <cell r="V591">
            <v>20.155000000000001</v>
          </cell>
          <cell r="W591">
            <v>0.1051</v>
          </cell>
        </row>
        <row r="592">
          <cell r="Q592" t="str">
            <v>57. Thanh Hóa</v>
          </cell>
          <cell r="R592" t="str">
            <v>Huyện Mường Lát</v>
          </cell>
          <cell r="S592" t="str">
            <v>I.A</v>
          </cell>
          <cell r="T592" t="str">
            <v>(TT. Mường Lát)</v>
          </cell>
          <cell r="U592">
            <v>104.6083</v>
          </cell>
          <cell r="V592">
            <v>20.538599999999999</v>
          </cell>
          <cell r="W592">
            <v>0.1053</v>
          </cell>
        </row>
        <row r="593">
          <cell r="Q593" t="str">
            <v>57. Thanh Hóa</v>
          </cell>
          <cell r="R593" t="str">
            <v>Huyện Nga Sơn</v>
          </cell>
          <cell r="S593" t="str">
            <v>V.B</v>
          </cell>
          <cell r="T593" t="str">
            <v>(TT. Nga Sơn)</v>
          </cell>
          <cell r="U593">
            <v>105.9708</v>
          </cell>
          <cell r="V593">
            <v>20.008400000000002</v>
          </cell>
          <cell r="W593">
            <v>0.12570000000000001</v>
          </cell>
        </row>
        <row r="594">
          <cell r="Q594" t="str">
            <v>57. Thanh Hóa</v>
          </cell>
          <cell r="R594" t="str">
            <v>Huyện Ngọc Lặc</v>
          </cell>
          <cell r="S594" t="str">
            <v>II.B</v>
          </cell>
          <cell r="T594" t="str">
            <v>(TT. Ngọc Lạc)</v>
          </cell>
          <cell r="U594">
            <v>105.37220000000001</v>
          </cell>
          <cell r="V594">
            <v>20.091899999999999</v>
          </cell>
          <cell r="W594">
            <v>0.1002</v>
          </cell>
        </row>
        <row r="595">
          <cell r="Q595" t="str">
            <v>57. Thanh Hóa</v>
          </cell>
          <cell r="R595" t="str">
            <v>Huyện Như Thanh</v>
          </cell>
          <cell r="S595" t="str">
            <v>II.B</v>
          </cell>
          <cell r="T595" t="str">
            <v>(TT. Như Thanh)</v>
          </cell>
          <cell r="U595">
            <v>105.5759</v>
          </cell>
          <cell r="V595">
            <v>19.6325</v>
          </cell>
          <cell r="W595">
            <v>8.5300000000000001E-2</v>
          </cell>
        </row>
        <row r="596">
          <cell r="Q596" t="str">
            <v>57. Thanh Hóa</v>
          </cell>
          <cell r="R596" t="str">
            <v>Huyện Như Xuân</v>
          </cell>
          <cell r="S596" t="str">
            <v>I.A</v>
          </cell>
          <cell r="T596" t="str">
            <v>(TT. Yên Cát)</v>
          </cell>
          <cell r="U596">
            <v>105.4306</v>
          </cell>
          <cell r="V596">
            <v>19.6632</v>
          </cell>
          <cell r="W596">
            <v>5.3999999999999999E-2</v>
          </cell>
        </row>
        <row r="597">
          <cell r="Q597" t="str">
            <v>57. Thanh Hóa</v>
          </cell>
          <cell r="R597" t="str">
            <v>Huyện Nông Cống</v>
          </cell>
          <cell r="S597" t="str">
            <v>II.B</v>
          </cell>
          <cell r="T597" t="str">
            <v>(TT. Nông Cống)</v>
          </cell>
          <cell r="U597">
            <v>105.68640000000001</v>
          </cell>
          <cell r="V597">
            <v>19.705500000000001</v>
          </cell>
          <cell r="W597">
            <v>0.10489999999999999</v>
          </cell>
        </row>
        <row r="598">
          <cell r="Q598" t="str">
            <v>57. Thanh Hóa</v>
          </cell>
          <cell r="R598" t="str">
            <v>Huyện Quảng Xương</v>
          </cell>
          <cell r="S598" t="str">
            <v>IV.B</v>
          </cell>
          <cell r="T598" t="str">
            <v>(TT. Quang Xương)</v>
          </cell>
          <cell r="U598">
            <v>105.83</v>
          </cell>
          <cell r="V598">
            <v>19.727499999999999</v>
          </cell>
          <cell r="W598">
            <v>8.5900000000000004E-2</v>
          </cell>
        </row>
        <row r="599">
          <cell r="Q599" t="str">
            <v>57. Thanh Hóa</v>
          </cell>
          <cell r="R599" t="str">
            <v>Huyện Quan Hoá</v>
          </cell>
          <cell r="S599" t="str">
            <v>I.A</v>
          </cell>
          <cell r="T599" t="str">
            <v>(TT. Quan Hoá)</v>
          </cell>
          <cell r="U599">
            <v>105.1031</v>
          </cell>
          <cell r="V599">
            <v>20.3811</v>
          </cell>
          <cell r="W599">
            <v>0.11210000000000001</v>
          </cell>
        </row>
        <row r="600">
          <cell r="Q600" t="str">
            <v>57. Thanh Hóa</v>
          </cell>
          <cell r="R600" t="str">
            <v>Huyện Quan Sơn</v>
          </cell>
          <cell r="S600" t="str">
            <v>I.A</v>
          </cell>
          <cell r="T600" t="str">
            <v>(TT. Quan Sơn )</v>
          </cell>
          <cell r="U600">
            <v>104.8982</v>
          </cell>
          <cell r="V600">
            <v>20.265899999999998</v>
          </cell>
          <cell r="W600">
            <v>8.0600000000000005E-2</v>
          </cell>
        </row>
        <row r="601">
          <cell r="Q601" t="str">
            <v>57. Thanh Hóa</v>
          </cell>
          <cell r="R601" t="str">
            <v>Huyện Thạch Thành</v>
          </cell>
          <cell r="S601" t="str">
            <v>III.B</v>
          </cell>
          <cell r="T601" t="str">
            <v>(TT. Kim Tân)</v>
          </cell>
          <cell r="U601">
            <v>105.6703</v>
          </cell>
          <cell r="V601">
            <v>20.128900000000002</v>
          </cell>
          <cell r="W601">
            <v>0.1421</v>
          </cell>
        </row>
        <row r="602">
          <cell r="Q602" t="str">
            <v>57. Thanh Hóa</v>
          </cell>
          <cell r="R602" t="str">
            <v>Huyện Thọ Xuân</v>
          </cell>
          <cell r="S602" t="str">
            <v>II.B</v>
          </cell>
          <cell r="T602" t="str">
            <v>(TT. Thọ Xuân)</v>
          </cell>
          <cell r="U602">
            <v>105.51949999999999</v>
          </cell>
          <cell r="V602">
            <v>19.935300000000002</v>
          </cell>
          <cell r="W602">
            <v>9.9699999999999997E-2</v>
          </cell>
        </row>
        <row r="603">
          <cell r="Q603" t="str">
            <v>57. Thanh Hóa</v>
          </cell>
          <cell r="R603" t="str">
            <v>Huyện Thường Xuân</v>
          </cell>
          <cell r="S603" t="str">
            <v>I.A</v>
          </cell>
          <cell r="T603" t="str">
            <v>(TT. Thường Xuân)</v>
          </cell>
          <cell r="U603">
            <v>105.3501</v>
          </cell>
          <cell r="V603">
            <v>19.9041</v>
          </cell>
          <cell r="W603">
            <v>9.5299999999999996E-2</v>
          </cell>
        </row>
        <row r="604">
          <cell r="Q604" t="str">
            <v>57. Thanh Hóa</v>
          </cell>
          <cell r="R604" t="str">
            <v>Huyện Thiệu Hoá</v>
          </cell>
          <cell r="S604" t="str">
            <v>III.B</v>
          </cell>
          <cell r="T604" t="str">
            <v>(TT. Vạn Hà)</v>
          </cell>
          <cell r="U604">
            <v>105.67870000000001</v>
          </cell>
          <cell r="V604">
            <v>19.882400000000001</v>
          </cell>
          <cell r="W604">
            <v>9.2799999999999994E-2</v>
          </cell>
        </row>
        <row r="605">
          <cell r="Q605" t="str">
            <v>57. Thanh Hóa</v>
          </cell>
          <cell r="R605" t="str">
            <v>Huyện Tĩnh Gia</v>
          </cell>
          <cell r="S605" t="str">
            <v>III.B</v>
          </cell>
          <cell r="T605" t="str">
            <v>(TT. Tĩnh Gia)</v>
          </cell>
          <cell r="U605">
            <v>105.7765</v>
          </cell>
          <cell r="V605">
            <v>19.4495</v>
          </cell>
          <cell r="W605">
            <v>9.8599999999999993E-2</v>
          </cell>
        </row>
        <row r="606">
          <cell r="Q606" t="str">
            <v>57. Thanh Hóa</v>
          </cell>
          <cell r="R606" t="str">
            <v>Huyện Triệu Sơn</v>
          </cell>
          <cell r="S606" t="str">
            <v>II.B</v>
          </cell>
          <cell r="T606" t="str">
            <v>(TT. Triệu Sơn)</v>
          </cell>
          <cell r="U606">
            <v>105.59569999999999</v>
          </cell>
          <cell r="V606">
            <v>19.819099999999999</v>
          </cell>
          <cell r="W606">
            <v>0.1017</v>
          </cell>
        </row>
        <row r="607">
          <cell r="Q607" t="str">
            <v>57. Thanh Hóa</v>
          </cell>
          <cell r="R607" t="str">
            <v>Huyện Vĩnh Lộc</v>
          </cell>
          <cell r="S607" t="str">
            <v>III.B</v>
          </cell>
          <cell r="T607" t="str">
            <v>(TT. Vĩnh Lộc)</v>
          </cell>
          <cell r="U607">
            <v>105.61409999999999</v>
          </cell>
          <cell r="V607">
            <v>20.0627</v>
          </cell>
          <cell r="W607">
            <v>0.1066</v>
          </cell>
        </row>
        <row r="608">
          <cell r="Q608" t="str">
            <v>57. Thanh Hóa</v>
          </cell>
          <cell r="R608" t="str">
            <v>Huyện Yên Định</v>
          </cell>
          <cell r="S608" t="str">
            <v>III.B</v>
          </cell>
          <cell r="T608" t="str">
            <v>(TT. Quán lão)</v>
          </cell>
          <cell r="U608">
            <v>105.65349999999999</v>
          </cell>
          <cell r="V608">
            <v>19.970800000000001</v>
          </cell>
          <cell r="W608">
            <v>8.7400000000000005E-2</v>
          </cell>
        </row>
        <row r="609">
          <cell r="Q609" t="str">
            <v>58. Thừa Thiên Huế</v>
          </cell>
          <cell r="R609" t="str">
            <v>Thành phố Huế</v>
          </cell>
          <cell r="S609" t="str">
            <v>II.B</v>
          </cell>
          <cell r="T609" t="str">
            <v>(P. Phú Hội)</v>
          </cell>
          <cell r="U609">
            <v>107.59350000000001</v>
          </cell>
          <cell r="V609">
            <v>16.462800000000001</v>
          </cell>
          <cell r="W609">
            <v>5.3800000000000001E-2</v>
          </cell>
        </row>
        <row r="610">
          <cell r="Q610" t="str">
            <v>58. Thừa Thiên Huế</v>
          </cell>
          <cell r="R610" t="str">
            <v>Huyện A Lưới</v>
          </cell>
          <cell r="S610" t="str">
            <v>I.A</v>
          </cell>
          <cell r="T610" t="str">
            <v>(TT. A Lưới)</v>
          </cell>
          <cell r="U610">
            <v>107.23090000000001</v>
          </cell>
          <cell r="V610">
            <v>16.276700000000002</v>
          </cell>
          <cell r="W610">
            <v>5.7299999999999997E-2</v>
          </cell>
        </row>
        <row r="611">
          <cell r="Q611" t="str">
            <v>58. Thừa Thiên Huế</v>
          </cell>
          <cell r="R611" t="str">
            <v>Huyện Hương Thuỷ</v>
          </cell>
          <cell r="S611" t="str">
            <v>II.B</v>
          </cell>
          <cell r="T611" t="str">
            <v>(TT. Phú Bài)</v>
          </cell>
          <cell r="U611">
            <v>107.6874</v>
          </cell>
          <cell r="V611">
            <v>16.3993</v>
          </cell>
          <cell r="W611">
            <v>4.9200000000000001E-2</v>
          </cell>
        </row>
        <row r="612">
          <cell r="Q612" t="str">
            <v>58. Thừa Thiên Huế</v>
          </cell>
          <cell r="R612" t="str">
            <v>Huyện Hương Trà</v>
          </cell>
          <cell r="S612" t="str">
            <v>II.B</v>
          </cell>
          <cell r="T612" t="str">
            <v>(TT. Tứ Hạ)</v>
          </cell>
          <cell r="U612">
            <v>107.4675</v>
          </cell>
          <cell r="V612">
            <v>16.5322</v>
          </cell>
          <cell r="W612">
            <v>5.3900000000000003E-2</v>
          </cell>
        </row>
        <row r="613">
          <cell r="Q613" t="str">
            <v>58. Thừa Thiên Huế</v>
          </cell>
          <cell r="R613" t="str">
            <v>Huyện Nam Đông</v>
          </cell>
          <cell r="S613" t="str">
            <v>I.A</v>
          </cell>
          <cell r="T613" t="str">
            <v>(TT. Khe Tre)</v>
          </cell>
          <cell r="U613">
            <v>107.7236</v>
          </cell>
          <cell r="V613">
            <v>16.168500000000002</v>
          </cell>
          <cell r="W613">
            <v>8.0399999999999999E-2</v>
          </cell>
        </row>
        <row r="614">
          <cell r="Q614" t="str">
            <v>58. Thừa Thiên Huế</v>
          </cell>
          <cell r="R614" t="str">
            <v>Huyện Phú Lộc</v>
          </cell>
          <cell r="S614" t="str">
            <v>II.B</v>
          </cell>
          <cell r="T614" t="str">
            <v>(TT. Phú Lộc)</v>
          </cell>
          <cell r="U614">
            <v>107.8605</v>
          </cell>
          <cell r="V614">
            <v>16.280200000000001</v>
          </cell>
          <cell r="W614">
            <v>4.3400000000000001E-2</v>
          </cell>
        </row>
        <row r="615">
          <cell r="Q615" t="str">
            <v>58. Thừa Thiên Huế</v>
          </cell>
          <cell r="R615" t="str">
            <v>Huyện Phú Vang</v>
          </cell>
          <cell r="S615" t="str">
            <v>II.B</v>
          </cell>
          <cell r="T615" t="str">
            <v>(TT. Phú Vang)</v>
          </cell>
          <cell r="U615">
            <v>107.61450000000001</v>
          </cell>
          <cell r="V615">
            <v>16.526900000000001</v>
          </cell>
          <cell r="W615">
            <v>5.3499999999999999E-2</v>
          </cell>
        </row>
        <row r="616">
          <cell r="Q616" t="str">
            <v>58. Thừa Thiên Huế</v>
          </cell>
          <cell r="R616" t="str">
            <v>Huyện Phong Điền</v>
          </cell>
          <cell r="S616" t="str">
            <v>II.B</v>
          </cell>
          <cell r="T616" t="str">
            <v>(TT. Phong Điền)</v>
          </cell>
          <cell r="U616">
            <v>107.36279999999999</v>
          </cell>
          <cell r="V616">
            <v>16.581600000000002</v>
          </cell>
          <cell r="W616">
            <v>4.9599999999999998E-2</v>
          </cell>
        </row>
        <row r="617">
          <cell r="Q617" t="str">
            <v>58. Thừa Thiên Huế</v>
          </cell>
          <cell r="R617" t="str">
            <v>Huyện Quảng Điền</v>
          </cell>
          <cell r="S617" t="str">
            <v>II.B</v>
          </cell>
          <cell r="T617" t="str">
            <v>(TT. Sịa)</v>
          </cell>
          <cell r="U617">
            <v>107.5078</v>
          </cell>
          <cell r="V617">
            <v>16.5763</v>
          </cell>
          <cell r="W617">
            <v>4.53E-2</v>
          </cell>
        </row>
        <row r="618">
          <cell r="Q618" t="str">
            <v>59. Tiền Giang</v>
          </cell>
          <cell r="R618" t="str">
            <v>Thành phố Mỹ Tho</v>
          </cell>
          <cell r="S618" t="str">
            <v>I.A</v>
          </cell>
          <cell r="T618" t="str">
            <v>(P. 1)</v>
          </cell>
          <cell r="U618">
            <v>106.36669999999999</v>
          </cell>
          <cell r="V618">
            <v>10.3588</v>
          </cell>
          <cell r="W618">
            <v>2.3699999999999999E-2</v>
          </cell>
        </row>
        <row r="619">
          <cell r="Q619" t="str">
            <v>59. Tiền Giang</v>
          </cell>
          <cell r="R619" t="str">
            <v>Thị xã Gò Công</v>
          </cell>
          <cell r="S619" t="str">
            <v>I.A</v>
          </cell>
          <cell r="T619" t="str">
            <v>(P. 3)</v>
          </cell>
          <cell r="U619">
            <v>106.6784</v>
          </cell>
          <cell r="V619">
            <v>10.366300000000001</v>
          </cell>
          <cell r="W619">
            <v>8.1699999999999995E-2</v>
          </cell>
        </row>
        <row r="620">
          <cell r="Q620" t="str">
            <v>59. Tiền Giang</v>
          </cell>
          <cell r="R620" t="str">
            <v>Huyện Cái Bè</v>
          </cell>
          <cell r="S620" t="str">
            <v>I.A</v>
          </cell>
          <cell r="T620" t="str">
            <v>(TT. Cái Bè)</v>
          </cell>
          <cell r="U620">
            <v>106.03230000000001</v>
          </cell>
          <cell r="V620">
            <v>10.3386</v>
          </cell>
          <cell r="W620">
            <v>1.5599999999999999E-2</v>
          </cell>
        </row>
        <row r="621">
          <cell r="Q621" t="str">
            <v>59. Tiền Giang</v>
          </cell>
          <cell r="R621" t="str">
            <v>Huyện Cai Lậy</v>
          </cell>
          <cell r="S621" t="str">
            <v>I.A</v>
          </cell>
          <cell r="T621" t="str">
            <v>(TT. Cai Lậy)</v>
          </cell>
          <cell r="U621">
            <v>106.11790000000001</v>
          </cell>
          <cell r="V621">
            <v>10.4077</v>
          </cell>
          <cell r="W621">
            <v>1.4200000000000001E-2</v>
          </cell>
        </row>
        <row r="622">
          <cell r="Q622" t="str">
            <v>59. Tiền Giang</v>
          </cell>
          <cell r="R622" t="str">
            <v>Huyện Châu Thành</v>
          </cell>
          <cell r="S622" t="str">
            <v>I.A</v>
          </cell>
          <cell r="T622" t="str">
            <v>(TT. Tân Hiệp)</v>
          </cell>
          <cell r="U622">
            <v>106.3413</v>
          </cell>
          <cell r="V622">
            <v>10.449400000000001</v>
          </cell>
          <cell r="W622">
            <v>2.8000000000000001E-2</v>
          </cell>
        </row>
        <row r="623">
          <cell r="Q623" t="str">
            <v>59. Tiền Giang</v>
          </cell>
          <cell r="R623" t="str">
            <v>Huyện Chợ Gạo</v>
          </cell>
          <cell r="S623" t="str">
            <v>I.A</v>
          </cell>
          <cell r="T623" t="str">
            <v>(TT. Chợ Gạo)</v>
          </cell>
          <cell r="U623">
            <v>106.4639</v>
          </cell>
          <cell r="V623">
            <v>10.3522</v>
          </cell>
          <cell r="W623">
            <v>3.4200000000000001E-2</v>
          </cell>
        </row>
        <row r="624">
          <cell r="Q624" t="str">
            <v>59. Tiền Giang</v>
          </cell>
          <cell r="R624" t="str">
            <v>Huyện Gò Công Đông</v>
          </cell>
          <cell r="S624" t="str">
            <v>I.A</v>
          </cell>
          <cell r="T624" t="str">
            <v>(TT. Tân Hoà)</v>
          </cell>
          <cell r="U624">
            <v>106.712</v>
          </cell>
          <cell r="V624">
            <v>10.32</v>
          </cell>
          <cell r="W624">
            <v>7.85E-2</v>
          </cell>
        </row>
        <row r="625">
          <cell r="Q625" t="str">
            <v>59. Tiền Giang</v>
          </cell>
          <cell r="R625" t="str">
            <v>Huyện Gò Công Tây</v>
          </cell>
          <cell r="S625" t="str">
            <v>I.A</v>
          </cell>
          <cell r="T625" t="str">
            <v>(TT. Vĩnh Bình)</v>
          </cell>
          <cell r="U625">
            <v>106.57980000000001</v>
          </cell>
          <cell r="V625">
            <v>10.3452</v>
          </cell>
          <cell r="W625">
            <v>5.74E-2</v>
          </cell>
        </row>
        <row r="626">
          <cell r="Q626" t="str">
            <v>59. Tiền Giang</v>
          </cell>
          <cell r="R626" t="str">
            <v>Huyện Tân Phước</v>
          </cell>
          <cell r="S626" t="str">
            <v>I.A</v>
          </cell>
          <cell r="T626" t="str">
            <v>(TT. Mỹ Phước)</v>
          </cell>
          <cell r="U626">
            <v>106.1931</v>
          </cell>
          <cell r="V626">
            <v>10.4773</v>
          </cell>
          <cell r="W626">
            <v>1.7999999999999999E-2</v>
          </cell>
        </row>
        <row r="627">
          <cell r="Q627" t="str">
            <v>60. Trà Vinh</v>
          </cell>
          <cell r="R627" t="str">
            <v>Thị xã Trà Vinh</v>
          </cell>
          <cell r="S627" t="str">
            <v>I.A</v>
          </cell>
          <cell r="T627" t="str">
            <v>(P. 4)</v>
          </cell>
          <cell r="U627">
            <v>106.3415</v>
          </cell>
          <cell r="V627">
            <v>9.9382000000000001</v>
          </cell>
          <cell r="W627">
            <v>2.1899999999999999E-2</v>
          </cell>
        </row>
        <row r="628">
          <cell r="Q628" t="str">
            <v>60. Trà Vinh</v>
          </cell>
          <cell r="R628" t="str">
            <v>Huyện Công Long</v>
          </cell>
          <cell r="S628" t="str">
            <v>I.A</v>
          </cell>
          <cell r="T628" t="str">
            <v>(TT. Càng Long)</v>
          </cell>
          <cell r="U628">
            <v>106.2034</v>
          </cell>
          <cell r="V628">
            <v>9.9893000000000001</v>
          </cell>
          <cell r="W628">
            <v>2.7699999999999999E-2</v>
          </cell>
        </row>
        <row r="629">
          <cell r="Q629" t="str">
            <v>60. Trà Vinh</v>
          </cell>
          <cell r="R629" t="str">
            <v>Huyện Cầu Kè</v>
          </cell>
          <cell r="S629" t="str">
            <v>I.A</v>
          </cell>
          <cell r="T629" t="str">
            <v>(TT. Cầu Kè)</v>
          </cell>
          <cell r="U629">
            <v>106.05459999999999</v>
          </cell>
          <cell r="V629">
            <v>9.8704000000000001</v>
          </cell>
          <cell r="W629">
            <v>6.6000000000000003E-2</v>
          </cell>
        </row>
        <row r="630">
          <cell r="Q630" t="str">
            <v>60. Trà Vinh</v>
          </cell>
          <cell r="R630" t="str">
            <v>Huyện Cầu Ngang</v>
          </cell>
          <cell r="S630" t="str">
            <v>I.A</v>
          </cell>
          <cell r="T630" t="str">
            <v>(TT. Cầu Ngang)</v>
          </cell>
          <cell r="U630">
            <v>106.4521</v>
          </cell>
          <cell r="V630">
            <v>9.8048000000000002</v>
          </cell>
          <cell r="W630">
            <v>2.86E-2</v>
          </cell>
        </row>
        <row r="631">
          <cell r="Q631" t="str">
            <v>60. Trà Vinh</v>
          </cell>
          <cell r="R631" t="str">
            <v>Huyện Châu Thành</v>
          </cell>
          <cell r="S631" t="str">
            <v>I.A</v>
          </cell>
          <cell r="T631" t="str">
            <v>(TT. Châu Thành)</v>
          </cell>
          <cell r="U631">
            <v>106.3466</v>
          </cell>
          <cell r="V631">
            <v>9.8694000000000006</v>
          </cell>
          <cell r="W631">
            <v>2.7199999999999998E-2</v>
          </cell>
        </row>
        <row r="632">
          <cell r="Q632" t="str">
            <v>60. Trà Vinh</v>
          </cell>
          <cell r="R632" t="str">
            <v>Huyện Duyên Hải</v>
          </cell>
          <cell r="S632" t="str">
            <v>I.A</v>
          </cell>
          <cell r="T632" t="str">
            <v>(TT. Duyên Hai)</v>
          </cell>
          <cell r="U632">
            <v>106.4909</v>
          </cell>
          <cell r="V632">
            <v>9.6342999999999996</v>
          </cell>
          <cell r="W632">
            <v>4.9099999999999998E-2</v>
          </cell>
        </row>
        <row r="633">
          <cell r="Q633" t="str">
            <v>60. Trà Vinh</v>
          </cell>
          <cell r="R633" t="str">
            <v>Huyện Tiểu Cần</v>
          </cell>
          <cell r="S633" t="str">
            <v>I.A</v>
          </cell>
          <cell r="T633" t="str">
            <v>(TT. Tiểu Cần)</v>
          </cell>
          <cell r="U633">
            <v>106.18899999999999</v>
          </cell>
          <cell r="V633">
            <v>9.8125999999999998</v>
          </cell>
          <cell r="W633">
            <v>5.91E-2</v>
          </cell>
        </row>
        <row r="634">
          <cell r="Q634" t="str">
            <v>60. Trà Vinh</v>
          </cell>
          <cell r="R634" t="str">
            <v>Huyện Trà Cú</v>
          </cell>
          <cell r="S634" t="str">
            <v>I.A</v>
          </cell>
          <cell r="T634" t="str">
            <v>(TT. Trà Cú)</v>
          </cell>
          <cell r="U634">
            <v>106.2623</v>
          </cell>
          <cell r="V634">
            <v>9.6806999999999999</v>
          </cell>
          <cell r="W634">
            <v>6.7299999999999999E-2</v>
          </cell>
        </row>
        <row r="635">
          <cell r="Q635" t="str">
            <v>61. Tuyên Quang</v>
          </cell>
          <cell r="R635" t="str">
            <v>Thị xã Tuyên Quang</v>
          </cell>
          <cell r="S635" t="str">
            <v>I.A</v>
          </cell>
          <cell r="T635" t="str">
            <v>(P. Minh Xuân)</v>
          </cell>
          <cell r="U635">
            <v>105.21259999999999</v>
          </cell>
          <cell r="V635">
            <v>21.814399999999999</v>
          </cell>
          <cell r="W635">
            <v>5.9499999999999997E-2</v>
          </cell>
        </row>
        <row r="636">
          <cell r="Q636" t="str">
            <v>61. Tuyên Quang</v>
          </cell>
          <cell r="R636" t="str">
            <v>Huyện Chiêm Hoá</v>
          </cell>
          <cell r="S636" t="str">
            <v>I.A</v>
          </cell>
          <cell r="T636" t="str">
            <v>(TT. Vĩnh Lộc)</v>
          </cell>
          <cell r="U636">
            <v>105.26</v>
          </cell>
          <cell r="V636">
            <v>22.148499999999999</v>
          </cell>
          <cell r="W636">
            <v>0.02</v>
          </cell>
        </row>
        <row r="637">
          <cell r="Q637" t="str">
            <v>61. Tuyên Quang</v>
          </cell>
          <cell r="R637" t="str">
            <v>Huyện Hàm Yên</v>
          </cell>
          <cell r="S637" t="str">
            <v>I.A</v>
          </cell>
          <cell r="T637" t="str">
            <v>(TT. Tân Yên)</v>
          </cell>
          <cell r="U637">
            <v>105.02979999999999</v>
          </cell>
          <cell r="V637">
            <v>22.073</v>
          </cell>
          <cell r="W637">
            <v>4.8599999999999997E-2</v>
          </cell>
        </row>
        <row r="638">
          <cell r="Q638" t="str">
            <v>61. Tuyên Quang</v>
          </cell>
          <cell r="R638" t="str">
            <v>Huyện Nà Hang</v>
          </cell>
          <cell r="S638" t="str">
            <v>I.A</v>
          </cell>
          <cell r="T638" t="str">
            <v>(TT. Na Hang)</v>
          </cell>
          <cell r="U638">
            <v>105.39530000000001</v>
          </cell>
          <cell r="V638">
            <v>22.350300000000001</v>
          </cell>
          <cell r="W638">
            <v>4.3799999999999999E-2</v>
          </cell>
        </row>
        <row r="639">
          <cell r="Q639" t="str">
            <v>61. Tuyên Quang</v>
          </cell>
          <cell r="R639" t="str">
            <v>Huyện Sơn Dương</v>
          </cell>
          <cell r="S639" t="str">
            <v>I.A</v>
          </cell>
          <cell r="T639" t="str">
            <v>(TT. Sơn Dương)</v>
          </cell>
          <cell r="U639">
            <v>105.3908</v>
          </cell>
          <cell r="V639">
            <v>21.701699999999999</v>
          </cell>
          <cell r="W639">
            <v>6.2700000000000006E-2</v>
          </cell>
        </row>
        <row r="640">
          <cell r="Q640" t="str">
            <v>61. Tuyên Quang</v>
          </cell>
          <cell r="R640" t="str">
            <v>Huyện Yên Sơn</v>
          </cell>
          <cell r="S640" t="str">
            <v>I.A</v>
          </cell>
          <cell r="T640" t="str">
            <v>(TT. Yên Sơn)</v>
          </cell>
          <cell r="U640">
            <v>105.2201</v>
          </cell>
          <cell r="V640">
            <v>21.795999999999999</v>
          </cell>
          <cell r="W640">
            <v>6.2E-2</v>
          </cell>
        </row>
        <row r="641">
          <cell r="Q641" t="str">
            <v>62. Vĩnh Long</v>
          </cell>
          <cell r="R641" t="str">
            <v>Thị xã Vĩnh Long</v>
          </cell>
          <cell r="S641" t="str">
            <v>II.A</v>
          </cell>
          <cell r="T641" t="str">
            <v>(P. 1)</v>
          </cell>
          <cell r="U641">
            <v>105.9765</v>
          </cell>
          <cell r="V641">
            <v>10.253</v>
          </cell>
          <cell r="W641">
            <v>2.1999999999999999E-2</v>
          </cell>
        </row>
        <row r="642">
          <cell r="Q642" t="str">
            <v>62. Vĩnh Long</v>
          </cell>
          <cell r="R642" t="str">
            <v>Huyện Bình Minh</v>
          </cell>
          <cell r="S642" t="str">
            <v>I.A</v>
          </cell>
          <cell r="T642" t="str">
            <v>(TT. Cái Vồn)</v>
          </cell>
          <cell r="U642">
            <v>105.82389999999999</v>
          </cell>
          <cell r="V642">
            <v>10.07</v>
          </cell>
          <cell r="W642">
            <v>7.1999999999999995E-2</v>
          </cell>
        </row>
        <row r="643">
          <cell r="Q643" t="str">
            <v>62. Vĩnh Long</v>
          </cell>
          <cell r="R643" t="str">
            <v>Huyện Long Hồ</v>
          </cell>
          <cell r="S643" t="str">
            <v>I.A</v>
          </cell>
          <cell r="T643" t="str">
            <v>(TT. Long Hồ)</v>
          </cell>
          <cell r="U643">
            <v>106.01260000000001</v>
          </cell>
          <cell r="V643">
            <v>10.192600000000001</v>
          </cell>
          <cell r="W643">
            <v>2.4500000000000001E-2</v>
          </cell>
        </row>
        <row r="644">
          <cell r="Q644" t="str">
            <v>62. Vĩnh Long</v>
          </cell>
          <cell r="R644" t="str">
            <v>Huyện Mang Thít</v>
          </cell>
          <cell r="S644" t="str">
            <v>I.A</v>
          </cell>
          <cell r="T644" t="str">
            <v>(TT. Cái Nhum)</v>
          </cell>
          <cell r="U644">
            <v>106.1109</v>
          </cell>
          <cell r="V644">
            <v>10.1778</v>
          </cell>
          <cell r="W644">
            <v>1.9699999999999999E-2</v>
          </cell>
        </row>
        <row r="645">
          <cell r="Q645" t="str">
            <v>62. Vĩnh Long</v>
          </cell>
          <cell r="R645" t="str">
            <v>Huyện Tam Bình</v>
          </cell>
          <cell r="S645" t="str">
            <v>I.A</v>
          </cell>
          <cell r="T645" t="str">
            <v>(TT. Tam Bình)</v>
          </cell>
          <cell r="U645">
            <v>105.99420000000001</v>
          </cell>
          <cell r="V645">
            <v>10.043799999999999</v>
          </cell>
          <cell r="W645">
            <v>4.6800000000000001E-2</v>
          </cell>
        </row>
        <row r="646">
          <cell r="Q646" t="str">
            <v>62. Vĩnh Long</v>
          </cell>
          <cell r="R646" t="str">
            <v>Huyện Trà Ôn</v>
          </cell>
          <cell r="S646" t="str">
            <v>I.A</v>
          </cell>
          <cell r="T646" t="str">
            <v>(TT. Trà Ôn)</v>
          </cell>
          <cell r="U646">
            <v>105.92189999999999</v>
          </cell>
          <cell r="V646">
            <v>9.9657999999999998</v>
          </cell>
          <cell r="W646">
            <v>6.4199999999999993E-2</v>
          </cell>
        </row>
        <row r="647">
          <cell r="Q647" t="str">
            <v>62. Vĩnh Long</v>
          </cell>
          <cell r="R647" t="str">
            <v>Huyện Vũng Liêm</v>
          </cell>
          <cell r="S647" t="str">
            <v>I.A</v>
          </cell>
          <cell r="T647" t="str">
            <v>(TT. Vũng Liêm)</v>
          </cell>
          <cell r="U647">
            <v>106.18470000000001</v>
          </cell>
          <cell r="V647">
            <v>10.095800000000001</v>
          </cell>
          <cell r="W647">
            <v>2.0400000000000001E-2</v>
          </cell>
        </row>
        <row r="648">
          <cell r="Q648" t="str">
            <v>63. Vĩnh Phúc</v>
          </cell>
          <cell r="R648" t="str">
            <v>Thị xã Phúc Yên</v>
          </cell>
          <cell r="S648" t="str">
            <v>II.B</v>
          </cell>
          <cell r="T648" t="str">
            <v>(TT. Phúc Yên)</v>
          </cell>
          <cell r="U648">
            <v>105.70489999999999</v>
          </cell>
          <cell r="V648">
            <v>21.237200000000001</v>
          </cell>
          <cell r="W648">
            <v>7.9299999999999995E-2</v>
          </cell>
        </row>
        <row r="649">
          <cell r="Q649" t="str">
            <v>63. Vĩnh Phúc</v>
          </cell>
          <cell r="R649" t="str">
            <v>Thị xã Vĩnh Yên</v>
          </cell>
          <cell r="S649" t="str">
            <v>II.B</v>
          </cell>
          <cell r="T649" t="str">
            <v>(P. Liên Bao)</v>
          </cell>
          <cell r="U649">
            <v>105.59650000000001</v>
          </cell>
          <cell r="V649">
            <v>21.3123</v>
          </cell>
          <cell r="W649">
            <v>8.3699999999999997E-2</v>
          </cell>
        </row>
        <row r="650">
          <cell r="Q650" t="str">
            <v>63. Vĩnh Phúc</v>
          </cell>
          <cell r="R650" t="str">
            <v>Huyện Bình Xuyên</v>
          </cell>
          <cell r="S650" t="str">
            <v>II.B</v>
          </cell>
          <cell r="T650" t="str">
            <v>(TT. Hương Canh)</v>
          </cell>
          <cell r="U650">
            <v>105.648</v>
          </cell>
          <cell r="V650">
            <v>21.2775</v>
          </cell>
          <cell r="W650">
            <v>8.0799999999999997E-2</v>
          </cell>
        </row>
        <row r="651">
          <cell r="Q651" t="str">
            <v>63. Vĩnh Phúc</v>
          </cell>
          <cell r="R651" t="str">
            <v>Huyện Lập Thạch</v>
          </cell>
          <cell r="S651" t="str">
            <v>II.A</v>
          </cell>
          <cell r="T651" t="str">
            <v>(TT. Lập Thạch)</v>
          </cell>
          <cell r="U651">
            <v>105.4603</v>
          </cell>
          <cell r="V651">
            <v>21.415900000000001</v>
          </cell>
          <cell r="W651">
            <v>9.69E-2</v>
          </cell>
        </row>
        <row r="652">
          <cell r="Q652" t="str">
            <v>63. Vĩnh Phúc</v>
          </cell>
          <cell r="R652" t="str">
            <v>Huyện Mê Linh</v>
          </cell>
          <cell r="S652" t="str">
            <v>II.B</v>
          </cell>
          <cell r="T652" t="str">
            <v>(TT. Phúc Yên)</v>
          </cell>
          <cell r="U652">
            <v>105.70489999999999</v>
          </cell>
          <cell r="V652">
            <v>21.237200000000001</v>
          </cell>
          <cell r="W652">
            <v>7.9299999999999995E-2</v>
          </cell>
        </row>
        <row r="653">
          <cell r="Q653" t="str">
            <v>63. Vĩnh Phúc</v>
          </cell>
          <cell r="R653" t="str">
            <v>Huyện Tam Dương</v>
          </cell>
          <cell r="S653" t="str">
            <v>II.B</v>
          </cell>
          <cell r="T653" t="str">
            <v>(TT. Tam Dương)</v>
          </cell>
          <cell r="U653">
            <v>105.5393</v>
          </cell>
          <cell r="V653">
            <v>21.381699999999999</v>
          </cell>
          <cell r="W653">
            <v>8.4900000000000003E-2</v>
          </cell>
        </row>
        <row r="654">
          <cell r="Q654" t="str">
            <v>63. Vĩnh Phúc</v>
          </cell>
          <cell r="R654" t="str">
            <v>Huyện Vĩnh Tường</v>
          </cell>
          <cell r="S654" t="str">
            <v>II.B</v>
          </cell>
          <cell r="T654" t="str">
            <v>(TT. Vĩnh Tường)</v>
          </cell>
          <cell r="U654">
            <v>105.5153</v>
          </cell>
          <cell r="V654">
            <v>21.219799999999999</v>
          </cell>
          <cell r="W654">
            <v>0.1144</v>
          </cell>
        </row>
        <row r="655">
          <cell r="Q655" t="str">
            <v>63. Vĩnh Phúc</v>
          </cell>
          <cell r="R655" t="str">
            <v>Huyện Yên Lạc</v>
          </cell>
          <cell r="S655" t="str">
            <v>II.B</v>
          </cell>
          <cell r="T655" t="str">
            <v>(TT. Yên Lạc)</v>
          </cell>
          <cell r="U655">
            <v>105.5772</v>
          </cell>
          <cell r="V655">
            <v>21.234000000000002</v>
          </cell>
          <cell r="W655">
            <v>0.10879999999999999</v>
          </cell>
        </row>
        <row r="656">
          <cell r="Q656" t="str">
            <v>64. Yên Bái</v>
          </cell>
          <cell r="R656" t="str">
            <v>Thành phố Yên Bái</v>
          </cell>
          <cell r="S656" t="str">
            <v>I.A</v>
          </cell>
          <cell r="T656" t="str">
            <v>(P. Nguyễn Thái Học)</v>
          </cell>
          <cell r="U656">
            <v>104.8788</v>
          </cell>
          <cell r="V656">
            <v>21.711099999999998</v>
          </cell>
          <cell r="W656">
            <v>0.113</v>
          </cell>
        </row>
        <row r="657">
          <cell r="Q657" t="str">
            <v>64. Yên Bái</v>
          </cell>
          <cell r="R657" t="str">
            <v>Thị xã Nghĩa Lộ</v>
          </cell>
          <cell r="S657" t="str">
            <v>I.A</v>
          </cell>
          <cell r="T657" t="str">
            <v>(P. Trung Tâm)</v>
          </cell>
          <cell r="U657">
            <v>104.5119</v>
          </cell>
          <cell r="V657">
            <v>21.603000000000002</v>
          </cell>
          <cell r="W657">
            <v>6.8000000000000005E-2</v>
          </cell>
        </row>
        <row r="658">
          <cell r="Q658" t="str">
            <v>64. Yên Bái</v>
          </cell>
          <cell r="R658" t="str">
            <v>Huyện Lục Yên</v>
          </cell>
          <cell r="S658" t="str">
            <v>I.A</v>
          </cell>
          <cell r="T658" t="str">
            <v>(TT. Yên Thế)</v>
          </cell>
          <cell r="U658">
            <v>104.7667</v>
          </cell>
          <cell r="V658">
            <v>22.0974</v>
          </cell>
          <cell r="W658">
            <v>0.1086</v>
          </cell>
        </row>
        <row r="659">
          <cell r="Q659" t="str">
            <v>64. Yên Bái</v>
          </cell>
          <cell r="R659" t="str">
            <v>Huyện Mù Căng Chải</v>
          </cell>
          <cell r="S659" t="str">
            <v>I.A</v>
          </cell>
          <cell r="T659" t="str">
            <v>(TT. Mù Căng Chai)</v>
          </cell>
          <cell r="U659">
            <v>104.08620000000001</v>
          </cell>
          <cell r="V659">
            <v>21.851099999999999</v>
          </cell>
          <cell r="W659">
            <v>5.6099999999999997E-2</v>
          </cell>
        </row>
        <row r="660">
          <cell r="Q660" t="str">
            <v>64. Yên Bái</v>
          </cell>
          <cell r="R660" t="str">
            <v>Huyện Trạm Tấu</v>
          </cell>
          <cell r="S660" t="str">
            <v>I.A</v>
          </cell>
          <cell r="T660" t="str">
            <v>(TT. Trạm tấu)</v>
          </cell>
          <cell r="U660">
            <v>104.3886</v>
          </cell>
          <cell r="V660">
            <v>21.4666</v>
          </cell>
          <cell r="W660">
            <v>4.48E-2</v>
          </cell>
        </row>
        <row r="661">
          <cell r="Q661" t="str">
            <v>64. Yên Bái</v>
          </cell>
          <cell r="R661" t="str">
            <v>Huyện Trấn Yên</v>
          </cell>
          <cell r="S661" t="str">
            <v>I.A</v>
          </cell>
          <cell r="T661" t="str">
            <v>(TT. Cổ Phúc)</v>
          </cell>
          <cell r="U661">
            <v>104.8232</v>
          </cell>
          <cell r="V661">
            <v>21.758600000000001</v>
          </cell>
          <cell r="W661">
            <v>0.11020000000000001</v>
          </cell>
        </row>
        <row r="662">
          <cell r="Q662" t="str">
            <v>64. Yên Bái</v>
          </cell>
          <cell r="R662" t="str">
            <v>Huyện Văn Chấn</v>
          </cell>
          <cell r="S662" t="str">
            <v>I.A</v>
          </cell>
          <cell r="T662" t="str">
            <v>(TTNT. Liên Sơn)</v>
          </cell>
          <cell r="U662">
            <v>104.49250000000001</v>
          </cell>
          <cell r="V662">
            <v>21.652100000000001</v>
          </cell>
          <cell r="W662">
            <v>6.9400000000000003E-2</v>
          </cell>
        </row>
        <row r="663">
          <cell r="Q663" t="str">
            <v>64. Yên Bái</v>
          </cell>
          <cell r="R663" t="str">
            <v>Huyện Văn Yên</v>
          </cell>
          <cell r="S663" t="str">
            <v>I.A</v>
          </cell>
          <cell r="T663" t="str">
            <v>(TT. Mậu A)</v>
          </cell>
          <cell r="U663">
            <v>104.6855</v>
          </cell>
          <cell r="V663">
            <v>21.8749</v>
          </cell>
          <cell r="W663">
            <v>0.10829999999999999</v>
          </cell>
        </row>
        <row r="664">
          <cell r="Q664" t="str">
            <v>64. Yên Bái</v>
          </cell>
          <cell r="R664" t="str">
            <v>Huyện Yên Bình</v>
          </cell>
          <cell r="S664" t="str">
            <v>I.A</v>
          </cell>
          <cell r="T664" t="str">
            <v>(TT. Yên Bình)</v>
          </cell>
          <cell r="U664">
            <v>104.9641</v>
          </cell>
          <cell r="V664">
            <v>21.726800000000001</v>
          </cell>
          <cell r="W664">
            <v>0.1128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1.Dead Load"/>
      <sheetName val=" 2.Win Load"/>
      <sheetName val="3.Earthquake"/>
      <sheetName val="4.Combination"/>
      <sheetName val="Base"/>
      <sheetName val="Wind base"/>
      <sheetName val="EarthQuake Base"/>
    </sheetNames>
    <sheetDataSet>
      <sheetData sheetId="0" refreshError="1">
        <row r="1">
          <cell r="D1" t="str">
            <v>V/E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al Participating Mass Ratio"/>
      <sheetName val="Diaphragm Mass Data"/>
      <sheetName val="Building Modes"/>
      <sheetName val="Story Data"/>
      <sheetName val="Menu"/>
      <sheetName val="1.Dead Load"/>
      <sheetName val="2.Win Load"/>
      <sheetName val="3.Earthquake"/>
      <sheetName val="4.Combination"/>
      <sheetName val="Base"/>
      <sheetName val="Wind base"/>
      <sheetName val="EarthQuake Base"/>
    </sheetNames>
    <sheetDataSet>
      <sheetData sheetId="0">
        <row r="1">
          <cell r="A1" t="str">
            <v>Mode</v>
          </cell>
        </row>
      </sheetData>
      <sheetData sheetId="1">
        <row r="1">
          <cell r="A1" t="str">
            <v>Story</v>
          </cell>
        </row>
      </sheetData>
      <sheetData sheetId="2"/>
      <sheetData sheetId="3">
        <row r="1">
          <cell r="A1" t="str">
            <v>Story</v>
          </cell>
        </row>
      </sheetData>
      <sheetData sheetId="4">
        <row r="4">
          <cell r="C4" t="str">
            <v>V/E</v>
          </cell>
        </row>
      </sheetData>
      <sheetData sheetId="5">
        <row r="150">
          <cell r="C150" t="str">
            <v>Nhà hàng</v>
          </cell>
        </row>
      </sheetData>
      <sheetData sheetId="6"/>
      <sheetData sheetId="7">
        <row r="38">
          <cell r="G38" t="str">
            <v>Hệ khung hoặc hệ kết cấu hỗn hợp tương đương với khung</v>
          </cell>
        </row>
      </sheetData>
      <sheetData sheetId="8"/>
      <sheetData sheetId="9">
        <row r="3">
          <cell r="AE3" t="str">
            <v>Lớp gạch lát</v>
          </cell>
        </row>
      </sheetData>
      <sheetData sheetId="10">
        <row r="3">
          <cell r="AO3" t="str">
            <v>01. Thủ đô Hà Nội</v>
          </cell>
        </row>
      </sheetData>
      <sheetData sheetId="11">
        <row r="22">
          <cell r="A22" t="str">
            <v>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0.emf"/><Relationship Id="rId4" Type="http://schemas.openxmlformats.org/officeDocument/2006/relationships/oleObject" Target="../embeddings/oleObject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16.emf"/><Relationship Id="rId4" Type="http://schemas.openxmlformats.org/officeDocument/2006/relationships/oleObject" Target="../embeddings/oleObject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oleObject" Target="../embeddings/oleObject10.bin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oleObject" Target="../embeddings/oleObject12.bin"/><Relationship Id="rId4" Type="http://schemas.openxmlformats.org/officeDocument/2006/relationships/oleObject" Target="../embeddings/oleObject9.bin"/><Relationship Id="rId9" Type="http://schemas.openxmlformats.org/officeDocument/2006/relationships/image" Target="../media/image20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Q30"/>
  <sheetViews>
    <sheetView view="pageBreakPreview" zoomScale="91" zoomScaleNormal="100" zoomScaleSheetLayoutView="91" workbookViewId="0">
      <selection activeCell="P24" sqref="P23:P24"/>
    </sheetView>
  </sheetViews>
  <sheetFormatPr defaultColWidth="9" defaultRowHeight="15.75"/>
  <cols>
    <col min="1" max="16384" width="9" style="570"/>
  </cols>
  <sheetData>
    <row r="1" spans="1:17">
      <c r="A1" s="570" t="s">
        <v>1827</v>
      </c>
      <c r="B1" s="570" t="s">
        <v>1835</v>
      </c>
      <c r="C1" s="570" t="s">
        <v>1828</v>
      </c>
      <c r="D1" s="570" t="s">
        <v>1829</v>
      </c>
      <c r="E1" s="570" t="s">
        <v>1830</v>
      </c>
      <c r="F1" s="570" t="s">
        <v>1836</v>
      </c>
      <c r="G1" s="570" t="s">
        <v>1837</v>
      </c>
      <c r="H1" s="570" t="s">
        <v>1838</v>
      </c>
      <c r="I1" s="570" t="s">
        <v>1831</v>
      </c>
      <c r="J1" s="570" t="s">
        <v>1832</v>
      </c>
      <c r="K1" s="570" t="s">
        <v>1833</v>
      </c>
      <c r="L1" s="570" t="s">
        <v>1839</v>
      </c>
      <c r="M1" s="570" t="s">
        <v>1840</v>
      </c>
      <c r="N1" s="570" t="s">
        <v>1841</v>
      </c>
      <c r="Q1" s="460" t="s">
        <v>2066</v>
      </c>
    </row>
    <row r="2" spans="1:17">
      <c r="A2" s="953">
        <f t="shared" ref="A2:B30" si="0">IF(Etabs="Etabs 9.7.4",IF(INDEX(Period_1,ROW($E2),COLUMN(A$1))&lt;&gt;"",INDEX(Period_1,ROW($E2),COLUMN(A$1)),""),IF(Etabs="Etabs 2013 trở lên",IF(INDEX(Period_2,ROW($E4),COLUMN(B$1))&lt;&gt;"",INDEX(Period_2,ROW($E4),COLUMN(B$1)),""),""))</f>
        <v>1</v>
      </c>
      <c r="B2" s="953">
        <f t="shared" si="0"/>
        <v>4.077</v>
      </c>
      <c r="C2" s="953">
        <f t="shared" ref="C2:N2" si="1">IF(Etabs="Etabs 9.7.4",IF(INDEX(Period_1,ROW($E2),COLUMN(C$1))&lt;&gt;"",INDEX(Period_1,ROW($E2),COLUMN(C$1)),""),IF(Etabs="Etabs 2013 trở lên",IF(INDEX(Period_2,ROW($E4),COLUMN(D$1))&lt;&gt;"",100*INDEX(Period_2,ROW($E4),COLUMN(D$1)),""),""))</f>
        <v>2.12</v>
      </c>
      <c r="D2" s="953">
        <f t="shared" si="1"/>
        <v>56.940000000000005</v>
      </c>
      <c r="E2" s="953">
        <f t="shared" si="1"/>
        <v>0</v>
      </c>
      <c r="F2" s="953">
        <f t="shared" si="1"/>
        <v>2.12</v>
      </c>
      <c r="G2" s="953">
        <f t="shared" si="1"/>
        <v>56.940000000000005</v>
      </c>
      <c r="H2" s="953">
        <f t="shared" si="1"/>
        <v>0</v>
      </c>
      <c r="I2" s="953">
        <f t="shared" si="1"/>
        <v>36.809999999999995</v>
      </c>
      <c r="J2" s="953">
        <f t="shared" si="1"/>
        <v>1.38</v>
      </c>
      <c r="K2" s="953">
        <f t="shared" si="1"/>
        <v>1.37</v>
      </c>
      <c r="L2" s="953">
        <f t="shared" si="1"/>
        <v>36.809999999999995</v>
      </c>
      <c r="M2" s="953">
        <f t="shared" si="1"/>
        <v>1.38</v>
      </c>
      <c r="N2" s="953">
        <f t="shared" si="1"/>
        <v>1.37</v>
      </c>
    </row>
    <row r="3" spans="1:17">
      <c r="A3" s="953">
        <f t="shared" si="0"/>
        <v>2</v>
      </c>
      <c r="B3" s="953">
        <f t="shared" si="0"/>
        <v>3.9620000000000002</v>
      </c>
      <c r="C3" s="953">
        <f t="shared" ref="C3:N3" si="2">IF(Etabs="Etabs 9.7.4",IF(INDEX(Period_1,ROW($E3),COLUMN(C$1))&lt;&gt;"",INDEX(Period_1,ROW($E3),COLUMN(C$1)),""),IF(Etabs="Etabs 2013 trở lên",IF(INDEX(Period_2,ROW($E5),COLUMN(D$1))&lt;&gt;"",100*INDEX(Period_2,ROW($E5),COLUMN(D$1)),""),""))</f>
        <v>1.21</v>
      </c>
      <c r="D3" s="953">
        <f t="shared" si="2"/>
        <v>2.2999999999999998</v>
      </c>
      <c r="E3" s="953">
        <f t="shared" si="2"/>
        <v>0</v>
      </c>
      <c r="F3" s="953">
        <f t="shared" si="2"/>
        <v>3.3300000000000005</v>
      </c>
      <c r="G3" s="953">
        <f t="shared" si="2"/>
        <v>59.24</v>
      </c>
      <c r="H3" s="953">
        <f t="shared" si="2"/>
        <v>0</v>
      </c>
      <c r="I3" s="953">
        <f t="shared" si="2"/>
        <v>1.49</v>
      </c>
      <c r="J3" s="953">
        <f t="shared" si="2"/>
        <v>0.65</v>
      </c>
      <c r="K3" s="953">
        <f t="shared" si="2"/>
        <v>54.059999999999995</v>
      </c>
      <c r="L3" s="953">
        <f t="shared" si="2"/>
        <v>38.299999999999997</v>
      </c>
      <c r="M3" s="953">
        <f t="shared" si="2"/>
        <v>2.04</v>
      </c>
      <c r="N3" s="953">
        <f t="shared" si="2"/>
        <v>55.43</v>
      </c>
      <c r="P3" s="460"/>
    </row>
    <row r="4" spans="1:17">
      <c r="A4" s="953">
        <f t="shared" si="0"/>
        <v>3</v>
      </c>
      <c r="B4" s="953">
        <f t="shared" si="0"/>
        <v>2.8929999999999998</v>
      </c>
      <c r="C4" s="953">
        <f t="shared" ref="C4:N4" si="3">IF(Etabs="Etabs 9.7.4",IF(INDEX(Period_1,ROW($E4),COLUMN(C$1))&lt;&gt;"",INDEX(Period_1,ROW($E4),COLUMN(C$1)),""),IF(Etabs="Etabs 2013 trở lên",IF(INDEX(Period_2,ROW($E6),COLUMN(D$1))&lt;&gt;"",100*INDEX(Period_2,ROW($E6),COLUMN(D$1)),""),""))</f>
        <v>59.67</v>
      </c>
      <c r="D4" s="953">
        <f t="shared" si="3"/>
        <v>1.6500000000000001</v>
      </c>
      <c r="E4" s="953">
        <f t="shared" si="3"/>
        <v>0</v>
      </c>
      <c r="F4" s="953">
        <f t="shared" si="3"/>
        <v>63</v>
      </c>
      <c r="G4" s="953">
        <f t="shared" si="3"/>
        <v>60.9</v>
      </c>
      <c r="H4" s="953">
        <f t="shared" si="3"/>
        <v>0</v>
      </c>
      <c r="I4" s="953">
        <f t="shared" si="3"/>
        <v>0.88</v>
      </c>
      <c r="J4" s="953">
        <f t="shared" si="3"/>
        <v>35.15</v>
      </c>
      <c r="K4" s="953">
        <f t="shared" si="3"/>
        <v>1.34</v>
      </c>
      <c r="L4" s="953">
        <f t="shared" si="3"/>
        <v>39.18</v>
      </c>
      <c r="M4" s="953">
        <f t="shared" si="3"/>
        <v>37.19</v>
      </c>
      <c r="N4" s="953">
        <f t="shared" si="3"/>
        <v>56.769999999999996</v>
      </c>
    </row>
    <row r="5" spans="1:17">
      <c r="A5" s="953">
        <f t="shared" si="0"/>
        <v>4</v>
      </c>
      <c r="B5" s="953">
        <f t="shared" si="0"/>
        <v>1.216</v>
      </c>
      <c r="C5" s="953">
        <f t="shared" ref="C5:N5" si="4">IF(Etabs="Etabs 9.7.4",IF(INDEX(Period_1,ROW($E5),COLUMN(C$1))&lt;&gt;"",INDEX(Period_1,ROW($E5),COLUMN(C$1)),""),IF(Etabs="Etabs 2013 trở lên",IF(INDEX(Period_2,ROW($E7),COLUMN(D$1))&lt;&gt;"",100*INDEX(Period_2,ROW($E7),COLUMN(D$1)),""),""))</f>
        <v>0.27</v>
      </c>
      <c r="D5" s="953">
        <f t="shared" si="4"/>
        <v>3.3599999999999997E-3</v>
      </c>
      <c r="E5" s="953">
        <f t="shared" si="4"/>
        <v>0</v>
      </c>
      <c r="F5" s="953">
        <f t="shared" si="4"/>
        <v>63.27</v>
      </c>
      <c r="G5" s="953">
        <f t="shared" si="4"/>
        <v>60.9</v>
      </c>
      <c r="H5" s="953">
        <f t="shared" si="4"/>
        <v>0</v>
      </c>
      <c r="I5" s="953">
        <f t="shared" si="4"/>
        <v>3.6399999999999996E-3</v>
      </c>
      <c r="J5" s="953">
        <f t="shared" si="4"/>
        <v>0.38</v>
      </c>
      <c r="K5" s="953">
        <f t="shared" si="4"/>
        <v>9.2299999999999986</v>
      </c>
      <c r="L5" s="953">
        <f t="shared" si="4"/>
        <v>39.18</v>
      </c>
      <c r="M5" s="953">
        <f t="shared" si="4"/>
        <v>37.56</v>
      </c>
      <c r="N5" s="953">
        <f t="shared" si="4"/>
        <v>66</v>
      </c>
    </row>
    <row r="6" spans="1:17">
      <c r="A6" s="953">
        <f t="shared" si="0"/>
        <v>5</v>
      </c>
      <c r="B6" s="953">
        <f t="shared" si="0"/>
        <v>1.034</v>
      </c>
      <c r="C6" s="953">
        <f t="shared" ref="C6:N6" si="5">IF(Etabs="Etabs 9.7.4",IF(INDEX(Period_1,ROW($E6),COLUMN(C$1))&lt;&gt;"",INDEX(Period_1,ROW($E6),COLUMN(C$1)),""),IF(Etabs="Etabs 2013 trở lên",IF(INDEX(Period_2,ROW($E8),COLUMN(D$1))&lt;&gt;"",100*INDEX(Period_2,ROW($E8),COLUMN(D$1)),""),""))</f>
        <v>0.27999999999999997</v>
      </c>
      <c r="D6" s="953">
        <f t="shared" si="5"/>
        <v>14.81</v>
      </c>
      <c r="E6" s="953">
        <f t="shared" si="5"/>
        <v>0</v>
      </c>
      <c r="F6" s="953">
        <f t="shared" si="5"/>
        <v>63.55</v>
      </c>
      <c r="G6" s="953">
        <f t="shared" si="5"/>
        <v>75.7</v>
      </c>
      <c r="H6" s="953">
        <f t="shared" si="5"/>
        <v>0</v>
      </c>
      <c r="I6" s="953">
        <f t="shared" si="5"/>
        <v>18.279999999999998</v>
      </c>
      <c r="J6" s="953">
        <f t="shared" si="5"/>
        <v>0.22</v>
      </c>
      <c r="K6" s="953">
        <f t="shared" si="5"/>
        <v>0.02</v>
      </c>
      <c r="L6" s="953">
        <f t="shared" si="5"/>
        <v>57.47</v>
      </c>
      <c r="M6" s="953">
        <f t="shared" si="5"/>
        <v>37.79</v>
      </c>
      <c r="N6" s="953">
        <f t="shared" si="5"/>
        <v>66.02</v>
      </c>
    </row>
    <row r="7" spans="1:17">
      <c r="A7" s="953">
        <f t="shared" si="0"/>
        <v>6</v>
      </c>
      <c r="B7" s="953">
        <f t="shared" si="0"/>
        <v>0.80700000000000005</v>
      </c>
      <c r="C7" s="953">
        <f t="shared" ref="C7:N7" si="6">IF(Etabs="Etabs 9.7.4",IF(INDEX(Period_1,ROW($E7),COLUMN(C$1))&lt;&gt;"",INDEX(Period_1,ROW($E7),COLUMN(C$1)),""),IF(Etabs="Etabs 2013 trở lên",IF(INDEX(Period_2,ROW($E9),COLUMN(D$1))&lt;&gt;"",100*INDEX(Period_2,ROW($E9),COLUMN(D$1)),""),""))</f>
        <v>12.709999999999999</v>
      </c>
      <c r="D7" s="953">
        <f t="shared" si="6"/>
        <v>0.18</v>
      </c>
      <c r="E7" s="953">
        <f t="shared" si="6"/>
        <v>0</v>
      </c>
      <c r="F7" s="953">
        <f t="shared" si="6"/>
        <v>76.259999999999991</v>
      </c>
      <c r="G7" s="953">
        <f t="shared" si="6"/>
        <v>75.89</v>
      </c>
      <c r="H7" s="953">
        <f t="shared" si="6"/>
        <v>0</v>
      </c>
      <c r="I7" s="953">
        <f t="shared" si="6"/>
        <v>0.38</v>
      </c>
      <c r="J7" s="953">
        <f t="shared" si="6"/>
        <v>20.599999999999998</v>
      </c>
      <c r="K7" s="953">
        <f t="shared" si="6"/>
        <v>0.21</v>
      </c>
      <c r="L7" s="953">
        <f t="shared" si="6"/>
        <v>57.84</v>
      </c>
      <c r="M7" s="953">
        <f t="shared" si="6"/>
        <v>58.39</v>
      </c>
      <c r="N7" s="953">
        <f t="shared" si="6"/>
        <v>66.239999999999995</v>
      </c>
    </row>
    <row r="8" spans="1:17">
      <c r="A8" s="953">
        <f t="shared" si="0"/>
        <v>7</v>
      </c>
      <c r="B8" s="953">
        <f t="shared" si="0"/>
        <v>0.64200000000000002</v>
      </c>
      <c r="C8" s="953">
        <f t="shared" ref="C8:N8" si="7">IF(Etabs="Etabs 9.7.4",IF(INDEX(Period_1,ROW($E8),COLUMN(C$1))&lt;&gt;"",INDEX(Period_1,ROW($E8),COLUMN(C$1)),""),IF(Etabs="Etabs 2013 trở lên",IF(INDEX(Period_2,ROW($E10),COLUMN(D$1))&lt;&gt;"",100*INDEX(Period_2,ROW($E10),COLUMN(D$1)),""),""))</f>
        <v>0.1</v>
      </c>
      <c r="D8" s="953">
        <f t="shared" si="7"/>
        <v>1.5220000000000001E-4</v>
      </c>
      <c r="E8" s="953">
        <f t="shared" si="7"/>
        <v>0</v>
      </c>
      <c r="F8" s="953">
        <f t="shared" si="7"/>
        <v>76.36</v>
      </c>
      <c r="G8" s="953">
        <f t="shared" si="7"/>
        <v>75.89</v>
      </c>
      <c r="H8" s="953">
        <f t="shared" si="7"/>
        <v>0</v>
      </c>
      <c r="I8" s="953">
        <f t="shared" si="7"/>
        <v>4.682E-4</v>
      </c>
      <c r="J8" s="953">
        <f t="shared" si="7"/>
        <v>0.12</v>
      </c>
      <c r="K8" s="953">
        <f t="shared" si="7"/>
        <v>4.05</v>
      </c>
      <c r="L8" s="953">
        <f t="shared" si="7"/>
        <v>57.84</v>
      </c>
      <c r="M8" s="953">
        <f t="shared" si="7"/>
        <v>58.5</v>
      </c>
      <c r="N8" s="953">
        <f t="shared" si="7"/>
        <v>70.289999999999992</v>
      </c>
    </row>
    <row r="9" spans="1:17">
      <c r="A9" s="953">
        <f t="shared" si="0"/>
        <v>8</v>
      </c>
      <c r="B9" s="953">
        <f t="shared" si="0"/>
        <v>0.47799999999999998</v>
      </c>
      <c r="C9" s="953">
        <f t="shared" ref="C9:N9" si="8">IF(Etabs="Etabs 9.7.4",IF(INDEX(Period_1,ROW($E9),COLUMN(C$1))&lt;&gt;"",INDEX(Period_1,ROW($E9),COLUMN(C$1)),""),IF(Etabs="Etabs 2013 trở lên",IF(INDEX(Period_2,ROW($E11),COLUMN(D$1))&lt;&gt;"",100*INDEX(Period_2,ROW($E11),COLUMN(D$1)),""),""))</f>
        <v>0.05</v>
      </c>
      <c r="D9" s="953">
        <f t="shared" si="8"/>
        <v>5.0999999999999996</v>
      </c>
      <c r="E9" s="953">
        <f t="shared" si="8"/>
        <v>0</v>
      </c>
      <c r="F9" s="953">
        <f t="shared" si="8"/>
        <v>76.41</v>
      </c>
      <c r="G9" s="953">
        <f t="shared" si="8"/>
        <v>80.989999999999995</v>
      </c>
      <c r="H9" s="953">
        <f t="shared" si="8"/>
        <v>0</v>
      </c>
      <c r="I9" s="953">
        <f t="shared" si="8"/>
        <v>6.4600000000000009</v>
      </c>
      <c r="J9" s="953">
        <f t="shared" si="8"/>
        <v>0.08</v>
      </c>
      <c r="K9" s="953">
        <f t="shared" si="8"/>
        <v>9.7879999999999994E-4</v>
      </c>
      <c r="L9" s="953">
        <f t="shared" si="8"/>
        <v>64.31</v>
      </c>
      <c r="M9" s="953">
        <f t="shared" si="8"/>
        <v>58.58</v>
      </c>
      <c r="N9" s="953">
        <f t="shared" si="8"/>
        <v>70.289999999999992</v>
      </c>
    </row>
    <row r="10" spans="1:17">
      <c r="A10" s="953">
        <f t="shared" si="0"/>
        <v>9</v>
      </c>
      <c r="B10" s="953">
        <f t="shared" si="0"/>
        <v>0.41399999999999998</v>
      </c>
      <c r="C10" s="953">
        <f t="shared" ref="C10:N10" si="9">IF(Etabs="Etabs 9.7.4",IF(INDEX(Period_1,ROW($E10),COLUMN(C$1))&lt;&gt;"",INDEX(Period_1,ROW($E10),COLUMN(C$1)),""),IF(Etabs="Etabs 2013 trở lên",IF(INDEX(Period_2,ROW($E12),COLUMN(D$1))&lt;&gt;"",100*INDEX(Period_2,ROW($E12),COLUMN(D$1)),""),""))</f>
        <v>0.01</v>
      </c>
      <c r="D10" s="953">
        <f t="shared" si="9"/>
        <v>1.9650000000000002E-3</v>
      </c>
      <c r="E10" s="953">
        <f t="shared" si="9"/>
        <v>0</v>
      </c>
      <c r="F10" s="953">
        <f t="shared" si="9"/>
        <v>76.42</v>
      </c>
      <c r="G10" s="953">
        <f t="shared" si="9"/>
        <v>80.989999999999995</v>
      </c>
      <c r="H10" s="953">
        <f t="shared" si="9"/>
        <v>0</v>
      </c>
      <c r="I10" s="953">
        <f t="shared" si="9"/>
        <v>3.617E-3</v>
      </c>
      <c r="J10" s="953">
        <f t="shared" si="9"/>
        <v>3.431E-3</v>
      </c>
      <c r="K10" s="953">
        <f t="shared" si="9"/>
        <v>3.15</v>
      </c>
      <c r="L10" s="953">
        <f t="shared" si="9"/>
        <v>64.31</v>
      </c>
      <c r="M10" s="953">
        <f t="shared" si="9"/>
        <v>58.589999999999996</v>
      </c>
      <c r="N10" s="953">
        <f t="shared" si="9"/>
        <v>73.429999999999993</v>
      </c>
    </row>
    <row r="11" spans="1:17">
      <c r="A11" s="953">
        <f t="shared" si="0"/>
        <v>10</v>
      </c>
      <c r="B11" s="953">
        <f t="shared" si="0"/>
        <v>0.39</v>
      </c>
      <c r="C11" s="953">
        <f t="shared" ref="C11:N11" si="10">IF(Etabs="Etabs 9.7.4",IF(INDEX(Period_1,ROW($E11),COLUMN(C$1))&lt;&gt;"",INDEX(Period_1,ROW($E11),COLUMN(C$1)),""),IF(Etabs="Etabs 2013 trở lên",IF(INDEX(Period_2,ROW($E13),COLUMN(D$1))&lt;&gt;"",100*INDEX(Period_2,ROW($E13),COLUMN(D$1)),""),""))</f>
        <v>5.0299999999999994</v>
      </c>
      <c r="D11" s="953">
        <f t="shared" si="10"/>
        <v>0.05</v>
      </c>
      <c r="E11" s="953">
        <f t="shared" si="10"/>
        <v>0</v>
      </c>
      <c r="F11" s="953">
        <f t="shared" si="10"/>
        <v>81.45</v>
      </c>
      <c r="G11" s="953">
        <f t="shared" si="10"/>
        <v>81.05</v>
      </c>
      <c r="H11" s="953">
        <f t="shared" si="10"/>
        <v>0</v>
      </c>
      <c r="I11" s="953">
        <f t="shared" si="10"/>
        <v>0.06</v>
      </c>
      <c r="J11" s="953">
        <f t="shared" si="10"/>
        <v>6.16</v>
      </c>
      <c r="K11" s="953">
        <f t="shared" si="10"/>
        <v>0.01</v>
      </c>
      <c r="L11" s="953">
        <f t="shared" si="10"/>
        <v>64.37</v>
      </c>
      <c r="M11" s="953">
        <f t="shared" si="10"/>
        <v>64.75</v>
      </c>
      <c r="N11" s="953">
        <f t="shared" si="10"/>
        <v>73.440000000000012</v>
      </c>
    </row>
    <row r="12" spans="1:17">
      <c r="A12" s="953">
        <f t="shared" si="0"/>
        <v>11</v>
      </c>
      <c r="B12" s="953">
        <f t="shared" si="0"/>
        <v>0.29199999999999998</v>
      </c>
      <c r="C12" s="953">
        <f t="shared" ref="C12:N12" si="11">IF(Etabs="Etabs 9.7.4",IF(INDEX(Period_1,ROW($E12),COLUMN(C$1))&lt;&gt;"",INDEX(Period_1,ROW($E12),COLUMN(C$1)),""),IF(Etabs="Etabs 2013 trở lên",IF(INDEX(Period_2,ROW($E14),COLUMN(D$1))&lt;&gt;"",100*INDEX(Period_2,ROW($E14),COLUMN(D$1)),""),""))</f>
        <v>0.01</v>
      </c>
      <c r="D12" s="953">
        <f t="shared" si="11"/>
        <v>0.44999999999999996</v>
      </c>
      <c r="E12" s="953">
        <f t="shared" si="11"/>
        <v>0</v>
      </c>
      <c r="F12" s="953">
        <f t="shared" si="11"/>
        <v>81.459999999999994</v>
      </c>
      <c r="G12" s="953">
        <f t="shared" si="11"/>
        <v>81.5</v>
      </c>
      <c r="H12" s="953">
        <f t="shared" si="11"/>
        <v>0</v>
      </c>
      <c r="I12" s="953">
        <f t="shared" si="11"/>
        <v>0.77</v>
      </c>
      <c r="J12" s="953">
        <f t="shared" si="11"/>
        <v>0.01</v>
      </c>
      <c r="K12" s="953">
        <f t="shared" si="11"/>
        <v>2.74</v>
      </c>
      <c r="L12" s="953">
        <f t="shared" si="11"/>
        <v>65.14</v>
      </c>
      <c r="M12" s="953">
        <f t="shared" si="11"/>
        <v>64.759999999999991</v>
      </c>
      <c r="N12" s="953">
        <f t="shared" si="11"/>
        <v>76.19</v>
      </c>
    </row>
    <row r="13" spans="1:17">
      <c r="A13" s="953">
        <f t="shared" si="0"/>
        <v>12</v>
      </c>
      <c r="B13" s="953">
        <f t="shared" si="0"/>
        <v>0.29099999999999998</v>
      </c>
      <c r="C13" s="953">
        <f t="shared" ref="C13:N13" si="12">IF(Etabs="Etabs 9.7.4",IF(INDEX(Period_1,ROW($E13),COLUMN(C$1))&lt;&gt;"",INDEX(Period_1,ROW($E13),COLUMN(C$1)),""),IF(Etabs="Etabs 2013 trở lên",IF(INDEX(Period_2,ROW($E15),COLUMN(D$1))&lt;&gt;"",100*INDEX(Period_2,ROW($E15),COLUMN(D$1)),""),""))</f>
        <v>0.02</v>
      </c>
      <c r="D13" s="953">
        <f t="shared" si="12"/>
        <v>2.73</v>
      </c>
      <c r="E13" s="953">
        <f t="shared" si="12"/>
        <v>0</v>
      </c>
      <c r="F13" s="953">
        <f t="shared" si="12"/>
        <v>81.47999999999999</v>
      </c>
      <c r="G13" s="953">
        <f t="shared" si="12"/>
        <v>84.23</v>
      </c>
      <c r="H13" s="953">
        <f t="shared" si="12"/>
        <v>0</v>
      </c>
      <c r="I13" s="953">
        <f t="shared" si="12"/>
        <v>4.54</v>
      </c>
      <c r="J13" s="953">
        <f t="shared" si="12"/>
        <v>0.03</v>
      </c>
      <c r="K13" s="953">
        <f t="shared" si="12"/>
        <v>0.38</v>
      </c>
      <c r="L13" s="953">
        <f t="shared" si="12"/>
        <v>69.679999999999993</v>
      </c>
      <c r="M13" s="953">
        <f t="shared" si="12"/>
        <v>64.790000000000006</v>
      </c>
      <c r="N13" s="953">
        <f t="shared" si="12"/>
        <v>76.559999999999988</v>
      </c>
    </row>
    <row r="14" spans="1:17">
      <c r="A14" s="953">
        <f t="shared" si="0"/>
        <v>13</v>
      </c>
      <c r="B14" s="953">
        <f t="shared" si="0"/>
        <v>0.24099999999999999</v>
      </c>
      <c r="C14" s="953">
        <f t="shared" ref="C14:N14" si="13">IF(Etabs="Etabs 9.7.4",IF(INDEX(Period_1,ROW($E14),COLUMN(C$1))&lt;&gt;"",INDEX(Period_1,ROW($E14),COLUMN(C$1)),""),IF(Etabs="Etabs 2013 trở lên",IF(INDEX(Period_2,ROW($E16),COLUMN(D$1))&lt;&gt;"",100*INDEX(Period_2,ROW($E16),COLUMN(D$1)),""),""))</f>
        <v>3.26</v>
      </c>
      <c r="D14" s="953">
        <f t="shared" si="13"/>
        <v>0.04</v>
      </c>
      <c r="E14" s="953">
        <f t="shared" si="13"/>
        <v>0</v>
      </c>
      <c r="F14" s="953">
        <f t="shared" si="13"/>
        <v>84.740000000000009</v>
      </c>
      <c r="G14" s="953">
        <f t="shared" si="13"/>
        <v>84.26</v>
      </c>
      <c r="H14" s="953">
        <f t="shared" si="13"/>
        <v>0</v>
      </c>
      <c r="I14" s="953">
        <f t="shared" si="13"/>
        <v>6.9999999999999993E-2</v>
      </c>
      <c r="J14" s="953">
        <f t="shared" si="13"/>
        <v>5.72</v>
      </c>
      <c r="K14" s="953">
        <f t="shared" si="13"/>
        <v>0.05</v>
      </c>
      <c r="L14" s="953">
        <f t="shared" si="13"/>
        <v>69.75</v>
      </c>
      <c r="M14" s="953">
        <f t="shared" si="13"/>
        <v>70.509999999999991</v>
      </c>
      <c r="N14" s="953">
        <f t="shared" si="13"/>
        <v>76.61</v>
      </c>
    </row>
    <row r="15" spans="1:17">
      <c r="A15" s="953">
        <f t="shared" si="0"/>
        <v>14</v>
      </c>
      <c r="B15" s="953">
        <f t="shared" si="0"/>
        <v>0.22</v>
      </c>
      <c r="C15" s="953">
        <f t="shared" ref="C15:N15" si="14">IF(Etabs="Etabs 9.7.4",IF(INDEX(Period_1,ROW($E15),COLUMN(C$1))&lt;&gt;"",INDEX(Period_1,ROW($E15),COLUMN(C$1)),""),IF(Etabs="Etabs 2013 trở lên",IF(INDEX(Period_2,ROW($E17),COLUMN(D$1))&lt;&gt;"",100*INDEX(Period_2,ROW($E17),COLUMN(D$1)),""),""))</f>
        <v>1.9809999999999997E-3</v>
      </c>
      <c r="D15" s="953">
        <f t="shared" si="14"/>
        <v>0.01</v>
      </c>
      <c r="E15" s="953">
        <f t="shared" si="14"/>
        <v>0</v>
      </c>
      <c r="F15" s="953">
        <f t="shared" si="14"/>
        <v>84.740000000000009</v>
      </c>
      <c r="G15" s="953">
        <f t="shared" si="14"/>
        <v>84.27</v>
      </c>
      <c r="H15" s="953">
        <f t="shared" si="14"/>
        <v>0</v>
      </c>
      <c r="I15" s="953">
        <f t="shared" si="14"/>
        <v>0.02</v>
      </c>
      <c r="J15" s="953">
        <f t="shared" si="14"/>
        <v>2.3879999999999999E-3</v>
      </c>
      <c r="K15" s="953">
        <f t="shared" si="14"/>
        <v>3.9699999999999998</v>
      </c>
      <c r="L15" s="953">
        <f t="shared" si="14"/>
        <v>69.77</v>
      </c>
      <c r="M15" s="953">
        <f t="shared" si="14"/>
        <v>70.52000000000001</v>
      </c>
      <c r="N15" s="953">
        <f t="shared" si="14"/>
        <v>80.589999999999989</v>
      </c>
    </row>
    <row r="16" spans="1:17">
      <c r="A16" s="953">
        <f t="shared" si="0"/>
        <v>15</v>
      </c>
      <c r="B16" s="953">
        <f t="shared" si="0"/>
        <v>0.2</v>
      </c>
      <c r="C16" s="953">
        <f t="shared" ref="C16:N16" si="15">IF(Etabs="Etabs 9.7.4",IF(INDEX(Period_1,ROW($E16),COLUMN(C$1))&lt;&gt;"",INDEX(Period_1,ROW($E16),COLUMN(C$1)),""),IF(Etabs="Etabs 2013 trở lên",IF(INDEX(Period_2,ROW($E18),COLUMN(D$1))&lt;&gt;"",100*INDEX(Period_2,ROW($E18),COLUMN(D$1)),""),""))</f>
        <v>0.02</v>
      </c>
      <c r="D16" s="953">
        <f t="shared" si="15"/>
        <v>2.46</v>
      </c>
      <c r="E16" s="953">
        <f t="shared" si="15"/>
        <v>0</v>
      </c>
      <c r="F16" s="953">
        <f t="shared" si="15"/>
        <v>84.76</v>
      </c>
      <c r="G16" s="953">
        <f t="shared" si="15"/>
        <v>86.72999999999999</v>
      </c>
      <c r="H16" s="953">
        <f t="shared" si="15"/>
        <v>0</v>
      </c>
      <c r="I16" s="953">
        <f t="shared" si="15"/>
        <v>4.2</v>
      </c>
      <c r="J16" s="953">
        <f t="shared" si="15"/>
        <v>0.04</v>
      </c>
      <c r="K16" s="953">
        <f t="shared" si="15"/>
        <v>7.9710000000000002E-4</v>
      </c>
      <c r="L16" s="953">
        <f t="shared" si="15"/>
        <v>73.97</v>
      </c>
      <c r="M16" s="953">
        <f t="shared" si="15"/>
        <v>70.55</v>
      </c>
      <c r="N16" s="953">
        <f t="shared" si="15"/>
        <v>80.589999999999989</v>
      </c>
    </row>
    <row r="17" spans="1:14">
      <c r="A17" s="953">
        <f t="shared" si="0"/>
        <v>16</v>
      </c>
      <c r="B17" s="953">
        <f t="shared" si="0"/>
        <v>0.17399999999999999</v>
      </c>
      <c r="C17" s="953">
        <f t="shared" ref="C17:N17" si="16">IF(Etabs="Etabs 9.7.4",IF(INDEX(Period_1,ROW($E17),COLUMN(C$1))&lt;&gt;"",INDEX(Period_1,ROW($E17),COLUMN(C$1)),""),IF(Etabs="Etabs 2013 trở lên",IF(INDEX(Period_2,ROW($E19),COLUMN(D$1))&lt;&gt;"",100*INDEX(Period_2,ROW($E19),COLUMN(D$1)),""),""))</f>
        <v>0.04</v>
      </c>
      <c r="D17" s="953">
        <f t="shared" si="16"/>
        <v>0.02</v>
      </c>
      <c r="E17" s="953">
        <f t="shared" si="16"/>
        <v>0</v>
      </c>
      <c r="F17" s="953">
        <f t="shared" si="16"/>
        <v>84.8</v>
      </c>
      <c r="G17" s="953">
        <f t="shared" si="16"/>
        <v>86.75</v>
      </c>
      <c r="H17" s="953">
        <f t="shared" si="16"/>
        <v>0</v>
      </c>
      <c r="I17" s="953">
        <f t="shared" si="16"/>
        <v>0.04</v>
      </c>
      <c r="J17" s="953">
        <f t="shared" si="16"/>
        <v>0.08</v>
      </c>
      <c r="K17" s="953">
        <f t="shared" si="16"/>
        <v>5.72</v>
      </c>
      <c r="L17" s="953">
        <f t="shared" si="16"/>
        <v>74.02</v>
      </c>
      <c r="M17" s="953">
        <f t="shared" si="16"/>
        <v>70.63000000000001</v>
      </c>
      <c r="N17" s="953">
        <f t="shared" si="16"/>
        <v>86.31</v>
      </c>
    </row>
    <row r="18" spans="1:14">
      <c r="A18" s="953">
        <f t="shared" si="0"/>
        <v>17</v>
      </c>
      <c r="B18" s="953">
        <f t="shared" si="0"/>
        <v>0.16800000000000001</v>
      </c>
      <c r="C18" s="953">
        <f t="shared" ref="C18:N18" si="17">IF(Etabs="Etabs 9.7.4",IF(INDEX(Period_1,ROW($E18),COLUMN(C$1))&lt;&gt;"",INDEX(Period_1,ROW($E18),COLUMN(C$1)),""),IF(Etabs="Etabs 2013 trở lên",IF(INDEX(Period_2,ROW($E20),COLUMN(D$1))&lt;&gt;"",100*INDEX(Period_2,ROW($E20),COLUMN(D$1)),""),""))</f>
        <v>2.62</v>
      </c>
      <c r="D18" s="953">
        <f t="shared" si="17"/>
        <v>0.03</v>
      </c>
      <c r="E18" s="953">
        <f t="shared" si="17"/>
        <v>0</v>
      </c>
      <c r="F18" s="953">
        <f t="shared" si="17"/>
        <v>87.42</v>
      </c>
      <c r="G18" s="953">
        <f t="shared" si="17"/>
        <v>86.78</v>
      </c>
      <c r="H18" s="953">
        <f t="shared" si="17"/>
        <v>0</v>
      </c>
      <c r="I18" s="953">
        <f t="shared" si="17"/>
        <v>0.05</v>
      </c>
      <c r="J18" s="953">
        <f t="shared" si="17"/>
        <v>4.49</v>
      </c>
      <c r="K18" s="953">
        <f t="shared" si="17"/>
        <v>3.168E-4</v>
      </c>
      <c r="L18" s="953">
        <f t="shared" si="17"/>
        <v>74.06</v>
      </c>
      <c r="M18" s="953">
        <f t="shared" si="17"/>
        <v>75.12</v>
      </c>
      <c r="N18" s="953">
        <f t="shared" si="17"/>
        <v>86.31</v>
      </c>
    </row>
    <row r="19" spans="1:14">
      <c r="A19" s="953">
        <f t="shared" si="0"/>
        <v>18</v>
      </c>
      <c r="B19" s="953">
        <f t="shared" si="0"/>
        <v>0.14799999999999999</v>
      </c>
      <c r="C19" s="953">
        <f t="shared" ref="C19:N19" si="18">IF(Etabs="Etabs 9.7.4",IF(INDEX(Period_1,ROW($E19),COLUMN(C$1))&lt;&gt;"",INDEX(Period_1,ROW($E19),COLUMN(C$1)),""),IF(Etabs="Etabs 2013 trở lên",IF(INDEX(Period_2,ROW($E21),COLUMN(D$1))&lt;&gt;"",100*INDEX(Period_2,ROW($E21),COLUMN(D$1)),""),""))</f>
        <v>0.02</v>
      </c>
      <c r="D19" s="953">
        <f t="shared" si="18"/>
        <v>2.29</v>
      </c>
      <c r="E19" s="953">
        <f t="shared" si="18"/>
        <v>0</v>
      </c>
      <c r="F19" s="953">
        <f t="shared" si="18"/>
        <v>87.44</v>
      </c>
      <c r="G19" s="953">
        <f t="shared" si="18"/>
        <v>89.070000000000007</v>
      </c>
      <c r="H19" s="953">
        <f t="shared" si="18"/>
        <v>0</v>
      </c>
      <c r="I19" s="953">
        <f t="shared" si="18"/>
        <v>4.26</v>
      </c>
      <c r="J19" s="953">
        <f t="shared" si="18"/>
        <v>0.03</v>
      </c>
      <c r="K19" s="953">
        <f t="shared" si="18"/>
        <v>0.21</v>
      </c>
      <c r="L19" s="953">
        <f t="shared" si="18"/>
        <v>78.33</v>
      </c>
      <c r="M19" s="953">
        <f t="shared" si="18"/>
        <v>75.149999999999991</v>
      </c>
      <c r="N19" s="953">
        <f t="shared" si="18"/>
        <v>86.52</v>
      </c>
    </row>
    <row r="20" spans="1:14">
      <c r="A20" s="953">
        <f t="shared" si="0"/>
        <v>19</v>
      </c>
      <c r="B20" s="953">
        <f t="shared" si="0"/>
        <v>0.14399999999999999</v>
      </c>
      <c r="C20" s="953">
        <f t="shared" ref="C20:N20" si="19">IF(Etabs="Etabs 9.7.4",IF(INDEX(Period_1,ROW($E20),COLUMN(C$1))&lt;&gt;"",INDEX(Period_1,ROW($E20),COLUMN(C$1)),""),IF(Etabs="Etabs 2013 trở lên",IF(INDEX(Period_2,ROW($E22),COLUMN(D$1))&lt;&gt;"",100*INDEX(Period_2,ROW($E22),COLUMN(D$1)),""),""))</f>
        <v>0.02</v>
      </c>
      <c r="D20" s="953">
        <f t="shared" si="19"/>
        <v>0.01</v>
      </c>
      <c r="E20" s="953">
        <f t="shared" si="19"/>
        <v>0</v>
      </c>
      <c r="F20" s="953">
        <f t="shared" si="19"/>
        <v>87.460000000000008</v>
      </c>
      <c r="G20" s="953">
        <f t="shared" si="19"/>
        <v>89.08</v>
      </c>
      <c r="H20" s="953">
        <f t="shared" si="19"/>
        <v>0</v>
      </c>
      <c r="I20" s="953">
        <f t="shared" si="19"/>
        <v>0.02</v>
      </c>
      <c r="J20" s="953">
        <f t="shared" si="19"/>
        <v>0.04</v>
      </c>
      <c r="K20" s="953">
        <f t="shared" si="19"/>
        <v>5.62</v>
      </c>
      <c r="L20" s="953">
        <f t="shared" si="19"/>
        <v>78.34</v>
      </c>
      <c r="M20" s="953">
        <f t="shared" si="19"/>
        <v>75.19</v>
      </c>
      <c r="N20" s="953">
        <f t="shared" si="19"/>
        <v>92.14</v>
      </c>
    </row>
    <row r="21" spans="1:14">
      <c r="A21" s="953">
        <f t="shared" si="0"/>
        <v>20</v>
      </c>
      <c r="B21" s="953">
        <f t="shared" si="0"/>
        <v>0.126</v>
      </c>
      <c r="C21" s="953">
        <f t="shared" ref="C21:N21" si="20">IF(Etabs="Etabs 9.7.4",IF(INDEX(Period_1,ROW($E21),COLUMN(C$1))&lt;&gt;"",INDEX(Period_1,ROW($E21),COLUMN(C$1)),""),IF(Etabs="Etabs 2013 trở lên",IF(INDEX(Period_2,ROW($E23),COLUMN(D$1))&lt;&gt;"",100*INDEX(Period_2,ROW($E23),COLUMN(D$1)),""),""))</f>
        <v>2.5700000000000003</v>
      </c>
      <c r="D21" s="953">
        <f t="shared" si="20"/>
        <v>0.04</v>
      </c>
      <c r="E21" s="953">
        <f t="shared" si="20"/>
        <v>0</v>
      </c>
      <c r="F21" s="953">
        <f t="shared" si="20"/>
        <v>90.03</v>
      </c>
      <c r="G21" s="953">
        <f t="shared" si="20"/>
        <v>89.12</v>
      </c>
      <c r="H21" s="953">
        <f t="shared" si="20"/>
        <v>0</v>
      </c>
      <c r="I21" s="953">
        <f t="shared" si="20"/>
        <v>0.08</v>
      </c>
      <c r="J21" s="953">
        <f t="shared" si="20"/>
        <v>4.9000000000000004</v>
      </c>
      <c r="K21" s="953">
        <f t="shared" si="20"/>
        <v>0.09</v>
      </c>
      <c r="L21" s="953">
        <f t="shared" si="20"/>
        <v>78.42</v>
      </c>
      <c r="M21" s="953">
        <f t="shared" si="20"/>
        <v>80.089999999999989</v>
      </c>
      <c r="N21" s="953">
        <f t="shared" si="20"/>
        <v>92.23</v>
      </c>
    </row>
    <row r="22" spans="1:14">
      <c r="A22" s="953">
        <f t="shared" si="0"/>
        <v>21</v>
      </c>
      <c r="B22" s="953">
        <f t="shared" si="0"/>
        <v>0.11600000000000001</v>
      </c>
      <c r="C22" s="953">
        <f t="shared" ref="C22:N22" si="21">IF(Etabs="Etabs 9.7.4",IF(INDEX(Period_1,ROW($E22),COLUMN(C$1))&lt;&gt;"",INDEX(Period_1,ROW($E22),COLUMN(C$1)),""),IF(Etabs="Etabs 2013 trở lên",IF(INDEX(Period_2,ROW($E24),COLUMN(D$1))&lt;&gt;"",100*INDEX(Period_2,ROW($E24),COLUMN(D$1)),""),""))</f>
        <v>0.05</v>
      </c>
      <c r="D22" s="953">
        <f t="shared" si="21"/>
        <v>2.27</v>
      </c>
      <c r="E22" s="953">
        <f t="shared" si="21"/>
        <v>0</v>
      </c>
      <c r="F22" s="953">
        <f t="shared" si="21"/>
        <v>90.08</v>
      </c>
      <c r="G22" s="953">
        <f t="shared" si="21"/>
        <v>91.39</v>
      </c>
      <c r="H22" s="953">
        <f t="shared" si="21"/>
        <v>0</v>
      </c>
      <c r="I22" s="953">
        <f t="shared" si="21"/>
        <v>4.3099999999999996</v>
      </c>
      <c r="J22" s="953">
        <f t="shared" si="21"/>
        <v>0.09</v>
      </c>
      <c r="K22" s="953">
        <f t="shared" si="21"/>
        <v>0.12</v>
      </c>
      <c r="L22" s="953">
        <f t="shared" si="21"/>
        <v>82.73</v>
      </c>
      <c r="M22" s="953">
        <f t="shared" si="21"/>
        <v>80.179999999999993</v>
      </c>
      <c r="N22" s="953">
        <f t="shared" si="21"/>
        <v>92.35</v>
      </c>
    </row>
    <row r="23" spans="1:14">
      <c r="A23" s="953">
        <f t="shared" si="0"/>
        <v>22</v>
      </c>
      <c r="B23" s="953">
        <f t="shared" si="0"/>
        <v>0.10199999999999999</v>
      </c>
      <c r="C23" s="953">
        <f t="shared" ref="C23:N23" si="22">IF(Etabs="Etabs 9.7.4",IF(INDEX(Period_1,ROW($E23),COLUMN(C$1))&lt;&gt;"",INDEX(Period_1,ROW($E23),COLUMN(C$1)),""),IF(Etabs="Etabs 2013 trở lên",IF(INDEX(Period_2,ROW($E25),COLUMN(D$1))&lt;&gt;"",100*INDEX(Period_2,ROW($E25),COLUMN(D$1)),""),""))</f>
        <v>1.67</v>
      </c>
      <c r="D23" s="953">
        <f t="shared" si="22"/>
        <v>0.22999999999999998</v>
      </c>
      <c r="E23" s="953">
        <f t="shared" si="22"/>
        <v>0</v>
      </c>
      <c r="F23" s="953">
        <f t="shared" si="22"/>
        <v>91.75</v>
      </c>
      <c r="G23" s="953">
        <f t="shared" si="22"/>
        <v>91.62</v>
      </c>
      <c r="H23" s="953">
        <f t="shared" si="22"/>
        <v>0</v>
      </c>
      <c r="I23" s="953">
        <f t="shared" si="22"/>
        <v>0.44</v>
      </c>
      <c r="J23" s="953">
        <f t="shared" si="22"/>
        <v>3.18</v>
      </c>
      <c r="K23" s="953">
        <f t="shared" si="22"/>
        <v>0.37</v>
      </c>
      <c r="L23" s="953">
        <f t="shared" si="22"/>
        <v>83.16</v>
      </c>
      <c r="M23" s="953">
        <f t="shared" si="22"/>
        <v>83.36</v>
      </c>
      <c r="N23" s="953">
        <f t="shared" si="22"/>
        <v>92.72</v>
      </c>
    </row>
    <row r="24" spans="1:14">
      <c r="A24" s="953">
        <f t="shared" si="0"/>
        <v>23</v>
      </c>
      <c r="B24" s="953">
        <f t="shared" si="0"/>
        <v>9.6000000000000002E-2</v>
      </c>
      <c r="C24" s="953">
        <f t="shared" ref="C24:N24" si="23">IF(Etabs="Etabs 9.7.4",IF(INDEX(Period_1,ROW($E24),COLUMN(C$1))&lt;&gt;"",INDEX(Period_1,ROW($E24),COLUMN(C$1)),""),IF(Etabs="Etabs 2013 trở lên",IF(INDEX(Period_2,ROW($E26),COLUMN(D$1))&lt;&gt;"",100*INDEX(Period_2,ROW($E26),COLUMN(D$1)),""),""))</f>
        <v>1.21</v>
      </c>
      <c r="D24" s="953">
        <f t="shared" si="23"/>
        <v>1.32</v>
      </c>
      <c r="E24" s="953">
        <f t="shared" si="23"/>
        <v>0</v>
      </c>
      <c r="F24" s="953">
        <f t="shared" si="23"/>
        <v>92.96</v>
      </c>
      <c r="G24" s="953">
        <f t="shared" si="23"/>
        <v>92.94</v>
      </c>
      <c r="H24" s="953">
        <f t="shared" si="23"/>
        <v>0</v>
      </c>
      <c r="I24" s="953">
        <f t="shared" si="23"/>
        <v>2.5700000000000003</v>
      </c>
      <c r="J24" s="953">
        <f t="shared" si="23"/>
        <v>2.35</v>
      </c>
      <c r="K24" s="953">
        <f t="shared" si="23"/>
        <v>0.44999999999999996</v>
      </c>
      <c r="L24" s="953">
        <f t="shared" si="23"/>
        <v>85.740000000000009</v>
      </c>
      <c r="M24" s="953">
        <f t="shared" si="23"/>
        <v>85.71</v>
      </c>
      <c r="N24" s="953">
        <f t="shared" si="23"/>
        <v>93.17</v>
      </c>
    </row>
    <row r="25" spans="1:14">
      <c r="A25" s="953">
        <f t="shared" si="0"/>
        <v>24</v>
      </c>
      <c r="B25" s="953">
        <f t="shared" si="0"/>
        <v>0.09</v>
      </c>
      <c r="C25" s="953">
        <f t="shared" ref="C25:N25" si="24">IF(Etabs="Etabs 9.7.4",IF(INDEX(Period_1,ROW($E25),COLUMN(C$1))&lt;&gt;"",INDEX(Period_1,ROW($E25),COLUMN(C$1)),""),IF(Etabs="Etabs 2013 trở lên",IF(INDEX(Period_2,ROW($E27),COLUMN(D$1))&lt;&gt;"",100*INDEX(Period_2,ROW($E27),COLUMN(D$1)),""),""))</f>
        <v>0.91</v>
      </c>
      <c r="D25" s="953">
        <f t="shared" si="24"/>
        <v>1.4000000000000001</v>
      </c>
      <c r="E25" s="953">
        <f t="shared" si="24"/>
        <v>0</v>
      </c>
      <c r="F25" s="953">
        <f t="shared" si="24"/>
        <v>93.87</v>
      </c>
      <c r="G25" s="953">
        <f t="shared" si="24"/>
        <v>94.34</v>
      </c>
      <c r="H25" s="953">
        <f t="shared" si="24"/>
        <v>0</v>
      </c>
      <c r="I25" s="953">
        <f t="shared" si="24"/>
        <v>2.77</v>
      </c>
      <c r="J25" s="953">
        <f t="shared" si="24"/>
        <v>1.7999999999999998</v>
      </c>
      <c r="K25" s="953">
        <f t="shared" si="24"/>
        <v>0.28999999999999998</v>
      </c>
      <c r="L25" s="953">
        <f t="shared" si="24"/>
        <v>88.5</v>
      </c>
      <c r="M25" s="953">
        <f t="shared" si="24"/>
        <v>87.51</v>
      </c>
      <c r="N25" s="953">
        <f t="shared" si="24"/>
        <v>93.46</v>
      </c>
    </row>
    <row r="26" spans="1:14">
      <c r="A26" s="953">
        <f t="shared" si="0"/>
        <v>25</v>
      </c>
      <c r="B26" s="953">
        <f t="shared" si="0"/>
        <v>7.8E-2</v>
      </c>
      <c r="C26" s="953">
        <f t="shared" ref="C26:N26" si="25">IF(Etabs="Etabs 9.7.4",IF(INDEX(Period_1,ROW($E26),COLUMN(C$1))&lt;&gt;"",INDEX(Period_1,ROW($E26),COLUMN(C$1)),""),IF(Etabs="Etabs 2013 trở lên",IF(INDEX(Period_2,ROW($E28),COLUMN(D$1))&lt;&gt;"",100*INDEX(Period_2,ROW($E28),COLUMN(D$1)),""),""))</f>
        <v>2.48</v>
      </c>
      <c r="D26" s="953">
        <f t="shared" si="25"/>
        <v>1.08</v>
      </c>
      <c r="E26" s="953">
        <f t="shared" si="25"/>
        <v>0</v>
      </c>
      <c r="F26" s="953">
        <f t="shared" si="25"/>
        <v>96.350000000000009</v>
      </c>
      <c r="G26" s="953">
        <f t="shared" si="25"/>
        <v>95.42</v>
      </c>
      <c r="H26" s="953">
        <f t="shared" si="25"/>
        <v>0</v>
      </c>
      <c r="I26" s="953">
        <f t="shared" si="25"/>
        <v>2.15</v>
      </c>
      <c r="J26" s="953">
        <f t="shared" si="25"/>
        <v>4.97</v>
      </c>
      <c r="K26" s="953">
        <f t="shared" si="25"/>
        <v>0.18</v>
      </c>
      <c r="L26" s="953">
        <f t="shared" si="25"/>
        <v>90.649999999999991</v>
      </c>
      <c r="M26" s="953">
        <f t="shared" si="25"/>
        <v>92.47999999999999</v>
      </c>
      <c r="N26" s="953">
        <f t="shared" si="25"/>
        <v>93.64</v>
      </c>
    </row>
    <row r="27" spans="1:14">
      <c r="A27" s="953">
        <f t="shared" si="0"/>
        <v>26</v>
      </c>
      <c r="B27" s="953">
        <f t="shared" si="0"/>
        <v>7.3999999999999996E-2</v>
      </c>
      <c r="C27" s="953">
        <f t="shared" ref="C27:N27" si="26">IF(Etabs="Etabs 9.7.4",IF(INDEX(Period_1,ROW($E27),COLUMN(C$1))&lt;&gt;"",INDEX(Period_1,ROW($E27),COLUMN(C$1)),""),IF(Etabs="Etabs 2013 trở lên",IF(INDEX(Period_2,ROW($E29),COLUMN(D$1))&lt;&gt;"",100*INDEX(Period_2,ROW($E29),COLUMN(D$1)),""),""))</f>
        <v>1.1499999999999999</v>
      </c>
      <c r="D27" s="953">
        <f t="shared" si="26"/>
        <v>1.87</v>
      </c>
      <c r="E27" s="953">
        <f t="shared" si="26"/>
        <v>0</v>
      </c>
      <c r="F27" s="953">
        <f t="shared" si="26"/>
        <v>97.5</v>
      </c>
      <c r="G27" s="953">
        <f t="shared" si="26"/>
        <v>97.289999999999992</v>
      </c>
      <c r="H27" s="953">
        <f t="shared" si="26"/>
        <v>0</v>
      </c>
      <c r="I27" s="953">
        <f t="shared" si="26"/>
        <v>3.74</v>
      </c>
      <c r="J27" s="953">
        <f t="shared" si="26"/>
        <v>2.31</v>
      </c>
      <c r="K27" s="953">
        <f t="shared" si="26"/>
        <v>0.19</v>
      </c>
      <c r="L27" s="953">
        <f t="shared" si="26"/>
        <v>94.39</v>
      </c>
      <c r="M27" s="953">
        <f t="shared" si="26"/>
        <v>94.789999999999992</v>
      </c>
      <c r="N27" s="953">
        <f t="shared" si="26"/>
        <v>93.820000000000007</v>
      </c>
    </row>
    <row r="28" spans="1:14">
      <c r="A28" s="953">
        <f t="shared" si="0"/>
        <v>27</v>
      </c>
      <c r="B28" s="953">
        <f t="shared" si="0"/>
        <v>5.8999999999999997E-2</v>
      </c>
      <c r="C28" s="953">
        <f t="shared" ref="C28:N28" si="27">IF(Etabs="Etabs 9.7.4",IF(INDEX(Period_1,ROW($E28),COLUMN(C$1))&lt;&gt;"",INDEX(Period_1,ROW($E28),COLUMN(C$1)),""),IF(Etabs="Etabs 2013 trở lên",IF(INDEX(Period_2,ROW($E30),COLUMN(D$1))&lt;&gt;"",100*INDEX(Period_2,ROW($E30),COLUMN(D$1)),""),""))</f>
        <v>1.3299999999999998</v>
      </c>
      <c r="D28" s="953">
        <f t="shared" si="27"/>
        <v>0.71000000000000008</v>
      </c>
      <c r="E28" s="953">
        <f t="shared" si="27"/>
        <v>0</v>
      </c>
      <c r="F28" s="953">
        <f t="shared" si="27"/>
        <v>98.83</v>
      </c>
      <c r="G28" s="953">
        <f t="shared" si="27"/>
        <v>98</v>
      </c>
      <c r="H28" s="953">
        <f t="shared" si="27"/>
        <v>0</v>
      </c>
      <c r="I28" s="953">
        <f t="shared" si="27"/>
        <v>1.44</v>
      </c>
      <c r="J28" s="953">
        <f t="shared" si="27"/>
        <v>2.73</v>
      </c>
      <c r="K28" s="953">
        <f t="shared" si="27"/>
        <v>0.15</v>
      </c>
      <c r="L28" s="953">
        <f t="shared" si="27"/>
        <v>95.83</v>
      </c>
      <c r="M28" s="953">
        <f t="shared" si="27"/>
        <v>97.52</v>
      </c>
      <c r="N28" s="953">
        <f t="shared" si="27"/>
        <v>93.97</v>
      </c>
    </row>
    <row r="29" spans="1:14">
      <c r="A29" s="953">
        <f t="shared" si="0"/>
        <v>28</v>
      </c>
      <c r="B29" s="953">
        <f t="shared" si="0"/>
        <v>5.6000000000000001E-2</v>
      </c>
      <c r="C29" s="953">
        <f t="shared" ref="C29:N29" si="28">IF(Etabs="Etabs 9.7.4",IF(INDEX(Period_1,ROW($E29),COLUMN(C$1))&lt;&gt;"",INDEX(Period_1,ROW($E29),COLUMN(C$1)),""),IF(Etabs="Etabs 2013 trở lên",IF(INDEX(Period_2,ROW($E31),COLUMN(D$1))&lt;&gt;"",100*INDEX(Period_2,ROW($E31),COLUMN(D$1)),""),""))</f>
        <v>0.5</v>
      </c>
      <c r="D29" s="953">
        <f t="shared" si="28"/>
        <v>1.1599999999999999</v>
      </c>
      <c r="E29" s="953">
        <f t="shared" si="28"/>
        <v>0</v>
      </c>
      <c r="F29" s="953">
        <f t="shared" si="28"/>
        <v>99.33</v>
      </c>
      <c r="G29" s="953">
        <f t="shared" si="28"/>
        <v>99.16</v>
      </c>
      <c r="H29" s="953">
        <f t="shared" si="28"/>
        <v>0</v>
      </c>
      <c r="I29" s="953">
        <f t="shared" si="28"/>
        <v>2.3800000000000003</v>
      </c>
      <c r="J29" s="953">
        <f t="shared" si="28"/>
        <v>1.04</v>
      </c>
      <c r="K29" s="953">
        <f t="shared" si="28"/>
        <v>0</v>
      </c>
      <c r="L29" s="953">
        <f t="shared" si="28"/>
        <v>98.2</v>
      </c>
      <c r="M29" s="953">
        <f t="shared" si="28"/>
        <v>98.56</v>
      </c>
      <c r="N29" s="953">
        <f t="shared" si="28"/>
        <v>93.97</v>
      </c>
    </row>
    <row r="30" spans="1:14">
      <c r="A30" s="953">
        <f t="shared" si="0"/>
        <v>29</v>
      </c>
      <c r="B30" s="953">
        <f t="shared" si="0"/>
        <v>3.6999999999999998E-2</v>
      </c>
      <c r="C30" s="953">
        <f t="shared" ref="C30:N30" si="29">IF(Etabs="Etabs 9.7.4",IF(INDEX(Period_1,ROW($E30),COLUMN(C$1))&lt;&gt;"",INDEX(Period_1,ROW($E30),COLUMN(C$1)),""),IF(Etabs="Etabs 2013 trở lên",IF(INDEX(Period_2,ROW($E32),COLUMN(D$1))&lt;&gt;"",100*INDEX(Period_2,ROW($E32),COLUMN(D$1)),""),""))</f>
        <v>0.3</v>
      </c>
      <c r="D30" s="953">
        <f t="shared" si="29"/>
        <v>0.13999999999999999</v>
      </c>
      <c r="E30" s="953">
        <f t="shared" si="29"/>
        <v>0</v>
      </c>
      <c r="F30" s="953">
        <f t="shared" si="29"/>
        <v>99.64</v>
      </c>
      <c r="G30" s="953">
        <f t="shared" si="29"/>
        <v>99.29</v>
      </c>
      <c r="H30" s="953">
        <f t="shared" si="29"/>
        <v>0</v>
      </c>
      <c r="I30" s="953">
        <f t="shared" si="29"/>
        <v>0.27999999999999997</v>
      </c>
      <c r="J30" s="953">
        <f t="shared" si="29"/>
        <v>0.64</v>
      </c>
      <c r="K30" s="953">
        <f t="shared" si="29"/>
        <v>0.16</v>
      </c>
      <c r="L30" s="953">
        <f t="shared" si="29"/>
        <v>98.49</v>
      </c>
      <c r="M30" s="953">
        <f t="shared" si="29"/>
        <v>99.2</v>
      </c>
      <c r="N30" s="953">
        <f t="shared" si="29"/>
        <v>94.13</v>
      </c>
    </row>
  </sheetData>
  <pageMargins left="0.7" right="0.7" top="0.75" bottom="0.75" header="0.3" footer="0.3"/>
  <pageSetup scale="9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J150"/>
  <sheetViews>
    <sheetView view="pageBreakPreview" zoomScaleNormal="100" zoomScaleSheetLayoutView="100" workbookViewId="0">
      <selection activeCell="A2" sqref="A2"/>
    </sheetView>
  </sheetViews>
  <sheetFormatPr defaultColWidth="9" defaultRowHeight="15.75"/>
  <cols>
    <col min="1" max="16384" width="9" style="570"/>
  </cols>
  <sheetData>
    <row r="1" spans="1:10">
      <c r="A1" s="570" t="s">
        <v>1820</v>
      </c>
      <c r="B1" s="570" t="s">
        <v>1826</v>
      </c>
      <c r="C1" s="570" t="s">
        <v>1842</v>
      </c>
      <c r="D1" s="570" t="s">
        <v>1843</v>
      </c>
      <c r="E1" s="570" t="s">
        <v>1844</v>
      </c>
      <c r="F1" s="570" t="s">
        <v>1845</v>
      </c>
      <c r="G1" s="570" t="s">
        <v>1846</v>
      </c>
      <c r="J1" s="460" t="s">
        <v>2066</v>
      </c>
    </row>
    <row r="2" spans="1:10">
      <c r="A2" s="942" t="str">
        <f t="shared" ref="A2:G11" si="0">IF(Etabs="Etabs 9.7.4",IF(INDEX(Mass_data_1,ROW($E2),COLUMN(A$1))&lt;&gt;"",INDEX(Mass_data_1,ROW($E2),COLUMN(A$1)),""),IF(Etabs="Etabs 2013 trở lên",IF(INDEX(Mass_data_2,ROW($E4),COLUMN(A$1))&lt;&gt;"",INDEX(Mass_data_2,ROW($E4),COLUMN(A$1)),""),""))</f>
        <v>TTUM</v>
      </c>
      <c r="B2" s="942" t="str">
        <f t="shared" si="0"/>
        <v>D1</v>
      </c>
      <c r="C2" s="942">
        <f t="shared" si="0"/>
        <v>1186.1731</v>
      </c>
      <c r="D2" s="942">
        <f t="shared" si="0"/>
        <v>1186.1731</v>
      </c>
      <c r="E2" s="942">
        <f t="shared" si="0"/>
        <v>529381.37040000001</v>
      </c>
      <c r="F2" s="942">
        <f t="shared" si="0"/>
        <v>35.383299999999998</v>
      </c>
      <c r="G2" s="942">
        <f t="shared" si="0"/>
        <v>14.280099999999999</v>
      </c>
    </row>
    <row r="3" spans="1:10">
      <c r="A3" s="942" t="str">
        <f t="shared" si="0"/>
        <v>T38</v>
      </c>
      <c r="B3" s="942" t="str">
        <f t="shared" si="0"/>
        <v>D1</v>
      </c>
      <c r="C3" s="942">
        <f t="shared" si="0"/>
        <v>1258.2292</v>
      </c>
      <c r="D3" s="942">
        <f t="shared" si="0"/>
        <v>1258.2292</v>
      </c>
      <c r="E3" s="942">
        <f t="shared" si="0"/>
        <v>556853.79850000003</v>
      </c>
      <c r="F3" s="942">
        <f t="shared" si="0"/>
        <v>35.402999999999999</v>
      </c>
      <c r="G3" s="942">
        <f t="shared" si="0"/>
        <v>14.2705</v>
      </c>
      <c r="I3" s="460"/>
    </row>
    <row r="4" spans="1:10">
      <c r="A4" s="942" t="str">
        <f t="shared" si="0"/>
        <v>T37</v>
      </c>
      <c r="B4" s="942" t="str">
        <f t="shared" si="0"/>
        <v>D1</v>
      </c>
      <c r="C4" s="942">
        <f t="shared" si="0"/>
        <v>1258.2292</v>
      </c>
      <c r="D4" s="942">
        <f t="shared" si="0"/>
        <v>1258.2292</v>
      </c>
      <c r="E4" s="942">
        <f t="shared" si="0"/>
        <v>556853.79850000003</v>
      </c>
      <c r="F4" s="942">
        <f t="shared" si="0"/>
        <v>35.402999999999999</v>
      </c>
      <c r="G4" s="942">
        <f t="shared" si="0"/>
        <v>14.2705</v>
      </c>
    </row>
    <row r="5" spans="1:10">
      <c r="A5" s="942" t="str">
        <f t="shared" si="0"/>
        <v>T36</v>
      </c>
      <c r="B5" s="942" t="str">
        <f t="shared" si="0"/>
        <v>D1</v>
      </c>
      <c r="C5" s="942">
        <f t="shared" si="0"/>
        <v>1258.2292</v>
      </c>
      <c r="D5" s="942">
        <f t="shared" si="0"/>
        <v>1258.2292</v>
      </c>
      <c r="E5" s="942">
        <f t="shared" si="0"/>
        <v>556853.79850000003</v>
      </c>
      <c r="F5" s="942">
        <f t="shared" si="0"/>
        <v>35.402999999999999</v>
      </c>
      <c r="G5" s="942">
        <f t="shared" si="0"/>
        <v>14.2705</v>
      </c>
    </row>
    <row r="6" spans="1:10">
      <c r="A6" s="942" t="str">
        <f t="shared" si="0"/>
        <v>T35</v>
      </c>
      <c r="B6" s="942" t="str">
        <f t="shared" si="0"/>
        <v>D1</v>
      </c>
      <c r="C6" s="942">
        <f t="shared" si="0"/>
        <v>1258.2292</v>
      </c>
      <c r="D6" s="942">
        <f t="shared" si="0"/>
        <v>1258.2292</v>
      </c>
      <c r="E6" s="942">
        <f t="shared" si="0"/>
        <v>556853.79850000003</v>
      </c>
      <c r="F6" s="942">
        <f t="shared" si="0"/>
        <v>35.402999999999999</v>
      </c>
      <c r="G6" s="942">
        <f t="shared" si="0"/>
        <v>14.2705</v>
      </c>
    </row>
    <row r="7" spans="1:10">
      <c r="A7" s="942" t="str">
        <f t="shared" si="0"/>
        <v>T34</v>
      </c>
      <c r="B7" s="942" t="str">
        <f t="shared" si="0"/>
        <v>D1</v>
      </c>
      <c r="C7" s="942">
        <f t="shared" si="0"/>
        <v>1258.2292</v>
      </c>
      <c r="D7" s="942">
        <f t="shared" si="0"/>
        <v>1258.2292</v>
      </c>
      <c r="E7" s="942">
        <f t="shared" si="0"/>
        <v>556853.79850000003</v>
      </c>
      <c r="F7" s="942">
        <f t="shared" si="0"/>
        <v>35.402999999999999</v>
      </c>
      <c r="G7" s="942">
        <f t="shared" si="0"/>
        <v>14.2705</v>
      </c>
    </row>
    <row r="8" spans="1:10">
      <c r="A8" s="942" t="str">
        <f t="shared" si="0"/>
        <v>T33</v>
      </c>
      <c r="B8" s="942" t="str">
        <f t="shared" si="0"/>
        <v>D1</v>
      </c>
      <c r="C8" s="942">
        <f t="shared" si="0"/>
        <v>1258.2292</v>
      </c>
      <c r="D8" s="942">
        <f t="shared" si="0"/>
        <v>1258.2292</v>
      </c>
      <c r="E8" s="942">
        <f t="shared" si="0"/>
        <v>556853.79850000003</v>
      </c>
      <c r="F8" s="942">
        <f t="shared" si="0"/>
        <v>35.402999999999999</v>
      </c>
      <c r="G8" s="942">
        <f t="shared" si="0"/>
        <v>14.2705</v>
      </c>
    </row>
    <row r="9" spans="1:10">
      <c r="A9" s="942" t="str">
        <f t="shared" si="0"/>
        <v>T32</v>
      </c>
      <c r="B9" s="942" t="str">
        <f t="shared" si="0"/>
        <v>D1</v>
      </c>
      <c r="C9" s="942">
        <f t="shared" si="0"/>
        <v>1258.2292</v>
      </c>
      <c r="D9" s="942">
        <f t="shared" si="0"/>
        <v>1258.2292</v>
      </c>
      <c r="E9" s="942">
        <f t="shared" si="0"/>
        <v>556853.79850000003</v>
      </c>
      <c r="F9" s="942">
        <f t="shared" si="0"/>
        <v>35.402999999999999</v>
      </c>
      <c r="G9" s="942">
        <f t="shared" si="0"/>
        <v>14.2705</v>
      </c>
    </row>
    <row r="10" spans="1:10">
      <c r="A10" s="942" t="str">
        <f t="shared" si="0"/>
        <v>T31</v>
      </c>
      <c r="B10" s="942" t="str">
        <f t="shared" si="0"/>
        <v>D1</v>
      </c>
      <c r="C10" s="942">
        <f t="shared" si="0"/>
        <v>1258.2292</v>
      </c>
      <c r="D10" s="942">
        <f t="shared" si="0"/>
        <v>1258.2292</v>
      </c>
      <c r="E10" s="942">
        <f t="shared" si="0"/>
        <v>556853.79850000003</v>
      </c>
      <c r="F10" s="942">
        <f t="shared" si="0"/>
        <v>35.402999999999999</v>
      </c>
      <c r="G10" s="942">
        <f t="shared" si="0"/>
        <v>14.2705</v>
      </c>
    </row>
    <row r="11" spans="1:10">
      <c r="A11" s="942" t="str">
        <f t="shared" si="0"/>
        <v>T30</v>
      </c>
      <c r="B11" s="942" t="str">
        <f t="shared" si="0"/>
        <v>D1</v>
      </c>
      <c r="C11" s="942">
        <f t="shared" si="0"/>
        <v>1258.2292</v>
      </c>
      <c r="D11" s="942">
        <f t="shared" si="0"/>
        <v>1258.2292</v>
      </c>
      <c r="E11" s="942">
        <f t="shared" si="0"/>
        <v>556853.79850000003</v>
      </c>
      <c r="F11" s="942">
        <f t="shared" si="0"/>
        <v>35.402999999999999</v>
      </c>
      <c r="G11" s="942">
        <f t="shared" si="0"/>
        <v>14.2705</v>
      </c>
    </row>
    <row r="12" spans="1:10">
      <c r="A12" s="942" t="str">
        <f t="shared" ref="A12:G21" si="1">IF(Etabs="Etabs 9.7.4",IF(INDEX(Mass_data_1,ROW($E12),COLUMN(A$1))&lt;&gt;"",INDEX(Mass_data_1,ROW($E12),COLUMN(A$1)),""),IF(Etabs="Etabs 2013 trở lên",IF(INDEX(Mass_data_2,ROW($E14),COLUMN(A$1))&lt;&gt;"",INDEX(Mass_data_2,ROW($E14),COLUMN(A$1)),""),""))</f>
        <v>T29</v>
      </c>
      <c r="B12" s="942" t="str">
        <f t="shared" si="1"/>
        <v>D1</v>
      </c>
      <c r="C12" s="942">
        <f t="shared" si="1"/>
        <v>1258.2292</v>
      </c>
      <c r="D12" s="942">
        <f t="shared" si="1"/>
        <v>1258.2292</v>
      </c>
      <c r="E12" s="942">
        <f t="shared" si="1"/>
        <v>556853.79850000003</v>
      </c>
      <c r="F12" s="942">
        <f t="shared" si="1"/>
        <v>35.402999999999999</v>
      </c>
      <c r="G12" s="942">
        <f t="shared" si="1"/>
        <v>14.2705</v>
      </c>
    </row>
    <row r="13" spans="1:10">
      <c r="A13" s="942" t="str">
        <f t="shared" si="1"/>
        <v>T28</v>
      </c>
      <c r="B13" s="942" t="str">
        <f t="shared" si="1"/>
        <v>D1</v>
      </c>
      <c r="C13" s="942">
        <f t="shared" si="1"/>
        <v>1258.2292</v>
      </c>
      <c r="D13" s="942">
        <f t="shared" si="1"/>
        <v>1258.2292</v>
      </c>
      <c r="E13" s="942">
        <f t="shared" si="1"/>
        <v>556853.79850000003</v>
      </c>
      <c r="F13" s="942">
        <f t="shared" si="1"/>
        <v>35.402999999999999</v>
      </c>
      <c r="G13" s="942">
        <f t="shared" si="1"/>
        <v>14.2705</v>
      </c>
    </row>
    <row r="14" spans="1:10">
      <c r="A14" s="942" t="str">
        <f t="shared" si="1"/>
        <v>T27</v>
      </c>
      <c r="B14" s="942" t="str">
        <f t="shared" si="1"/>
        <v>D1</v>
      </c>
      <c r="C14" s="942">
        <f t="shared" si="1"/>
        <v>1258.2292</v>
      </c>
      <c r="D14" s="942">
        <f t="shared" si="1"/>
        <v>1258.2292</v>
      </c>
      <c r="E14" s="942">
        <f t="shared" si="1"/>
        <v>556853.79850000003</v>
      </c>
      <c r="F14" s="942">
        <f t="shared" si="1"/>
        <v>35.402999999999999</v>
      </c>
      <c r="G14" s="942">
        <f t="shared" si="1"/>
        <v>14.2705</v>
      </c>
    </row>
    <row r="15" spans="1:10">
      <c r="A15" s="942" t="str">
        <f t="shared" si="1"/>
        <v>T26</v>
      </c>
      <c r="B15" s="942" t="str">
        <f t="shared" si="1"/>
        <v>D1</v>
      </c>
      <c r="C15" s="942">
        <f t="shared" si="1"/>
        <v>1258.2292</v>
      </c>
      <c r="D15" s="942">
        <f t="shared" si="1"/>
        <v>1258.2292</v>
      </c>
      <c r="E15" s="942">
        <f t="shared" si="1"/>
        <v>556853.79850000003</v>
      </c>
      <c r="F15" s="942">
        <f t="shared" si="1"/>
        <v>35.402999999999999</v>
      </c>
      <c r="G15" s="942">
        <f t="shared" si="1"/>
        <v>14.2705</v>
      </c>
    </row>
    <row r="16" spans="1:10">
      <c r="A16" s="942" t="str">
        <f t="shared" si="1"/>
        <v>T25</v>
      </c>
      <c r="B16" s="942" t="str">
        <f t="shared" si="1"/>
        <v>D1</v>
      </c>
      <c r="C16" s="942">
        <f t="shared" si="1"/>
        <v>1258.2292</v>
      </c>
      <c r="D16" s="942">
        <f t="shared" si="1"/>
        <v>1258.2292</v>
      </c>
      <c r="E16" s="942">
        <f t="shared" si="1"/>
        <v>556853.79850000003</v>
      </c>
      <c r="F16" s="942">
        <f t="shared" si="1"/>
        <v>35.402999999999999</v>
      </c>
      <c r="G16" s="942">
        <f t="shared" si="1"/>
        <v>14.2705</v>
      </c>
    </row>
    <row r="17" spans="1:7">
      <c r="A17" s="942" t="str">
        <f t="shared" si="1"/>
        <v>T24</v>
      </c>
      <c r="B17" s="942" t="str">
        <f t="shared" si="1"/>
        <v>D1</v>
      </c>
      <c r="C17" s="942">
        <f t="shared" si="1"/>
        <v>1258.2292</v>
      </c>
      <c r="D17" s="942">
        <f t="shared" si="1"/>
        <v>1258.2292</v>
      </c>
      <c r="E17" s="942">
        <f t="shared" si="1"/>
        <v>556853.79850000003</v>
      </c>
      <c r="F17" s="942">
        <f t="shared" si="1"/>
        <v>35.402999999999999</v>
      </c>
      <c r="G17" s="942">
        <f t="shared" si="1"/>
        <v>14.2705</v>
      </c>
    </row>
    <row r="18" spans="1:7">
      <c r="A18" s="942" t="str">
        <f t="shared" si="1"/>
        <v>T23</v>
      </c>
      <c r="B18" s="942" t="str">
        <f t="shared" si="1"/>
        <v>D1</v>
      </c>
      <c r="C18" s="942">
        <f t="shared" si="1"/>
        <v>1258.2292</v>
      </c>
      <c r="D18" s="942">
        <f t="shared" si="1"/>
        <v>1258.2292</v>
      </c>
      <c r="E18" s="942">
        <f t="shared" si="1"/>
        <v>556853.79850000003</v>
      </c>
      <c r="F18" s="942">
        <f t="shared" si="1"/>
        <v>35.402999999999999</v>
      </c>
      <c r="G18" s="942">
        <f t="shared" si="1"/>
        <v>14.2705</v>
      </c>
    </row>
    <row r="19" spans="1:7">
      <c r="A19" s="942" t="str">
        <f t="shared" si="1"/>
        <v>T22</v>
      </c>
      <c r="B19" s="942" t="str">
        <f t="shared" si="1"/>
        <v>D1</v>
      </c>
      <c r="C19" s="942">
        <f t="shared" si="1"/>
        <v>1258.2292</v>
      </c>
      <c r="D19" s="942">
        <f t="shared" si="1"/>
        <v>1258.2292</v>
      </c>
      <c r="E19" s="942">
        <f t="shared" si="1"/>
        <v>556853.79850000003</v>
      </c>
      <c r="F19" s="942">
        <f t="shared" si="1"/>
        <v>35.402999999999999</v>
      </c>
      <c r="G19" s="942">
        <f t="shared" si="1"/>
        <v>14.2705</v>
      </c>
    </row>
    <row r="20" spans="1:7">
      <c r="A20" s="942" t="str">
        <f t="shared" si="1"/>
        <v>T21</v>
      </c>
      <c r="B20" s="942" t="str">
        <f t="shared" si="1"/>
        <v>D1</v>
      </c>
      <c r="C20" s="942">
        <f t="shared" si="1"/>
        <v>1258.2292</v>
      </c>
      <c r="D20" s="942">
        <f t="shared" si="1"/>
        <v>1258.2292</v>
      </c>
      <c r="E20" s="942">
        <f t="shared" si="1"/>
        <v>556853.79850000003</v>
      </c>
      <c r="F20" s="942">
        <f t="shared" si="1"/>
        <v>35.402999999999999</v>
      </c>
      <c r="G20" s="942">
        <f t="shared" si="1"/>
        <v>14.2705</v>
      </c>
    </row>
    <row r="21" spans="1:7">
      <c r="A21" s="942" t="str">
        <f t="shared" si="1"/>
        <v>T20</v>
      </c>
      <c r="B21" s="942" t="str">
        <f t="shared" si="1"/>
        <v>D1</v>
      </c>
      <c r="C21" s="942">
        <f t="shared" si="1"/>
        <v>1258.2292</v>
      </c>
      <c r="D21" s="942">
        <f t="shared" si="1"/>
        <v>1258.2292</v>
      </c>
      <c r="E21" s="942">
        <f t="shared" si="1"/>
        <v>556853.79850000003</v>
      </c>
      <c r="F21" s="942">
        <f t="shared" si="1"/>
        <v>35.402999999999999</v>
      </c>
      <c r="G21" s="942">
        <f t="shared" si="1"/>
        <v>14.2705</v>
      </c>
    </row>
    <row r="22" spans="1:7">
      <c r="A22" s="942" t="str">
        <f t="shared" ref="A22:G31" si="2">IF(Etabs="Etabs 9.7.4",IF(INDEX(Mass_data_1,ROW($E22),COLUMN(A$1))&lt;&gt;"",INDEX(Mass_data_1,ROW($E22),COLUMN(A$1)),""),IF(Etabs="Etabs 2013 trở lên",IF(INDEX(Mass_data_2,ROW($E24),COLUMN(A$1))&lt;&gt;"",INDEX(Mass_data_2,ROW($E24),COLUMN(A$1)),""),""))</f>
        <v>T19</v>
      </c>
      <c r="B22" s="942" t="str">
        <f t="shared" si="2"/>
        <v>D1</v>
      </c>
      <c r="C22" s="942">
        <f t="shared" si="2"/>
        <v>1258.2292</v>
      </c>
      <c r="D22" s="942">
        <f t="shared" si="2"/>
        <v>1258.2292</v>
      </c>
      <c r="E22" s="942">
        <f t="shared" si="2"/>
        <v>556853.79850000003</v>
      </c>
      <c r="F22" s="942">
        <f t="shared" si="2"/>
        <v>35.402999999999999</v>
      </c>
      <c r="G22" s="942">
        <f t="shared" si="2"/>
        <v>14.2705</v>
      </c>
    </row>
    <row r="23" spans="1:7">
      <c r="A23" s="942" t="str">
        <f t="shared" si="2"/>
        <v>T18</v>
      </c>
      <c r="B23" s="942" t="str">
        <f t="shared" si="2"/>
        <v>D1</v>
      </c>
      <c r="C23" s="942">
        <f t="shared" si="2"/>
        <v>1258.2292</v>
      </c>
      <c r="D23" s="942">
        <f t="shared" si="2"/>
        <v>1258.2292</v>
      </c>
      <c r="E23" s="942">
        <f t="shared" si="2"/>
        <v>556853.79850000003</v>
      </c>
      <c r="F23" s="942">
        <f t="shared" si="2"/>
        <v>35.402999999999999</v>
      </c>
      <c r="G23" s="942">
        <f t="shared" si="2"/>
        <v>14.2705</v>
      </c>
    </row>
    <row r="24" spans="1:7">
      <c r="A24" s="942" t="str">
        <f t="shared" si="2"/>
        <v>T17</v>
      </c>
      <c r="B24" s="942" t="str">
        <f t="shared" si="2"/>
        <v>D1</v>
      </c>
      <c r="C24" s="942">
        <f t="shared" si="2"/>
        <v>1258.2292</v>
      </c>
      <c r="D24" s="942">
        <f t="shared" si="2"/>
        <v>1258.2292</v>
      </c>
      <c r="E24" s="942">
        <f t="shared" si="2"/>
        <v>556853.79850000003</v>
      </c>
      <c r="F24" s="942">
        <f t="shared" si="2"/>
        <v>35.402999999999999</v>
      </c>
      <c r="G24" s="942">
        <f t="shared" si="2"/>
        <v>14.2705</v>
      </c>
    </row>
    <row r="25" spans="1:7">
      <c r="A25" s="942" t="str">
        <f t="shared" si="2"/>
        <v>T16</v>
      </c>
      <c r="B25" s="942" t="str">
        <f t="shared" si="2"/>
        <v>D1</v>
      </c>
      <c r="C25" s="942">
        <f t="shared" si="2"/>
        <v>1258.2292</v>
      </c>
      <c r="D25" s="942">
        <f t="shared" si="2"/>
        <v>1258.2292</v>
      </c>
      <c r="E25" s="942">
        <f t="shared" si="2"/>
        <v>556853.79850000003</v>
      </c>
      <c r="F25" s="942">
        <f t="shared" si="2"/>
        <v>35.402999999999999</v>
      </c>
      <c r="G25" s="942">
        <f t="shared" si="2"/>
        <v>14.2705</v>
      </c>
    </row>
    <row r="26" spans="1:7">
      <c r="A26" s="942" t="str">
        <f t="shared" si="2"/>
        <v>T15</v>
      </c>
      <c r="B26" s="942" t="str">
        <f t="shared" si="2"/>
        <v>D1</v>
      </c>
      <c r="C26" s="942">
        <f t="shared" si="2"/>
        <v>1258.2292</v>
      </c>
      <c r="D26" s="942">
        <f t="shared" si="2"/>
        <v>1258.2292</v>
      </c>
      <c r="E26" s="942">
        <f t="shared" si="2"/>
        <v>556853.79850000003</v>
      </c>
      <c r="F26" s="942">
        <f t="shared" si="2"/>
        <v>35.402999999999999</v>
      </c>
      <c r="G26" s="942">
        <f t="shared" si="2"/>
        <v>14.2705</v>
      </c>
    </row>
    <row r="27" spans="1:7">
      <c r="A27" s="942" t="str">
        <f t="shared" si="2"/>
        <v>T14</v>
      </c>
      <c r="B27" s="942" t="str">
        <f t="shared" si="2"/>
        <v>D1</v>
      </c>
      <c r="C27" s="942">
        <f t="shared" si="2"/>
        <v>1258.2292</v>
      </c>
      <c r="D27" s="942">
        <f t="shared" si="2"/>
        <v>1258.2292</v>
      </c>
      <c r="E27" s="942">
        <f t="shared" si="2"/>
        <v>556853.79850000003</v>
      </c>
      <c r="F27" s="942">
        <f t="shared" si="2"/>
        <v>35.402999999999999</v>
      </c>
      <c r="G27" s="942">
        <f t="shared" si="2"/>
        <v>14.2705</v>
      </c>
    </row>
    <row r="28" spans="1:7">
      <c r="A28" s="942" t="str">
        <f t="shared" si="2"/>
        <v>T13</v>
      </c>
      <c r="B28" s="942" t="str">
        <f t="shared" si="2"/>
        <v>D1</v>
      </c>
      <c r="C28" s="942">
        <f t="shared" si="2"/>
        <v>1258.2292</v>
      </c>
      <c r="D28" s="942">
        <f t="shared" si="2"/>
        <v>1258.2292</v>
      </c>
      <c r="E28" s="942">
        <f t="shared" si="2"/>
        <v>556853.79850000003</v>
      </c>
      <c r="F28" s="942">
        <f t="shared" si="2"/>
        <v>35.402999999999999</v>
      </c>
      <c r="G28" s="942">
        <f t="shared" si="2"/>
        <v>14.2705</v>
      </c>
    </row>
    <row r="29" spans="1:7">
      <c r="A29" s="942" t="str">
        <f t="shared" si="2"/>
        <v>T12</v>
      </c>
      <c r="B29" s="942" t="str">
        <f t="shared" si="2"/>
        <v>D1</v>
      </c>
      <c r="C29" s="942">
        <f t="shared" si="2"/>
        <v>1258.2292</v>
      </c>
      <c r="D29" s="942">
        <f t="shared" si="2"/>
        <v>1258.2292</v>
      </c>
      <c r="E29" s="942">
        <f t="shared" si="2"/>
        <v>556853.79850000003</v>
      </c>
      <c r="F29" s="942">
        <f t="shared" si="2"/>
        <v>35.402999999999999</v>
      </c>
      <c r="G29" s="942">
        <f t="shared" si="2"/>
        <v>14.2705</v>
      </c>
    </row>
    <row r="30" spans="1:7">
      <c r="A30" s="942" t="str">
        <f t="shared" si="2"/>
        <v>T11</v>
      </c>
      <c r="B30" s="942" t="str">
        <f t="shared" si="2"/>
        <v>D1</v>
      </c>
      <c r="C30" s="942">
        <f t="shared" si="2"/>
        <v>1258.2292</v>
      </c>
      <c r="D30" s="942">
        <f t="shared" si="2"/>
        <v>1258.2292</v>
      </c>
      <c r="E30" s="942">
        <f t="shared" si="2"/>
        <v>556853.79850000003</v>
      </c>
      <c r="F30" s="942">
        <f t="shared" si="2"/>
        <v>35.402999999999999</v>
      </c>
      <c r="G30" s="942">
        <f t="shared" si="2"/>
        <v>14.2705</v>
      </c>
    </row>
    <row r="31" spans="1:7">
      <c r="A31" s="942" t="str">
        <f t="shared" si="2"/>
        <v>T10</v>
      </c>
      <c r="B31" s="942" t="str">
        <f t="shared" si="2"/>
        <v>D1</v>
      </c>
      <c r="C31" s="942">
        <f t="shared" si="2"/>
        <v>1258.2292</v>
      </c>
      <c r="D31" s="942">
        <f t="shared" si="2"/>
        <v>1258.2292</v>
      </c>
      <c r="E31" s="942">
        <f t="shared" si="2"/>
        <v>556853.79850000003</v>
      </c>
      <c r="F31" s="942">
        <f t="shared" si="2"/>
        <v>35.402999999999999</v>
      </c>
      <c r="G31" s="942">
        <f t="shared" si="2"/>
        <v>14.2705</v>
      </c>
    </row>
    <row r="32" spans="1:7">
      <c r="A32" s="942" t="str">
        <f t="shared" ref="A32:G41" si="3">IF(Etabs="Etabs 9.7.4",IF(INDEX(Mass_data_1,ROW($E32),COLUMN(A$1))&lt;&gt;"",INDEX(Mass_data_1,ROW($E32),COLUMN(A$1)),""),IF(Etabs="Etabs 2013 trở lên",IF(INDEX(Mass_data_2,ROW($E34),COLUMN(A$1))&lt;&gt;"",INDEX(Mass_data_2,ROW($E34),COLUMN(A$1)),""),""))</f>
        <v>T9</v>
      </c>
      <c r="B32" s="942" t="str">
        <f t="shared" si="3"/>
        <v>D1</v>
      </c>
      <c r="C32" s="942">
        <f t="shared" si="3"/>
        <v>1258.2292</v>
      </c>
      <c r="D32" s="942">
        <f t="shared" si="3"/>
        <v>1258.2292</v>
      </c>
      <c r="E32" s="942">
        <f t="shared" si="3"/>
        <v>556853.79850000003</v>
      </c>
      <c r="F32" s="942">
        <f t="shared" si="3"/>
        <v>35.402999999999999</v>
      </c>
      <c r="G32" s="942">
        <f t="shared" si="3"/>
        <v>14.2705</v>
      </c>
    </row>
    <row r="33" spans="1:7">
      <c r="A33" s="942" t="str">
        <f t="shared" si="3"/>
        <v>T8</v>
      </c>
      <c r="B33" s="942" t="str">
        <f t="shared" si="3"/>
        <v>D1</v>
      </c>
      <c r="C33" s="942">
        <f t="shared" si="3"/>
        <v>1258.2292</v>
      </c>
      <c r="D33" s="942">
        <f t="shared" si="3"/>
        <v>1258.2292</v>
      </c>
      <c r="E33" s="942">
        <f t="shared" si="3"/>
        <v>556853.79850000003</v>
      </c>
      <c r="F33" s="942">
        <f t="shared" si="3"/>
        <v>35.402999999999999</v>
      </c>
      <c r="G33" s="942">
        <f t="shared" si="3"/>
        <v>14.2705</v>
      </c>
    </row>
    <row r="34" spans="1:7">
      <c r="A34" s="942" t="str">
        <f t="shared" si="3"/>
        <v>T7</v>
      </c>
      <c r="B34" s="942" t="str">
        <f t="shared" si="3"/>
        <v>D1</v>
      </c>
      <c r="C34" s="942">
        <f t="shared" si="3"/>
        <v>1258.2292</v>
      </c>
      <c r="D34" s="942">
        <f t="shared" si="3"/>
        <v>1258.2292</v>
      </c>
      <c r="E34" s="942">
        <f t="shared" si="3"/>
        <v>556853.79850000003</v>
      </c>
      <c r="F34" s="942">
        <f t="shared" si="3"/>
        <v>35.402999999999999</v>
      </c>
      <c r="G34" s="942">
        <f t="shared" si="3"/>
        <v>14.2705</v>
      </c>
    </row>
    <row r="35" spans="1:7">
      <c r="A35" s="942" t="str">
        <f t="shared" si="3"/>
        <v>T6</v>
      </c>
      <c r="B35" s="942" t="str">
        <f t="shared" si="3"/>
        <v>D1</v>
      </c>
      <c r="C35" s="942">
        <f t="shared" si="3"/>
        <v>1258.2292</v>
      </c>
      <c r="D35" s="942">
        <f t="shared" si="3"/>
        <v>1258.2292</v>
      </c>
      <c r="E35" s="942">
        <f t="shared" si="3"/>
        <v>556853.79850000003</v>
      </c>
      <c r="F35" s="942">
        <f t="shared" si="3"/>
        <v>35.402999999999999</v>
      </c>
      <c r="G35" s="942">
        <f t="shared" si="3"/>
        <v>14.2705</v>
      </c>
    </row>
    <row r="36" spans="1:7">
      <c r="A36" s="942" t="str">
        <f t="shared" si="3"/>
        <v>T5</v>
      </c>
      <c r="B36" s="942" t="str">
        <f t="shared" si="3"/>
        <v>D1</v>
      </c>
      <c r="C36" s="942">
        <f t="shared" si="3"/>
        <v>1258.2292</v>
      </c>
      <c r="D36" s="942">
        <f t="shared" si="3"/>
        <v>1258.2292</v>
      </c>
      <c r="E36" s="942">
        <f t="shared" si="3"/>
        <v>556853.79850000003</v>
      </c>
      <c r="F36" s="942">
        <f t="shared" si="3"/>
        <v>35.402999999999999</v>
      </c>
      <c r="G36" s="942">
        <f t="shared" si="3"/>
        <v>14.2705</v>
      </c>
    </row>
    <row r="37" spans="1:7">
      <c r="A37" s="942" t="str">
        <f t="shared" si="3"/>
        <v>T4</v>
      </c>
      <c r="B37" s="942" t="str">
        <f t="shared" si="3"/>
        <v>D1</v>
      </c>
      <c r="C37" s="942">
        <f t="shared" si="3"/>
        <v>1258.2292</v>
      </c>
      <c r="D37" s="942">
        <f t="shared" si="3"/>
        <v>1258.2292</v>
      </c>
      <c r="E37" s="942">
        <f t="shared" si="3"/>
        <v>556853.79850000003</v>
      </c>
      <c r="F37" s="942">
        <f t="shared" si="3"/>
        <v>35.402999999999999</v>
      </c>
      <c r="G37" s="942">
        <f t="shared" si="3"/>
        <v>14.2705</v>
      </c>
    </row>
    <row r="38" spans="1:7">
      <c r="A38" s="942" t="str">
        <f t="shared" si="3"/>
        <v>T3</v>
      </c>
      <c r="B38" s="942" t="str">
        <f t="shared" si="3"/>
        <v>D1</v>
      </c>
      <c r="C38" s="942">
        <f t="shared" si="3"/>
        <v>1258.2292</v>
      </c>
      <c r="D38" s="942">
        <f t="shared" si="3"/>
        <v>1258.2292</v>
      </c>
      <c r="E38" s="942">
        <f t="shared" si="3"/>
        <v>556853.79850000003</v>
      </c>
      <c r="F38" s="942">
        <f t="shared" si="3"/>
        <v>35.402999999999999</v>
      </c>
      <c r="G38" s="942">
        <f t="shared" si="3"/>
        <v>14.2705</v>
      </c>
    </row>
    <row r="39" spans="1:7">
      <c r="A39" s="942" t="str">
        <f t="shared" si="3"/>
        <v>T2</v>
      </c>
      <c r="B39" s="942" t="str">
        <f t="shared" si="3"/>
        <v>D1</v>
      </c>
      <c r="C39" s="942">
        <f t="shared" si="3"/>
        <v>1279.3911000000001</v>
      </c>
      <c r="D39" s="942">
        <f t="shared" si="3"/>
        <v>1279.3911000000001</v>
      </c>
      <c r="E39" s="942">
        <f t="shared" si="3"/>
        <v>564932.72169999999</v>
      </c>
      <c r="F39" s="942">
        <f t="shared" si="3"/>
        <v>35.4084</v>
      </c>
      <c r="G39" s="942">
        <f t="shared" si="3"/>
        <v>14.267899999999999</v>
      </c>
    </row>
    <row r="40" spans="1:7">
      <c r="A40" s="942" t="str">
        <f t="shared" si="3"/>
        <v>T1</v>
      </c>
      <c r="B40" s="942" t="str">
        <f t="shared" si="3"/>
        <v>D1</v>
      </c>
      <c r="C40" s="942">
        <f t="shared" si="3"/>
        <v>9405.8924000000006</v>
      </c>
      <c r="D40" s="942">
        <f t="shared" si="3"/>
        <v>9405.8924000000006</v>
      </c>
      <c r="E40" s="942">
        <f t="shared" si="3"/>
        <v>9107571.9182999991</v>
      </c>
      <c r="F40" s="942">
        <f t="shared" si="3"/>
        <v>37.933199999999999</v>
      </c>
      <c r="G40" s="942">
        <f t="shared" si="3"/>
        <v>11.9895</v>
      </c>
    </row>
    <row r="41" spans="1:7">
      <c r="A41" s="942" t="str">
        <f t="shared" si="3"/>
        <v/>
      </c>
      <c r="B41" s="942" t="str">
        <f t="shared" si="3"/>
        <v/>
      </c>
      <c r="C41" s="942" t="str">
        <f t="shared" si="3"/>
        <v/>
      </c>
      <c r="D41" s="942" t="str">
        <f t="shared" si="3"/>
        <v/>
      </c>
      <c r="E41" s="942" t="str">
        <f t="shared" si="3"/>
        <v/>
      </c>
      <c r="F41" s="942" t="str">
        <f t="shared" si="3"/>
        <v/>
      </c>
      <c r="G41" s="942" t="str">
        <f t="shared" si="3"/>
        <v/>
      </c>
    </row>
    <row r="42" spans="1:7">
      <c r="A42" s="942" t="str">
        <f t="shared" ref="A42:G51" si="4">IF(Etabs="Etabs 9.7.4",IF(INDEX(Mass_data_1,ROW($E42),COLUMN(A$1))&lt;&gt;"",INDEX(Mass_data_1,ROW($E42),COLUMN(A$1)),""),IF(Etabs="Etabs 2013 trở lên",IF(INDEX(Mass_data_2,ROW($E44),COLUMN(A$1))&lt;&gt;"",INDEX(Mass_data_2,ROW($E44),COLUMN(A$1)),""),""))</f>
        <v/>
      </c>
      <c r="B42" s="942" t="str">
        <f t="shared" si="4"/>
        <v/>
      </c>
      <c r="C42" s="942" t="str">
        <f t="shared" si="4"/>
        <v/>
      </c>
      <c r="D42" s="942" t="str">
        <f t="shared" si="4"/>
        <v/>
      </c>
      <c r="E42" s="942" t="str">
        <f t="shared" si="4"/>
        <v/>
      </c>
      <c r="F42" s="942" t="str">
        <f t="shared" si="4"/>
        <v/>
      </c>
      <c r="G42" s="942" t="str">
        <f t="shared" si="4"/>
        <v/>
      </c>
    </row>
    <row r="43" spans="1:7">
      <c r="A43" s="942" t="str">
        <f t="shared" si="4"/>
        <v/>
      </c>
      <c r="B43" s="942" t="str">
        <f t="shared" si="4"/>
        <v/>
      </c>
      <c r="C43" s="942" t="str">
        <f t="shared" si="4"/>
        <v/>
      </c>
      <c r="D43" s="942" t="str">
        <f t="shared" si="4"/>
        <v/>
      </c>
      <c r="E43" s="942" t="str">
        <f t="shared" si="4"/>
        <v/>
      </c>
      <c r="F43" s="942" t="str">
        <f t="shared" si="4"/>
        <v/>
      </c>
      <c r="G43" s="942" t="str">
        <f t="shared" si="4"/>
        <v/>
      </c>
    </row>
    <row r="44" spans="1:7">
      <c r="A44" s="942" t="str">
        <f t="shared" si="4"/>
        <v/>
      </c>
      <c r="B44" s="942" t="str">
        <f t="shared" si="4"/>
        <v/>
      </c>
      <c r="C44" s="942" t="str">
        <f t="shared" si="4"/>
        <v/>
      </c>
      <c r="D44" s="942" t="str">
        <f t="shared" si="4"/>
        <v/>
      </c>
      <c r="E44" s="942" t="str">
        <f t="shared" si="4"/>
        <v/>
      </c>
      <c r="F44" s="942" t="str">
        <f t="shared" si="4"/>
        <v/>
      </c>
      <c r="G44" s="942" t="str">
        <f t="shared" si="4"/>
        <v/>
      </c>
    </row>
    <row r="45" spans="1:7">
      <c r="A45" s="942" t="str">
        <f t="shared" si="4"/>
        <v/>
      </c>
      <c r="B45" s="942" t="str">
        <f t="shared" si="4"/>
        <v/>
      </c>
      <c r="C45" s="942" t="str">
        <f t="shared" si="4"/>
        <v/>
      </c>
      <c r="D45" s="942" t="str">
        <f t="shared" si="4"/>
        <v/>
      </c>
      <c r="E45" s="942" t="str">
        <f t="shared" si="4"/>
        <v/>
      </c>
      <c r="F45" s="942" t="str">
        <f t="shared" si="4"/>
        <v/>
      </c>
      <c r="G45" s="942" t="str">
        <f t="shared" si="4"/>
        <v/>
      </c>
    </row>
    <row r="46" spans="1:7">
      <c r="A46" s="942" t="str">
        <f t="shared" si="4"/>
        <v/>
      </c>
      <c r="B46" s="942" t="str">
        <f t="shared" si="4"/>
        <v/>
      </c>
      <c r="C46" s="942" t="str">
        <f t="shared" si="4"/>
        <v/>
      </c>
      <c r="D46" s="942" t="str">
        <f t="shared" si="4"/>
        <v/>
      </c>
      <c r="E46" s="942" t="str">
        <f t="shared" si="4"/>
        <v/>
      </c>
      <c r="F46" s="942" t="str">
        <f t="shared" si="4"/>
        <v/>
      </c>
      <c r="G46" s="942" t="str">
        <f t="shared" si="4"/>
        <v/>
      </c>
    </row>
    <row r="47" spans="1:7">
      <c r="A47" s="942" t="str">
        <f t="shared" si="4"/>
        <v/>
      </c>
      <c r="B47" s="942" t="str">
        <f t="shared" si="4"/>
        <v/>
      </c>
      <c r="C47" s="942" t="str">
        <f t="shared" si="4"/>
        <v/>
      </c>
      <c r="D47" s="942" t="str">
        <f t="shared" si="4"/>
        <v/>
      </c>
      <c r="E47" s="942" t="str">
        <f t="shared" si="4"/>
        <v/>
      </c>
      <c r="F47" s="942" t="str">
        <f t="shared" si="4"/>
        <v/>
      </c>
      <c r="G47" s="942" t="str">
        <f t="shared" si="4"/>
        <v/>
      </c>
    </row>
    <row r="48" spans="1:7">
      <c r="A48" s="942" t="str">
        <f t="shared" si="4"/>
        <v/>
      </c>
      <c r="B48" s="942" t="str">
        <f t="shared" si="4"/>
        <v/>
      </c>
      <c r="C48" s="942" t="str">
        <f t="shared" si="4"/>
        <v/>
      </c>
      <c r="D48" s="942" t="str">
        <f t="shared" si="4"/>
        <v/>
      </c>
      <c r="E48" s="942" t="str">
        <f t="shared" si="4"/>
        <v/>
      </c>
      <c r="F48" s="942" t="str">
        <f t="shared" si="4"/>
        <v/>
      </c>
      <c r="G48" s="942" t="str">
        <f t="shared" si="4"/>
        <v/>
      </c>
    </row>
    <row r="49" spans="1:7">
      <c r="A49" s="942" t="str">
        <f t="shared" si="4"/>
        <v/>
      </c>
      <c r="B49" s="942" t="str">
        <f t="shared" si="4"/>
        <v/>
      </c>
      <c r="C49" s="942" t="str">
        <f t="shared" si="4"/>
        <v/>
      </c>
      <c r="D49" s="942" t="str">
        <f t="shared" si="4"/>
        <v/>
      </c>
      <c r="E49" s="942" t="str">
        <f t="shared" si="4"/>
        <v/>
      </c>
      <c r="F49" s="942" t="str">
        <f t="shared" si="4"/>
        <v/>
      </c>
      <c r="G49" s="942" t="str">
        <f t="shared" si="4"/>
        <v/>
      </c>
    </row>
    <row r="50" spans="1:7">
      <c r="A50" s="942" t="str">
        <f t="shared" si="4"/>
        <v/>
      </c>
      <c r="B50" s="942" t="str">
        <f t="shared" si="4"/>
        <v/>
      </c>
      <c r="C50" s="942" t="str">
        <f t="shared" si="4"/>
        <v/>
      </c>
      <c r="D50" s="942" t="str">
        <f t="shared" si="4"/>
        <v/>
      </c>
      <c r="E50" s="942" t="str">
        <f t="shared" si="4"/>
        <v/>
      </c>
      <c r="F50" s="942" t="str">
        <f t="shared" si="4"/>
        <v/>
      </c>
      <c r="G50" s="942" t="str">
        <f t="shared" si="4"/>
        <v/>
      </c>
    </row>
    <row r="51" spans="1:7">
      <c r="A51" s="942" t="str">
        <f t="shared" si="4"/>
        <v/>
      </c>
      <c r="B51" s="942" t="str">
        <f t="shared" si="4"/>
        <v/>
      </c>
      <c r="C51" s="942" t="str">
        <f t="shared" si="4"/>
        <v/>
      </c>
      <c r="D51" s="942" t="str">
        <f t="shared" si="4"/>
        <v/>
      </c>
      <c r="E51" s="942" t="str">
        <f t="shared" si="4"/>
        <v/>
      </c>
      <c r="F51" s="942" t="str">
        <f t="shared" si="4"/>
        <v/>
      </c>
      <c r="G51" s="942" t="str">
        <f t="shared" si="4"/>
        <v/>
      </c>
    </row>
    <row r="52" spans="1:7">
      <c r="A52" s="942" t="str">
        <f t="shared" ref="A52:G61" si="5">IF(Etabs="Etabs 9.7.4",IF(INDEX(Mass_data_1,ROW($E52),COLUMN(A$1))&lt;&gt;"",INDEX(Mass_data_1,ROW($E52),COLUMN(A$1)),""),IF(Etabs="Etabs 2013 trở lên",IF(INDEX(Mass_data_2,ROW($E54),COLUMN(A$1))&lt;&gt;"",INDEX(Mass_data_2,ROW($E54),COLUMN(A$1)),""),""))</f>
        <v/>
      </c>
      <c r="B52" s="942" t="str">
        <f t="shared" si="5"/>
        <v/>
      </c>
      <c r="C52" s="942" t="str">
        <f t="shared" si="5"/>
        <v/>
      </c>
      <c r="D52" s="942" t="str">
        <f t="shared" si="5"/>
        <v/>
      </c>
      <c r="E52" s="942" t="str">
        <f t="shared" si="5"/>
        <v/>
      </c>
      <c r="F52" s="942" t="str">
        <f t="shared" si="5"/>
        <v/>
      </c>
      <c r="G52" s="942" t="str">
        <f t="shared" si="5"/>
        <v/>
      </c>
    </row>
    <row r="53" spans="1:7">
      <c r="A53" s="942" t="str">
        <f t="shared" si="5"/>
        <v/>
      </c>
      <c r="B53" s="942" t="str">
        <f t="shared" si="5"/>
        <v/>
      </c>
      <c r="C53" s="942" t="str">
        <f t="shared" si="5"/>
        <v/>
      </c>
      <c r="D53" s="942" t="str">
        <f t="shared" si="5"/>
        <v/>
      </c>
      <c r="E53" s="942" t="str">
        <f t="shared" si="5"/>
        <v/>
      </c>
      <c r="F53" s="942" t="str">
        <f t="shared" si="5"/>
        <v/>
      </c>
      <c r="G53" s="942" t="str">
        <f t="shared" si="5"/>
        <v/>
      </c>
    </row>
    <row r="54" spans="1:7">
      <c r="A54" s="942" t="str">
        <f t="shared" si="5"/>
        <v/>
      </c>
      <c r="B54" s="942" t="str">
        <f t="shared" si="5"/>
        <v/>
      </c>
      <c r="C54" s="942" t="str">
        <f t="shared" si="5"/>
        <v/>
      </c>
      <c r="D54" s="942" t="str">
        <f t="shared" si="5"/>
        <v/>
      </c>
      <c r="E54" s="942" t="str">
        <f t="shared" si="5"/>
        <v/>
      </c>
      <c r="F54" s="942" t="str">
        <f t="shared" si="5"/>
        <v/>
      </c>
      <c r="G54" s="942" t="str">
        <f t="shared" si="5"/>
        <v/>
      </c>
    </row>
    <row r="55" spans="1:7">
      <c r="A55" s="942" t="str">
        <f t="shared" si="5"/>
        <v/>
      </c>
      <c r="B55" s="942" t="str">
        <f t="shared" si="5"/>
        <v/>
      </c>
      <c r="C55" s="942" t="str">
        <f t="shared" si="5"/>
        <v/>
      </c>
      <c r="D55" s="942" t="str">
        <f t="shared" si="5"/>
        <v/>
      </c>
      <c r="E55" s="942" t="str">
        <f t="shared" si="5"/>
        <v/>
      </c>
      <c r="F55" s="942" t="str">
        <f t="shared" si="5"/>
        <v/>
      </c>
      <c r="G55" s="942" t="str">
        <f t="shared" si="5"/>
        <v/>
      </c>
    </row>
    <row r="56" spans="1:7">
      <c r="A56" s="942" t="str">
        <f t="shared" si="5"/>
        <v/>
      </c>
      <c r="B56" s="942" t="str">
        <f t="shared" si="5"/>
        <v/>
      </c>
      <c r="C56" s="942" t="str">
        <f t="shared" si="5"/>
        <v/>
      </c>
      <c r="D56" s="942" t="str">
        <f t="shared" si="5"/>
        <v/>
      </c>
      <c r="E56" s="942" t="str">
        <f t="shared" si="5"/>
        <v/>
      </c>
      <c r="F56" s="942" t="str">
        <f t="shared" si="5"/>
        <v/>
      </c>
      <c r="G56" s="942" t="str">
        <f t="shared" si="5"/>
        <v/>
      </c>
    </row>
    <row r="57" spans="1:7">
      <c r="A57" s="942" t="str">
        <f t="shared" si="5"/>
        <v/>
      </c>
      <c r="B57" s="942" t="str">
        <f t="shared" si="5"/>
        <v/>
      </c>
      <c r="C57" s="942" t="str">
        <f t="shared" si="5"/>
        <v/>
      </c>
      <c r="D57" s="942" t="str">
        <f t="shared" si="5"/>
        <v/>
      </c>
      <c r="E57" s="942" t="str">
        <f t="shared" si="5"/>
        <v/>
      </c>
      <c r="F57" s="942" t="str">
        <f t="shared" si="5"/>
        <v/>
      </c>
      <c r="G57" s="942" t="str">
        <f t="shared" si="5"/>
        <v/>
      </c>
    </row>
    <row r="58" spans="1:7">
      <c r="A58" s="942" t="str">
        <f t="shared" si="5"/>
        <v/>
      </c>
      <c r="B58" s="942" t="str">
        <f t="shared" si="5"/>
        <v/>
      </c>
      <c r="C58" s="942" t="str">
        <f t="shared" si="5"/>
        <v/>
      </c>
      <c r="D58" s="942" t="str">
        <f t="shared" si="5"/>
        <v/>
      </c>
      <c r="E58" s="942" t="str">
        <f t="shared" si="5"/>
        <v/>
      </c>
      <c r="F58" s="942" t="str">
        <f t="shared" si="5"/>
        <v/>
      </c>
      <c r="G58" s="942" t="str">
        <f t="shared" si="5"/>
        <v/>
      </c>
    </row>
    <row r="59" spans="1:7">
      <c r="A59" s="942" t="str">
        <f t="shared" si="5"/>
        <v/>
      </c>
      <c r="B59" s="942" t="str">
        <f t="shared" si="5"/>
        <v/>
      </c>
      <c r="C59" s="942" t="str">
        <f t="shared" si="5"/>
        <v/>
      </c>
      <c r="D59" s="942" t="str">
        <f t="shared" si="5"/>
        <v/>
      </c>
      <c r="E59" s="942" t="str">
        <f t="shared" si="5"/>
        <v/>
      </c>
      <c r="F59" s="942" t="str">
        <f t="shared" si="5"/>
        <v/>
      </c>
      <c r="G59" s="942" t="str">
        <f t="shared" si="5"/>
        <v/>
      </c>
    </row>
    <row r="60" spans="1:7">
      <c r="A60" s="942" t="str">
        <f t="shared" si="5"/>
        <v/>
      </c>
      <c r="B60" s="942" t="str">
        <f t="shared" si="5"/>
        <v/>
      </c>
      <c r="C60" s="942" t="str">
        <f t="shared" si="5"/>
        <v/>
      </c>
      <c r="D60" s="942" t="str">
        <f t="shared" si="5"/>
        <v/>
      </c>
      <c r="E60" s="942" t="str">
        <f t="shared" si="5"/>
        <v/>
      </c>
      <c r="F60" s="942" t="str">
        <f t="shared" si="5"/>
        <v/>
      </c>
      <c r="G60" s="942" t="str">
        <f t="shared" si="5"/>
        <v/>
      </c>
    </row>
    <row r="61" spans="1:7">
      <c r="A61" s="942" t="str">
        <f t="shared" si="5"/>
        <v/>
      </c>
      <c r="B61" s="942" t="str">
        <f t="shared" si="5"/>
        <v/>
      </c>
      <c r="C61" s="942" t="str">
        <f t="shared" si="5"/>
        <v/>
      </c>
      <c r="D61" s="942" t="str">
        <f t="shared" si="5"/>
        <v/>
      </c>
      <c r="E61" s="942" t="str">
        <f t="shared" si="5"/>
        <v/>
      </c>
      <c r="F61" s="942" t="str">
        <f t="shared" si="5"/>
        <v/>
      </c>
      <c r="G61" s="942" t="str">
        <f t="shared" si="5"/>
        <v/>
      </c>
    </row>
    <row r="62" spans="1:7">
      <c r="A62" s="942" t="str">
        <f t="shared" ref="A62:G71" si="6">IF(Etabs="Etabs 9.7.4",IF(INDEX(Mass_data_1,ROW($E62),COLUMN(A$1))&lt;&gt;"",INDEX(Mass_data_1,ROW($E62),COLUMN(A$1)),""),IF(Etabs="Etabs 2013 trở lên",IF(INDEX(Mass_data_2,ROW($E64),COLUMN(A$1))&lt;&gt;"",INDEX(Mass_data_2,ROW($E64),COLUMN(A$1)),""),""))</f>
        <v/>
      </c>
      <c r="B62" s="942" t="str">
        <f t="shared" si="6"/>
        <v/>
      </c>
      <c r="C62" s="942" t="str">
        <f t="shared" si="6"/>
        <v/>
      </c>
      <c r="D62" s="942" t="str">
        <f t="shared" si="6"/>
        <v/>
      </c>
      <c r="E62" s="942" t="str">
        <f t="shared" si="6"/>
        <v/>
      </c>
      <c r="F62" s="942" t="str">
        <f t="shared" si="6"/>
        <v/>
      </c>
      <c r="G62" s="942" t="str">
        <f t="shared" si="6"/>
        <v/>
      </c>
    </row>
    <row r="63" spans="1:7">
      <c r="A63" s="942" t="str">
        <f t="shared" si="6"/>
        <v/>
      </c>
      <c r="B63" s="942" t="str">
        <f t="shared" si="6"/>
        <v/>
      </c>
      <c r="C63" s="942" t="str">
        <f t="shared" si="6"/>
        <v/>
      </c>
      <c r="D63" s="942" t="str">
        <f t="shared" si="6"/>
        <v/>
      </c>
      <c r="E63" s="942" t="str">
        <f t="shared" si="6"/>
        <v/>
      </c>
      <c r="F63" s="942" t="str">
        <f t="shared" si="6"/>
        <v/>
      </c>
      <c r="G63" s="942" t="str">
        <f t="shared" si="6"/>
        <v/>
      </c>
    </row>
    <row r="64" spans="1:7">
      <c r="A64" s="942" t="str">
        <f t="shared" si="6"/>
        <v/>
      </c>
      <c r="B64" s="942" t="str">
        <f t="shared" si="6"/>
        <v/>
      </c>
      <c r="C64" s="942" t="str">
        <f t="shared" si="6"/>
        <v/>
      </c>
      <c r="D64" s="942" t="str">
        <f t="shared" si="6"/>
        <v/>
      </c>
      <c r="E64" s="942" t="str">
        <f t="shared" si="6"/>
        <v/>
      </c>
      <c r="F64" s="942" t="str">
        <f t="shared" si="6"/>
        <v/>
      </c>
      <c r="G64" s="942" t="str">
        <f t="shared" si="6"/>
        <v/>
      </c>
    </row>
    <row r="65" spans="1:7">
      <c r="A65" s="942" t="str">
        <f t="shared" si="6"/>
        <v/>
      </c>
      <c r="B65" s="942" t="str">
        <f t="shared" si="6"/>
        <v/>
      </c>
      <c r="C65" s="942" t="str">
        <f t="shared" si="6"/>
        <v/>
      </c>
      <c r="D65" s="942" t="str">
        <f t="shared" si="6"/>
        <v/>
      </c>
      <c r="E65" s="942" t="str">
        <f t="shared" si="6"/>
        <v/>
      </c>
      <c r="F65" s="942" t="str">
        <f t="shared" si="6"/>
        <v/>
      </c>
      <c r="G65" s="942" t="str">
        <f t="shared" si="6"/>
        <v/>
      </c>
    </row>
    <row r="66" spans="1:7">
      <c r="A66" s="942" t="str">
        <f t="shared" si="6"/>
        <v/>
      </c>
      <c r="B66" s="942" t="str">
        <f t="shared" si="6"/>
        <v/>
      </c>
      <c r="C66" s="942" t="str">
        <f t="shared" si="6"/>
        <v/>
      </c>
      <c r="D66" s="942" t="str">
        <f t="shared" si="6"/>
        <v/>
      </c>
      <c r="E66" s="942" t="str">
        <f t="shared" si="6"/>
        <v/>
      </c>
      <c r="F66" s="942" t="str">
        <f t="shared" si="6"/>
        <v/>
      </c>
      <c r="G66" s="942" t="str">
        <f t="shared" si="6"/>
        <v/>
      </c>
    </row>
    <row r="67" spans="1:7">
      <c r="A67" s="942" t="str">
        <f t="shared" si="6"/>
        <v/>
      </c>
      <c r="B67" s="942" t="str">
        <f t="shared" si="6"/>
        <v/>
      </c>
      <c r="C67" s="942" t="str">
        <f t="shared" si="6"/>
        <v/>
      </c>
      <c r="D67" s="942" t="str">
        <f t="shared" si="6"/>
        <v/>
      </c>
      <c r="E67" s="942" t="str">
        <f t="shared" si="6"/>
        <v/>
      </c>
      <c r="F67" s="942" t="str">
        <f t="shared" si="6"/>
        <v/>
      </c>
      <c r="G67" s="942" t="str">
        <f t="shared" si="6"/>
        <v/>
      </c>
    </row>
    <row r="68" spans="1:7">
      <c r="A68" s="942" t="str">
        <f t="shared" si="6"/>
        <v/>
      </c>
      <c r="B68" s="942" t="str">
        <f t="shared" si="6"/>
        <v/>
      </c>
      <c r="C68" s="942" t="str">
        <f t="shared" si="6"/>
        <v/>
      </c>
      <c r="D68" s="942" t="str">
        <f t="shared" si="6"/>
        <v/>
      </c>
      <c r="E68" s="942" t="str">
        <f t="shared" si="6"/>
        <v/>
      </c>
      <c r="F68" s="942" t="str">
        <f t="shared" si="6"/>
        <v/>
      </c>
      <c r="G68" s="942" t="str">
        <f t="shared" si="6"/>
        <v/>
      </c>
    </row>
    <row r="69" spans="1:7">
      <c r="A69" s="942" t="str">
        <f t="shared" si="6"/>
        <v/>
      </c>
      <c r="B69" s="942" t="str">
        <f t="shared" si="6"/>
        <v/>
      </c>
      <c r="C69" s="942" t="str">
        <f t="shared" si="6"/>
        <v/>
      </c>
      <c r="D69" s="942" t="str">
        <f t="shared" si="6"/>
        <v/>
      </c>
      <c r="E69" s="942" t="str">
        <f t="shared" si="6"/>
        <v/>
      </c>
      <c r="F69" s="942" t="str">
        <f t="shared" si="6"/>
        <v/>
      </c>
      <c r="G69" s="942" t="str">
        <f t="shared" si="6"/>
        <v/>
      </c>
    </row>
    <row r="70" spans="1:7">
      <c r="A70" s="942" t="str">
        <f t="shared" si="6"/>
        <v/>
      </c>
      <c r="B70" s="942" t="str">
        <f t="shared" si="6"/>
        <v/>
      </c>
      <c r="C70" s="942" t="str">
        <f t="shared" si="6"/>
        <v/>
      </c>
      <c r="D70" s="942" t="str">
        <f t="shared" si="6"/>
        <v/>
      </c>
      <c r="E70" s="942" t="str">
        <f t="shared" si="6"/>
        <v/>
      </c>
      <c r="F70" s="942" t="str">
        <f t="shared" si="6"/>
        <v/>
      </c>
      <c r="G70" s="942" t="str">
        <f t="shared" si="6"/>
        <v/>
      </c>
    </row>
    <row r="71" spans="1:7">
      <c r="A71" s="942" t="str">
        <f t="shared" si="6"/>
        <v/>
      </c>
      <c r="B71" s="942" t="str">
        <f t="shared" si="6"/>
        <v/>
      </c>
      <c r="C71" s="942" t="str">
        <f t="shared" si="6"/>
        <v/>
      </c>
      <c r="D71" s="942" t="str">
        <f t="shared" si="6"/>
        <v/>
      </c>
      <c r="E71" s="942" t="str">
        <f t="shared" si="6"/>
        <v/>
      </c>
      <c r="F71" s="942" t="str">
        <f t="shared" si="6"/>
        <v/>
      </c>
      <c r="G71" s="942" t="str">
        <f t="shared" si="6"/>
        <v/>
      </c>
    </row>
    <row r="72" spans="1:7">
      <c r="A72" s="942" t="str">
        <f t="shared" ref="A72:G81" si="7">IF(Etabs="Etabs 9.7.4",IF(INDEX(Mass_data_1,ROW($E72),COLUMN(A$1))&lt;&gt;"",INDEX(Mass_data_1,ROW($E72),COLUMN(A$1)),""),IF(Etabs="Etabs 2013 trở lên",IF(INDEX(Mass_data_2,ROW($E74),COLUMN(A$1))&lt;&gt;"",INDEX(Mass_data_2,ROW($E74),COLUMN(A$1)),""),""))</f>
        <v/>
      </c>
      <c r="B72" s="942" t="str">
        <f t="shared" si="7"/>
        <v/>
      </c>
      <c r="C72" s="942" t="str">
        <f t="shared" si="7"/>
        <v/>
      </c>
      <c r="D72" s="942" t="str">
        <f t="shared" si="7"/>
        <v/>
      </c>
      <c r="E72" s="942" t="str">
        <f t="shared" si="7"/>
        <v/>
      </c>
      <c r="F72" s="942" t="str">
        <f t="shared" si="7"/>
        <v/>
      </c>
      <c r="G72" s="942" t="str">
        <f t="shared" si="7"/>
        <v/>
      </c>
    </row>
    <row r="73" spans="1:7">
      <c r="A73" s="942" t="str">
        <f t="shared" si="7"/>
        <v/>
      </c>
      <c r="B73" s="942" t="str">
        <f t="shared" si="7"/>
        <v/>
      </c>
      <c r="C73" s="942" t="str">
        <f t="shared" si="7"/>
        <v/>
      </c>
      <c r="D73" s="942" t="str">
        <f t="shared" si="7"/>
        <v/>
      </c>
      <c r="E73" s="942" t="str">
        <f t="shared" si="7"/>
        <v/>
      </c>
      <c r="F73" s="942" t="str">
        <f t="shared" si="7"/>
        <v/>
      </c>
      <c r="G73" s="942" t="str">
        <f t="shared" si="7"/>
        <v/>
      </c>
    </row>
    <row r="74" spans="1:7">
      <c r="A74" s="942" t="str">
        <f t="shared" si="7"/>
        <v/>
      </c>
      <c r="B74" s="942" t="str">
        <f t="shared" si="7"/>
        <v/>
      </c>
      <c r="C74" s="942" t="str">
        <f t="shared" si="7"/>
        <v/>
      </c>
      <c r="D74" s="942" t="str">
        <f t="shared" si="7"/>
        <v/>
      </c>
      <c r="E74" s="942" t="str">
        <f t="shared" si="7"/>
        <v/>
      </c>
      <c r="F74" s="942" t="str">
        <f t="shared" si="7"/>
        <v/>
      </c>
      <c r="G74" s="942" t="str">
        <f t="shared" si="7"/>
        <v/>
      </c>
    </row>
    <row r="75" spans="1:7">
      <c r="A75" s="942" t="str">
        <f t="shared" si="7"/>
        <v/>
      </c>
      <c r="B75" s="942" t="str">
        <f t="shared" si="7"/>
        <v/>
      </c>
      <c r="C75" s="942" t="str">
        <f t="shared" si="7"/>
        <v/>
      </c>
      <c r="D75" s="942" t="str">
        <f t="shared" si="7"/>
        <v/>
      </c>
      <c r="E75" s="942" t="str">
        <f t="shared" si="7"/>
        <v/>
      </c>
      <c r="F75" s="942" t="str">
        <f t="shared" si="7"/>
        <v/>
      </c>
      <c r="G75" s="942" t="str">
        <f t="shared" si="7"/>
        <v/>
      </c>
    </row>
    <row r="76" spans="1:7">
      <c r="A76" s="942" t="str">
        <f t="shared" si="7"/>
        <v/>
      </c>
      <c r="B76" s="942" t="str">
        <f t="shared" si="7"/>
        <v/>
      </c>
      <c r="C76" s="942" t="str">
        <f t="shared" si="7"/>
        <v/>
      </c>
      <c r="D76" s="942" t="str">
        <f t="shared" si="7"/>
        <v/>
      </c>
      <c r="E76" s="942" t="str">
        <f t="shared" si="7"/>
        <v/>
      </c>
      <c r="F76" s="942" t="str">
        <f t="shared" si="7"/>
        <v/>
      </c>
      <c r="G76" s="942" t="str">
        <f t="shared" si="7"/>
        <v/>
      </c>
    </row>
    <row r="77" spans="1:7">
      <c r="A77" s="942" t="str">
        <f t="shared" si="7"/>
        <v/>
      </c>
      <c r="B77" s="942" t="str">
        <f t="shared" si="7"/>
        <v/>
      </c>
      <c r="C77" s="942" t="str">
        <f t="shared" si="7"/>
        <v/>
      </c>
      <c r="D77" s="942" t="str">
        <f t="shared" si="7"/>
        <v/>
      </c>
      <c r="E77" s="942" t="str">
        <f t="shared" si="7"/>
        <v/>
      </c>
      <c r="F77" s="942" t="str">
        <f t="shared" si="7"/>
        <v/>
      </c>
      <c r="G77" s="942" t="str">
        <f t="shared" si="7"/>
        <v/>
      </c>
    </row>
    <row r="78" spans="1:7">
      <c r="A78" s="942" t="str">
        <f t="shared" si="7"/>
        <v/>
      </c>
      <c r="B78" s="942" t="str">
        <f t="shared" si="7"/>
        <v/>
      </c>
      <c r="C78" s="942" t="str">
        <f t="shared" si="7"/>
        <v/>
      </c>
      <c r="D78" s="942" t="str">
        <f t="shared" si="7"/>
        <v/>
      </c>
      <c r="E78" s="942" t="str">
        <f t="shared" si="7"/>
        <v/>
      </c>
      <c r="F78" s="942" t="str">
        <f t="shared" si="7"/>
        <v/>
      </c>
      <c r="G78" s="942" t="str">
        <f t="shared" si="7"/>
        <v/>
      </c>
    </row>
    <row r="79" spans="1:7">
      <c r="A79" s="942" t="str">
        <f t="shared" si="7"/>
        <v/>
      </c>
      <c r="B79" s="942" t="str">
        <f t="shared" si="7"/>
        <v/>
      </c>
      <c r="C79" s="942" t="str">
        <f t="shared" si="7"/>
        <v/>
      </c>
      <c r="D79" s="942" t="str">
        <f t="shared" si="7"/>
        <v/>
      </c>
      <c r="E79" s="942" t="str">
        <f t="shared" si="7"/>
        <v/>
      </c>
      <c r="F79" s="942" t="str">
        <f t="shared" si="7"/>
        <v/>
      </c>
      <c r="G79" s="942" t="str">
        <f t="shared" si="7"/>
        <v/>
      </c>
    </row>
    <row r="80" spans="1:7">
      <c r="A80" s="942" t="str">
        <f t="shared" si="7"/>
        <v/>
      </c>
      <c r="B80" s="942" t="str">
        <f t="shared" si="7"/>
        <v/>
      </c>
      <c r="C80" s="942" t="str">
        <f t="shared" si="7"/>
        <v/>
      </c>
      <c r="D80" s="942" t="str">
        <f t="shared" si="7"/>
        <v/>
      </c>
      <c r="E80" s="942" t="str">
        <f t="shared" si="7"/>
        <v/>
      </c>
      <c r="F80" s="942" t="str">
        <f t="shared" si="7"/>
        <v/>
      </c>
      <c r="G80" s="942" t="str">
        <f t="shared" si="7"/>
        <v/>
      </c>
    </row>
    <row r="81" spans="1:7">
      <c r="A81" s="942" t="str">
        <f t="shared" si="7"/>
        <v/>
      </c>
      <c r="B81" s="942" t="str">
        <f t="shared" si="7"/>
        <v/>
      </c>
      <c r="C81" s="942" t="str">
        <f t="shared" si="7"/>
        <v/>
      </c>
      <c r="D81" s="942" t="str">
        <f t="shared" si="7"/>
        <v/>
      </c>
      <c r="E81" s="942" t="str">
        <f t="shared" si="7"/>
        <v/>
      </c>
      <c r="F81" s="942" t="str">
        <f t="shared" si="7"/>
        <v/>
      </c>
      <c r="G81" s="942" t="str">
        <f t="shared" si="7"/>
        <v/>
      </c>
    </row>
    <row r="82" spans="1:7">
      <c r="A82" s="942" t="str">
        <f t="shared" ref="A82:G91" si="8">IF(Etabs="Etabs 9.7.4",IF(INDEX(Mass_data_1,ROW($E82),COLUMN(A$1))&lt;&gt;"",INDEX(Mass_data_1,ROW($E82),COLUMN(A$1)),""),IF(Etabs="Etabs 2013 trở lên",IF(INDEX(Mass_data_2,ROW($E84),COLUMN(A$1))&lt;&gt;"",INDEX(Mass_data_2,ROW($E84),COLUMN(A$1)),""),""))</f>
        <v/>
      </c>
      <c r="B82" s="942" t="str">
        <f t="shared" si="8"/>
        <v/>
      </c>
      <c r="C82" s="942" t="str">
        <f t="shared" si="8"/>
        <v/>
      </c>
      <c r="D82" s="942" t="str">
        <f t="shared" si="8"/>
        <v/>
      </c>
      <c r="E82" s="942" t="str">
        <f t="shared" si="8"/>
        <v/>
      </c>
      <c r="F82" s="942" t="str">
        <f t="shared" si="8"/>
        <v/>
      </c>
      <c r="G82" s="942" t="str">
        <f t="shared" si="8"/>
        <v/>
      </c>
    </row>
    <row r="83" spans="1:7">
      <c r="A83" s="942" t="str">
        <f t="shared" si="8"/>
        <v/>
      </c>
      <c r="B83" s="942" t="str">
        <f t="shared" si="8"/>
        <v/>
      </c>
      <c r="C83" s="942" t="str">
        <f t="shared" si="8"/>
        <v/>
      </c>
      <c r="D83" s="942" t="str">
        <f t="shared" si="8"/>
        <v/>
      </c>
      <c r="E83" s="942" t="str">
        <f t="shared" si="8"/>
        <v/>
      </c>
      <c r="F83" s="942" t="str">
        <f t="shared" si="8"/>
        <v/>
      </c>
      <c r="G83" s="942" t="str">
        <f t="shared" si="8"/>
        <v/>
      </c>
    </row>
    <row r="84" spans="1:7">
      <c r="A84" s="942" t="str">
        <f t="shared" si="8"/>
        <v/>
      </c>
      <c r="B84" s="942" t="str">
        <f t="shared" si="8"/>
        <v/>
      </c>
      <c r="C84" s="942" t="str">
        <f t="shared" si="8"/>
        <v/>
      </c>
      <c r="D84" s="942" t="str">
        <f t="shared" si="8"/>
        <v/>
      </c>
      <c r="E84" s="942" t="str">
        <f t="shared" si="8"/>
        <v/>
      </c>
      <c r="F84" s="942" t="str">
        <f t="shared" si="8"/>
        <v/>
      </c>
      <c r="G84" s="942" t="str">
        <f t="shared" si="8"/>
        <v/>
      </c>
    </row>
    <row r="85" spans="1:7">
      <c r="A85" s="942" t="str">
        <f t="shared" si="8"/>
        <v/>
      </c>
      <c r="B85" s="942" t="str">
        <f t="shared" si="8"/>
        <v/>
      </c>
      <c r="C85" s="942" t="str">
        <f t="shared" si="8"/>
        <v/>
      </c>
      <c r="D85" s="942" t="str">
        <f t="shared" si="8"/>
        <v/>
      </c>
      <c r="E85" s="942" t="str">
        <f t="shared" si="8"/>
        <v/>
      </c>
      <c r="F85" s="942" t="str">
        <f t="shared" si="8"/>
        <v/>
      </c>
      <c r="G85" s="942" t="str">
        <f t="shared" si="8"/>
        <v/>
      </c>
    </row>
    <row r="86" spans="1:7">
      <c r="A86" s="942" t="str">
        <f t="shared" si="8"/>
        <v/>
      </c>
      <c r="B86" s="942" t="str">
        <f t="shared" si="8"/>
        <v/>
      </c>
      <c r="C86" s="942" t="str">
        <f t="shared" si="8"/>
        <v/>
      </c>
      <c r="D86" s="942" t="str">
        <f t="shared" si="8"/>
        <v/>
      </c>
      <c r="E86" s="942" t="str">
        <f t="shared" si="8"/>
        <v/>
      </c>
      <c r="F86" s="942" t="str">
        <f t="shared" si="8"/>
        <v/>
      </c>
      <c r="G86" s="942" t="str">
        <f t="shared" si="8"/>
        <v/>
      </c>
    </row>
    <row r="87" spans="1:7">
      <c r="A87" s="942" t="str">
        <f t="shared" si="8"/>
        <v/>
      </c>
      <c r="B87" s="942" t="str">
        <f t="shared" si="8"/>
        <v/>
      </c>
      <c r="C87" s="942" t="str">
        <f t="shared" si="8"/>
        <v/>
      </c>
      <c r="D87" s="942" t="str">
        <f t="shared" si="8"/>
        <v/>
      </c>
      <c r="E87" s="942" t="str">
        <f t="shared" si="8"/>
        <v/>
      </c>
      <c r="F87" s="942" t="str">
        <f t="shared" si="8"/>
        <v/>
      </c>
      <c r="G87" s="942" t="str">
        <f t="shared" si="8"/>
        <v/>
      </c>
    </row>
    <row r="88" spans="1:7">
      <c r="A88" s="942" t="str">
        <f t="shared" si="8"/>
        <v/>
      </c>
      <c r="B88" s="942" t="str">
        <f t="shared" si="8"/>
        <v/>
      </c>
      <c r="C88" s="942" t="str">
        <f t="shared" si="8"/>
        <v/>
      </c>
      <c r="D88" s="942" t="str">
        <f t="shared" si="8"/>
        <v/>
      </c>
      <c r="E88" s="942" t="str">
        <f t="shared" si="8"/>
        <v/>
      </c>
      <c r="F88" s="942" t="str">
        <f t="shared" si="8"/>
        <v/>
      </c>
      <c r="G88" s="942" t="str">
        <f t="shared" si="8"/>
        <v/>
      </c>
    </row>
    <row r="89" spans="1:7">
      <c r="A89" s="942" t="str">
        <f t="shared" si="8"/>
        <v/>
      </c>
      <c r="B89" s="942" t="str">
        <f t="shared" si="8"/>
        <v/>
      </c>
      <c r="C89" s="942" t="str">
        <f t="shared" si="8"/>
        <v/>
      </c>
      <c r="D89" s="942" t="str">
        <f t="shared" si="8"/>
        <v/>
      </c>
      <c r="E89" s="942" t="str">
        <f t="shared" si="8"/>
        <v/>
      </c>
      <c r="F89" s="942" t="str">
        <f t="shared" si="8"/>
        <v/>
      </c>
      <c r="G89" s="942" t="str">
        <f t="shared" si="8"/>
        <v/>
      </c>
    </row>
    <row r="90" spans="1:7">
      <c r="A90" s="942" t="str">
        <f t="shared" si="8"/>
        <v/>
      </c>
      <c r="B90" s="942" t="str">
        <f t="shared" si="8"/>
        <v/>
      </c>
      <c r="C90" s="942" t="str">
        <f t="shared" si="8"/>
        <v/>
      </c>
      <c r="D90" s="942" t="str">
        <f t="shared" si="8"/>
        <v/>
      </c>
      <c r="E90" s="942" t="str">
        <f t="shared" si="8"/>
        <v/>
      </c>
      <c r="F90" s="942" t="str">
        <f t="shared" si="8"/>
        <v/>
      </c>
      <c r="G90" s="942" t="str">
        <f t="shared" si="8"/>
        <v/>
      </c>
    </row>
    <row r="91" spans="1:7">
      <c r="A91" s="942" t="str">
        <f t="shared" si="8"/>
        <v/>
      </c>
      <c r="B91" s="942" t="str">
        <f t="shared" si="8"/>
        <v/>
      </c>
      <c r="C91" s="942" t="str">
        <f t="shared" si="8"/>
        <v/>
      </c>
      <c r="D91" s="942" t="str">
        <f t="shared" si="8"/>
        <v/>
      </c>
      <c r="E91" s="942" t="str">
        <f t="shared" si="8"/>
        <v/>
      </c>
      <c r="F91" s="942" t="str">
        <f t="shared" si="8"/>
        <v/>
      </c>
      <c r="G91" s="942" t="str">
        <f t="shared" si="8"/>
        <v/>
      </c>
    </row>
    <row r="92" spans="1:7">
      <c r="A92" s="942" t="str">
        <f t="shared" ref="A92:G101" si="9">IF(Etabs="Etabs 9.7.4",IF(INDEX(Mass_data_1,ROW($E92),COLUMN(A$1))&lt;&gt;"",INDEX(Mass_data_1,ROW($E92),COLUMN(A$1)),""),IF(Etabs="Etabs 2013 trở lên",IF(INDEX(Mass_data_2,ROW($E94),COLUMN(A$1))&lt;&gt;"",INDEX(Mass_data_2,ROW($E94),COLUMN(A$1)),""),""))</f>
        <v/>
      </c>
      <c r="B92" s="942" t="str">
        <f t="shared" si="9"/>
        <v/>
      </c>
      <c r="C92" s="942" t="str">
        <f t="shared" si="9"/>
        <v/>
      </c>
      <c r="D92" s="942" t="str">
        <f t="shared" si="9"/>
        <v/>
      </c>
      <c r="E92" s="942" t="str">
        <f t="shared" si="9"/>
        <v/>
      </c>
      <c r="F92" s="942" t="str">
        <f t="shared" si="9"/>
        <v/>
      </c>
      <c r="G92" s="942" t="str">
        <f t="shared" si="9"/>
        <v/>
      </c>
    </row>
    <row r="93" spans="1:7">
      <c r="A93" s="942" t="str">
        <f t="shared" si="9"/>
        <v/>
      </c>
      <c r="B93" s="942" t="str">
        <f t="shared" si="9"/>
        <v/>
      </c>
      <c r="C93" s="942" t="str">
        <f t="shared" si="9"/>
        <v/>
      </c>
      <c r="D93" s="942" t="str">
        <f t="shared" si="9"/>
        <v/>
      </c>
      <c r="E93" s="942" t="str">
        <f t="shared" si="9"/>
        <v/>
      </c>
      <c r="F93" s="942" t="str">
        <f t="shared" si="9"/>
        <v/>
      </c>
      <c r="G93" s="942" t="str">
        <f t="shared" si="9"/>
        <v/>
      </c>
    </row>
    <row r="94" spans="1:7">
      <c r="A94" s="942" t="str">
        <f t="shared" si="9"/>
        <v/>
      </c>
      <c r="B94" s="942" t="str">
        <f t="shared" si="9"/>
        <v/>
      </c>
      <c r="C94" s="942" t="str">
        <f t="shared" si="9"/>
        <v/>
      </c>
      <c r="D94" s="942" t="str">
        <f t="shared" si="9"/>
        <v/>
      </c>
      <c r="E94" s="942" t="str">
        <f t="shared" si="9"/>
        <v/>
      </c>
      <c r="F94" s="942" t="str">
        <f t="shared" si="9"/>
        <v/>
      </c>
      <c r="G94" s="942" t="str">
        <f t="shared" si="9"/>
        <v/>
      </c>
    </row>
    <row r="95" spans="1:7">
      <c r="A95" s="942" t="str">
        <f t="shared" si="9"/>
        <v/>
      </c>
      <c r="B95" s="942" t="str">
        <f t="shared" si="9"/>
        <v/>
      </c>
      <c r="C95" s="942" t="str">
        <f t="shared" si="9"/>
        <v/>
      </c>
      <c r="D95" s="942" t="str">
        <f t="shared" si="9"/>
        <v/>
      </c>
      <c r="E95" s="942" t="str">
        <f t="shared" si="9"/>
        <v/>
      </c>
      <c r="F95" s="942" t="str">
        <f t="shared" si="9"/>
        <v/>
      </c>
      <c r="G95" s="942" t="str">
        <f t="shared" si="9"/>
        <v/>
      </c>
    </row>
    <row r="96" spans="1:7">
      <c r="A96" s="942" t="str">
        <f t="shared" si="9"/>
        <v/>
      </c>
      <c r="B96" s="942" t="str">
        <f t="shared" si="9"/>
        <v/>
      </c>
      <c r="C96" s="942" t="str">
        <f t="shared" si="9"/>
        <v/>
      </c>
      <c r="D96" s="942" t="str">
        <f t="shared" si="9"/>
        <v/>
      </c>
      <c r="E96" s="942" t="str">
        <f t="shared" si="9"/>
        <v/>
      </c>
      <c r="F96" s="942" t="str">
        <f t="shared" si="9"/>
        <v/>
      </c>
      <c r="G96" s="942" t="str">
        <f t="shared" si="9"/>
        <v/>
      </c>
    </row>
    <row r="97" spans="1:7">
      <c r="A97" s="942" t="str">
        <f t="shared" si="9"/>
        <v/>
      </c>
      <c r="B97" s="942" t="str">
        <f t="shared" si="9"/>
        <v/>
      </c>
      <c r="C97" s="942" t="str">
        <f t="shared" si="9"/>
        <v/>
      </c>
      <c r="D97" s="942" t="str">
        <f t="shared" si="9"/>
        <v/>
      </c>
      <c r="E97" s="942" t="str">
        <f t="shared" si="9"/>
        <v/>
      </c>
      <c r="F97" s="942" t="str">
        <f t="shared" si="9"/>
        <v/>
      </c>
      <c r="G97" s="942" t="str">
        <f t="shared" si="9"/>
        <v/>
      </c>
    </row>
    <row r="98" spans="1:7">
      <c r="A98" s="942" t="str">
        <f t="shared" si="9"/>
        <v/>
      </c>
      <c r="B98" s="942" t="str">
        <f t="shared" si="9"/>
        <v/>
      </c>
      <c r="C98" s="942" t="str">
        <f t="shared" si="9"/>
        <v/>
      </c>
      <c r="D98" s="942" t="str">
        <f t="shared" si="9"/>
        <v/>
      </c>
      <c r="E98" s="942" t="str">
        <f t="shared" si="9"/>
        <v/>
      </c>
      <c r="F98" s="942" t="str">
        <f t="shared" si="9"/>
        <v/>
      </c>
      <c r="G98" s="942" t="str">
        <f t="shared" si="9"/>
        <v/>
      </c>
    </row>
    <row r="99" spans="1:7">
      <c r="A99" s="942" t="str">
        <f t="shared" si="9"/>
        <v/>
      </c>
      <c r="B99" s="942" t="str">
        <f t="shared" si="9"/>
        <v/>
      </c>
      <c r="C99" s="942" t="str">
        <f t="shared" si="9"/>
        <v/>
      </c>
      <c r="D99" s="942" t="str">
        <f t="shared" si="9"/>
        <v/>
      </c>
      <c r="E99" s="942" t="str">
        <f t="shared" si="9"/>
        <v/>
      </c>
      <c r="F99" s="942" t="str">
        <f t="shared" si="9"/>
        <v/>
      </c>
      <c r="G99" s="942" t="str">
        <f t="shared" si="9"/>
        <v/>
      </c>
    </row>
    <row r="100" spans="1:7">
      <c r="A100" s="942" t="str">
        <f t="shared" si="9"/>
        <v/>
      </c>
      <c r="B100" s="942" t="str">
        <f t="shared" si="9"/>
        <v/>
      </c>
      <c r="C100" s="942" t="str">
        <f t="shared" si="9"/>
        <v/>
      </c>
      <c r="D100" s="942" t="str">
        <f t="shared" si="9"/>
        <v/>
      </c>
      <c r="E100" s="942" t="str">
        <f t="shared" si="9"/>
        <v/>
      </c>
      <c r="F100" s="942" t="str">
        <f t="shared" si="9"/>
        <v/>
      </c>
      <c r="G100" s="942" t="str">
        <f t="shared" si="9"/>
        <v/>
      </c>
    </row>
    <row r="101" spans="1:7">
      <c r="A101" s="942" t="str">
        <f t="shared" si="9"/>
        <v/>
      </c>
      <c r="B101" s="942" t="str">
        <f t="shared" si="9"/>
        <v/>
      </c>
      <c r="C101" s="942" t="str">
        <f t="shared" si="9"/>
        <v/>
      </c>
      <c r="D101" s="942" t="str">
        <f t="shared" si="9"/>
        <v/>
      </c>
      <c r="E101" s="942" t="str">
        <f t="shared" si="9"/>
        <v/>
      </c>
      <c r="F101" s="942" t="str">
        <f t="shared" si="9"/>
        <v/>
      </c>
      <c r="G101" s="942" t="str">
        <f t="shared" si="9"/>
        <v/>
      </c>
    </row>
    <row r="102" spans="1:7">
      <c r="A102" s="942" t="str">
        <f t="shared" ref="A102:G111" si="10">IF(Etabs="Etabs 9.7.4",IF(INDEX(Mass_data_1,ROW($E102),COLUMN(A$1))&lt;&gt;"",INDEX(Mass_data_1,ROW($E102),COLUMN(A$1)),""),IF(Etabs="Etabs 2013 trở lên",IF(INDEX(Mass_data_2,ROW($E104),COLUMN(A$1))&lt;&gt;"",INDEX(Mass_data_2,ROW($E104),COLUMN(A$1)),""),""))</f>
        <v/>
      </c>
      <c r="B102" s="942" t="str">
        <f t="shared" si="10"/>
        <v/>
      </c>
      <c r="C102" s="942" t="str">
        <f t="shared" si="10"/>
        <v/>
      </c>
      <c r="D102" s="942" t="str">
        <f t="shared" si="10"/>
        <v/>
      </c>
      <c r="E102" s="942" t="str">
        <f t="shared" si="10"/>
        <v/>
      </c>
      <c r="F102" s="942" t="str">
        <f t="shared" si="10"/>
        <v/>
      </c>
      <c r="G102" s="942" t="str">
        <f t="shared" si="10"/>
        <v/>
      </c>
    </row>
    <row r="103" spans="1:7">
      <c r="A103" s="942" t="str">
        <f t="shared" si="10"/>
        <v/>
      </c>
      <c r="B103" s="942" t="str">
        <f t="shared" si="10"/>
        <v/>
      </c>
      <c r="C103" s="942" t="str">
        <f t="shared" si="10"/>
        <v/>
      </c>
      <c r="D103" s="942" t="str">
        <f t="shared" si="10"/>
        <v/>
      </c>
      <c r="E103" s="942" t="str">
        <f t="shared" si="10"/>
        <v/>
      </c>
      <c r="F103" s="942" t="str">
        <f t="shared" si="10"/>
        <v/>
      </c>
      <c r="G103" s="942" t="str">
        <f t="shared" si="10"/>
        <v/>
      </c>
    </row>
    <row r="104" spans="1:7">
      <c r="A104" s="942" t="str">
        <f t="shared" si="10"/>
        <v/>
      </c>
      <c r="B104" s="942" t="str">
        <f t="shared" si="10"/>
        <v/>
      </c>
      <c r="C104" s="942" t="str">
        <f t="shared" si="10"/>
        <v/>
      </c>
      <c r="D104" s="942" t="str">
        <f t="shared" si="10"/>
        <v/>
      </c>
      <c r="E104" s="942" t="str">
        <f t="shared" si="10"/>
        <v/>
      </c>
      <c r="F104" s="942" t="str">
        <f t="shared" si="10"/>
        <v/>
      </c>
      <c r="G104" s="942" t="str">
        <f t="shared" si="10"/>
        <v/>
      </c>
    </row>
    <row r="105" spans="1:7">
      <c r="A105" s="942" t="str">
        <f t="shared" si="10"/>
        <v/>
      </c>
      <c r="B105" s="942" t="str">
        <f t="shared" si="10"/>
        <v/>
      </c>
      <c r="C105" s="942" t="str">
        <f t="shared" si="10"/>
        <v/>
      </c>
      <c r="D105" s="942" t="str">
        <f t="shared" si="10"/>
        <v/>
      </c>
      <c r="E105" s="942" t="str">
        <f t="shared" si="10"/>
        <v/>
      </c>
      <c r="F105" s="942" t="str">
        <f t="shared" si="10"/>
        <v/>
      </c>
      <c r="G105" s="942" t="str">
        <f t="shared" si="10"/>
        <v/>
      </c>
    </row>
    <row r="106" spans="1:7">
      <c r="A106" s="942" t="str">
        <f t="shared" si="10"/>
        <v/>
      </c>
      <c r="B106" s="942" t="str">
        <f t="shared" si="10"/>
        <v/>
      </c>
      <c r="C106" s="942" t="str">
        <f t="shared" si="10"/>
        <v/>
      </c>
      <c r="D106" s="942" t="str">
        <f t="shared" si="10"/>
        <v/>
      </c>
      <c r="E106" s="942" t="str">
        <f t="shared" si="10"/>
        <v/>
      </c>
      <c r="F106" s="942" t="str">
        <f t="shared" si="10"/>
        <v/>
      </c>
      <c r="G106" s="942" t="str">
        <f t="shared" si="10"/>
        <v/>
      </c>
    </row>
    <row r="107" spans="1:7">
      <c r="A107" s="942" t="str">
        <f t="shared" si="10"/>
        <v/>
      </c>
      <c r="B107" s="942" t="str">
        <f t="shared" si="10"/>
        <v/>
      </c>
      <c r="C107" s="942" t="str">
        <f t="shared" si="10"/>
        <v/>
      </c>
      <c r="D107" s="942" t="str">
        <f t="shared" si="10"/>
        <v/>
      </c>
      <c r="E107" s="942" t="str">
        <f t="shared" si="10"/>
        <v/>
      </c>
      <c r="F107" s="942" t="str">
        <f t="shared" si="10"/>
        <v/>
      </c>
      <c r="G107" s="942" t="str">
        <f t="shared" si="10"/>
        <v/>
      </c>
    </row>
    <row r="108" spans="1:7">
      <c r="A108" s="942" t="str">
        <f t="shared" si="10"/>
        <v/>
      </c>
      <c r="B108" s="942" t="str">
        <f t="shared" si="10"/>
        <v/>
      </c>
      <c r="C108" s="942" t="str">
        <f t="shared" si="10"/>
        <v/>
      </c>
      <c r="D108" s="942" t="str">
        <f t="shared" si="10"/>
        <v/>
      </c>
      <c r="E108" s="942" t="str">
        <f t="shared" si="10"/>
        <v/>
      </c>
      <c r="F108" s="942" t="str">
        <f t="shared" si="10"/>
        <v/>
      </c>
      <c r="G108" s="942" t="str">
        <f t="shared" si="10"/>
        <v/>
      </c>
    </row>
    <row r="109" spans="1:7">
      <c r="A109" s="942" t="str">
        <f t="shared" si="10"/>
        <v/>
      </c>
      <c r="B109" s="942" t="str">
        <f t="shared" si="10"/>
        <v/>
      </c>
      <c r="C109" s="942" t="str">
        <f t="shared" si="10"/>
        <v/>
      </c>
      <c r="D109" s="942" t="str">
        <f t="shared" si="10"/>
        <v/>
      </c>
      <c r="E109" s="942" t="str">
        <f t="shared" si="10"/>
        <v/>
      </c>
      <c r="F109" s="942" t="str">
        <f t="shared" si="10"/>
        <v/>
      </c>
      <c r="G109" s="942" t="str">
        <f t="shared" si="10"/>
        <v/>
      </c>
    </row>
    <row r="110" spans="1:7">
      <c r="A110" s="942" t="str">
        <f t="shared" si="10"/>
        <v/>
      </c>
      <c r="B110" s="942" t="str">
        <f t="shared" si="10"/>
        <v/>
      </c>
      <c r="C110" s="942" t="str">
        <f t="shared" si="10"/>
        <v/>
      </c>
      <c r="D110" s="942" t="str">
        <f t="shared" si="10"/>
        <v/>
      </c>
      <c r="E110" s="942" t="str">
        <f t="shared" si="10"/>
        <v/>
      </c>
      <c r="F110" s="942" t="str">
        <f t="shared" si="10"/>
        <v/>
      </c>
      <c r="G110" s="942" t="str">
        <f t="shared" si="10"/>
        <v/>
      </c>
    </row>
    <row r="111" spans="1:7">
      <c r="A111" s="942" t="str">
        <f t="shared" si="10"/>
        <v/>
      </c>
      <c r="B111" s="942" t="str">
        <f t="shared" si="10"/>
        <v/>
      </c>
      <c r="C111" s="942" t="str">
        <f t="shared" si="10"/>
        <v/>
      </c>
      <c r="D111" s="942" t="str">
        <f t="shared" si="10"/>
        <v/>
      </c>
      <c r="E111" s="942" t="str">
        <f t="shared" si="10"/>
        <v/>
      </c>
      <c r="F111" s="942" t="str">
        <f t="shared" si="10"/>
        <v/>
      </c>
      <c r="G111" s="942" t="str">
        <f t="shared" si="10"/>
        <v/>
      </c>
    </row>
    <row r="112" spans="1:7">
      <c r="A112" s="942" t="str">
        <f t="shared" ref="A112:G121" si="11">IF(Etabs="Etabs 9.7.4",IF(INDEX(Mass_data_1,ROW($E112),COLUMN(A$1))&lt;&gt;"",INDEX(Mass_data_1,ROW($E112),COLUMN(A$1)),""),IF(Etabs="Etabs 2013 trở lên",IF(INDEX(Mass_data_2,ROW($E114),COLUMN(A$1))&lt;&gt;"",INDEX(Mass_data_2,ROW($E114),COLUMN(A$1)),""),""))</f>
        <v/>
      </c>
      <c r="B112" s="942" t="str">
        <f t="shared" si="11"/>
        <v/>
      </c>
      <c r="C112" s="942" t="str">
        <f t="shared" si="11"/>
        <v/>
      </c>
      <c r="D112" s="942" t="str">
        <f t="shared" si="11"/>
        <v/>
      </c>
      <c r="E112" s="942" t="str">
        <f t="shared" si="11"/>
        <v/>
      </c>
      <c r="F112" s="942" t="str">
        <f t="shared" si="11"/>
        <v/>
      </c>
      <c r="G112" s="942" t="str">
        <f t="shared" si="11"/>
        <v/>
      </c>
    </row>
    <row r="113" spans="1:7">
      <c r="A113" s="942" t="str">
        <f t="shared" si="11"/>
        <v/>
      </c>
      <c r="B113" s="942" t="str">
        <f t="shared" si="11"/>
        <v/>
      </c>
      <c r="C113" s="942" t="str">
        <f t="shared" si="11"/>
        <v/>
      </c>
      <c r="D113" s="942" t="str">
        <f t="shared" si="11"/>
        <v/>
      </c>
      <c r="E113" s="942" t="str">
        <f t="shared" si="11"/>
        <v/>
      </c>
      <c r="F113" s="942" t="str">
        <f t="shared" si="11"/>
        <v/>
      </c>
      <c r="G113" s="942" t="str">
        <f t="shared" si="11"/>
        <v/>
      </c>
    </row>
    <row r="114" spans="1:7">
      <c r="A114" s="942" t="str">
        <f t="shared" si="11"/>
        <v/>
      </c>
      <c r="B114" s="942" t="str">
        <f t="shared" si="11"/>
        <v/>
      </c>
      <c r="C114" s="942" t="str">
        <f t="shared" si="11"/>
        <v/>
      </c>
      <c r="D114" s="942" t="str">
        <f t="shared" si="11"/>
        <v/>
      </c>
      <c r="E114" s="942" t="str">
        <f t="shared" si="11"/>
        <v/>
      </c>
      <c r="F114" s="942" t="str">
        <f t="shared" si="11"/>
        <v/>
      </c>
      <c r="G114" s="942" t="str">
        <f t="shared" si="11"/>
        <v/>
      </c>
    </row>
    <row r="115" spans="1:7">
      <c r="A115" s="942" t="str">
        <f t="shared" si="11"/>
        <v/>
      </c>
      <c r="B115" s="942" t="str">
        <f t="shared" si="11"/>
        <v/>
      </c>
      <c r="C115" s="942" t="str">
        <f t="shared" si="11"/>
        <v/>
      </c>
      <c r="D115" s="942" t="str">
        <f t="shared" si="11"/>
        <v/>
      </c>
      <c r="E115" s="942" t="str">
        <f t="shared" si="11"/>
        <v/>
      </c>
      <c r="F115" s="942" t="str">
        <f t="shared" si="11"/>
        <v/>
      </c>
      <c r="G115" s="942" t="str">
        <f t="shared" si="11"/>
        <v/>
      </c>
    </row>
    <row r="116" spans="1:7">
      <c r="A116" s="942" t="str">
        <f t="shared" si="11"/>
        <v/>
      </c>
      <c r="B116" s="942" t="str">
        <f t="shared" si="11"/>
        <v/>
      </c>
      <c r="C116" s="942" t="str">
        <f t="shared" si="11"/>
        <v/>
      </c>
      <c r="D116" s="942" t="str">
        <f t="shared" si="11"/>
        <v/>
      </c>
      <c r="E116" s="942" t="str">
        <f t="shared" si="11"/>
        <v/>
      </c>
      <c r="F116" s="942" t="str">
        <f t="shared" si="11"/>
        <v/>
      </c>
      <c r="G116" s="942" t="str">
        <f t="shared" si="11"/>
        <v/>
      </c>
    </row>
    <row r="117" spans="1:7">
      <c r="A117" s="942" t="str">
        <f t="shared" si="11"/>
        <v/>
      </c>
      <c r="B117" s="942" t="str">
        <f t="shared" si="11"/>
        <v/>
      </c>
      <c r="C117" s="942" t="str">
        <f t="shared" si="11"/>
        <v/>
      </c>
      <c r="D117" s="942" t="str">
        <f t="shared" si="11"/>
        <v/>
      </c>
      <c r="E117" s="942" t="str">
        <f t="shared" si="11"/>
        <v/>
      </c>
      <c r="F117" s="942" t="str">
        <f t="shared" si="11"/>
        <v/>
      </c>
      <c r="G117" s="942" t="str">
        <f t="shared" si="11"/>
        <v/>
      </c>
    </row>
    <row r="118" spans="1:7">
      <c r="A118" s="942" t="str">
        <f t="shared" si="11"/>
        <v/>
      </c>
      <c r="B118" s="942" t="str">
        <f t="shared" si="11"/>
        <v/>
      </c>
      <c r="C118" s="942" t="str">
        <f t="shared" si="11"/>
        <v/>
      </c>
      <c r="D118" s="942" t="str">
        <f t="shared" si="11"/>
        <v/>
      </c>
      <c r="E118" s="942" t="str">
        <f t="shared" si="11"/>
        <v/>
      </c>
      <c r="F118" s="942" t="str">
        <f t="shared" si="11"/>
        <v/>
      </c>
      <c r="G118" s="942" t="str">
        <f t="shared" si="11"/>
        <v/>
      </c>
    </row>
    <row r="119" spans="1:7">
      <c r="A119" s="942" t="str">
        <f t="shared" si="11"/>
        <v/>
      </c>
      <c r="B119" s="942" t="str">
        <f t="shared" si="11"/>
        <v/>
      </c>
      <c r="C119" s="942" t="str">
        <f t="shared" si="11"/>
        <v/>
      </c>
      <c r="D119" s="942" t="str">
        <f t="shared" si="11"/>
        <v/>
      </c>
      <c r="E119" s="942" t="str">
        <f t="shared" si="11"/>
        <v/>
      </c>
      <c r="F119" s="942" t="str">
        <f t="shared" si="11"/>
        <v/>
      </c>
      <c r="G119" s="942" t="str">
        <f t="shared" si="11"/>
        <v/>
      </c>
    </row>
    <row r="120" spans="1:7">
      <c r="A120" s="942" t="str">
        <f t="shared" si="11"/>
        <v/>
      </c>
      <c r="B120" s="942" t="str">
        <f t="shared" si="11"/>
        <v/>
      </c>
      <c r="C120" s="942" t="str">
        <f t="shared" si="11"/>
        <v/>
      </c>
      <c r="D120" s="942" t="str">
        <f t="shared" si="11"/>
        <v/>
      </c>
      <c r="E120" s="942" t="str">
        <f t="shared" si="11"/>
        <v/>
      </c>
      <c r="F120" s="942" t="str">
        <f t="shared" si="11"/>
        <v/>
      </c>
      <c r="G120" s="942" t="str">
        <f t="shared" si="11"/>
        <v/>
      </c>
    </row>
    <row r="121" spans="1:7">
      <c r="A121" s="942" t="str">
        <f t="shared" si="11"/>
        <v/>
      </c>
      <c r="B121" s="942" t="str">
        <f t="shared" si="11"/>
        <v/>
      </c>
      <c r="C121" s="942" t="str">
        <f t="shared" si="11"/>
        <v/>
      </c>
      <c r="D121" s="942" t="str">
        <f t="shared" si="11"/>
        <v/>
      </c>
      <c r="E121" s="942" t="str">
        <f t="shared" si="11"/>
        <v/>
      </c>
      <c r="F121" s="942" t="str">
        <f t="shared" si="11"/>
        <v/>
      </c>
      <c r="G121" s="942" t="str">
        <f t="shared" si="11"/>
        <v/>
      </c>
    </row>
    <row r="122" spans="1:7">
      <c r="A122" s="942" t="str">
        <f t="shared" ref="A122:G131" si="12">IF(Etabs="Etabs 9.7.4",IF(INDEX(Mass_data_1,ROW($E122),COLUMN(A$1))&lt;&gt;"",INDEX(Mass_data_1,ROW($E122),COLUMN(A$1)),""),IF(Etabs="Etabs 2013 trở lên",IF(INDEX(Mass_data_2,ROW($E124),COLUMN(A$1))&lt;&gt;"",INDEX(Mass_data_2,ROW($E124),COLUMN(A$1)),""),""))</f>
        <v/>
      </c>
      <c r="B122" s="942" t="str">
        <f t="shared" si="12"/>
        <v/>
      </c>
      <c r="C122" s="942" t="str">
        <f t="shared" si="12"/>
        <v/>
      </c>
      <c r="D122" s="942" t="str">
        <f t="shared" si="12"/>
        <v/>
      </c>
      <c r="E122" s="942" t="str">
        <f t="shared" si="12"/>
        <v/>
      </c>
      <c r="F122" s="942" t="str">
        <f t="shared" si="12"/>
        <v/>
      </c>
      <c r="G122" s="942" t="str">
        <f t="shared" si="12"/>
        <v/>
      </c>
    </row>
    <row r="123" spans="1:7">
      <c r="A123" s="942" t="str">
        <f t="shared" si="12"/>
        <v/>
      </c>
      <c r="B123" s="942" t="str">
        <f t="shared" si="12"/>
        <v/>
      </c>
      <c r="C123" s="942" t="str">
        <f t="shared" si="12"/>
        <v/>
      </c>
      <c r="D123" s="942" t="str">
        <f t="shared" si="12"/>
        <v/>
      </c>
      <c r="E123" s="942" t="str">
        <f t="shared" si="12"/>
        <v/>
      </c>
      <c r="F123" s="942" t="str">
        <f t="shared" si="12"/>
        <v/>
      </c>
      <c r="G123" s="942" t="str">
        <f t="shared" si="12"/>
        <v/>
      </c>
    </row>
    <row r="124" spans="1:7">
      <c r="A124" s="942" t="str">
        <f t="shared" si="12"/>
        <v/>
      </c>
      <c r="B124" s="942" t="str">
        <f t="shared" si="12"/>
        <v/>
      </c>
      <c r="C124" s="942" t="str">
        <f t="shared" si="12"/>
        <v/>
      </c>
      <c r="D124" s="942" t="str">
        <f t="shared" si="12"/>
        <v/>
      </c>
      <c r="E124" s="942" t="str">
        <f t="shared" si="12"/>
        <v/>
      </c>
      <c r="F124" s="942" t="str">
        <f t="shared" si="12"/>
        <v/>
      </c>
      <c r="G124" s="942" t="str">
        <f t="shared" si="12"/>
        <v/>
      </c>
    </row>
    <row r="125" spans="1:7">
      <c r="A125" s="942" t="str">
        <f t="shared" si="12"/>
        <v/>
      </c>
      <c r="B125" s="942" t="str">
        <f t="shared" si="12"/>
        <v/>
      </c>
      <c r="C125" s="942" t="str">
        <f t="shared" si="12"/>
        <v/>
      </c>
      <c r="D125" s="942" t="str">
        <f t="shared" si="12"/>
        <v/>
      </c>
      <c r="E125" s="942" t="str">
        <f t="shared" si="12"/>
        <v/>
      </c>
      <c r="F125" s="942" t="str">
        <f t="shared" si="12"/>
        <v/>
      </c>
      <c r="G125" s="942" t="str">
        <f t="shared" si="12"/>
        <v/>
      </c>
    </row>
    <row r="126" spans="1:7">
      <c r="A126" s="942" t="str">
        <f t="shared" si="12"/>
        <v/>
      </c>
      <c r="B126" s="942" t="str">
        <f t="shared" si="12"/>
        <v/>
      </c>
      <c r="C126" s="942" t="str">
        <f t="shared" si="12"/>
        <v/>
      </c>
      <c r="D126" s="942" t="str">
        <f t="shared" si="12"/>
        <v/>
      </c>
      <c r="E126" s="942" t="str">
        <f t="shared" si="12"/>
        <v/>
      </c>
      <c r="F126" s="942" t="str">
        <f t="shared" si="12"/>
        <v/>
      </c>
      <c r="G126" s="942" t="str">
        <f t="shared" si="12"/>
        <v/>
      </c>
    </row>
    <row r="127" spans="1:7">
      <c r="A127" s="942" t="str">
        <f t="shared" si="12"/>
        <v/>
      </c>
      <c r="B127" s="942" t="str">
        <f t="shared" si="12"/>
        <v/>
      </c>
      <c r="C127" s="942" t="str">
        <f t="shared" si="12"/>
        <v/>
      </c>
      <c r="D127" s="942" t="str">
        <f t="shared" si="12"/>
        <v/>
      </c>
      <c r="E127" s="942" t="str">
        <f t="shared" si="12"/>
        <v/>
      </c>
      <c r="F127" s="942" t="str">
        <f t="shared" si="12"/>
        <v/>
      </c>
      <c r="G127" s="942" t="str">
        <f t="shared" si="12"/>
        <v/>
      </c>
    </row>
    <row r="128" spans="1:7">
      <c r="A128" s="942" t="str">
        <f t="shared" si="12"/>
        <v/>
      </c>
      <c r="B128" s="942" t="str">
        <f t="shared" si="12"/>
        <v/>
      </c>
      <c r="C128" s="942" t="str">
        <f t="shared" si="12"/>
        <v/>
      </c>
      <c r="D128" s="942" t="str">
        <f t="shared" si="12"/>
        <v/>
      </c>
      <c r="E128" s="942" t="str">
        <f t="shared" si="12"/>
        <v/>
      </c>
      <c r="F128" s="942" t="str">
        <f t="shared" si="12"/>
        <v/>
      </c>
      <c r="G128" s="942" t="str">
        <f t="shared" si="12"/>
        <v/>
      </c>
    </row>
    <row r="129" spans="1:7">
      <c r="A129" s="942" t="str">
        <f t="shared" si="12"/>
        <v/>
      </c>
      <c r="B129" s="942" t="str">
        <f t="shared" si="12"/>
        <v/>
      </c>
      <c r="C129" s="942" t="str">
        <f t="shared" si="12"/>
        <v/>
      </c>
      <c r="D129" s="942" t="str">
        <f t="shared" si="12"/>
        <v/>
      </c>
      <c r="E129" s="942" t="str">
        <f t="shared" si="12"/>
        <v/>
      </c>
      <c r="F129" s="942" t="str">
        <f t="shared" si="12"/>
        <v/>
      </c>
      <c r="G129" s="942" t="str">
        <f t="shared" si="12"/>
        <v/>
      </c>
    </row>
    <row r="130" spans="1:7">
      <c r="A130" s="942" t="str">
        <f t="shared" si="12"/>
        <v/>
      </c>
      <c r="B130" s="942" t="str">
        <f t="shared" si="12"/>
        <v/>
      </c>
      <c r="C130" s="942" t="str">
        <f t="shared" si="12"/>
        <v/>
      </c>
      <c r="D130" s="942" t="str">
        <f t="shared" si="12"/>
        <v/>
      </c>
      <c r="E130" s="942" t="str">
        <f t="shared" si="12"/>
        <v/>
      </c>
      <c r="F130" s="942" t="str">
        <f t="shared" si="12"/>
        <v/>
      </c>
      <c r="G130" s="942" t="str">
        <f t="shared" si="12"/>
        <v/>
      </c>
    </row>
    <row r="131" spans="1:7">
      <c r="A131" s="942" t="str">
        <f t="shared" si="12"/>
        <v/>
      </c>
      <c r="B131" s="942" t="str">
        <f t="shared" si="12"/>
        <v/>
      </c>
      <c r="C131" s="942" t="str">
        <f t="shared" si="12"/>
        <v/>
      </c>
      <c r="D131" s="942" t="str">
        <f t="shared" si="12"/>
        <v/>
      </c>
      <c r="E131" s="942" t="str">
        <f t="shared" si="12"/>
        <v/>
      </c>
      <c r="F131" s="942" t="str">
        <f t="shared" si="12"/>
        <v/>
      </c>
      <c r="G131" s="942" t="str">
        <f t="shared" si="12"/>
        <v/>
      </c>
    </row>
    <row r="132" spans="1:7">
      <c r="A132" s="942" t="str">
        <f t="shared" ref="A132:G141" si="13">IF(Etabs="Etabs 9.7.4",IF(INDEX(Mass_data_1,ROW($E132),COLUMN(A$1))&lt;&gt;"",INDEX(Mass_data_1,ROW($E132),COLUMN(A$1)),""),IF(Etabs="Etabs 2013 trở lên",IF(INDEX(Mass_data_2,ROW($E134),COLUMN(A$1))&lt;&gt;"",INDEX(Mass_data_2,ROW($E134),COLUMN(A$1)),""),""))</f>
        <v/>
      </c>
      <c r="B132" s="942" t="str">
        <f t="shared" si="13"/>
        <v/>
      </c>
      <c r="C132" s="942" t="str">
        <f t="shared" si="13"/>
        <v/>
      </c>
      <c r="D132" s="942" t="str">
        <f t="shared" si="13"/>
        <v/>
      </c>
      <c r="E132" s="942" t="str">
        <f t="shared" si="13"/>
        <v/>
      </c>
      <c r="F132" s="942" t="str">
        <f t="shared" si="13"/>
        <v/>
      </c>
      <c r="G132" s="942" t="str">
        <f t="shared" si="13"/>
        <v/>
      </c>
    </row>
    <row r="133" spans="1:7">
      <c r="A133" s="942" t="str">
        <f t="shared" si="13"/>
        <v/>
      </c>
      <c r="B133" s="942" t="str">
        <f t="shared" si="13"/>
        <v/>
      </c>
      <c r="C133" s="942" t="str">
        <f t="shared" si="13"/>
        <v/>
      </c>
      <c r="D133" s="942" t="str">
        <f t="shared" si="13"/>
        <v/>
      </c>
      <c r="E133" s="942" t="str">
        <f t="shared" si="13"/>
        <v/>
      </c>
      <c r="F133" s="942" t="str">
        <f t="shared" si="13"/>
        <v/>
      </c>
      <c r="G133" s="942" t="str">
        <f t="shared" si="13"/>
        <v/>
      </c>
    </row>
    <row r="134" spans="1:7">
      <c r="A134" s="942" t="str">
        <f t="shared" si="13"/>
        <v/>
      </c>
      <c r="B134" s="942" t="str">
        <f t="shared" si="13"/>
        <v/>
      </c>
      <c r="C134" s="942" t="str">
        <f t="shared" si="13"/>
        <v/>
      </c>
      <c r="D134" s="942" t="str">
        <f t="shared" si="13"/>
        <v/>
      </c>
      <c r="E134" s="942" t="str">
        <f t="shared" si="13"/>
        <v/>
      </c>
      <c r="F134" s="942" t="str">
        <f t="shared" si="13"/>
        <v/>
      </c>
      <c r="G134" s="942" t="str">
        <f t="shared" si="13"/>
        <v/>
      </c>
    </row>
    <row r="135" spans="1:7">
      <c r="A135" s="942" t="str">
        <f t="shared" si="13"/>
        <v/>
      </c>
      <c r="B135" s="942" t="str">
        <f t="shared" si="13"/>
        <v/>
      </c>
      <c r="C135" s="942" t="str">
        <f t="shared" si="13"/>
        <v/>
      </c>
      <c r="D135" s="942" t="str">
        <f t="shared" si="13"/>
        <v/>
      </c>
      <c r="E135" s="942" t="str">
        <f t="shared" si="13"/>
        <v/>
      </c>
      <c r="F135" s="942" t="str">
        <f t="shared" si="13"/>
        <v/>
      </c>
      <c r="G135" s="942" t="str">
        <f t="shared" si="13"/>
        <v/>
      </c>
    </row>
    <row r="136" spans="1:7">
      <c r="A136" s="942" t="str">
        <f t="shared" si="13"/>
        <v/>
      </c>
      <c r="B136" s="942" t="str">
        <f t="shared" si="13"/>
        <v/>
      </c>
      <c r="C136" s="942" t="str">
        <f t="shared" si="13"/>
        <v/>
      </c>
      <c r="D136" s="942" t="str">
        <f t="shared" si="13"/>
        <v/>
      </c>
      <c r="E136" s="942" t="str">
        <f t="shared" si="13"/>
        <v/>
      </c>
      <c r="F136" s="942" t="str">
        <f t="shared" si="13"/>
        <v/>
      </c>
      <c r="G136" s="942" t="str">
        <f t="shared" si="13"/>
        <v/>
      </c>
    </row>
    <row r="137" spans="1:7">
      <c r="A137" s="942" t="str">
        <f t="shared" si="13"/>
        <v/>
      </c>
      <c r="B137" s="942" t="str">
        <f t="shared" si="13"/>
        <v/>
      </c>
      <c r="C137" s="942" t="str">
        <f t="shared" si="13"/>
        <v/>
      </c>
      <c r="D137" s="942" t="str">
        <f t="shared" si="13"/>
        <v/>
      </c>
      <c r="E137" s="942" t="str">
        <f t="shared" si="13"/>
        <v/>
      </c>
      <c r="F137" s="942" t="str">
        <f t="shared" si="13"/>
        <v/>
      </c>
      <c r="G137" s="942" t="str">
        <f t="shared" si="13"/>
        <v/>
      </c>
    </row>
    <row r="138" spans="1:7">
      <c r="A138" s="942" t="str">
        <f t="shared" si="13"/>
        <v/>
      </c>
      <c r="B138" s="942" t="str">
        <f t="shared" si="13"/>
        <v/>
      </c>
      <c r="C138" s="942" t="str">
        <f t="shared" si="13"/>
        <v/>
      </c>
      <c r="D138" s="942" t="str">
        <f t="shared" si="13"/>
        <v/>
      </c>
      <c r="E138" s="942" t="str">
        <f t="shared" si="13"/>
        <v/>
      </c>
      <c r="F138" s="942" t="str">
        <f t="shared" si="13"/>
        <v/>
      </c>
      <c r="G138" s="942" t="str">
        <f t="shared" si="13"/>
        <v/>
      </c>
    </row>
    <row r="139" spans="1:7">
      <c r="A139" s="942" t="str">
        <f t="shared" si="13"/>
        <v/>
      </c>
      <c r="B139" s="942" t="str">
        <f t="shared" si="13"/>
        <v/>
      </c>
      <c r="C139" s="942" t="str">
        <f t="shared" si="13"/>
        <v/>
      </c>
      <c r="D139" s="942" t="str">
        <f t="shared" si="13"/>
        <v/>
      </c>
      <c r="E139" s="942" t="str">
        <f t="shared" si="13"/>
        <v/>
      </c>
      <c r="F139" s="942" t="str">
        <f t="shared" si="13"/>
        <v/>
      </c>
      <c r="G139" s="942" t="str">
        <f t="shared" si="13"/>
        <v/>
      </c>
    </row>
    <row r="140" spans="1:7">
      <c r="A140" s="942" t="str">
        <f t="shared" si="13"/>
        <v/>
      </c>
      <c r="B140" s="942" t="str">
        <f t="shared" si="13"/>
        <v/>
      </c>
      <c r="C140" s="942" t="str">
        <f t="shared" si="13"/>
        <v/>
      </c>
      <c r="D140" s="942" t="str">
        <f t="shared" si="13"/>
        <v/>
      </c>
      <c r="E140" s="942" t="str">
        <f t="shared" si="13"/>
        <v/>
      </c>
      <c r="F140" s="942" t="str">
        <f t="shared" si="13"/>
        <v/>
      </c>
      <c r="G140" s="942" t="str">
        <f t="shared" si="13"/>
        <v/>
      </c>
    </row>
    <row r="141" spans="1:7">
      <c r="A141" s="942" t="str">
        <f t="shared" si="13"/>
        <v/>
      </c>
      <c r="B141" s="942" t="str">
        <f t="shared" si="13"/>
        <v/>
      </c>
      <c r="C141" s="942" t="str">
        <f t="shared" si="13"/>
        <v/>
      </c>
      <c r="D141" s="942" t="str">
        <f t="shared" si="13"/>
        <v/>
      </c>
      <c r="E141" s="942" t="str">
        <f t="shared" si="13"/>
        <v/>
      </c>
      <c r="F141" s="942" t="str">
        <f t="shared" si="13"/>
        <v/>
      </c>
      <c r="G141" s="942" t="str">
        <f t="shared" si="13"/>
        <v/>
      </c>
    </row>
    <row r="142" spans="1:7">
      <c r="A142" s="942" t="str">
        <f t="shared" ref="A142:G150" si="14">IF(Etabs="Etabs 9.7.4",IF(INDEX(Mass_data_1,ROW($E142),COLUMN(A$1))&lt;&gt;"",INDEX(Mass_data_1,ROW($E142),COLUMN(A$1)),""),IF(Etabs="Etabs 2013 trở lên",IF(INDEX(Mass_data_2,ROW($E144),COLUMN(A$1))&lt;&gt;"",INDEX(Mass_data_2,ROW($E144),COLUMN(A$1)),""),""))</f>
        <v/>
      </c>
      <c r="B142" s="942" t="str">
        <f t="shared" si="14"/>
        <v/>
      </c>
      <c r="C142" s="942" t="str">
        <f t="shared" si="14"/>
        <v/>
      </c>
      <c r="D142" s="942" t="str">
        <f t="shared" si="14"/>
        <v/>
      </c>
      <c r="E142" s="942" t="str">
        <f t="shared" si="14"/>
        <v/>
      </c>
      <c r="F142" s="942" t="str">
        <f t="shared" si="14"/>
        <v/>
      </c>
      <c r="G142" s="942" t="str">
        <f t="shared" si="14"/>
        <v/>
      </c>
    </row>
    <row r="143" spans="1:7">
      <c r="A143" s="942" t="str">
        <f t="shared" si="14"/>
        <v/>
      </c>
      <c r="B143" s="942" t="str">
        <f t="shared" si="14"/>
        <v/>
      </c>
      <c r="C143" s="942" t="str">
        <f t="shared" si="14"/>
        <v/>
      </c>
      <c r="D143" s="942" t="str">
        <f t="shared" si="14"/>
        <v/>
      </c>
      <c r="E143" s="942" t="str">
        <f t="shared" si="14"/>
        <v/>
      </c>
      <c r="F143" s="942" t="str">
        <f t="shared" si="14"/>
        <v/>
      </c>
      <c r="G143" s="942" t="str">
        <f t="shared" si="14"/>
        <v/>
      </c>
    </row>
    <row r="144" spans="1:7">
      <c r="A144" s="942" t="str">
        <f t="shared" si="14"/>
        <v/>
      </c>
      <c r="B144" s="942" t="str">
        <f t="shared" si="14"/>
        <v/>
      </c>
      <c r="C144" s="942" t="str">
        <f t="shared" si="14"/>
        <v/>
      </c>
      <c r="D144" s="942" t="str">
        <f t="shared" si="14"/>
        <v/>
      </c>
      <c r="E144" s="942" t="str">
        <f t="shared" si="14"/>
        <v/>
      </c>
      <c r="F144" s="942" t="str">
        <f t="shared" si="14"/>
        <v/>
      </c>
      <c r="G144" s="942" t="str">
        <f t="shared" si="14"/>
        <v/>
      </c>
    </row>
    <row r="145" spans="1:7">
      <c r="A145" s="942" t="str">
        <f t="shared" si="14"/>
        <v/>
      </c>
      <c r="B145" s="942" t="str">
        <f t="shared" si="14"/>
        <v/>
      </c>
      <c r="C145" s="942" t="str">
        <f t="shared" si="14"/>
        <v/>
      </c>
      <c r="D145" s="942" t="str">
        <f t="shared" si="14"/>
        <v/>
      </c>
      <c r="E145" s="942" t="str">
        <f t="shared" si="14"/>
        <v/>
      </c>
      <c r="F145" s="942" t="str">
        <f t="shared" si="14"/>
        <v/>
      </c>
      <c r="G145" s="942" t="str">
        <f t="shared" si="14"/>
        <v/>
      </c>
    </row>
    <row r="146" spans="1:7">
      <c r="A146" s="942" t="str">
        <f t="shared" si="14"/>
        <v/>
      </c>
      <c r="B146" s="942" t="str">
        <f t="shared" si="14"/>
        <v/>
      </c>
      <c r="C146" s="942" t="str">
        <f t="shared" si="14"/>
        <v/>
      </c>
      <c r="D146" s="942" t="str">
        <f t="shared" si="14"/>
        <v/>
      </c>
      <c r="E146" s="942" t="str">
        <f t="shared" si="14"/>
        <v/>
      </c>
      <c r="F146" s="942" t="str">
        <f t="shared" si="14"/>
        <v/>
      </c>
      <c r="G146" s="942" t="str">
        <f t="shared" si="14"/>
        <v/>
      </c>
    </row>
    <row r="147" spans="1:7">
      <c r="A147" s="942" t="str">
        <f t="shared" si="14"/>
        <v/>
      </c>
      <c r="B147" s="942" t="str">
        <f t="shared" si="14"/>
        <v/>
      </c>
      <c r="C147" s="942" t="str">
        <f t="shared" si="14"/>
        <v/>
      </c>
      <c r="D147" s="942" t="str">
        <f t="shared" si="14"/>
        <v/>
      </c>
      <c r="E147" s="942" t="str">
        <f t="shared" si="14"/>
        <v/>
      </c>
      <c r="F147" s="942" t="str">
        <f t="shared" si="14"/>
        <v/>
      </c>
      <c r="G147" s="942" t="str">
        <f t="shared" si="14"/>
        <v/>
      </c>
    </row>
    <row r="148" spans="1:7">
      <c r="A148" s="942" t="str">
        <f t="shared" si="14"/>
        <v/>
      </c>
      <c r="B148" s="942" t="str">
        <f t="shared" si="14"/>
        <v/>
      </c>
      <c r="C148" s="942" t="str">
        <f t="shared" si="14"/>
        <v/>
      </c>
      <c r="D148" s="942" t="str">
        <f t="shared" si="14"/>
        <v/>
      </c>
      <c r="E148" s="942" t="str">
        <f t="shared" si="14"/>
        <v/>
      </c>
      <c r="F148" s="942" t="str">
        <f t="shared" si="14"/>
        <v/>
      </c>
      <c r="G148" s="942" t="str">
        <f t="shared" si="14"/>
        <v/>
      </c>
    </row>
    <row r="149" spans="1:7">
      <c r="A149" s="942" t="str">
        <f t="shared" si="14"/>
        <v/>
      </c>
      <c r="B149" s="942" t="str">
        <f t="shared" si="14"/>
        <v/>
      </c>
      <c r="C149" s="942" t="str">
        <f t="shared" si="14"/>
        <v/>
      </c>
      <c r="D149" s="942" t="str">
        <f t="shared" si="14"/>
        <v/>
      </c>
      <c r="E149" s="942" t="str">
        <f t="shared" si="14"/>
        <v/>
      </c>
      <c r="F149" s="942" t="str">
        <f t="shared" si="14"/>
        <v/>
      </c>
      <c r="G149" s="942" t="str">
        <f t="shared" si="14"/>
        <v/>
      </c>
    </row>
    <row r="150" spans="1:7">
      <c r="A150" s="942" t="str">
        <f t="shared" si="14"/>
        <v/>
      </c>
      <c r="B150" s="942" t="str">
        <f t="shared" si="14"/>
        <v/>
      </c>
      <c r="C150" s="942" t="str">
        <f t="shared" si="14"/>
        <v/>
      </c>
      <c r="D150" s="942" t="str">
        <f t="shared" si="14"/>
        <v/>
      </c>
      <c r="E150" s="942" t="str">
        <f t="shared" si="14"/>
        <v/>
      </c>
      <c r="F150" s="942" t="str">
        <f t="shared" si="14"/>
        <v/>
      </c>
      <c r="G150" s="942" t="str">
        <f t="shared" si="14"/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O1735"/>
  <sheetViews>
    <sheetView view="pageBreakPreview" topLeftCell="A1699" zoomScaleNormal="100" zoomScaleSheetLayoutView="100" workbookViewId="0">
      <selection activeCell="M1734" sqref="M1734"/>
    </sheetView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5">
      <c r="A1" s="570" t="s">
        <v>1963</v>
      </c>
      <c r="C1" s="570" t="s">
        <v>1820</v>
      </c>
      <c r="D1" s="570" t="s">
        <v>1826</v>
      </c>
      <c r="E1" s="570" t="s">
        <v>1827</v>
      </c>
      <c r="F1" s="570" t="s">
        <v>1828</v>
      </c>
      <c r="G1" s="570" t="s">
        <v>1829</v>
      </c>
      <c r="H1" s="570" t="s">
        <v>1830</v>
      </c>
      <c r="I1" s="570" t="s">
        <v>1831</v>
      </c>
      <c r="J1" s="570" t="s">
        <v>1832</v>
      </c>
      <c r="K1" s="570" t="s">
        <v>1833</v>
      </c>
      <c r="O1" s="460" t="s">
        <v>2066</v>
      </c>
    </row>
    <row r="2" spans="1:15">
      <c r="A2" s="570" t="str">
        <f t="shared" ref="A2" si="0">C2&amp;E2</f>
        <v>TTUM1</v>
      </c>
      <c r="C2" s="953" t="str">
        <f t="shared" ref="C2:C65" si="1">IF(Etabs="Etabs 9.7.4",IF(INDEX(Mode_1,ROW($E2),COLUMN(A$1))&lt;&gt;"",INDEX(Mode_1,ROW($E2),COLUMN(A$1)),""),IF(Etabs="Etabs 2013 trở lên",IF(INDEX(Mode_2,ROW($E4),COLUMN(A$1))&lt;&gt;"",INDEX(Mode_2,ROW($E4),COLUMN(A$1)),""),""))</f>
        <v>TTUM</v>
      </c>
      <c r="D2" s="953" t="str">
        <f t="shared" ref="D2:D65" si="2">IF(Etabs="Etabs 9.7.4",IF(INDEX(Mode_1,ROW($E2),COLUMN(B$1))&lt;&gt;"",INDEX(Mode_1,ROW($E2),COLUMN(B$1)),""),IF(Etabs="Etabs 2013 trở lên",IF(INDEX(Mode_2,ROW($E4),COLUMN(B$1))&lt;&gt;"",INDEX(Mode_2,ROW($E4),COLUMN(B$1)),""),""))</f>
        <v>D1</v>
      </c>
      <c r="E2" s="953">
        <f t="shared" ref="E2:E65" si="3">IF(Etabs="Etabs 9.7.4",IF(INDEX(Mode_1,ROW($E2),COLUMN(C$1))&lt;&gt;"",INDEX(Mode_1,ROW($E2),COLUMN(C$1)),""),IF(Etabs="Etabs 2013 trở lên",$M2,""))</f>
        <v>1</v>
      </c>
      <c r="F2" s="953">
        <f t="shared" ref="F2:F65" si="4">IF(Etabs="Etabs 9.7.4",IF(INDEX(Mode_1,ROW($E2),COLUMN(D$1))&lt;&gt;"",INDEX(Mode_1,ROW($E2),COLUMN(D$1)),""),IF(Etabs="Etabs 2013 trở lên",IF(INDEX(Mode_2,ROW($E4),COLUMN(D$1))&lt;&gt;"",INDEX(Mode_2,ROW($E4),COLUMN(D$1)),""),""))</f>
        <v>-1.358E-3</v>
      </c>
      <c r="G2" s="953">
        <f t="shared" ref="G2:G65" si="5">IF(Etabs="Etabs 9.7.4",IF(INDEX(Mode_1,ROW($E2),COLUMN(E$1))&lt;&gt;"",INDEX(Mode_1,ROW($E2),COLUMN(E$1)),""),IF(Etabs="Etabs 2013 trở lên",IF(INDEX(Mode_2,ROW($E4),COLUMN(E$1))&lt;&gt;"",INDEX(Mode_2,ROW($E4),COLUMN(E$1)),""),""))</f>
        <v>6.9579999999999998E-3</v>
      </c>
      <c r="H2" s="953">
        <f t="shared" ref="H2:H65" si="6">IF(Etabs="Etabs 9.7.4",IF(INDEX(Mode_1,ROW($E2),COLUMN(F$1))&lt;&gt;"",INDEX(Mode_1,ROW($E2),COLUMN(F$1)),""),IF(Etabs="Etabs 2013 trở lên",0,""))</f>
        <v>0</v>
      </c>
      <c r="I2" s="953">
        <f t="shared" ref="I2:I65" si="7">IF(Etabs="Etabs 9.7.4",IF(INDEX(Mode_1,ROW($E2),COLUMN(G$1))&lt;&gt;"",INDEX(Mode_1,ROW($E2),COLUMN(G$1)),""),IF(Etabs="Etabs 2013 trở lên",0,""))</f>
        <v>0</v>
      </c>
      <c r="J2" s="953">
        <f t="shared" ref="J2:J65" si="8">IF(Etabs="Etabs 9.7.4",IF(INDEX(Mode_1,ROW($E2),COLUMN(H$1))&lt;&gt;"",INDEX(Mode_1,ROW($E2),COLUMN(H$1)),""),IF(Etabs="Etabs 2013 trở lên",0,""))</f>
        <v>0</v>
      </c>
      <c r="K2" s="953">
        <f t="shared" ref="K2:K65" si="9">IF(Etabs="Etabs 9.7.4",IF(INDEX(Mode_1,ROW($E2),COLUMN(I$1))&lt;&gt;"",INDEX(Mode_1,ROW($E2),COLUMN(I$1)),""),IF(Etabs="Etabs 2013 trở lên",IF(INDEX(Mode_2,ROW($E4),COLUMN(F$1))&lt;&gt;"",INDEX(Mode_2,ROW($E4),COLUMN(F$1)),""),""))</f>
        <v>5.1999999999999997E-5</v>
      </c>
      <c r="L2" s="570" t="str">
        <f t="shared" ref="L2:L65" si="10">IF(Etabs="Etabs 9.7.4",IF(INDEX(Mode_1,ROW($E2),COLUMN(C$1))&lt;&gt;"",INDEX(Mode_1,ROW($E2),COLUMN(C$1)),""),IF(Etabs="Etabs 2013 trở lên",IF(INDEX(Mode_2,ROW($E4),COLUMN(C$1))&lt;&gt;"",INDEX(Mode_2,ROW($E4),COLUMN(C$1)),""),""))</f>
        <v>Modal 1</v>
      </c>
      <c r="M2" s="570">
        <f>IFERROR(VALUE(RIGHT(L2,LEN(L2)-6)),"")</f>
        <v>1</v>
      </c>
    </row>
    <row r="3" spans="1:15">
      <c r="A3" s="570" t="str">
        <f t="shared" ref="A3:A66" si="11">C3&amp;E3</f>
        <v>TTUM2</v>
      </c>
      <c r="C3" s="953" t="str">
        <f t="shared" si="1"/>
        <v>TTUM</v>
      </c>
      <c r="D3" s="953" t="str">
        <f t="shared" si="2"/>
        <v>D1</v>
      </c>
      <c r="E3" s="953">
        <f t="shared" si="3"/>
        <v>2</v>
      </c>
      <c r="F3" s="953">
        <f t="shared" si="4"/>
        <v>-9.0799999999999995E-4</v>
      </c>
      <c r="G3" s="953">
        <f t="shared" si="5"/>
        <v>-1.433E-3</v>
      </c>
      <c r="H3" s="953">
        <f t="shared" si="6"/>
        <v>0</v>
      </c>
      <c r="I3" s="953">
        <f t="shared" si="7"/>
        <v>0</v>
      </c>
      <c r="J3" s="953">
        <f t="shared" si="8"/>
        <v>0</v>
      </c>
      <c r="K3" s="953">
        <f t="shared" si="9"/>
        <v>2.99E-4</v>
      </c>
      <c r="L3" s="570" t="str">
        <f t="shared" si="10"/>
        <v>Modal 2</v>
      </c>
      <c r="M3" s="570">
        <f t="shared" ref="M3:M66" si="12">IFERROR(VALUE(RIGHT(L3,LEN(L3)-6)),"")</f>
        <v>2</v>
      </c>
      <c r="N3" s="460"/>
    </row>
    <row r="4" spans="1:15">
      <c r="A4" s="570" t="str">
        <f t="shared" si="11"/>
        <v>TTUM3</v>
      </c>
      <c r="C4" s="953" t="str">
        <f t="shared" si="1"/>
        <v>TTUM</v>
      </c>
      <c r="D4" s="953" t="str">
        <f t="shared" si="2"/>
        <v>D1</v>
      </c>
      <c r="E4" s="953">
        <f t="shared" si="3"/>
        <v>3</v>
      </c>
      <c r="F4" s="953">
        <f t="shared" si="4"/>
        <v>6.6689999999999996E-3</v>
      </c>
      <c r="G4" s="953">
        <f t="shared" si="5"/>
        <v>1.0269999999999999E-3</v>
      </c>
      <c r="H4" s="953">
        <f t="shared" si="6"/>
        <v>0</v>
      </c>
      <c r="I4" s="953">
        <f t="shared" si="7"/>
        <v>0</v>
      </c>
      <c r="J4" s="953">
        <f t="shared" si="8"/>
        <v>0</v>
      </c>
      <c r="K4" s="953">
        <f t="shared" si="9"/>
        <v>5.1E-5</v>
      </c>
      <c r="L4" s="570" t="str">
        <f t="shared" si="10"/>
        <v>Modal 3</v>
      </c>
      <c r="M4" s="570">
        <f t="shared" si="12"/>
        <v>3</v>
      </c>
      <c r="N4" s="460"/>
    </row>
    <row r="5" spans="1:15">
      <c r="A5" s="570" t="str">
        <f t="shared" si="11"/>
        <v>TTUM4</v>
      </c>
      <c r="C5" s="953" t="str">
        <f t="shared" si="1"/>
        <v>TTUM</v>
      </c>
      <c r="D5" s="953" t="str">
        <f t="shared" si="2"/>
        <v>D1</v>
      </c>
      <c r="E5" s="953">
        <f t="shared" si="3"/>
        <v>4</v>
      </c>
      <c r="F5" s="953">
        <f t="shared" si="4"/>
        <v>9.3099999999999997E-4</v>
      </c>
      <c r="G5" s="953">
        <f t="shared" si="5"/>
        <v>-3.1999999999999999E-5</v>
      </c>
      <c r="H5" s="953">
        <f t="shared" si="6"/>
        <v>0</v>
      </c>
      <c r="I5" s="953">
        <f t="shared" si="7"/>
        <v>0</v>
      </c>
      <c r="J5" s="953">
        <f t="shared" si="8"/>
        <v>0</v>
      </c>
      <c r="K5" s="953">
        <f t="shared" si="9"/>
        <v>-3.2000000000000003E-4</v>
      </c>
      <c r="L5" s="570" t="str">
        <f t="shared" si="10"/>
        <v>Modal 4</v>
      </c>
      <c r="M5" s="570">
        <f t="shared" si="12"/>
        <v>4</v>
      </c>
    </row>
    <row r="6" spans="1:15">
      <c r="A6" s="570" t="str">
        <f t="shared" si="11"/>
        <v>TTUM5</v>
      </c>
      <c r="C6" s="953" t="str">
        <f t="shared" si="1"/>
        <v>TTUM</v>
      </c>
      <c r="D6" s="953" t="str">
        <f t="shared" si="2"/>
        <v>D1</v>
      </c>
      <c r="E6" s="953">
        <f t="shared" si="3"/>
        <v>5</v>
      </c>
      <c r="F6" s="953">
        <f t="shared" si="4"/>
        <v>-8.2100000000000001E-4</v>
      </c>
      <c r="G6" s="953">
        <f t="shared" si="5"/>
        <v>6.9699999999999996E-3</v>
      </c>
      <c r="H6" s="953">
        <f t="shared" si="6"/>
        <v>0</v>
      </c>
      <c r="I6" s="953">
        <f t="shared" si="7"/>
        <v>0</v>
      </c>
      <c r="J6" s="953">
        <f t="shared" si="8"/>
        <v>0</v>
      </c>
      <c r="K6" s="953">
        <f t="shared" si="9"/>
        <v>-9.0000000000000002E-6</v>
      </c>
      <c r="L6" s="570" t="str">
        <f t="shared" si="10"/>
        <v>Modal 5</v>
      </c>
      <c r="M6" s="570">
        <f t="shared" si="12"/>
        <v>5</v>
      </c>
    </row>
    <row r="7" spans="1:15">
      <c r="A7" s="570" t="str">
        <f t="shared" si="11"/>
        <v>TTUM6</v>
      </c>
      <c r="C7" s="953" t="str">
        <f t="shared" si="1"/>
        <v>TTUM</v>
      </c>
      <c r="D7" s="953" t="str">
        <f t="shared" si="2"/>
        <v>D1</v>
      </c>
      <c r="E7" s="953">
        <f t="shared" si="3"/>
        <v>6</v>
      </c>
      <c r="F7" s="953">
        <f t="shared" si="4"/>
        <v>6.9280000000000001E-3</v>
      </c>
      <c r="G7" s="953">
        <f t="shared" si="5"/>
        <v>8.4599999999999996E-4</v>
      </c>
      <c r="H7" s="953">
        <f t="shared" si="6"/>
        <v>0</v>
      </c>
      <c r="I7" s="953">
        <f t="shared" si="7"/>
        <v>0</v>
      </c>
      <c r="J7" s="953">
        <f t="shared" si="8"/>
        <v>0</v>
      </c>
      <c r="K7" s="953">
        <f t="shared" si="9"/>
        <v>3.4999999999999997E-5</v>
      </c>
      <c r="L7" s="570" t="str">
        <f t="shared" si="10"/>
        <v>Modal 6</v>
      </c>
      <c r="M7" s="570">
        <f t="shared" si="12"/>
        <v>6</v>
      </c>
    </row>
    <row r="8" spans="1:15">
      <c r="A8" s="570" t="str">
        <f t="shared" si="11"/>
        <v>TTUM7</v>
      </c>
      <c r="C8" s="953" t="str">
        <f t="shared" si="1"/>
        <v>TTUM</v>
      </c>
      <c r="D8" s="953" t="str">
        <f t="shared" si="2"/>
        <v>D1</v>
      </c>
      <c r="E8" s="953">
        <f t="shared" si="3"/>
        <v>7</v>
      </c>
      <c r="F8" s="953">
        <f t="shared" si="4"/>
        <v>6.7199999999999996E-4</v>
      </c>
      <c r="G8" s="953">
        <f t="shared" si="5"/>
        <v>7.9999999999999996E-6</v>
      </c>
      <c r="H8" s="953">
        <f t="shared" si="6"/>
        <v>0</v>
      </c>
      <c r="I8" s="953">
        <f t="shared" si="7"/>
        <v>0</v>
      </c>
      <c r="J8" s="953">
        <f t="shared" si="8"/>
        <v>0</v>
      </c>
      <c r="K8" s="953">
        <f t="shared" si="9"/>
        <v>-3.3100000000000002E-4</v>
      </c>
      <c r="L8" s="570" t="str">
        <f t="shared" si="10"/>
        <v>Modal 7</v>
      </c>
      <c r="M8" s="570">
        <f t="shared" si="12"/>
        <v>7</v>
      </c>
    </row>
    <row r="9" spans="1:15">
      <c r="A9" s="570" t="str">
        <f t="shared" si="11"/>
        <v>TTUM8</v>
      </c>
      <c r="C9" s="953" t="str">
        <f t="shared" si="1"/>
        <v>TTUM</v>
      </c>
      <c r="D9" s="953" t="str">
        <f t="shared" si="2"/>
        <v>D1</v>
      </c>
      <c r="E9" s="953">
        <f t="shared" si="3"/>
        <v>8</v>
      </c>
      <c r="F9" s="953">
        <f t="shared" si="4"/>
        <v>6.4900000000000005E-4</v>
      </c>
      <c r="G9" s="953">
        <f t="shared" si="5"/>
        <v>-6.9430000000000004E-3</v>
      </c>
      <c r="H9" s="953">
        <f t="shared" si="6"/>
        <v>0</v>
      </c>
      <c r="I9" s="953">
        <f t="shared" si="7"/>
        <v>0</v>
      </c>
      <c r="J9" s="953">
        <f t="shared" si="8"/>
        <v>0</v>
      </c>
      <c r="K9" s="953">
        <f t="shared" si="9"/>
        <v>6.0000000000000002E-6</v>
      </c>
      <c r="L9" s="570" t="str">
        <f t="shared" si="10"/>
        <v>Modal 8</v>
      </c>
      <c r="M9" s="570">
        <f t="shared" si="12"/>
        <v>8</v>
      </c>
    </row>
    <row r="10" spans="1:15">
      <c r="A10" s="570" t="str">
        <f t="shared" si="11"/>
        <v>TTUM9</v>
      </c>
      <c r="C10" s="953" t="str">
        <f t="shared" si="1"/>
        <v>TTUM</v>
      </c>
      <c r="D10" s="953" t="str">
        <f t="shared" si="2"/>
        <v>D1</v>
      </c>
      <c r="E10" s="953">
        <f t="shared" si="3"/>
        <v>9</v>
      </c>
      <c r="F10" s="953">
        <f t="shared" si="4"/>
        <v>1.4170000000000001E-3</v>
      </c>
      <c r="G10" s="953">
        <f t="shared" si="5"/>
        <v>6.2000000000000003E-5</v>
      </c>
      <c r="H10" s="953">
        <f t="shared" si="6"/>
        <v>0</v>
      </c>
      <c r="I10" s="953">
        <f t="shared" si="7"/>
        <v>0</v>
      </c>
      <c r="J10" s="953">
        <f t="shared" si="8"/>
        <v>0</v>
      </c>
      <c r="K10" s="953">
        <f t="shared" si="9"/>
        <v>-3.2899999999999997E-4</v>
      </c>
      <c r="L10" s="570" t="str">
        <f t="shared" si="10"/>
        <v>Modal 9</v>
      </c>
      <c r="M10" s="570">
        <f t="shared" si="12"/>
        <v>9</v>
      </c>
    </row>
    <row r="11" spans="1:15">
      <c r="A11" s="570" t="str">
        <f t="shared" si="11"/>
        <v>TTUM10</v>
      </c>
      <c r="C11" s="953" t="str">
        <f t="shared" si="1"/>
        <v>TTUM</v>
      </c>
      <c r="D11" s="953" t="str">
        <f t="shared" si="2"/>
        <v>D1</v>
      </c>
      <c r="E11" s="953">
        <f t="shared" si="3"/>
        <v>10</v>
      </c>
      <c r="F11" s="953">
        <f t="shared" si="4"/>
        <v>-6.7949999999999998E-3</v>
      </c>
      <c r="G11" s="953">
        <f t="shared" si="5"/>
        <v>-6.8499999999999995E-4</v>
      </c>
      <c r="H11" s="953">
        <f t="shared" si="6"/>
        <v>0</v>
      </c>
      <c r="I11" s="953">
        <f t="shared" si="7"/>
        <v>0</v>
      </c>
      <c r="J11" s="953">
        <f t="shared" si="8"/>
        <v>0</v>
      </c>
      <c r="K11" s="953">
        <f t="shared" si="9"/>
        <v>-6.7000000000000002E-5</v>
      </c>
      <c r="L11" s="570" t="str">
        <f t="shared" si="10"/>
        <v>Modal 10</v>
      </c>
      <c r="M11" s="570">
        <f t="shared" si="12"/>
        <v>10</v>
      </c>
    </row>
    <row r="12" spans="1:15">
      <c r="A12" s="570" t="str">
        <f t="shared" si="11"/>
        <v>TTUM11</v>
      </c>
      <c r="C12" s="953" t="str">
        <f t="shared" si="1"/>
        <v>TTUM</v>
      </c>
      <c r="D12" s="953" t="str">
        <f t="shared" si="2"/>
        <v>D1</v>
      </c>
      <c r="E12" s="953">
        <f t="shared" si="3"/>
        <v>11</v>
      </c>
      <c r="F12" s="953">
        <f t="shared" si="4"/>
        <v>-5.9400000000000002E-4</v>
      </c>
      <c r="G12" s="953">
        <f t="shared" si="5"/>
        <v>-2.4069999999999999E-3</v>
      </c>
      <c r="H12" s="953">
        <f t="shared" si="6"/>
        <v>0</v>
      </c>
      <c r="I12" s="953">
        <f t="shared" si="7"/>
        <v>0</v>
      </c>
      <c r="J12" s="953">
        <f t="shared" si="8"/>
        <v>0</v>
      </c>
      <c r="K12" s="953">
        <f t="shared" si="9"/>
        <v>3.0899999999999998E-4</v>
      </c>
      <c r="L12" s="570" t="str">
        <f t="shared" si="10"/>
        <v>Modal 11</v>
      </c>
      <c r="M12" s="570">
        <f t="shared" si="12"/>
        <v>11</v>
      </c>
    </row>
    <row r="13" spans="1:15">
      <c r="A13" s="570" t="str">
        <f t="shared" si="11"/>
        <v>TTUM12</v>
      </c>
      <c r="C13" s="953" t="str">
        <f t="shared" si="1"/>
        <v>TTUM</v>
      </c>
      <c r="D13" s="953" t="str">
        <f t="shared" si="2"/>
        <v>D1</v>
      </c>
      <c r="E13" s="953">
        <f t="shared" si="3"/>
        <v>12</v>
      </c>
      <c r="F13" s="953">
        <f t="shared" si="4"/>
        <v>-8.9599999999999999E-4</v>
      </c>
      <c r="G13" s="953">
        <f t="shared" si="5"/>
        <v>6.3699999999999998E-3</v>
      </c>
      <c r="H13" s="953">
        <f t="shared" si="6"/>
        <v>0</v>
      </c>
      <c r="I13" s="953">
        <f t="shared" si="7"/>
        <v>0</v>
      </c>
      <c r="J13" s="953">
        <f t="shared" si="8"/>
        <v>0</v>
      </c>
      <c r="K13" s="953">
        <f t="shared" si="9"/>
        <v>1.12E-4</v>
      </c>
      <c r="L13" s="570" t="str">
        <f t="shared" si="10"/>
        <v>Modal 12</v>
      </c>
      <c r="M13" s="570">
        <f t="shared" si="12"/>
        <v>12</v>
      </c>
    </row>
    <row r="14" spans="1:15">
      <c r="A14" s="570" t="str">
        <f t="shared" si="11"/>
        <v>TTUM13</v>
      </c>
      <c r="C14" s="953" t="str">
        <f t="shared" si="1"/>
        <v>TTUM</v>
      </c>
      <c r="D14" s="953" t="str">
        <f t="shared" si="2"/>
        <v>D1</v>
      </c>
      <c r="E14" s="953">
        <f t="shared" si="3"/>
        <v>13</v>
      </c>
      <c r="F14" s="953">
        <f t="shared" si="4"/>
        <v>-6.7190000000000001E-3</v>
      </c>
      <c r="G14" s="953">
        <f t="shared" si="5"/>
        <v>-6.4199999999999999E-4</v>
      </c>
      <c r="H14" s="953">
        <f t="shared" si="6"/>
        <v>0</v>
      </c>
      <c r="I14" s="953">
        <f t="shared" si="7"/>
        <v>0</v>
      </c>
      <c r="J14" s="953">
        <f t="shared" si="8"/>
        <v>0</v>
      </c>
      <c r="K14" s="953">
        <f t="shared" si="9"/>
        <v>-4.3000000000000002E-5</v>
      </c>
      <c r="L14" s="570" t="str">
        <f t="shared" si="10"/>
        <v>Modal 13</v>
      </c>
      <c r="M14" s="570">
        <f t="shared" si="12"/>
        <v>13</v>
      </c>
    </row>
    <row r="15" spans="1:15">
      <c r="A15" s="570" t="str">
        <f t="shared" si="11"/>
        <v>TTUM14</v>
      </c>
      <c r="C15" s="953" t="str">
        <f t="shared" si="1"/>
        <v>TTUM</v>
      </c>
      <c r="D15" s="953" t="str">
        <f t="shared" si="2"/>
        <v>D1</v>
      </c>
      <c r="E15" s="953">
        <f t="shared" si="3"/>
        <v>14</v>
      </c>
      <c r="F15" s="953">
        <f t="shared" si="4"/>
        <v>7.7099999999999998E-4</v>
      </c>
      <c r="G15" s="953">
        <f t="shared" si="5"/>
        <v>1.8200000000000001E-4</v>
      </c>
      <c r="H15" s="953">
        <f t="shared" si="6"/>
        <v>0</v>
      </c>
      <c r="I15" s="953">
        <f t="shared" si="7"/>
        <v>0</v>
      </c>
      <c r="J15" s="953">
        <f t="shared" si="8"/>
        <v>0</v>
      </c>
      <c r="K15" s="953">
        <f t="shared" si="9"/>
        <v>-3.1700000000000001E-4</v>
      </c>
      <c r="L15" s="570" t="str">
        <f t="shared" si="10"/>
        <v>Modal 14</v>
      </c>
      <c r="M15" s="570">
        <f t="shared" si="12"/>
        <v>14</v>
      </c>
    </row>
    <row r="16" spans="1:15">
      <c r="A16" s="570" t="str">
        <f t="shared" si="11"/>
        <v>TTUM15</v>
      </c>
      <c r="C16" s="953" t="str">
        <f t="shared" si="1"/>
        <v>TTUM</v>
      </c>
      <c r="D16" s="953" t="str">
        <f t="shared" si="2"/>
        <v>D1</v>
      </c>
      <c r="E16" s="953">
        <f t="shared" si="3"/>
        <v>15</v>
      </c>
      <c r="F16" s="953">
        <f t="shared" si="4"/>
        <v>6.2299999999999996E-4</v>
      </c>
      <c r="G16" s="953">
        <f t="shared" si="5"/>
        <v>-6.6360000000000004E-3</v>
      </c>
      <c r="H16" s="953">
        <f t="shared" si="6"/>
        <v>0</v>
      </c>
      <c r="I16" s="953">
        <f t="shared" si="7"/>
        <v>0</v>
      </c>
      <c r="J16" s="953">
        <f t="shared" si="8"/>
        <v>0</v>
      </c>
      <c r="K16" s="953">
        <f t="shared" si="9"/>
        <v>-6.9999999999999999E-6</v>
      </c>
      <c r="L16" s="570" t="str">
        <f t="shared" si="10"/>
        <v>Modal 15</v>
      </c>
      <c r="M16" s="570">
        <f t="shared" si="12"/>
        <v>15</v>
      </c>
    </row>
    <row r="17" spans="1:13">
      <c r="A17" s="570" t="str">
        <f t="shared" si="11"/>
        <v>TTUM16</v>
      </c>
      <c r="C17" s="953" t="str">
        <f t="shared" si="1"/>
        <v>TTUM</v>
      </c>
      <c r="D17" s="953" t="str">
        <f t="shared" si="2"/>
        <v>D1</v>
      </c>
      <c r="E17" s="953">
        <f t="shared" si="3"/>
        <v>16</v>
      </c>
      <c r="F17" s="953">
        <f t="shared" si="4"/>
        <v>2.3800000000000001E-4</v>
      </c>
      <c r="G17" s="953">
        <f t="shared" si="5"/>
        <v>-1.8699999999999999E-4</v>
      </c>
      <c r="H17" s="953">
        <f t="shared" si="6"/>
        <v>0</v>
      </c>
      <c r="I17" s="953">
        <f t="shared" si="7"/>
        <v>0</v>
      </c>
      <c r="J17" s="953">
        <f t="shared" si="8"/>
        <v>0</v>
      </c>
      <c r="K17" s="953">
        <f t="shared" si="9"/>
        <v>2.9799999999999998E-4</v>
      </c>
      <c r="L17" s="570" t="str">
        <f t="shared" si="10"/>
        <v>Modal 16</v>
      </c>
      <c r="M17" s="570">
        <f t="shared" si="12"/>
        <v>16</v>
      </c>
    </row>
    <row r="18" spans="1:13">
      <c r="A18" s="570" t="str">
        <f t="shared" si="11"/>
        <v>TTUM17</v>
      </c>
      <c r="C18" s="953" t="str">
        <f t="shared" si="1"/>
        <v>TTUM</v>
      </c>
      <c r="D18" s="953" t="str">
        <f t="shared" si="2"/>
        <v>D1</v>
      </c>
      <c r="E18" s="953">
        <f t="shared" si="3"/>
        <v>17</v>
      </c>
      <c r="F18" s="953">
        <f t="shared" si="4"/>
        <v>6.5659999999999998E-3</v>
      </c>
      <c r="G18" s="953">
        <f t="shared" si="5"/>
        <v>6.0499999999999996E-4</v>
      </c>
      <c r="H18" s="953">
        <f t="shared" si="6"/>
        <v>0</v>
      </c>
      <c r="I18" s="953">
        <f t="shared" si="7"/>
        <v>0</v>
      </c>
      <c r="J18" s="953">
        <f t="shared" si="8"/>
        <v>0</v>
      </c>
      <c r="K18" s="953">
        <f t="shared" si="9"/>
        <v>-1.2E-5</v>
      </c>
      <c r="L18" s="570" t="str">
        <f t="shared" si="10"/>
        <v>Modal 17</v>
      </c>
      <c r="M18" s="570">
        <f t="shared" si="12"/>
        <v>17</v>
      </c>
    </row>
    <row r="19" spans="1:13">
      <c r="A19" s="570" t="str">
        <f t="shared" si="11"/>
        <v>TTUM18</v>
      </c>
      <c r="C19" s="953" t="str">
        <f t="shared" si="1"/>
        <v>TTUM</v>
      </c>
      <c r="D19" s="953" t="str">
        <f t="shared" si="2"/>
        <v>D1</v>
      </c>
      <c r="E19" s="953">
        <f t="shared" si="3"/>
        <v>18</v>
      </c>
      <c r="F19" s="953">
        <f t="shared" si="4"/>
        <v>5.13E-4</v>
      </c>
      <c r="G19" s="953">
        <f t="shared" si="5"/>
        <v>-6.2890000000000003E-3</v>
      </c>
      <c r="H19" s="953">
        <f t="shared" si="6"/>
        <v>0</v>
      </c>
      <c r="I19" s="953">
        <f t="shared" si="7"/>
        <v>0</v>
      </c>
      <c r="J19" s="953">
        <f t="shared" si="8"/>
        <v>0</v>
      </c>
      <c r="K19" s="953">
        <f t="shared" si="9"/>
        <v>-5.1999999999999997E-5</v>
      </c>
      <c r="L19" s="570" t="str">
        <f t="shared" si="10"/>
        <v>Modal 18</v>
      </c>
      <c r="M19" s="570">
        <f t="shared" si="12"/>
        <v>18</v>
      </c>
    </row>
    <row r="20" spans="1:13">
      <c r="A20" s="570" t="str">
        <f t="shared" si="11"/>
        <v>TTUM19</v>
      </c>
      <c r="C20" s="953" t="str">
        <f t="shared" si="1"/>
        <v>TTUM</v>
      </c>
      <c r="D20" s="953" t="str">
        <f t="shared" si="2"/>
        <v>D1</v>
      </c>
      <c r="E20" s="953">
        <f t="shared" si="3"/>
        <v>19</v>
      </c>
      <c r="F20" s="953">
        <f t="shared" si="4"/>
        <v>4.3800000000000002E-4</v>
      </c>
      <c r="G20" s="953">
        <f t="shared" si="5"/>
        <v>-1.1310000000000001E-3</v>
      </c>
      <c r="H20" s="953">
        <f t="shared" si="6"/>
        <v>0</v>
      </c>
      <c r="I20" s="953">
        <f t="shared" si="7"/>
        <v>0</v>
      </c>
      <c r="J20" s="953">
        <f t="shared" si="8"/>
        <v>0</v>
      </c>
      <c r="K20" s="953">
        <f t="shared" si="9"/>
        <v>2.8899999999999998E-4</v>
      </c>
      <c r="L20" s="570" t="str">
        <f t="shared" si="10"/>
        <v>Modal 19</v>
      </c>
      <c r="M20" s="570">
        <f t="shared" si="12"/>
        <v>19</v>
      </c>
    </row>
    <row r="21" spans="1:13">
      <c r="A21" s="570" t="str">
        <f t="shared" si="11"/>
        <v>TTUM20</v>
      </c>
      <c r="C21" s="953" t="str">
        <f t="shared" si="1"/>
        <v>TTUM</v>
      </c>
      <c r="D21" s="953" t="str">
        <f t="shared" si="2"/>
        <v>D1</v>
      </c>
      <c r="E21" s="953">
        <f t="shared" si="3"/>
        <v>20</v>
      </c>
      <c r="F21" s="953">
        <f t="shared" si="4"/>
        <v>-6.2750000000000002E-3</v>
      </c>
      <c r="G21" s="953">
        <f t="shared" si="5"/>
        <v>-3.97E-4</v>
      </c>
      <c r="H21" s="953">
        <f t="shared" si="6"/>
        <v>0</v>
      </c>
      <c r="I21" s="953">
        <f t="shared" si="7"/>
        <v>0</v>
      </c>
      <c r="J21" s="953">
        <f t="shared" si="8"/>
        <v>0</v>
      </c>
      <c r="K21" s="953">
        <f t="shared" si="9"/>
        <v>3.4E-5</v>
      </c>
      <c r="L21" s="570" t="str">
        <f t="shared" si="10"/>
        <v>Modal 20</v>
      </c>
      <c r="M21" s="570">
        <f t="shared" si="12"/>
        <v>20</v>
      </c>
    </row>
    <row r="22" spans="1:13">
      <c r="A22" s="570" t="str">
        <f t="shared" si="11"/>
        <v>TTUM21</v>
      </c>
      <c r="C22" s="953" t="str">
        <f t="shared" si="1"/>
        <v>TTUM</v>
      </c>
      <c r="D22" s="953" t="str">
        <f t="shared" si="2"/>
        <v>D1</v>
      </c>
      <c r="E22" s="953">
        <f t="shared" si="3"/>
        <v>21</v>
      </c>
      <c r="F22" s="953">
        <f t="shared" si="4"/>
        <v>-4.44E-4</v>
      </c>
      <c r="G22" s="953">
        <f t="shared" si="5"/>
        <v>5.9810000000000002E-3</v>
      </c>
      <c r="H22" s="953">
        <f t="shared" si="6"/>
        <v>0</v>
      </c>
      <c r="I22" s="953">
        <f t="shared" si="7"/>
        <v>0</v>
      </c>
      <c r="J22" s="953">
        <f t="shared" si="8"/>
        <v>0</v>
      </c>
      <c r="K22" s="953">
        <f t="shared" si="9"/>
        <v>5.0000000000000002E-5</v>
      </c>
      <c r="L22" s="570" t="str">
        <f t="shared" si="10"/>
        <v>Modal 21</v>
      </c>
      <c r="M22" s="570">
        <f t="shared" si="12"/>
        <v>21</v>
      </c>
    </row>
    <row r="23" spans="1:13">
      <c r="A23" s="570" t="str">
        <f t="shared" si="11"/>
        <v>TTUM22</v>
      </c>
      <c r="C23" s="953" t="str">
        <f t="shared" si="1"/>
        <v>TTUM</v>
      </c>
      <c r="D23" s="953" t="str">
        <f t="shared" si="2"/>
        <v>D1</v>
      </c>
      <c r="E23" s="953">
        <f t="shared" si="3"/>
        <v>22</v>
      </c>
      <c r="F23" s="953">
        <f t="shared" si="4"/>
        <v>-5.6039999999999996E-3</v>
      </c>
      <c r="G23" s="953">
        <f t="shared" si="5"/>
        <v>9.8999999999999994E-5</v>
      </c>
      <c r="H23" s="953">
        <f t="shared" si="6"/>
        <v>0</v>
      </c>
      <c r="I23" s="953">
        <f t="shared" si="7"/>
        <v>0</v>
      </c>
      <c r="J23" s="953">
        <f t="shared" si="8"/>
        <v>0</v>
      </c>
      <c r="K23" s="953">
        <f t="shared" si="9"/>
        <v>1.7200000000000001E-4</v>
      </c>
      <c r="L23" s="570" t="str">
        <f t="shared" si="10"/>
        <v>Modal 22</v>
      </c>
      <c r="M23" s="570">
        <f t="shared" si="12"/>
        <v>22</v>
      </c>
    </row>
    <row r="24" spans="1:13">
      <c r="A24" s="570" t="str">
        <f t="shared" si="11"/>
        <v>TTUM23</v>
      </c>
      <c r="C24" s="953" t="str">
        <f t="shared" si="1"/>
        <v>TTUM</v>
      </c>
      <c r="D24" s="953" t="str">
        <f t="shared" si="2"/>
        <v>D1</v>
      </c>
      <c r="E24" s="953">
        <f t="shared" si="3"/>
        <v>23</v>
      </c>
      <c r="F24" s="953">
        <f t="shared" si="4"/>
        <v>1.036E-3</v>
      </c>
      <c r="G24" s="953">
        <f t="shared" si="5"/>
        <v>3.6540000000000001E-3</v>
      </c>
      <c r="H24" s="953">
        <f t="shared" si="6"/>
        <v>0</v>
      </c>
      <c r="I24" s="953">
        <f t="shared" si="7"/>
        <v>0</v>
      </c>
      <c r="J24" s="953">
        <f t="shared" si="8"/>
        <v>0</v>
      </c>
      <c r="K24" s="953">
        <f t="shared" si="9"/>
        <v>1.36E-4</v>
      </c>
      <c r="L24" s="570" t="str">
        <f t="shared" si="10"/>
        <v>Modal 23</v>
      </c>
      <c r="M24" s="570">
        <f t="shared" si="12"/>
        <v>23</v>
      </c>
    </row>
    <row r="25" spans="1:13">
      <c r="A25" s="570" t="str">
        <f t="shared" si="11"/>
        <v>TTUM24</v>
      </c>
      <c r="C25" s="953" t="str">
        <f t="shared" si="1"/>
        <v>TTUM</v>
      </c>
      <c r="D25" s="953" t="str">
        <f t="shared" si="2"/>
        <v>D1</v>
      </c>
      <c r="E25" s="953">
        <f t="shared" si="3"/>
        <v>24</v>
      </c>
      <c r="F25" s="953">
        <f t="shared" si="4"/>
        <v>1.4809999999999999E-3</v>
      </c>
      <c r="G25" s="953">
        <f t="shared" si="5"/>
        <v>2.977E-3</v>
      </c>
      <c r="H25" s="953">
        <f t="shared" si="6"/>
        <v>0</v>
      </c>
      <c r="I25" s="953">
        <f t="shared" si="7"/>
        <v>0</v>
      </c>
      <c r="J25" s="953">
        <f t="shared" si="8"/>
        <v>0</v>
      </c>
      <c r="K25" s="953">
        <f t="shared" si="9"/>
        <v>-1.7799999999999999E-4</v>
      </c>
      <c r="L25" s="570" t="str">
        <f t="shared" si="10"/>
        <v>Modal 24</v>
      </c>
      <c r="M25" s="570">
        <f t="shared" si="12"/>
        <v>24</v>
      </c>
    </row>
    <row r="26" spans="1:13">
      <c r="A26" s="570" t="str">
        <f t="shared" si="11"/>
        <v>TTUM25</v>
      </c>
      <c r="C26" s="953" t="str">
        <f t="shared" si="1"/>
        <v>TTUM</v>
      </c>
      <c r="D26" s="953" t="str">
        <f t="shared" si="2"/>
        <v>D1</v>
      </c>
      <c r="E26" s="953">
        <f t="shared" si="3"/>
        <v>25</v>
      </c>
      <c r="F26" s="953">
        <f t="shared" si="4"/>
        <v>2.176E-3</v>
      </c>
      <c r="G26" s="953">
        <f t="shared" si="5"/>
        <v>1.6509999999999999E-3</v>
      </c>
      <c r="H26" s="953">
        <f t="shared" si="6"/>
        <v>0</v>
      </c>
      <c r="I26" s="953">
        <f t="shared" si="7"/>
        <v>0</v>
      </c>
      <c r="J26" s="953">
        <f t="shared" si="8"/>
        <v>0</v>
      </c>
      <c r="K26" s="953">
        <f t="shared" si="9"/>
        <v>7.2000000000000002E-5</v>
      </c>
      <c r="L26" s="570" t="str">
        <f t="shared" si="10"/>
        <v>Modal 25</v>
      </c>
      <c r="M26" s="570">
        <f t="shared" si="12"/>
        <v>25</v>
      </c>
    </row>
    <row r="27" spans="1:13">
      <c r="A27" s="570" t="str">
        <f t="shared" si="11"/>
        <v>TTUM26</v>
      </c>
      <c r="C27" s="953" t="str">
        <f t="shared" si="1"/>
        <v>TTUM</v>
      </c>
      <c r="D27" s="953" t="str">
        <f t="shared" si="2"/>
        <v>D1</v>
      </c>
      <c r="E27" s="953">
        <f t="shared" si="3"/>
        <v>26</v>
      </c>
      <c r="F27" s="953">
        <f t="shared" si="4"/>
        <v>1.7699999999999999E-4</v>
      </c>
      <c r="G27" s="953">
        <f t="shared" si="5"/>
        <v>-2.8080000000000002E-3</v>
      </c>
      <c r="H27" s="953">
        <f t="shared" si="6"/>
        <v>0</v>
      </c>
      <c r="I27" s="953">
        <f t="shared" si="7"/>
        <v>0</v>
      </c>
      <c r="J27" s="953">
        <f t="shared" si="8"/>
        <v>0</v>
      </c>
      <c r="K27" s="953">
        <f t="shared" si="9"/>
        <v>8.5000000000000006E-5</v>
      </c>
      <c r="L27" s="570" t="str">
        <f t="shared" si="10"/>
        <v>Modal 26</v>
      </c>
      <c r="M27" s="570">
        <f t="shared" si="12"/>
        <v>26</v>
      </c>
    </row>
    <row r="28" spans="1:13">
      <c r="A28" s="570" t="str">
        <f t="shared" si="11"/>
        <v>TTUM27</v>
      </c>
      <c r="C28" s="953" t="str">
        <f t="shared" si="1"/>
        <v>TTUM</v>
      </c>
      <c r="D28" s="953" t="str">
        <f t="shared" si="2"/>
        <v>D1</v>
      </c>
      <c r="E28" s="953">
        <f t="shared" si="3"/>
        <v>27</v>
      </c>
      <c r="F28" s="953">
        <f t="shared" si="4"/>
        <v>1.74E-3</v>
      </c>
      <c r="G28" s="953">
        <f t="shared" si="5"/>
        <v>7.2499999999999995E-4</v>
      </c>
      <c r="H28" s="953">
        <f t="shared" si="6"/>
        <v>0</v>
      </c>
      <c r="I28" s="953">
        <f t="shared" si="7"/>
        <v>0</v>
      </c>
      <c r="J28" s="953">
        <f t="shared" si="8"/>
        <v>0</v>
      </c>
      <c r="K28" s="953">
        <f t="shared" si="9"/>
        <v>6.3E-5</v>
      </c>
      <c r="L28" s="570" t="str">
        <f t="shared" si="10"/>
        <v>Modal 27</v>
      </c>
      <c r="M28" s="570">
        <f t="shared" si="12"/>
        <v>27</v>
      </c>
    </row>
    <row r="29" spans="1:13">
      <c r="A29" s="570" t="str">
        <f t="shared" si="11"/>
        <v>TTUM28</v>
      </c>
      <c r="C29" s="953" t="str">
        <f t="shared" si="1"/>
        <v>TTUM</v>
      </c>
      <c r="D29" s="953" t="str">
        <f t="shared" si="2"/>
        <v>D1</v>
      </c>
      <c r="E29" s="953">
        <f t="shared" si="3"/>
        <v>28</v>
      </c>
      <c r="F29" s="953">
        <f t="shared" si="4"/>
        <v>2.7399999999999999E-4</v>
      </c>
      <c r="G29" s="953">
        <f t="shared" si="5"/>
        <v>-2.1610000000000002E-3</v>
      </c>
      <c r="H29" s="953">
        <f t="shared" si="6"/>
        <v>0</v>
      </c>
      <c r="I29" s="953">
        <f t="shared" si="7"/>
        <v>0</v>
      </c>
      <c r="J29" s="953">
        <f t="shared" si="8"/>
        <v>0</v>
      </c>
      <c r="K29" s="953">
        <f t="shared" si="9"/>
        <v>5.7000000000000003E-5</v>
      </c>
      <c r="L29" s="570" t="str">
        <f t="shared" si="10"/>
        <v>Modal 28</v>
      </c>
      <c r="M29" s="570">
        <f t="shared" si="12"/>
        <v>28</v>
      </c>
    </row>
    <row r="30" spans="1:13">
      <c r="A30" s="570" t="str">
        <f t="shared" si="11"/>
        <v>TTUM29</v>
      </c>
      <c r="C30" s="953" t="str">
        <f t="shared" si="1"/>
        <v>TTUM</v>
      </c>
      <c r="D30" s="953" t="str">
        <f t="shared" si="2"/>
        <v>D1</v>
      </c>
      <c r="E30" s="953">
        <f t="shared" si="3"/>
        <v>29</v>
      </c>
      <c r="F30" s="953">
        <f t="shared" si="4"/>
        <v>-1.4959999999999999E-3</v>
      </c>
      <c r="G30" s="953">
        <f t="shared" si="5"/>
        <v>-1.37E-4</v>
      </c>
      <c r="H30" s="953">
        <f t="shared" si="6"/>
        <v>0</v>
      </c>
      <c r="I30" s="953">
        <f t="shared" si="7"/>
        <v>0</v>
      </c>
      <c r="J30" s="953">
        <f t="shared" si="8"/>
        <v>0</v>
      </c>
      <c r="K30" s="953">
        <f t="shared" si="9"/>
        <v>-6.7000000000000002E-5</v>
      </c>
      <c r="L30" s="570" t="str">
        <f t="shared" si="10"/>
        <v>Modal 29</v>
      </c>
      <c r="M30" s="570">
        <f t="shared" si="12"/>
        <v>29</v>
      </c>
    </row>
    <row r="31" spans="1:13">
      <c r="A31" s="570" t="str">
        <f t="shared" si="11"/>
        <v>TTUM30</v>
      </c>
      <c r="C31" s="953" t="str">
        <f t="shared" si="1"/>
        <v>TTUM</v>
      </c>
      <c r="D31" s="953" t="str">
        <f t="shared" si="2"/>
        <v>D1</v>
      </c>
      <c r="E31" s="953">
        <f t="shared" si="3"/>
        <v>30</v>
      </c>
      <c r="F31" s="953">
        <f t="shared" si="4"/>
        <v>-3.4E-5</v>
      </c>
      <c r="G31" s="953">
        <f t="shared" si="5"/>
        <v>1.8550000000000001E-3</v>
      </c>
      <c r="H31" s="953">
        <f t="shared" si="6"/>
        <v>0</v>
      </c>
      <c r="I31" s="953">
        <f t="shared" si="7"/>
        <v>0</v>
      </c>
      <c r="J31" s="953">
        <f t="shared" si="8"/>
        <v>0</v>
      </c>
      <c r="K31" s="953">
        <f t="shared" si="9"/>
        <v>-3.8000000000000002E-5</v>
      </c>
      <c r="L31" s="570" t="str">
        <f t="shared" si="10"/>
        <v>Modal 30</v>
      </c>
      <c r="M31" s="570">
        <f t="shared" si="12"/>
        <v>30</v>
      </c>
    </row>
    <row r="32" spans="1:13">
      <c r="A32" s="570" t="str">
        <f t="shared" si="11"/>
        <v>T381</v>
      </c>
      <c r="C32" s="953" t="str">
        <f t="shared" si="1"/>
        <v>T38</v>
      </c>
      <c r="D32" s="953" t="str">
        <f t="shared" si="2"/>
        <v>D1</v>
      </c>
      <c r="E32" s="953">
        <f t="shared" si="3"/>
        <v>1</v>
      </c>
      <c r="F32" s="953">
        <f t="shared" si="4"/>
        <v>-1.322E-3</v>
      </c>
      <c r="G32" s="953">
        <f t="shared" si="5"/>
        <v>6.783E-3</v>
      </c>
      <c r="H32" s="953">
        <f t="shared" si="6"/>
        <v>0</v>
      </c>
      <c r="I32" s="953">
        <f t="shared" si="7"/>
        <v>0</v>
      </c>
      <c r="J32" s="953">
        <f t="shared" si="8"/>
        <v>0</v>
      </c>
      <c r="K32" s="953">
        <f t="shared" si="9"/>
        <v>5.1E-5</v>
      </c>
      <c r="L32" s="570" t="str">
        <f t="shared" si="10"/>
        <v>Modal 1</v>
      </c>
      <c r="M32" s="570">
        <f t="shared" si="12"/>
        <v>1</v>
      </c>
    </row>
    <row r="33" spans="1:13">
      <c r="A33" s="570" t="str">
        <f t="shared" si="11"/>
        <v>T382</v>
      </c>
      <c r="C33" s="953" t="str">
        <f t="shared" si="1"/>
        <v>T38</v>
      </c>
      <c r="D33" s="953" t="str">
        <f t="shared" si="2"/>
        <v>D1</v>
      </c>
      <c r="E33" s="953">
        <f t="shared" si="3"/>
        <v>2</v>
      </c>
      <c r="F33" s="953">
        <f t="shared" si="4"/>
        <v>-8.9300000000000002E-4</v>
      </c>
      <c r="G33" s="953">
        <f t="shared" si="5"/>
        <v>-1.3929999999999999E-3</v>
      </c>
      <c r="H33" s="953">
        <f t="shared" si="6"/>
        <v>0</v>
      </c>
      <c r="I33" s="953">
        <f t="shared" si="7"/>
        <v>0</v>
      </c>
      <c r="J33" s="953">
        <f t="shared" si="8"/>
        <v>0</v>
      </c>
      <c r="K33" s="953">
        <f t="shared" si="9"/>
        <v>2.9599999999999998E-4</v>
      </c>
      <c r="L33" s="570" t="str">
        <f t="shared" si="10"/>
        <v>Modal 2</v>
      </c>
      <c r="M33" s="570">
        <f t="shared" si="12"/>
        <v>2</v>
      </c>
    </row>
    <row r="34" spans="1:13">
      <c r="A34" s="570" t="str">
        <f t="shared" si="11"/>
        <v>T383</v>
      </c>
      <c r="C34" s="953" t="str">
        <f t="shared" si="1"/>
        <v>T38</v>
      </c>
      <c r="D34" s="953" t="str">
        <f t="shared" si="2"/>
        <v>D1</v>
      </c>
      <c r="E34" s="953">
        <f t="shared" si="3"/>
        <v>3</v>
      </c>
      <c r="F34" s="953">
        <f t="shared" si="4"/>
        <v>6.5339999999999999E-3</v>
      </c>
      <c r="G34" s="953">
        <f t="shared" si="5"/>
        <v>1.013E-3</v>
      </c>
      <c r="H34" s="953">
        <f t="shared" si="6"/>
        <v>0</v>
      </c>
      <c r="I34" s="953">
        <f t="shared" si="7"/>
        <v>0</v>
      </c>
      <c r="J34" s="953">
        <f t="shared" si="8"/>
        <v>0</v>
      </c>
      <c r="K34" s="953">
        <f t="shared" si="9"/>
        <v>5.0000000000000002E-5</v>
      </c>
      <c r="L34" s="570" t="str">
        <f t="shared" si="10"/>
        <v>Modal 3</v>
      </c>
      <c r="M34" s="570">
        <f t="shared" si="12"/>
        <v>3</v>
      </c>
    </row>
    <row r="35" spans="1:13">
      <c r="A35" s="570" t="str">
        <f t="shared" si="11"/>
        <v>T384</v>
      </c>
      <c r="C35" s="953" t="str">
        <f t="shared" si="1"/>
        <v>T38</v>
      </c>
      <c r="D35" s="953" t="str">
        <f t="shared" si="2"/>
        <v>D1</v>
      </c>
      <c r="E35" s="953">
        <f t="shared" si="3"/>
        <v>4</v>
      </c>
      <c r="F35" s="953">
        <f t="shared" si="4"/>
        <v>8.5400000000000005E-4</v>
      </c>
      <c r="G35" s="953">
        <f t="shared" si="5"/>
        <v>-3.3000000000000003E-5</v>
      </c>
      <c r="H35" s="953">
        <f t="shared" si="6"/>
        <v>0</v>
      </c>
      <c r="I35" s="953">
        <f t="shared" si="7"/>
        <v>0</v>
      </c>
      <c r="J35" s="953">
        <f t="shared" si="8"/>
        <v>0</v>
      </c>
      <c r="K35" s="953">
        <f t="shared" si="9"/>
        <v>-2.99E-4</v>
      </c>
      <c r="L35" s="570" t="str">
        <f t="shared" si="10"/>
        <v>Modal 4</v>
      </c>
      <c r="M35" s="570">
        <f t="shared" si="12"/>
        <v>4</v>
      </c>
    </row>
    <row r="36" spans="1:13">
      <c r="A36" s="570" t="str">
        <f t="shared" si="11"/>
        <v>T385</v>
      </c>
      <c r="C36" s="953" t="str">
        <f t="shared" si="1"/>
        <v>T38</v>
      </c>
      <c r="D36" s="953" t="str">
        <f t="shared" si="2"/>
        <v>D1</v>
      </c>
      <c r="E36" s="953">
        <f t="shared" si="3"/>
        <v>5</v>
      </c>
      <c r="F36" s="953">
        <f t="shared" si="4"/>
        <v>-7.36E-4</v>
      </c>
      <c r="G36" s="953">
        <f t="shared" si="5"/>
        <v>6.3150000000000003E-3</v>
      </c>
      <c r="H36" s="953">
        <f t="shared" si="6"/>
        <v>0</v>
      </c>
      <c r="I36" s="953">
        <f t="shared" si="7"/>
        <v>0</v>
      </c>
      <c r="J36" s="953">
        <f t="shared" si="8"/>
        <v>0</v>
      </c>
      <c r="K36" s="953">
        <f t="shared" si="9"/>
        <v>-7.9999999999999996E-6</v>
      </c>
      <c r="L36" s="570" t="str">
        <f t="shared" si="10"/>
        <v>Modal 5</v>
      </c>
      <c r="M36" s="570">
        <f t="shared" si="12"/>
        <v>5</v>
      </c>
    </row>
    <row r="37" spans="1:13">
      <c r="A37" s="570" t="str">
        <f t="shared" si="11"/>
        <v>T386</v>
      </c>
      <c r="C37" s="953" t="str">
        <f t="shared" si="1"/>
        <v>T38</v>
      </c>
      <c r="D37" s="953" t="str">
        <f t="shared" si="2"/>
        <v>D1</v>
      </c>
      <c r="E37" s="953">
        <f t="shared" si="3"/>
        <v>6</v>
      </c>
      <c r="F37" s="953">
        <f t="shared" si="4"/>
        <v>6.3369999999999998E-3</v>
      </c>
      <c r="G37" s="953">
        <f t="shared" si="5"/>
        <v>7.8399999999999997E-4</v>
      </c>
      <c r="H37" s="953">
        <f t="shared" si="6"/>
        <v>0</v>
      </c>
      <c r="I37" s="953">
        <f t="shared" si="7"/>
        <v>0</v>
      </c>
      <c r="J37" s="953">
        <f t="shared" si="8"/>
        <v>0</v>
      </c>
      <c r="K37" s="953">
        <f t="shared" si="9"/>
        <v>3.4E-5</v>
      </c>
      <c r="L37" s="570" t="str">
        <f t="shared" si="10"/>
        <v>Modal 6</v>
      </c>
      <c r="M37" s="570">
        <f t="shared" si="12"/>
        <v>6</v>
      </c>
    </row>
    <row r="38" spans="1:13">
      <c r="A38" s="570" t="str">
        <f t="shared" si="11"/>
        <v>T387</v>
      </c>
      <c r="C38" s="953" t="str">
        <f t="shared" si="1"/>
        <v>T38</v>
      </c>
      <c r="D38" s="953" t="str">
        <f t="shared" si="2"/>
        <v>D1</v>
      </c>
      <c r="E38" s="953">
        <f t="shared" si="3"/>
        <v>7</v>
      </c>
      <c r="F38" s="953">
        <f t="shared" si="4"/>
        <v>5.5900000000000004E-4</v>
      </c>
      <c r="G38" s="953">
        <f t="shared" si="5"/>
        <v>9.9999999999999995E-7</v>
      </c>
      <c r="H38" s="953">
        <f t="shared" si="6"/>
        <v>0</v>
      </c>
      <c r="I38" s="953">
        <f t="shared" si="7"/>
        <v>0</v>
      </c>
      <c r="J38" s="953">
        <f t="shared" si="8"/>
        <v>0</v>
      </c>
      <c r="K38" s="953">
        <f t="shared" si="9"/>
        <v>-2.8800000000000001E-4</v>
      </c>
      <c r="L38" s="570" t="str">
        <f t="shared" si="10"/>
        <v>Modal 7</v>
      </c>
      <c r="M38" s="570">
        <f t="shared" si="12"/>
        <v>7</v>
      </c>
    </row>
    <row r="39" spans="1:13">
      <c r="A39" s="570" t="str">
        <f t="shared" si="11"/>
        <v>T388</v>
      </c>
      <c r="C39" s="953" t="str">
        <f t="shared" si="1"/>
        <v>T38</v>
      </c>
      <c r="D39" s="953" t="str">
        <f t="shared" si="2"/>
        <v>D1</v>
      </c>
      <c r="E39" s="953">
        <f t="shared" si="3"/>
        <v>8</v>
      </c>
      <c r="F39" s="953">
        <f t="shared" si="4"/>
        <v>5.4000000000000001E-4</v>
      </c>
      <c r="G39" s="953">
        <f t="shared" si="5"/>
        <v>-5.8320000000000004E-3</v>
      </c>
      <c r="H39" s="953">
        <f t="shared" si="6"/>
        <v>0</v>
      </c>
      <c r="I39" s="953">
        <f t="shared" si="7"/>
        <v>0</v>
      </c>
      <c r="J39" s="953">
        <f t="shared" si="8"/>
        <v>0</v>
      </c>
      <c r="K39" s="953">
        <f t="shared" si="9"/>
        <v>5.0000000000000004E-6</v>
      </c>
      <c r="L39" s="570" t="str">
        <f t="shared" si="10"/>
        <v>Modal 8</v>
      </c>
      <c r="M39" s="570">
        <f t="shared" si="12"/>
        <v>8</v>
      </c>
    </row>
    <row r="40" spans="1:13">
      <c r="A40" s="570" t="str">
        <f t="shared" si="11"/>
        <v>T389</v>
      </c>
      <c r="C40" s="953" t="str">
        <f t="shared" si="1"/>
        <v>T38</v>
      </c>
      <c r="D40" s="953" t="str">
        <f t="shared" si="2"/>
        <v>D1</v>
      </c>
      <c r="E40" s="953">
        <f t="shared" si="3"/>
        <v>9</v>
      </c>
      <c r="F40" s="953">
        <f t="shared" si="4"/>
        <v>1.134E-3</v>
      </c>
      <c r="G40" s="953">
        <f t="shared" si="5"/>
        <v>4.6999999999999997E-5</v>
      </c>
      <c r="H40" s="953">
        <f t="shared" si="6"/>
        <v>0</v>
      </c>
      <c r="I40" s="953">
        <f t="shared" si="7"/>
        <v>0</v>
      </c>
      <c r="J40" s="953">
        <f t="shared" si="8"/>
        <v>0</v>
      </c>
      <c r="K40" s="953">
        <f t="shared" si="9"/>
        <v>-2.5900000000000001E-4</v>
      </c>
      <c r="L40" s="570" t="str">
        <f t="shared" si="10"/>
        <v>Modal 9</v>
      </c>
      <c r="M40" s="570">
        <f t="shared" si="12"/>
        <v>9</v>
      </c>
    </row>
    <row r="41" spans="1:13">
      <c r="A41" s="570" t="str">
        <f t="shared" si="11"/>
        <v>T3810</v>
      </c>
      <c r="C41" s="953" t="str">
        <f t="shared" si="1"/>
        <v>T38</v>
      </c>
      <c r="D41" s="953" t="str">
        <f t="shared" si="2"/>
        <v>D1</v>
      </c>
      <c r="E41" s="953">
        <f t="shared" si="3"/>
        <v>10</v>
      </c>
      <c r="F41" s="953">
        <f t="shared" si="4"/>
        <v>-5.7679999999999997E-3</v>
      </c>
      <c r="G41" s="953">
        <f t="shared" si="5"/>
        <v>-5.8799999999999998E-4</v>
      </c>
      <c r="H41" s="953">
        <f t="shared" si="6"/>
        <v>0</v>
      </c>
      <c r="I41" s="953">
        <f t="shared" si="7"/>
        <v>0</v>
      </c>
      <c r="J41" s="953">
        <f t="shared" si="8"/>
        <v>0</v>
      </c>
      <c r="K41" s="953">
        <f t="shared" si="9"/>
        <v>-5.7000000000000003E-5</v>
      </c>
      <c r="L41" s="570" t="str">
        <f t="shared" si="10"/>
        <v>Modal 10</v>
      </c>
      <c r="M41" s="570">
        <f t="shared" si="12"/>
        <v>10</v>
      </c>
    </row>
    <row r="42" spans="1:13">
      <c r="A42" s="570" t="str">
        <f t="shared" si="11"/>
        <v>T3811</v>
      </c>
      <c r="C42" s="953" t="str">
        <f t="shared" si="1"/>
        <v>T38</v>
      </c>
      <c r="D42" s="953" t="str">
        <f t="shared" si="2"/>
        <v>D1</v>
      </c>
      <c r="E42" s="953">
        <f t="shared" si="3"/>
        <v>11</v>
      </c>
      <c r="F42" s="953">
        <f t="shared" si="4"/>
        <v>-3.9599999999999998E-4</v>
      </c>
      <c r="G42" s="953">
        <f t="shared" si="5"/>
        <v>-1.8259999999999999E-3</v>
      </c>
      <c r="H42" s="953">
        <f t="shared" si="6"/>
        <v>0</v>
      </c>
      <c r="I42" s="953">
        <f t="shared" si="7"/>
        <v>0</v>
      </c>
      <c r="J42" s="953">
        <f t="shared" si="8"/>
        <v>0</v>
      </c>
      <c r="K42" s="953">
        <f t="shared" si="9"/>
        <v>2.1599999999999999E-4</v>
      </c>
      <c r="L42" s="570" t="str">
        <f t="shared" si="10"/>
        <v>Modal 11</v>
      </c>
      <c r="M42" s="570">
        <f t="shared" si="12"/>
        <v>11</v>
      </c>
    </row>
    <row r="43" spans="1:13">
      <c r="A43" s="570" t="str">
        <f t="shared" si="11"/>
        <v>T3812</v>
      </c>
      <c r="C43" s="953" t="str">
        <f t="shared" si="1"/>
        <v>T38</v>
      </c>
      <c r="D43" s="953" t="str">
        <f t="shared" si="2"/>
        <v>D1</v>
      </c>
      <c r="E43" s="953">
        <f t="shared" si="3"/>
        <v>12</v>
      </c>
      <c r="F43" s="953">
        <f t="shared" si="4"/>
        <v>-6.5499999999999998E-4</v>
      </c>
      <c r="G43" s="953">
        <f t="shared" si="5"/>
        <v>4.8430000000000001E-3</v>
      </c>
      <c r="H43" s="953">
        <f t="shared" si="6"/>
        <v>0</v>
      </c>
      <c r="I43" s="953">
        <f t="shared" si="7"/>
        <v>0</v>
      </c>
      <c r="J43" s="953">
        <f t="shared" si="8"/>
        <v>0</v>
      </c>
      <c r="K43" s="953">
        <f t="shared" si="9"/>
        <v>7.7999999999999999E-5</v>
      </c>
      <c r="L43" s="570" t="str">
        <f t="shared" si="10"/>
        <v>Modal 12</v>
      </c>
      <c r="M43" s="570">
        <f t="shared" si="12"/>
        <v>12</v>
      </c>
    </row>
    <row r="44" spans="1:13">
      <c r="A44" s="570" t="str">
        <f t="shared" si="11"/>
        <v>T3813</v>
      </c>
      <c r="C44" s="953" t="str">
        <f t="shared" si="1"/>
        <v>T38</v>
      </c>
      <c r="D44" s="953" t="str">
        <f t="shared" si="2"/>
        <v>D1</v>
      </c>
      <c r="E44" s="953">
        <f t="shared" si="3"/>
        <v>13</v>
      </c>
      <c r="F44" s="953">
        <f t="shared" si="4"/>
        <v>-5.1770000000000002E-3</v>
      </c>
      <c r="G44" s="953">
        <f t="shared" si="5"/>
        <v>-5.0199999999999995E-4</v>
      </c>
      <c r="H44" s="953">
        <f t="shared" si="6"/>
        <v>0</v>
      </c>
      <c r="I44" s="953">
        <f t="shared" si="7"/>
        <v>0</v>
      </c>
      <c r="J44" s="953">
        <f t="shared" si="8"/>
        <v>0</v>
      </c>
      <c r="K44" s="953">
        <f t="shared" si="9"/>
        <v>-3.4999999999999997E-5</v>
      </c>
      <c r="L44" s="570" t="str">
        <f t="shared" si="10"/>
        <v>Modal 13</v>
      </c>
      <c r="M44" s="570">
        <f t="shared" si="12"/>
        <v>13</v>
      </c>
    </row>
    <row r="45" spans="1:13">
      <c r="A45" s="570" t="str">
        <f t="shared" si="11"/>
        <v>T3814</v>
      </c>
      <c r="C45" s="953" t="str">
        <f t="shared" si="1"/>
        <v>T38</v>
      </c>
      <c r="D45" s="953" t="str">
        <f t="shared" si="2"/>
        <v>D1</v>
      </c>
      <c r="E45" s="953">
        <f t="shared" si="3"/>
        <v>14</v>
      </c>
      <c r="F45" s="953">
        <f t="shared" si="4"/>
        <v>4.6799999999999999E-4</v>
      </c>
      <c r="G45" s="953">
        <f t="shared" si="5"/>
        <v>1.22E-4</v>
      </c>
      <c r="H45" s="953">
        <f t="shared" si="6"/>
        <v>0</v>
      </c>
      <c r="I45" s="953">
        <f t="shared" si="7"/>
        <v>0</v>
      </c>
      <c r="J45" s="953">
        <f t="shared" si="8"/>
        <v>0</v>
      </c>
      <c r="K45" s="953">
        <f t="shared" si="9"/>
        <v>-1.9100000000000001E-4</v>
      </c>
      <c r="L45" s="570" t="str">
        <f t="shared" si="10"/>
        <v>Modal 14</v>
      </c>
      <c r="M45" s="570">
        <f t="shared" si="12"/>
        <v>14</v>
      </c>
    </row>
    <row r="46" spans="1:13">
      <c r="A46" s="570" t="str">
        <f t="shared" si="11"/>
        <v>T3815</v>
      </c>
      <c r="C46" s="953" t="str">
        <f t="shared" si="1"/>
        <v>T38</v>
      </c>
      <c r="D46" s="953" t="str">
        <f t="shared" si="2"/>
        <v>D1</v>
      </c>
      <c r="E46" s="953">
        <f t="shared" si="3"/>
        <v>15</v>
      </c>
      <c r="F46" s="953">
        <f t="shared" si="4"/>
        <v>4.1399999999999998E-4</v>
      </c>
      <c r="G46" s="953">
        <f t="shared" si="5"/>
        <v>-4.496E-3</v>
      </c>
      <c r="H46" s="953">
        <f t="shared" si="6"/>
        <v>0</v>
      </c>
      <c r="I46" s="953">
        <f t="shared" si="7"/>
        <v>0</v>
      </c>
      <c r="J46" s="953">
        <f t="shared" si="8"/>
        <v>0</v>
      </c>
      <c r="K46" s="953">
        <f t="shared" si="9"/>
        <v>-3.9999999999999998E-6</v>
      </c>
      <c r="L46" s="570" t="str">
        <f t="shared" si="10"/>
        <v>Modal 15</v>
      </c>
      <c r="M46" s="570">
        <f t="shared" si="12"/>
        <v>15</v>
      </c>
    </row>
    <row r="47" spans="1:13">
      <c r="A47" s="570" t="str">
        <f t="shared" si="11"/>
        <v>T3816</v>
      </c>
      <c r="C47" s="953" t="str">
        <f t="shared" si="1"/>
        <v>T38</v>
      </c>
      <c r="D47" s="953" t="str">
        <f t="shared" si="2"/>
        <v>D1</v>
      </c>
      <c r="E47" s="953">
        <f t="shared" si="3"/>
        <v>16</v>
      </c>
      <c r="F47" s="953">
        <f t="shared" si="4"/>
        <v>2.8200000000000002E-4</v>
      </c>
      <c r="G47" s="953">
        <f t="shared" si="5"/>
        <v>-1.06E-4</v>
      </c>
      <c r="H47" s="953">
        <f t="shared" si="6"/>
        <v>0</v>
      </c>
      <c r="I47" s="953">
        <f t="shared" si="7"/>
        <v>0</v>
      </c>
      <c r="J47" s="953">
        <f t="shared" si="8"/>
        <v>0</v>
      </c>
      <c r="K47" s="953">
        <f t="shared" si="9"/>
        <v>1.5200000000000001E-4</v>
      </c>
      <c r="L47" s="570" t="str">
        <f t="shared" si="10"/>
        <v>Modal 16</v>
      </c>
      <c r="M47" s="570">
        <f t="shared" si="12"/>
        <v>16</v>
      </c>
    </row>
    <row r="48" spans="1:13">
      <c r="A48" s="570" t="str">
        <f t="shared" si="11"/>
        <v>T3817</v>
      </c>
      <c r="C48" s="953" t="str">
        <f t="shared" si="1"/>
        <v>T38</v>
      </c>
      <c r="D48" s="953" t="str">
        <f t="shared" si="2"/>
        <v>D1</v>
      </c>
      <c r="E48" s="953">
        <f t="shared" si="3"/>
        <v>17</v>
      </c>
      <c r="F48" s="953">
        <f t="shared" si="4"/>
        <v>4.5100000000000001E-3</v>
      </c>
      <c r="G48" s="953">
        <f t="shared" si="5"/>
        <v>4.2400000000000001E-4</v>
      </c>
      <c r="H48" s="953">
        <f t="shared" si="6"/>
        <v>0</v>
      </c>
      <c r="I48" s="953">
        <f t="shared" si="7"/>
        <v>0</v>
      </c>
      <c r="J48" s="953">
        <f t="shared" si="8"/>
        <v>0</v>
      </c>
      <c r="K48" s="953">
        <f t="shared" si="9"/>
        <v>3.0000000000000001E-6</v>
      </c>
      <c r="L48" s="570" t="str">
        <f t="shared" si="10"/>
        <v>Modal 17</v>
      </c>
      <c r="M48" s="570">
        <f t="shared" si="12"/>
        <v>17</v>
      </c>
    </row>
    <row r="49" spans="1:13">
      <c r="A49" s="570" t="str">
        <f t="shared" si="11"/>
        <v>T3818</v>
      </c>
      <c r="C49" s="953" t="str">
        <f t="shared" si="1"/>
        <v>T38</v>
      </c>
      <c r="D49" s="953" t="str">
        <f t="shared" si="2"/>
        <v>D1</v>
      </c>
      <c r="E49" s="953">
        <f t="shared" si="3"/>
        <v>18</v>
      </c>
      <c r="F49" s="953">
        <f t="shared" si="4"/>
        <v>2.7099999999999997E-4</v>
      </c>
      <c r="G49" s="953">
        <f t="shared" si="5"/>
        <v>-3.7009999999999999E-3</v>
      </c>
      <c r="H49" s="953">
        <f t="shared" si="6"/>
        <v>0</v>
      </c>
      <c r="I49" s="953">
        <f t="shared" si="7"/>
        <v>0</v>
      </c>
      <c r="J49" s="953">
        <f t="shared" si="8"/>
        <v>0</v>
      </c>
      <c r="K49" s="953">
        <f t="shared" si="9"/>
        <v>-2.1999999999999999E-5</v>
      </c>
      <c r="L49" s="570" t="str">
        <f t="shared" si="10"/>
        <v>Modal 18</v>
      </c>
      <c r="M49" s="570">
        <f t="shared" si="12"/>
        <v>18</v>
      </c>
    </row>
    <row r="50" spans="1:13">
      <c r="A50" s="570" t="str">
        <f t="shared" si="11"/>
        <v>T3819</v>
      </c>
      <c r="C50" s="953" t="str">
        <f t="shared" si="1"/>
        <v>T38</v>
      </c>
      <c r="D50" s="953" t="str">
        <f t="shared" si="2"/>
        <v>D1</v>
      </c>
      <c r="E50" s="953">
        <f t="shared" si="3"/>
        <v>19</v>
      </c>
      <c r="F50" s="953">
        <f t="shared" si="4"/>
        <v>3.6600000000000001E-4</v>
      </c>
      <c r="G50" s="953">
        <f t="shared" si="5"/>
        <v>-6.7400000000000001E-4</v>
      </c>
      <c r="H50" s="953">
        <f t="shared" si="6"/>
        <v>0</v>
      </c>
      <c r="I50" s="953">
        <f t="shared" si="7"/>
        <v>0</v>
      </c>
      <c r="J50" s="953">
        <f t="shared" si="8"/>
        <v>0</v>
      </c>
      <c r="K50" s="953">
        <f t="shared" si="9"/>
        <v>1.1900000000000001E-4</v>
      </c>
      <c r="L50" s="570" t="str">
        <f t="shared" si="10"/>
        <v>Modal 19</v>
      </c>
      <c r="M50" s="570">
        <f t="shared" si="12"/>
        <v>19</v>
      </c>
    </row>
    <row r="51" spans="1:13">
      <c r="A51" s="570" t="str">
        <f t="shared" si="11"/>
        <v>T3820</v>
      </c>
      <c r="C51" s="953" t="str">
        <f t="shared" si="1"/>
        <v>T38</v>
      </c>
      <c r="D51" s="953" t="str">
        <f t="shared" si="2"/>
        <v>D1</v>
      </c>
      <c r="E51" s="953">
        <f t="shared" si="3"/>
        <v>20</v>
      </c>
      <c r="F51" s="953">
        <f t="shared" si="4"/>
        <v>-3.7599999999999999E-3</v>
      </c>
      <c r="G51" s="953">
        <f t="shared" si="5"/>
        <v>-2.6600000000000001E-4</v>
      </c>
      <c r="H51" s="953">
        <f t="shared" si="6"/>
        <v>0</v>
      </c>
      <c r="I51" s="953">
        <f t="shared" si="7"/>
        <v>0</v>
      </c>
      <c r="J51" s="953">
        <f t="shared" si="8"/>
        <v>0</v>
      </c>
      <c r="K51" s="953">
        <f t="shared" si="9"/>
        <v>3.0000000000000001E-6</v>
      </c>
      <c r="L51" s="570" t="str">
        <f t="shared" si="10"/>
        <v>Modal 20</v>
      </c>
      <c r="M51" s="570">
        <f t="shared" si="12"/>
        <v>20</v>
      </c>
    </row>
    <row r="52" spans="1:13">
      <c r="A52" s="570" t="str">
        <f t="shared" si="11"/>
        <v>T3821</v>
      </c>
      <c r="C52" s="953" t="str">
        <f t="shared" si="1"/>
        <v>T38</v>
      </c>
      <c r="D52" s="953" t="str">
        <f t="shared" si="2"/>
        <v>D1</v>
      </c>
      <c r="E52" s="953">
        <f t="shared" si="3"/>
        <v>21</v>
      </c>
      <c r="F52" s="953">
        <f t="shared" si="4"/>
        <v>-1.56E-4</v>
      </c>
      <c r="G52" s="953">
        <f t="shared" si="5"/>
        <v>2.99E-3</v>
      </c>
      <c r="H52" s="953">
        <f t="shared" si="6"/>
        <v>0</v>
      </c>
      <c r="I52" s="953">
        <f t="shared" si="7"/>
        <v>0</v>
      </c>
      <c r="J52" s="953">
        <f t="shared" si="8"/>
        <v>0</v>
      </c>
      <c r="K52" s="953">
        <f t="shared" si="9"/>
        <v>1.5999999999999999E-5</v>
      </c>
      <c r="L52" s="570" t="str">
        <f t="shared" si="10"/>
        <v>Modal 21</v>
      </c>
      <c r="M52" s="570">
        <f t="shared" si="12"/>
        <v>21</v>
      </c>
    </row>
    <row r="53" spans="1:13">
      <c r="A53" s="570" t="str">
        <f t="shared" si="11"/>
        <v>T3822</v>
      </c>
      <c r="C53" s="953" t="str">
        <f t="shared" si="1"/>
        <v>T38</v>
      </c>
      <c r="D53" s="953" t="str">
        <f t="shared" si="2"/>
        <v>D1</v>
      </c>
      <c r="E53" s="953">
        <f t="shared" si="3"/>
        <v>22</v>
      </c>
      <c r="F53" s="953">
        <f t="shared" si="4"/>
        <v>-2.699E-3</v>
      </c>
      <c r="G53" s="953">
        <f t="shared" si="5"/>
        <v>-5.3000000000000001E-5</v>
      </c>
      <c r="H53" s="953">
        <f t="shared" si="6"/>
        <v>0</v>
      </c>
      <c r="I53" s="953">
        <f t="shared" si="7"/>
        <v>0</v>
      </c>
      <c r="J53" s="953">
        <f t="shared" si="8"/>
        <v>0</v>
      </c>
      <c r="K53" s="953">
        <f t="shared" si="9"/>
        <v>4.1999999999999998E-5</v>
      </c>
      <c r="L53" s="570" t="str">
        <f t="shared" si="10"/>
        <v>Modal 22</v>
      </c>
      <c r="M53" s="570">
        <f t="shared" si="12"/>
        <v>22</v>
      </c>
    </row>
    <row r="54" spans="1:13">
      <c r="A54" s="570" t="str">
        <f t="shared" si="11"/>
        <v>T3823</v>
      </c>
      <c r="C54" s="953" t="str">
        <f t="shared" si="1"/>
        <v>T38</v>
      </c>
      <c r="D54" s="953" t="str">
        <f t="shared" si="2"/>
        <v>D1</v>
      </c>
      <c r="E54" s="953">
        <f t="shared" si="3"/>
        <v>23</v>
      </c>
      <c r="F54" s="953">
        <f t="shared" si="4"/>
        <v>8.0699999999999999E-4</v>
      </c>
      <c r="G54" s="953">
        <f t="shared" si="5"/>
        <v>1.529E-3</v>
      </c>
      <c r="H54" s="953">
        <f t="shared" si="6"/>
        <v>0</v>
      </c>
      <c r="I54" s="953">
        <f t="shared" si="7"/>
        <v>0</v>
      </c>
      <c r="J54" s="953">
        <f t="shared" si="8"/>
        <v>0</v>
      </c>
      <c r="K54" s="953">
        <f t="shared" si="9"/>
        <v>4.1E-5</v>
      </c>
      <c r="L54" s="570" t="str">
        <f t="shared" si="10"/>
        <v>Modal 23</v>
      </c>
      <c r="M54" s="570">
        <f t="shared" si="12"/>
        <v>23</v>
      </c>
    </row>
    <row r="55" spans="1:13">
      <c r="A55" s="570" t="str">
        <f t="shared" si="11"/>
        <v>T3824</v>
      </c>
      <c r="C55" s="953" t="str">
        <f t="shared" si="1"/>
        <v>T38</v>
      </c>
      <c r="D55" s="953" t="str">
        <f t="shared" si="2"/>
        <v>D1</v>
      </c>
      <c r="E55" s="953">
        <f t="shared" si="3"/>
        <v>24</v>
      </c>
      <c r="F55" s="953">
        <f t="shared" si="4"/>
        <v>3.8099999999999999E-4</v>
      </c>
      <c r="G55" s="953">
        <f t="shared" si="5"/>
        <v>1.304E-3</v>
      </c>
      <c r="H55" s="953">
        <f t="shared" si="6"/>
        <v>0</v>
      </c>
      <c r="I55" s="953">
        <f t="shared" si="7"/>
        <v>0</v>
      </c>
      <c r="J55" s="953">
        <f t="shared" si="8"/>
        <v>0</v>
      </c>
      <c r="K55" s="953">
        <f t="shared" si="9"/>
        <v>-4.6E-5</v>
      </c>
      <c r="L55" s="570" t="str">
        <f t="shared" si="10"/>
        <v>Modal 24</v>
      </c>
      <c r="M55" s="570">
        <f t="shared" si="12"/>
        <v>24</v>
      </c>
    </row>
    <row r="56" spans="1:13">
      <c r="A56" s="570" t="str">
        <f t="shared" si="11"/>
        <v>T3825</v>
      </c>
      <c r="C56" s="953" t="str">
        <f t="shared" si="1"/>
        <v>T38</v>
      </c>
      <c r="D56" s="953" t="str">
        <f t="shared" si="2"/>
        <v>D1</v>
      </c>
      <c r="E56" s="953">
        <f t="shared" si="3"/>
        <v>25</v>
      </c>
      <c r="F56" s="953">
        <f t="shared" si="4"/>
        <v>1.165E-3</v>
      </c>
      <c r="G56" s="953">
        <f t="shared" si="5"/>
        <v>5.8699999999999996E-4</v>
      </c>
      <c r="H56" s="953">
        <f t="shared" si="6"/>
        <v>0</v>
      </c>
      <c r="I56" s="953">
        <f t="shared" si="7"/>
        <v>0</v>
      </c>
      <c r="J56" s="953">
        <f t="shared" si="8"/>
        <v>0</v>
      </c>
      <c r="K56" s="953">
        <f t="shared" si="9"/>
        <v>2.4000000000000001E-5</v>
      </c>
      <c r="L56" s="570" t="str">
        <f t="shared" si="10"/>
        <v>Modal 25</v>
      </c>
      <c r="M56" s="570">
        <f t="shared" si="12"/>
        <v>25</v>
      </c>
    </row>
    <row r="57" spans="1:13">
      <c r="A57" s="570" t="str">
        <f t="shared" si="11"/>
        <v>T3826</v>
      </c>
      <c r="C57" s="953" t="str">
        <f t="shared" si="1"/>
        <v>T38</v>
      </c>
      <c r="D57" s="953" t="str">
        <f t="shared" si="2"/>
        <v>D1</v>
      </c>
      <c r="E57" s="953">
        <f t="shared" si="3"/>
        <v>26</v>
      </c>
      <c r="F57" s="953">
        <f t="shared" si="4"/>
        <v>2.6200000000000003E-4</v>
      </c>
      <c r="G57" s="953">
        <f t="shared" si="5"/>
        <v>-1.0560000000000001E-3</v>
      </c>
      <c r="H57" s="953">
        <f t="shared" si="6"/>
        <v>0</v>
      </c>
      <c r="I57" s="953">
        <f t="shared" si="7"/>
        <v>0</v>
      </c>
      <c r="J57" s="953">
        <f t="shared" si="8"/>
        <v>0</v>
      </c>
      <c r="K57" s="953">
        <f t="shared" si="9"/>
        <v>2.0999999999999999E-5</v>
      </c>
      <c r="L57" s="570" t="str">
        <f t="shared" si="10"/>
        <v>Modal 26</v>
      </c>
      <c r="M57" s="570">
        <f t="shared" si="12"/>
        <v>26</v>
      </c>
    </row>
    <row r="58" spans="1:13">
      <c r="A58" s="570" t="str">
        <f t="shared" si="11"/>
        <v>T3827</v>
      </c>
      <c r="C58" s="953" t="str">
        <f t="shared" si="1"/>
        <v>T38</v>
      </c>
      <c r="D58" s="953" t="str">
        <f t="shared" si="2"/>
        <v>D1</v>
      </c>
      <c r="E58" s="953">
        <f t="shared" si="3"/>
        <v>27</v>
      </c>
      <c r="F58" s="953">
        <f t="shared" si="4"/>
        <v>8.8099999999999995E-4</v>
      </c>
      <c r="G58" s="953">
        <f t="shared" si="5"/>
        <v>2.1000000000000001E-4</v>
      </c>
      <c r="H58" s="953">
        <f t="shared" si="6"/>
        <v>0</v>
      </c>
      <c r="I58" s="953">
        <f t="shared" si="7"/>
        <v>0</v>
      </c>
      <c r="J58" s="953">
        <f t="shared" si="8"/>
        <v>0</v>
      </c>
      <c r="K58" s="953">
        <f t="shared" si="9"/>
        <v>2.0000000000000002E-5</v>
      </c>
      <c r="L58" s="570" t="str">
        <f t="shared" si="10"/>
        <v>Modal 27</v>
      </c>
      <c r="M58" s="570">
        <f t="shared" si="12"/>
        <v>27</v>
      </c>
    </row>
    <row r="59" spans="1:13">
      <c r="A59" s="570" t="str">
        <f t="shared" si="11"/>
        <v>T3828</v>
      </c>
      <c r="C59" s="953" t="str">
        <f t="shared" si="1"/>
        <v>T38</v>
      </c>
      <c r="D59" s="953" t="str">
        <f t="shared" si="2"/>
        <v>D1</v>
      </c>
      <c r="E59" s="953">
        <f t="shared" si="3"/>
        <v>28</v>
      </c>
      <c r="F59" s="953">
        <f t="shared" si="4"/>
        <v>2.2699999999999999E-4</v>
      </c>
      <c r="G59" s="953">
        <f t="shared" si="5"/>
        <v>-7.4799999999999997E-4</v>
      </c>
      <c r="H59" s="953">
        <f t="shared" si="6"/>
        <v>0</v>
      </c>
      <c r="I59" s="953">
        <f t="shared" si="7"/>
        <v>0</v>
      </c>
      <c r="J59" s="953">
        <f t="shared" si="8"/>
        <v>0</v>
      </c>
      <c r="K59" s="953">
        <f t="shared" si="9"/>
        <v>1.4E-5</v>
      </c>
      <c r="L59" s="570" t="str">
        <f t="shared" si="10"/>
        <v>Modal 28</v>
      </c>
      <c r="M59" s="570">
        <f t="shared" si="12"/>
        <v>28</v>
      </c>
    </row>
    <row r="60" spans="1:13">
      <c r="A60" s="570" t="str">
        <f t="shared" si="11"/>
        <v>T3829</v>
      </c>
      <c r="C60" s="953" t="str">
        <f t="shared" si="1"/>
        <v>T38</v>
      </c>
      <c r="D60" s="953" t="str">
        <f t="shared" si="2"/>
        <v>D1</v>
      </c>
      <c r="E60" s="953">
        <f t="shared" si="3"/>
        <v>29</v>
      </c>
      <c r="F60" s="953">
        <f t="shared" si="4"/>
        <v>-7.4899999999999999E-4</v>
      </c>
      <c r="G60" s="953">
        <f t="shared" si="5"/>
        <v>-6.9999999999999999E-6</v>
      </c>
      <c r="H60" s="953">
        <f t="shared" si="6"/>
        <v>0</v>
      </c>
      <c r="I60" s="953">
        <f t="shared" si="7"/>
        <v>0</v>
      </c>
      <c r="J60" s="953">
        <f t="shared" si="8"/>
        <v>0</v>
      </c>
      <c r="K60" s="953">
        <f t="shared" si="9"/>
        <v>-2.0999999999999999E-5</v>
      </c>
      <c r="L60" s="570" t="str">
        <f t="shared" si="10"/>
        <v>Modal 29</v>
      </c>
      <c r="M60" s="570">
        <f t="shared" si="12"/>
        <v>29</v>
      </c>
    </row>
    <row r="61" spans="1:13">
      <c r="A61" s="570" t="str">
        <f t="shared" si="11"/>
        <v>T3830</v>
      </c>
      <c r="C61" s="953" t="str">
        <f t="shared" si="1"/>
        <v>T38</v>
      </c>
      <c r="D61" s="953" t="str">
        <f t="shared" si="2"/>
        <v>D1</v>
      </c>
      <c r="E61" s="953">
        <f t="shared" si="3"/>
        <v>30</v>
      </c>
      <c r="F61" s="953">
        <f t="shared" si="4"/>
        <v>-7.4999999999999993E-5</v>
      </c>
      <c r="G61" s="953">
        <f t="shared" si="5"/>
        <v>6.1600000000000001E-4</v>
      </c>
      <c r="H61" s="953">
        <f t="shared" si="6"/>
        <v>0</v>
      </c>
      <c r="I61" s="953">
        <f t="shared" si="7"/>
        <v>0</v>
      </c>
      <c r="J61" s="953">
        <f t="shared" si="8"/>
        <v>0</v>
      </c>
      <c r="K61" s="953">
        <f t="shared" si="9"/>
        <v>-7.9999999999999996E-6</v>
      </c>
      <c r="L61" s="570" t="str">
        <f t="shared" si="10"/>
        <v>Modal 30</v>
      </c>
      <c r="M61" s="570">
        <f t="shared" si="12"/>
        <v>30</v>
      </c>
    </row>
    <row r="62" spans="1:13">
      <c r="A62" s="570" t="str">
        <f t="shared" si="11"/>
        <v>T371</v>
      </c>
      <c r="C62" s="953" t="str">
        <f t="shared" si="1"/>
        <v>T37</v>
      </c>
      <c r="D62" s="953" t="str">
        <f t="shared" si="2"/>
        <v>D1</v>
      </c>
      <c r="E62" s="953">
        <f t="shared" si="3"/>
        <v>1</v>
      </c>
      <c r="F62" s="953">
        <f t="shared" si="4"/>
        <v>-1.286E-3</v>
      </c>
      <c r="G62" s="953">
        <f t="shared" si="5"/>
        <v>6.6049999999999998E-3</v>
      </c>
      <c r="H62" s="953">
        <f t="shared" si="6"/>
        <v>0</v>
      </c>
      <c r="I62" s="953">
        <f t="shared" si="7"/>
        <v>0</v>
      </c>
      <c r="J62" s="953">
        <f t="shared" si="8"/>
        <v>0</v>
      </c>
      <c r="K62" s="953">
        <f t="shared" si="9"/>
        <v>5.0000000000000002E-5</v>
      </c>
      <c r="L62" s="570" t="str">
        <f t="shared" si="10"/>
        <v>Modal 1</v>
      </c>
      <c r="M62" s="570">
        <f t="shared" si="12"/>
        <v>1</v>
      </c>
    </row>
    <row r="63" spans="1:13">
      <c r="A63" s="570" t="str">
        <f t="shared" si="11"/>
        <v>T372</v>
      </c>
      <c r="C63" s="953" t="str">
        <f t="shared" si="1"/>
        <v>T37</v>
      </c>
      <c r="D63" s="953" t="str">
        <f t="shared" si="2"/>
        <v>D1</v>
      </c>
      <c r="E63" s="953">
        <f t="shared" si="3"/>
        <v>2</v>
      </c>
      <c r="F63" s="953">
        <f t="shared" si="4"/>
        <v>-8.7900000000000001E-4</v>
      </c>
      <c r="G63" s="953">
        <f t="shared" si="5"/>
        <v>-1.358E-3</v>
      </c>
      <c r="H63" s="953">
        <f t="shared" si="6"/>
        <v>0</v>
      </c>
      <c r="I63" s="953">
        <f t="shared" si="7"/>
        <v>0</v>
      </c>
      <c r="J63" s="953">
        <f t="shared" si="8"/>
        <v>0</v>
      </c>
      <c r="K63" s="953">
        <f t="shared" si="9"/>
        <v>2.92E-4</v>
      </c>
      <c r="L63" s="570" t="str">
        <f t="shared" si="10"/>
        <v>Modal 2</v>
      </c>
      <c r="M63" s="570">
        <f t="shared" si="12"/>
        <v>2</v>
      </c>
    </row>
    <row r="64" spans="1:13">
      <c r="A64" s="570" t="str">
        <f t="shared" si="11"/>
        <v>T373</v>
      </c>
      <c r="C64" s="953" t="str">
        <f t="shared" si="1"/>
        <v>T37</v>
      </c>
      <c r="D64" s="953" t="str">
        <f t="shared" si="2"/>
        <v>D1</v>
      </c>
      <c r="E64" s="953">
        <f t="shared" si="3"/>
        <v>3</v>
      </c>
      <c r="F64" s="953">
        <f t="shared" si="4"/>
        <v>6.3959999999999998E-3</v>
      </c>
      <c r="G64" s="953">
        <f t="shared" si="5"/>
        <v>9.9700000000000006E-4</v>
      </c>
      <c r="H64" s="953">
        <f t="shared" si="6"/>
        <v>0</v>
      </c>
      <c r="I64" s="953">
        <f t="shared" si="7"/>
        <v>0</v>
      </c>
      <c r="J64" s="953">
        <f t="shared" si="8"/>
        <v>0</v>
      </c>
      <c r="K64" s="953">
        <f t="shared" si="9"/>
        <v>5.0000000000000002E-5</v>
      </c>
      <c r="L64" s="570" t="str">
        <f t="shared" si="10"/>
        <v>Modal 3</v>
      </c>
      <c r="M64" s="570">
        <f t="shared" si="12"/>
        <v>3</v>
      </c>
    </row>
    <row r="65" spans="1:13">
      <c r="A65" s="570" t="str">
        <f t="shared" si="11"/>
        <v>T374</v>
      </c>
      <c r="C65" s="953" t="str">
        <f t="shared" si="1"/>
        <v>T37</v>
      </c>
      <c r="D65" s="953" t="str">
        <f t="shared" si="2"/>
        <v>D1</v>
      </c>
      <c r="E65" s="953">
        <f t="shared" si="3"/>
        <v>4</v>
      </c>
      <c r="F65" s="953">
        <f t="shared" si="4"/>
        <v>7.7700000000000002E-4</v>
      </c>
      <c r="G65" s="953">
        <f t="shared" si="5"/>
        <v>-2.6999999999999999E-5</v>
      </c>
      <c r="H65" s="953">
        <f t="shared" si="6"/>
        <v>0</v>
      </c>
      <c r="I65" s="953">
        <f t="shared" si="7"/>
        <v>0</v>
      </c>
      <c r="J65" s="953">
        <f t="shared" si="8"/>
        <v>0</v>
      </c>
      <c r="K65" s="953">
        <f t="shared" si="9"/>
        <v>-2.7799999999999998E-4</v>
      </c>
      <c r="L65" s="570" t="str">
        <f t="shared" si="10"/>
        <v>Modal 4</v>
      </c>
      <c r="M65" s="570">
        <f t="shared" si="12"/>
        <v>4</v>
      </c>
    </row>
    <row r="66" spans="1:13">
      <c r="A66" s="570" t="str">
        <f t="shared" si="11"/>
        <v>T375</v>
      </c>
      <c r="C66" s="953" t="str">
        <f t="shared" ref="C66:C129" si="13">IF(Etabs="Etabs 9.7.4",IF(INDEX(Mode_1,ROW($E66),COLUMN(A$1))&lt;&gt;"",INDEX(Mode_1,ROW($E66),COLUMN(A$1)),""),IF(Etabs="Etabs 2013 trở lên",IF(INDEX(Mode_2,ROW($E68),COLUMN(A$1))&lt;&gt;"",INDEX(Mode_2,ROW($E68),COLUMN(A$1)),""),""))</f>
        <v>T37</v>
      </c>
      <c r="D66" s="953" t="str">
        <f t="shared" ref="D66:D129" si="14">IF(Etabs="Etabs 9.7.4",IF(INDEX(Mode_1,ROW($E66),COLUMN(B$1))&lt;&gt;"",INDEX(Mode_1,ROW($E66),COLUMN(B$1)),""),IF(Etabs="Etabs 2013 trở lên",IF(INDEX(Mode_2,ROW($E68),COLUMN(B$1))&lt;&gt;"",INDEX(Mode_2,ROW($E68),COLUMN(B$1)),""),""))</f>
        <v>D1</v>
      </c>
      <c r="E66" s="953">
        <f t="shared" ref="E66:E129" si="15">IF(Etabs="Etabs 9.7.4",IF(INDEX(Mode_1,ROW($E66),COLUMN(C$1))&lt;&gt;"",INDEX(Mode_1,ROW($E66),COLUMN(C$1)),""),IF(Etabs="Etabs 2013 trở lên",$M66,""))</f>
        <v>5</v>
      </c>
      <c r="F66" s="953">
        <f t="shared" ref="F66:F129" si="16">IF(Etabs="Etabs 9.7.4",IF(INDEX(Mode_1,ROW($E66),COLUMN(D$1))&lt;&gt;"",INDEX(Mode_1,ROW($E66),COLUMN(D$1)),""),IF(Etabs="Etabs 2013 trở lên",IF(INDEX(Mode_2,ROW($E68),COLUMN(D$1))&lt;&gt;"",INDEX(Mode_2,ROW($E68),COLUMN(D$1)),""),""))</f>
        <v>-6.4900000000000005E-4</v>
      </c>
      <c r="G66" s="953">
        <f t="shared" ref="G66:G129" si="17">IF(Etabs="Etabs 9.7.4",IF(INDEX(Mode_1,ROW($E66),COLUMN(E$1))&lt;&gt;"",INDEX(Mode_1,ROW($E66),COLUMN(E$1)),""),IF(Etabs="Etabs 2013 trở lên",IF(INDEX(Mode_2,ROW($E68),COLUMN(E$1))&lt;&gt;"",INDEX(Mode_2,ROW($E68),COLUMN(E$1)),""),""))</f>
        <v>5.6420000000000003E-3</v>
      </c>
      <c r="H66" s="953">
        <f t="shared" ref="H66:H129" si="18">IF(Etabs="Etabs 9.7.4",IF(INDEX(Mode_1,ROW($E66),COLUMN(F$1))&lt;&gt;"",INDEX(Mode_1,ROW($E66),COLUMN(F$1)),""),IF(Etabs="Etabs 2013 trở lên",0,""))</f>
        <v>0</v>
      </c>
      <c r="I66" s="953">
        <f t="shared" ref="I66:I129" si="19">IF(Etabs="Etabs 9.7.4",IF(INDEX(Mode_1,ROW($E66),COLUMN(G$1))&lt;&gt;"",INDEX(Mode_1,ROW($E66),COLUMN(G$1)),""),IF(Etabs="Etabs 2013 trở lên",0,""))</f>
        <v>0</v>
      </c>
      <c r="J66" s="953">
        <f t="shared" ref="J66:J129" si="20">IF(Etabs="Etabs 9.7.4",IF(INDEX(Mode_1,ROW($E66),COLUMN(H$1))&lt;&gt;"",INDEX(Mode_1,ROW($E66),COLUMN(H$1)),""),IF(Etabs="Etabs 2013 trở lên",0,""))</f>
        <v>0</v>
      </c>
      <c r="K66" s="953">
        <f t="shared" ref="K66:K129" si="21">IF(Etabs="Etabs 9.7.4",IF(INDEX(Mode_1,ROW($E66),COLUMN(I$1))&lt;&gt;"",INDEX(Mode_1,ROW($E66),COLUMN(I$1)),""),IF(Etabs="Etabs 2013 trở lên",IF(INDEX(Mode_2,ROW($E68),COLUMN(F$1))&lt;&gt;"",INDEX(Mode_2,ROW($E68),COLUMN(F$1)),""),""))</f>
        <v>-7.9999999999999996E-6</v>
      </c>
      <c r="L66" s="570" t="str">
        <f t="shared" ref="L66:L129" si="22">IF(Etabs="Etabs 9.7.4",IF(INDEX(Mode_1,ROW($E66),COLUMN(C$1))&lt;&gt;"",INDEX(Mode_1,ROW($E66),COLUMN(C$1)),""),IF(Etabs="Etabs 2013 trở lên",IF(INDEX(Mode_2,ROW($E68),COLUMN(C$1))&lt;&gt;"",INDEX(Mode_2,ROW($E68),COLUMN(C$1)),""),""))</f>
        <v>Modal 5</v>
      </c>
      <c r="M66" s="570">
        <f t="shared" si="12"/>
        <v>5</v>
      </c>
    </row>
    <row r="67" spans="1:13">
      <c r="A67" s="570" t="str">
        <f t="shared" ref="A67:A130" si="23">C67&amp;E67</f>
        <v>T376</v>
      </c>
      <c r="C67" s="953" t="str">
        <f t="shared" si="13"/>
        <v>T37</v>
      </c>
      <c r="D67" s="953" t="str">
        <f t="shared" si="14"/>
        <v>D1</v>
      </c>
      <c r="E67" s="953">
        <f t="shared" si="15"/>
        <v>6</v>
      </c>
      <c r="F67" s="953">
        <f t="shared" si="16"/>
        <v>5.7210000000000004E-3</v>
      </c>
      <c r="G67" s="953">
        <f t="shared" si="17"/>
        <v>7.18E-4</v>
      </c>
      <c r="H67" s="953">
        <f t="shared" si="18"/>
        <v>0</v>
      </c>
      <c r="I67" s="953">
        <f t="shared" si="19"/>
        <v>0</v>
      </c>
      <c r="J67" s="953">
        <f t="shared" si="20"/>
        <v>0</v>
      </c>
      <c r="K67" s="953">
        <f t="shared" si="21"/>
        <v>3.1999999999999999E-5</v>
      </c>
      <c r="L67" s="570" t="str">
        <f t="shared" si="22"/>
        <v>Modal 6</v>
      </c>
      <c r="M67" s="570">
        <f t="shared" ref="M67:M130" si="24">IFERROR(VALUE(RIGHT(L67,LEN(L67)-6)),"")</f>
        <v>6</v>
      </c>
    </row>
    <row r="68" spans="1:13">
      <c r="A68" s="570" t="str">
        <f t="shared" si="23"/>
        <v>T377</v>
      </c>
      <c r="C68" s="953" t="str">
        <f t="shared" si="13"/>
        <v>T37</v>
      </c>
      <c r="D68" s="953" t="str">
        <f t="shared" si="14"/>
        <v>D1</v>
      </c>
      <c r="E68" s="953">
        <f t="shared" si="15"/>
        <v>7</v>
      </c>
      <c r="F68" s="953">
        <f t="shared" si="16"/>
        <v>4.44E-4</v>
      </c>
      <c r="G68" s="953">
        <f t="shared" si="17"/>
        <v>-9.9999999999999995E-7</v>
      </c>
      <c r="H68" s="953">
        <f t="shared" si="18"/>
        <v>0</v>
      </c>
      <c r="I68" s="953">
        <f t="shared" si="19"/>
        <v>0</v>
      </c>
      <c r="J68" s="953">
        <f t="shared" si="20"/>
        <v>0</v>
      </c>
      <c r="K68" s="953">
        <f t="shared" si="21"/>
        <v>-2.41E-4</v>
      </c>
      <c r="L68" s="570" t="str">
        <f t="shared" si="22"/>
        <v>Modal 7</v>
      </c>
      <c r="M68" s="570">
        <f t="shared" si="24"/>
        <v>7</v>
      </c>
    </row>
    <row r="69" spans="1:13">
      <c r="A69" s="570" t="str">
        <f t="shared" si="23"/>
        <v>T378</v>
      </c>
      <c r="C69" s="953" t="str">
        <f t="shared" si="13"/>
        <v>T37</v>
      </c>
      <c r="D69" s="953" t="str">
        <f t="shared" si="14"/>
        <v>D1</v>
      </c>
      <c r="E69" s="953">
        <f t="shared" si="15"/>
        <v>8</v>
      </c>
      <c r="F69" s="953">
        <f t="shared" si="16"/>
        <v>4.26E-4</v>
      </c>
      <c r="G69" s="953">
        <f t="shared" si="17"/>
        <v>-4.6639999999999997E-3</v>
      </c>
      <c r="H69" s="953">
        <f t="shared" si="18"/>
        <v>0</v>
      </c>
      <c r="I69" s="953">
        <f t="shared" si="19"/>
        <v>0</v>
      </c>
      <c r="J69" s="953">
        <f t="shared" si="20"/>
        <v>0</v>
      </c>
      <c r="K69" s="953">
        <f t="shared" si="21"/>
        <v>3.9999999999999998E-6</v>
      </c>
      <c r="L69" s="570" t="str">
        <f t="shared" si="22"/>
        <v>Modal 8</v>
      </c>
      <c r="M69" s="570">
        <f t="shared" si="24"/>
        <v>8</v>
      </c>
    </row>
    <row r="70" spans="1:13">
      <c r="A70" s="570" t="str">
        <f t="shared" si="23"/>
        <v>T379</v>
      </c>
      <c r="C70" s="953" t="str">
        <f t="shared" si="13"/>
        <v>T37</v>
      </c>
      <c r="D70" s="953" t="str">
        <f t="shared" si="14"/>
        <v>D1</v>
      </c>
      <c r="E70" s="953">
        <f t="shared" si="15"/>
        <v>9</v>
      </c>
      <c r="F70" s="953">
        <f t="shared" si="16"/>
        <v>8.4099999999999995E-4</v>
      </c>
      <c r="G70" s="953">
        <f t="shared" si="17"/>
        <v>3.8000000000000002E-5</v>
      </c>
      <c r="H70" s="953">
        <f t="shared" si="18"/>
        <v>0</v>
      </c>
      <c r="I70" s="953">
        <f t="shared" si="19"/>
        <v>0</v>
      </c>
      <c r="J70" s="953">
        <f t="shared" si="20"/>
        <v>0</v>
      </c>
      <c r="K70" s="953">
        <f t="shared" si="21"/>
        <v>-1.83E-4</v>
      </c>
      <c r="L70" s="570" t="str">
        <f t="shared" si="22"/>
        <v>Modal 9</v>
      </c>
      <c r="M70" s="570">
        <f t="shared" si="24"/>
        <v>9</v>
      </c>
    </row>
    <row r="71" spans="1:13">
      <c r="A71" s="570" t="str">
        <f t="shared" si="23"/>
        <v>T3710</v>
      </c>
      <c r="C71" s="953" t="str">
        <f t="shared" si="13"/>
        <v>T37</v>
      </c>
      <c r="D71" s="953" t="str">
        <f t="shared" si="14"/>
        <v>D1</v>
      </c>
      <c r="E71" s="953">
        <f t="shared" si="15"/>
        <v>10</v>
      </c>
      <c r="F71" s="953">
        <f t="shared" si="16"/>
        <v>-4.6740000000000002E-3</v>
      </c>
      <c r="G71" s="953">
        <f t="shared" si="17"/>
        <v>-4.8200000000000001E-4</v>
      </c>
      <c r="H71" s="953">
        <f t="shared" si="18"/>
        <v>0</v>
      </c>
      <c r="I71" s="953">
        <f t="shared" si="19"/>
        <v>0</v>
      </c>
      <c r="J71" s="953">
        <f t="shared" si="20"/>
        <v>0</v>
      </c>
      <c r="K71" s="953">
        <f t="shared" si="21"/>
        <v>-4.5000000000000003E-5</v>
      </c>
      <c r="L71" s="570" t="str">
        <f t="shared" si="22"/>
        <v>Modal 10</v>
      </c>
      <c r="M71" s="570">
        <f t="shared" si="24"/>
        <v>10</v>
      </c>
    </row>
    <row r="72" spans="1:13">
      <c r="A72" s="570" t="str">
        <f t="shared" si="23"/>
        <v>T3711</v>
      </c>
      <c r="C72" s="953" t="str">
        <f t="shared" si="13"/>
        <v>T37</v>
      </c>
      <c r="D72" s="953" t="str">
        <f t="shared" si="14"/>
        <v>D1</v>
      </c>
      <c r="E72" s="953">
        <f t="shared" si="15"/>
        <v>11</v>
      </c>
      <c r="F72" s="953">
        <f t="shared" si="16"/>
        <v>-1.94E-4</v>
      </c>
      <c r="G72" s="953">
        <f t="shared" si="17"/>
        <v>-1.2160000000000001E-3</v>
      </c>
      <c r="H72" s="953">
        <f t="shared" si="18"/>
        <v>0</v>
      </c>
      <c r="I72" s="953">
        <f t="shared" si="19"/>
        <v>0</v>
      </c>
      <c r="J72" s="953">
        <f t="shared" si="20"/>
        <v>0</v>
      </c>
      <c r="K72" s="953">
        <f t="shared" si="21"/>
        <v>1.17E-4</v>
      </c>
      <c r="L72" s="570" t="str">
        <f t="shared" si="22"/>
        <v>Modal 11</v>
      </c>
      <c r="M72" s="570">
        <f t="shared" si="24"/>
        <v>11</v>
      </c>
    </row>
    <row r="73" spans="1:13">
      <c r="A73" s="570" t="str">
        <f t="shared" si="23"/>
        <v>T3712</v>
      </c>
      <c r="C73" s="953" t="str">
        <f t="shared" si="13"/>
        <v>T37</v>
      </c>
      <c r="D73" s="953" t="str">
        <f t="shared" si="14"/>
        <v>D1</v>
      </c>
      <c r="E73" s="953">
        <f t="shared" si="15"/>
        <v>12</v>
      </c>
      <c r="F73" s="953">
        <f t="shared" si="16"/>
        <v>-4.0299999999999998E-4</v>
      </c>
      <c r="G73" s="953">
        <f t="shared" si="17"/>
        <v>3.225E-3</v>
      </c>
      <c r="H73" s="953">
        <f t="shared" si="18"/>
        <v>0</v>
      </c>
      <c r="I73" s="953">
        <f t="shared" si="19"/>
        <v>0</v>
      </c>
      <c r="J73" s="953">
        <f t="shared" si="20"/>
        <v>0</v>
      </c>
      <c r="K73" s="953">
        <f t="shared" si="21"/>
        <v>4.1E-5</v>
      </c>
      <c r="L73" s="570" t="str">
        <f t="shared" si="22"/>
        <v>Modal 12</v>
      </c>
      <c r="M73" s="570">
        <f t="shared" si="24"/>
        <v>12</v>
      </c>
    </row>
    <row r="74" spans="1:13">
      <c r="A74" s="570" t="str">
        <f t="shared" si="23"/>
        <v>T3713</v>
      </c>
      <c r="C74" s="953" t="str">
        <f t="shared" si="13"/>
        <v>T37</v>
      </c>
      <c r="D74" s="953" t="str">
        <f t="shared" si="14"/>
        <v>D1</v>
      </c>
      <c r="E74" s="953">
        <f t="shared" si="15"/>
        <v>13</v>
      </c>
      <c r="F74" s="953">
        <f t="shared" si="16"/>
        <v>-3.522E-3</v>
      </c>
      <c r="G74" s="953">
        <f t="shared" si="17"/>
        <v>-3.48E-4</v>
      </c>
      <c r="H74" s="953">
        <f t="shared" si="18"/>
        <v>0</v>
      </c>
      <c r="I74" s="953">
        <f t="shared" si="19"/>
        <v>0</v>
      </c>
      <c r="J74" s="953">
        <f t="shared" si="20"/>
        <v>0</v>
      </c>
      <c r="K74" s="953">
        <f t="shared" si="21"/>
        <v>-2.4000000000000001E-5</v>
      </c>
      <c r="L74" s="570" t="str">
        <f t="shared" si="22"/>
        <v>Modal 13</v>
      </c>
      <c r="M74" s="570">
        <f t="shared" si="24"/>
        <v>13</v>
      </c>
    </row>
    <row r="75" spans="1:13">
      <c r="A75" s="570" t="str">
        <f t="shared" si="23"/>
        <v>T3714</v>
      </c>
      <c r="C75" s="953" t="str">
        <f t="shared" si="13"/>
        <v>T37</v>
      </c>
      <c r="D75" s="953" t="str">
        <f t="shared" si="14"/>
        <v>D1</v>
      </c>
      <c r="E75" s="953">
        <f t="shared" si="15"/>
        <v>14</v>
      </c>
      <c r="F75" s="953">
        <f t="shared" si="16"/>
        <v>1.6200000000000001E-4</v>
      </c>
      <c r="G75" s="953">
        <f t="shared" si="17"/>
        <v>6.3999999999999997E-5</v>
      </c>
      <c r="H75" s="953">
        <f t="shared" si="18"/>
        <v>0</v>
      </c>
      <c r="I75" s="953">
        <f t="shared" si="19"/>
        <v>0</v>
      </c>
      <c r="J75" s="953">
        <f t="shared" si="20"/>
        <v>0</v>
      </c>
      <c r="K75" s="953">
        <f t="shared" si="21"/>
        <v>-5.8999999999999998E-5</v>
      </c>
      <c r="L75" s="570" t="str">
        <f t="shared" si="22"/>
        <v>Modal 14</v>
      </c>
      <c r="M75" s="570">
        <f t="shared" si="24"/>
        <v>14</v>
      </c>
    </row>
    <row r="76" spans="1:13">
      <c r="A76" s="570" t="str">
        <f t="shared" si="23"/>
        <v>T3715</v>
      </c>
      <c r="C76" s="953" t="str">
        <f t="shared" si="13"/>
        <v>T37</v>
      </c>
      <c r="D76" s="953" t="str">
        <f t="shared" si="14"/>
        <v>D1</v>
      </c>
      <c r="E76" s="953">
        <f t="shared" si="15"/>
        <v>15</v>
      </c>
      <c r="F76" s="953">
        <f t="shared" si="16"/>
        <v>1.94E-4</v>
      </c>
      <c r="G76" s="953">
        <f t="shared" si="17"/>
        <v>-2.2309999999999999E-3</v>
      </c>
      <c r="H76" s="953">
        <f t="shared" si="18"/>
        <v>0</v>
      </c>
      <c r="I76" s="953">
        <f t="shared" si="19"/>
        <v>0</v>
      </c>
      <c r="J76" s="953">
        <f t="shared" si="20"/>
        <v>0</v>
      </c>
      <c r="K76" s="953">
        <f t="shared" si="21"/>
        <v>-1.187E-8</v>
      </c>
      <c r="L76" s="570" t="str">
        <f t="shared" si="22"/>
        <v>Modal 15</v>
      </c>
      <c r="M76" s="570">
        <f t="shared" si="24"/>
        <v>15</v>
      </c>
    </row>
    <row r="77" spans="1:13">
      <c r="A77" s="570" t="str">
        <f t="shared" si="23"/>
        <v>T3716</v>
      </c>
      <c r="C77" s="953" t="str">
        <f t="shared" si="13"/>
        <v>T37</v>
      </c>
      <c r="D77" s="953" t="str">
        <f t="shared" si="14"/>
        <v>D1</v>
      </c>
      <c r="E77" s="953">
        <f t="shared" si="15"/>
        <v>16</v>
      </c>
      <c r="F77" s="953">
        <f t="shared" si="16"/>
        <v>3.0299999999999999E-4</v>
      </c>
      <c r="G77" s="953">
        <f t="shared" si="17"/>
        <v>-2.5000000000000001E-5</v>
      </c>
      <c r="H77" s="953">
        <f t="shared" si="18"/>
        <v>0</v>
      </c>
      <c r="I77" s="953">
        <f t="shared" si="19"/>
        <v>0</v>
      </c>
      <c r="J77" s="953">
        <f t="shared" si="20"/>
        <v>0</v>
      </c>
      <c r="K77" s="953">
        <f t="shared" si="21"/>
        <v>3.9999999999999998E-6</v>
      </c>
      <c r="L77" s="570" t="str">
        <f t="shared" si="22"/>
        <v>Modal 16</v>
      </c>
      <c r="M77" s="570">
        <f t="shared" si="24"/>
        <v>16</v>
      </c>
    </row>
    <row r="78" spans="1:13">
      <c r="A78" s="570" t="str">
        <f t="shared" si="23"/>
        <v>T3717</v>
      </c>
      <c r="C78" s="953" t="str">
        <f t="shared" si="13"/>
        <v>T37</v>
      </c>
      <c r="D78" s="953" t="str">
        <f t="shared" si="14"/>
        <v>D1</v>
      </c>
      <c r="E78" s="953">
        <f t="shared" si="15"/>
        <v>17</v>
      </c>
      <c r="F78" s="953">
        <f t="shared" si="16"/>
        <v>2.3040000000000001E-3</v>
      </c>
      <c r="G78" s="953">
        <f t="shared" si="17"/>
        <v>2.2599999999999999E-4</v>
      </c>
      <c r="H78" s="953">
        <f t="shared" si="18"/>
        <v>0</v>
      </c>
      <c r="I78" s="953">
        <f t="shared" si="19"/>
        <v>0</v>
      </c>
      <c r="J78" s="953">
        <f t="shared" si="20"/>
        <v>0</v>
      </c>
      <c r="K78" s="953">
        <f t="shared" si="21"/>
        <v>1.5999999999999999E-5</v>
      </c>
      <c r="L78" s="570" t="str">
        <f t="shared" si="22"/>
        <v>Modal 17</v>
      </c>
      <c r="M78" s="570">
        <f t="shared" si="24"/>
        <v>17</v>
      </c>
    </row>
    <row r="79" spans="1:13">
      <c r="A79" s="570" t="str">
        <f t="shared" si="23"/>
        <v>T3718</v>
      </c>
      <c r="C79" s="953" t="str">
        <f t="shared" si="13"/>
        <v>T37</v>
      </c>
      <c r="D79" s="953" t="str">
        <f t="shared" si="14"/>
        <v>D1</v>
      </c>
      <c r="E79" s="953">
        <f t="shared" si="15"/>
        <v>18</v>
      </c>
      <c r="F79" s="953">
        <f t="shared" si="16"/>
        <v>2.3E-5</v>
      </c>
      <c r="G79" s="953">
        <f t="shared" si="17"/>
        <v>-9.9299999999999996E-4</v>
      </c>
      <c r="H79" s="953">
        <f t="shared" si="18"/>
        <v>0</v>
      </c>
      <c r="I79" s="953">
        <f t="shared" si="19"/>
        <v>0</v>
      </c>
      <c r="J79" s="953">
        <f t="shared" si="20"/>
        <v>0</v>
      </c>
      <c r="K79" s="953">
        <f t="shared" si="21"/>
        <v>6.9999999999999999E-6</v>
      </c>
      <c r="L79" s="570" t="str">
        <f t="shared" si="22"/>
        <v>Modal 18</v>
      </c>
      <c r="M79" s="570">
        <f t="shared" si="24"/>
        <v>18</v>
      </c>
    </row>
    <row r="80" spans="1:13">
      <c r="A80" s="570" t="str">
        <f t="shared" si="23"/>
        <v>T3719</v>
      </c>
      <c r="C80" s="953" t="str">
        <f t="shared" si="13"/>
        <v>T37</v>
      </c>
      <c r="D80" s="953" t="str">
        <f t="shared" si="14"/>
        <v>D1</v>
      </c>
      <c r="E80" s="953">
        <f t="shared" si="15"/>
        <v>19</v>
      </c>
      <c r="F80" s="953">
        <f t="shared" si="16"/>
        <v>2.61E-4</v>
      </c>
      <c r="G80" s="953">
        <f t="shared" si="17"/>
        <v>-1.9599999999999999E-4</v>
      </c>
      <c r="H80" s="953">
        <f t="shared" si="18"/>
        <v>0</v>
      </c>
      <c r="I80" s="953">
        <f t="shared" si="19"/>
        <v>0</v>
      </c>
      <c r="J80" s="953">
        <f t="shared" si="20"/>
        <v>0</v>
      </c>
      <c r="K80" s="953">
        <f t="shared" si="21"/>
        <v>-4.6E-5</v>
      </c>
      <c r="L80" s="570" t="str">
        <f t="shared" si="22"/>
        <v>Modal 19</v>
      </c>
      <c r="M80" s="570">
        <f t="shared" si="24"/>
        <v>19</v>
      </c>
    </row>
    <row r="81" spans="1:13">
      <c r="A81" s="570" t="str">
        <f t="shared" si="23"/>
        <v>T3720</v>
      </c>
      <c r="C81" s="953" t="str">
        <f t="shared" si="13"/>
        <v>T37</v>
      </c>
      <c r="D81" s="953" t="str">
        <f t="shared" si="14"/>
        <v>D1</v>
      </c>
      <c r="E81" s="953">
        <f t="shared" si="15"/>
        <v>20</v>
      </c>
      <c r="F81" s="953">
        <f t="shared" si="16"/>
        <v>-1.0889999999999999E-3</v>
      </c>
      <c r="G81" s="953">
        <f t="shared" si="17"/>
        <v>-1.1900000000000001E-4</v>
      </c>
      <c r="H81" s="953">
        <f t="shared" si="18"/>
        <v>0</v>
      </c>
      <c r="I81" s="953">
        <f t="shared" si="19"/>
        <v>0</v>
      </c>
      <c r="J81" s="953">
        <f t="shared" si="20"/>
        <v>0</v>
      </c>
      <c r="K81" s="953">
        <f t="shared" si="21"/>
        <v>-2.4000000000000001E-5</v>
      </c>
      <c r="L81" s="570" t="str">
        <f t="shared" si="22"/>
        <v>Modal 20</v>
      </c>
      <c r="M81" s="570">
        <f t="shared" si="24"/>
        <v>20</v>
      </c>
    </row>
    <row r="82" spans="1:13">
      <c r="A82" s="570" t="str">
        <f t="shared" si="23"/>
        <v>T3721</v>
      </c>
      <c r="C82" s="953" t="str">
        <f t="shared" si="13"/>
        <v>T37</v>
      </c>
      <c r="D82" s="953" t="str">
        <f t="shared" si="14"/>
        <v>D1</v>
      </c>
      <c r="E82" s="953">
        <f t="shared" si="15"/>
        <v>21</v>
      </c>
      <c r="F82" s="953">
        <f t="shared" si="16"/>
        <v>1.27E-4</v>
      </c>
      <c r="G82" s="953">
        <f t="shared" si="17"/>
        <v>-7.7999999999999999E-5</v>
      </c>
      <c r="H82" s="953">
        <f t="shared" si="18"/>
        <v>0</v>
      </c>
      <c r="I82" s="953">
        <f t="shared" si="19"/>
        <v>0</v>
      </c>
      <c r="J82" s="953">
        <f t="shared" si="20"/>
        <v>0</v>
      </c>
      <c r="K82" s="953">
        <f t="shared" si="21"/>
        <v>-1.5E-5</v>
      </c>
      <c r="L82" s="570" t="str">
        <f t="shared" si="22"/>
        <v>Modal 21</v>
      </c>
      <c r="M82" s="570">
        <f t="shared" si="24"/>
        <v>21</v>
      </c>
    </row>
    <row r="83" spans="1:13">
      <c r="A83" s="570" t="str">
        <f t="shared" si="23"/>
        <v>T3722</v>
      </c>
      <c r="C83" s="953" t="str">
        <f t="shared" si="13"/>
        <v>T37</v>
      </c>
      <c r="D83" s="953" t="str">
        <f t="shared" si="14"/>
        <v>D1</v>
      </c>
      <c r="E83" s="953">
        <f t="shared" si="15"/>
        <v>22</v>
      </c>
      <c r="F83" s="953">
        <f t="shared" si="16"/>
        <v>2.9399999999999999E-4</v>
      </c>
      <c r="G83" s="953">
        <f t="shared" si="17"/>
        <v>-1.83E-4</v>
      </c>
      <c r="H83" s="953">
        <f t="shared" si="18"/>
        <v>0</v>
      </c>
      <c r="I83" s="953">
        <f t="shared" si="19"/>
        <v>0</v>
      </c>
      <c r="J83" s="953">
        <f t="shared" si="20"/>
        <v>0</v>
      </c>
      <c r="K83" s="953">
        <f t="shared" si="21"/>
        <v>-7.2999999999999999E-5</v>
      </c>
      <c r="L83" s="570" t="str">
        <f t="shared" si="22"/>
        <v>Modal 22</v>
      </c>
      <c r="M83" s="570">
        <f t="shared" si="24"/>
        <v>22</v>
      </c>
    </row>
    <row r="84" spans="1:13">
      <c r="A84" s="570" t="str">
        <f t="shared" si="23"/>
        <v>T3723</v>
      </c>
      <c r="C84" s="953" t="str">
        <f t="shared" si="13"/>
        <v>T37</v>
      </c>
      <c r="D84" s="953" t="str">
        <f t="shared" si="14"/>
        <v>D1</v>
      </c>
      <c r="E84" s="953">
        <f t="shared" si="15"/>
        <v>23</v>
      </c>
      <c r="F84" s="953">
        <f t="shared" si="16"/>
        <v>5.0900000000000001E-4</v>
      </c>
      <c r="G84" s="953">
        <f t="shared" si="17"/>
        <v>-5.9900000000000003E-4</v>
      </c>
      <c r="H84" s="953">
        <f t="shared" si="18"/>
        <v>0</v>
      </c>
      <c r="I84" s="953">
        <f t="shared" si="19"/>
        <v>0</v>
      </c>
      <c r="J84" s="953">
        <f t="shared" si="20"/>
        <v>0</v>
      </c>
      <c r="K84" s="953">
        <f t="shared" si="21"/>
        <v>-4.6E-5</v>
      </c>
      <c r="L84" s="570" t="str">
        <f t="shared" si="22"/>
        <v>Modal 23</v>
      </c>
      <c r="M84" s="570">
        <f t="shared" si="24"/>
        <v>23</v>
      </c>
    </row>
    <row r="85" spans="1:13">
      <c r="A85" s="570" t="str">
        <f t="shared" si="23"/>
        <v>T3724</v>
      </c>
      <c r="C85" s="953" t="str">
        <f t="shared" si="13"/>
        <v>T37</v>
      </c>
      <c r="D85" s="953" t="str">
        <f t="shared" si="14"/>
        <v>D1</v>
      </c>
      <c r="E85" s="953">
        <f t="shared" si="15"/>
        <v>24</v>
      </c>
      <c r="F85" s="953">
        <f t="shared" si="16"/>
        <v>-6.9399999999999996E-4</v>
      </c>
      <c r="G85" s="953">
        <f t="shared" si="17"/>
        <v>-3.86E-4</v>
      </c>
      <c r="H85" s="953">
        <f t="shared" si="18"/>
        <v>0</v>
      </c>
      <c r="I85" s="953">
        <f t="shared" si="19"/>
        <v>0</v>
      </c>
      <c r="J85" s="953">
        <f t="shared" si="20"/>
        <v>0</v>
      </c>
      <c r="K85" s="953">
        <f t="shared" si="21"/>
        <v>7.2000000000000002E-5</v>
      </c>
      <c r="L85" s="570" t="str">
        <f t="shared" si="22"/>
        <v>Modal 24</v>
      </c>
      <c r="M85" s="570">
        <f t="shared" si="24"/>
        <v>24</v>
      </c>
    </row>
    <row r="86" spans="1:13">
      <c r="A86" s="570" t="str">
        <f t="shared" si="23"/>
        <v>T3725</v>
      </c>
      <c r="C86" s="953" t="str">
        <f t="shared" si="13"/>
        <v>T37</v>
      </c>
      <c r="D86" s="953" t="str">
        <f t="shared" si="14"/>
        <v>D1</v>
      </c>
      <c r="E86" s="953">
        <f t="shared" si="15"/>
        <v>25</v>
      </c>
      <c r="F86" s="953">
        <f t="shared" si="16"/>
        <v>8.7000000000000001E-5</v>
      </c>
      <c r="G86" s="953">
        <f t="shared" si="17"/>
        <v>-4.5800000000000002E-4</v>
      </c>
      <c r="H86" s="953">
        <f t="shared" si="18"/>
        <v>0</v>
      </c>
      <c r="I86" s="953">
        <f t="shared" si="19"/>
        <v>0</v>
      </c>
      <c r="J86" s="953">
        <f t="shared" si="20"/>
        <v>0</v>
      </c>
      <c r="K86" s="953">
        <f t="shared" si="21"/>
        <v>-2.1999999999999999E-5</v>
      </c>
      <c r="L86" s="570" t="str">
        <f t="shared" si="22"/>
        <v>Modal 25</v>
      </c>
      <c r="M86" s="570">
        <f t="shared" si="24"/>
        <v>25</v>
      </c>
    </row>
    <row r="87" spans="1:13">
      <c r="A87" s="570" t="str">
        <f t="shared" si="23"/>
        <v>T3726</v>
      </c>
      <c r="C87" s="953" t="str">
        <f t="shared" si="13"/>
        <v>T37</v>
      </c>
      <c r="D87" s="953" t="str">
        <f t="shared" si="14"/>
        <v>D1</v>
      </c>
      <c r="E87" s="953">
        <f t="shared" si="15"/>
        <v>26</v>
      </c>
      <c r="F87" s="953">
        <f t="shared" si="16"/>
        <v>3.1199999999999999E-4</v>
      </c>
      <c r="G87" s="953">
        <f t="shared" si="17"/>
        <v>6.7000000000000002E-4</v>
      </c>
      <c r="H87" s="953">
        <f t="shared" si="18"/>
        <v>0</v>
      </c>
      <c r="I87" s="953">
        <f t="shared" si="19"/>
        <v>0</v>
      </c>
      <c r="J87" s="953">
        <f t="shared" si="20"/>
        <v>0</v>
      </c>
      <c r="K87" s="953">
        <f t="shared" si="21"/>
        <v>-3.4999999999999997E-5</v>
      </c>
      <c r="L87" s="570" t="str">
        <f t="shared" si="22"/>
        <v>Modal 26</v>
      </c>
      <c r="M87" s="570">
        <f t="shared" si="24"/>
        <v>26</v>
      </c>
    </row>
    <row r="88" spans="1:13">
      <c r="A88" s="570" t="str">
        <f t="shared" si="23"/>
        <v>T3727</v>
      </c>
      <c r="C88" s="953" t="str">
        <f t="shared" si="13"/>
        <v>T37</v>
      </c>
      <c r="D88" s="953" t="str">
        <f t="shared" si="14"/>
        <v>D1</v>
      </c>
      <c r="E88" s="953">
        <f t="shared" si="15"/>
        <v>27</v>
      </c>
      <c r="F88" s="953">
        <f t="shared" si="16"/>
        <v>-2.4000000000000001E-5</v>
      </c>
      <c r="G88" s="953">
        <f t="shared" si="17"/>
        <v>-2.8400000000000002E-4</v>
      </c>
      <c r="H88" s="953">
        <f t="shared" si="18"/>
        <v>0</v>
      </c>
      <c r="I88" s="953">
        <f t="shared" si="19"/>
        <v>0</v>
      </c>
      <c r="J88" s="953">
        <f t="shared" si="20"/>
        <v>0</v>
      </c>
      <c r="K88" s="953">
        <f t="shared" si="21"/>
        <v>-2.0000000000000002E-5</v>
      </c>
      <c r="L88" s="570" t="str">
        <f t="shared" si="22"/>
        <v>Modal 27</v>
      </c>
      <c r="M88" s="570">
        <f t="shared" si="24"/>
        <v>27</v>
      </c>
    </row>
    <row r="89" spans="1:13">
      <c r="A89" s="570" t="str">
        <f t="shared" si="23"/>
        <v>T3728</v>
      </c>
      <c r="C89" s="953" t="str">
        <f t="shared" si="13"/>
        <v>T37</v>
      </c>
      <c r="D89" s="953" t="str">
        <f t="shared" si="14"/>
        <v>D1</v>
      </c>
      <c r="E89" s="953">
        <f t="shared" si="15"/>
        <v>28</v>
      </c>
      <c r="F89" s="953">
        <f t="shared" si="16"/>
        <v>1.55E-4</v>
      </c>
      <c r="G89" s="953">
        <f t="shared" si="17"/>
        <v>6.2500000000000001E-4</v>
      </c>
      <c r="H89" s="953">
        <f t="shared" si="18"/>
        <v>0</v>
      </c>
      <c r="I89" s="953">
        <f t="shared" si="19"/>
        <v>0</v>
      </c>
      <c r="J89" s="953">
        <f t="shared" si="20"/>
        <v>0</v>
      </c>
      <c r="K89" s="953">
        <f t="shared" si="21"/>
        <v>-2.4000000000000001E-5</v>
      </c>
      <c r="L89" s="570" t="str">
        <f t="shared" si="22"/>
        <v>Modal 28</v>
      </c>
      <c r="M89" s="570">
        <f t="shared" si="24"/>
        <v>28</v>
      </c>
    </row>
    <row r="90" spans="1:13">
      <c r="A90" s="570" t="str">
        <f t="shared" si="23"/>
        <v>T3729</v>
      </c>
      <c r="C90" s="953" t="str">
        <f t="shared" si="13"/>
        <v>T37</v>
      </c>
      <c r="D90" s="953" t="str">
        <f t="shared" si="14"/>
        <v>D1</v>
      </c>
      <c r="E90" s="953">
        <f t="shared" si="15"/>
        <v>29</v>
      </c>
      <c r="F90" s="953">
        <f t="shared" si="16"/>
        <v>3.4999999999999997E-5</v>
      </c>
      <c r="G90" s="953">
        <f t="shared" si="17"/>
        <v>1.12E-4</v>
      </c>
      <c r="H90" s="953">
        <f t="shared" si="18"/>
        <v>0</v>
      </c>
      <c r="I90" s="953">
        <f t="shared" si="19"/>
        <v>0</v>
      </c>
      <c r="J90" s="953">
        <f t="shared" si="20"/>
        <v>0</v>
      </c>
      <c r="K90" s="953">
        <f t="shared" si="21"/>
        <v>2.1999999999999999E-5</v>
      </c>
      <c r="L90" s="570" t="str">
        <f t="shared" si="22"/>
        <v>Modal 29</v>
      </c>
      <c r="M90" s="570">
        <f t="shared" si="24"/>
        <v>29</v>
      </c>
    </row>
    <row r="91" spans="1:13">
      <c r="A91" s="570" t="str">
        <f t="shared" si="23"/>
        <v>T3730</v>
      </c>
      <c r="C91" s="953" t="str">
        <f t="shared" si="13"/>
        <v>T37</v>
      </c>
      <c r="D91" s="953" t="str">
        <f t="shared" si="14"/>
        <v>D1</v>
      </c>
      <c r="E91" s="953">
        <f t="shared" si="15"/>
        <v>30</v>
      </c>
      <c r="F91" s="953">
        <f t="shared" si="16"/>
        <v>-1.0399999999999999E-4</v>
      </c>
      <c r="G91" s="953">
        <f t="shared" si="17"/>
        <v>-5.8E-4</v>
      </c>
      <c r="H91" s="953">
        <f t="shared" si="18"/>
        <v>0</v>
      </c>
      <c r="I91" s="953">
        <f t="shared" si="19"/>
        <v>0</v>
      </c>
      <c r="J91" s="953">
        <f t="shared" si="20"/>
        <v>0</v>
      </c>
      <c r="K91" s="953">
        <f t="shared" si="21"/>
        <v>1.7E-5</v>
      </c>
      <c r="L91" s="570" t="str">
        <f t="shared" si="22"/>
        <v>Modal 30</v>
      </c>
      <c r="M91" s="570">
        <f t="shared" si="24"/>
        <v>30</v>
      </c>
    </row>
    <row r="92" spans="1:13">
      <c r="A92" s="570" t="str">
        <f t="shared" si="23"/>
        <v>T361</v>
      </c>
      <c r="C92" s="953" t="str">
        <f t="shared" si="13"/>
        <v>T36</v>
      </c>
      <c r="D92" s="953" t="str">
        <f t="shared" si="14"/>
        <v>D1</v>
      </c>
      <c r="E92" s="953">
        <f t="shared" si="15"/>
        <v>1</v>
      </c>
      <c r="F92" s="953">
        <f t="shared" si="16"/>
        <v>-1.2509999999999999E-3</v>
      </c>
      <c r="G92" s="953">
        <f t="shared" si="17"/>
        <v>6.424E-3</v>
      </c>
      <c r="H92" s="953">
        <f t="shared" si="18"/>
        <v>0</v>
      </c>
      <c r="I92" s="953">
        <f t="shared" si="19"/>
        <v>0</v>
      </c>
      <c r="J92" s="953">
        <f t="shared" si="20"/>
        <v>0</v>
      </c>
      <c r="K92" s="953">
        <f t="shared" si="21"/>
        <v>5.0000000000000002E-5</v>
      </c>
      <c r="L92" s="570" t="str">
        <f t="shared" si="22"/>
        <v>Modal 1</v>
      </c>
      <c r="M92" s="570">
        <f t="shared" si="24"/>
        <v>1</v>
      </c>
    </row>
    <row r="93" spans="1:13">
      <c r="A93" s="570" t="str">
        <f t="shared" si="23"/>
        <v>T362</v>
      </c>
      <c r="C93" s="953" t="str">
        <f t="shared" si="13"/>
        <v>T36</v>
      </c>
      <c r="D93" s="953" t="str">
        <f t="shared" si="14"/>
        <v>D1</v>
      </c>
      <c r="E93" s="953">
        <f t="shared" si="15"/>
        <v>2</v>
      </c>
      <c r="F93" s="953">
        <f t="shared" si="16"/>
        <v>-8.6499999999999999E-4</v>
      </c>
      <c r="G93" s="953">
        <f t="shared" si="17"/>
        <v>-1.322E-3</v>
      </c>
      <c r="H93" s="953">
        <f t="shared" si="18"/>
        <v>0</v>
      </c>
      <c r="I93" s="953">
        <f t="shared" si="19"/>
        <v>0</v>
      </c>
      <c r="J93" s="953">
        <f t="shared" si="20"/>
        <v>0</v>
      </c>
      <c r="K93" s="953">
        <f t="shared" si="21"/>
        <v>2.8800000000000001E-4</v>
      </c>
      <c r="L93" s="570" t="str">
        <f t="shared" si="22"/>
        <v>Modal 2</v>
      </c>
      <c r="M93" s="570">
        <f t="shared" si="24"/>
        <v>2</v>
      </c>
    </row>
    <row r="94" spans="1:13">
      <c r="A94" s="570" t="str">
        <f t="shared" si="23"/>
        <v>T363</v>
      </c>
      <c r="C94" s="953" t="str">
        <f t="shared" si="13"/>
        <v>T36</v>
      </c>
      <c r="D94" s="953" t="str">
        <f t="shared" si="14"/>
        <v>D1</v>
      </c>
      <c r="E94" s="953">
        <f t="shared" si="15"/>
        <v>3</v>
      </c>
      <c r="F94" s="953">
        <f t="shared" si="16"/>
        <v>6.254E-3</v>
      </c>
      <c r="G94" s="953">
        <f t="shared" si="17"/>
        <v>9.810000000000001E-4</v>
      </c>
      <c r="H94" s="953">
        <f t="shared" si="18"/>
        <v>0</v>
      </c>
      <c r="I94" s="953">
        <f t="shared" si="19"/>
        <v>0</v>
      </c>
      <c r="J94" s="953">
        <f t="shared" si="20"/>
        <v>0</v>
      </c>
      <c r="K94" s="953">
        <f t="shared" si="21"/>
        <v>4.8999999999999998E-5</v>
      </c>
      <c r="L94" s="570" t="str">
        <f t="shared" si="22"/>
        <v>Modal 3</v>
      </c>
      <c r="M94" s="570">
        <f t="shared" si="24"/>
        <v>3</v>
      </c>
    </row>
    <row r="95" spans="1:13">
      <c r="A95" s="570" t="str">
        <f t="shared" si="23"/>
        <v>T364</v>
      </c>
      <c r="C95" s="953" t="str">
        <f t="shared" si="13"/>
        <v>T36</v>
      </c>
      <c r="D95" s="953" t="str">
        <f t="shared" si="14"/>
        <v>D1</v>
      </c>
      <c r="E95" s="953">
        <f t="shared" si="15"/>
        <v>4</v>
      </c>
      <c r="F95" s="953">
        <f t="shared" si="16"/>
        <v>6.9700000000000003E-4</v>
      </c>
      <c r="G95" s="953">
        <f t="shared" si="17"/>
        <v>-2.1999999999999999E-5</v>
      </c>
      <c r="H95" s="953">
        <f t="shared" si="18"/>
        <v>0</v>
      </c>
      <c r="I95" s="953">
        <f t="shared" si="19"/>
        <v>0</v>
      </c>
      <c r="J95" s="953">
        <f t="shared" si="20"/>
        <v>0</v>
      </c>
      <c r="K95" s="953">
        <f t="shared" si="21"/>
        <v>-2.5399999999999999E-4</v>
      </c>
      <c r="L95" s="570" t="str">
        <f t="shared" si="22"/>
        <v>Modal 4</v>
      </c>
      <c r="M95" s="570">
        <f t="shared" si="24"/>
        <v>4</v>
      </c>
    </row>
    <row r="96" spans="1:13">
      <c r="A96" s="570" t="str">
        <f t="shared" si="23"/>
        <v>T365</v>
      </c>
      <c r="C96" s="953" t="str">
        <f t="shared" si="13"/>
        <v>T36</v>
      </c>
      <c r="D96" s="953" t="str">
        <f t="shared" si="14"/>
        <v>D1</v>
      </c>
      <c r="E96" s="953">
        <f t="shared" si="15"/>
        <v>5</v>
      </c>
      <c r="F96" s="953">
        <f t="shared" si="16"/>
        <v>-5.5999999999999995E-4</v>
      </c>
      <c r="G96" s="953">
        <f t="shared" si="17"/>
        <v>4.9480000000000001E-3</v>
      </c>
      <c r="H96" s="953">
        <f t="shared" si="18"/>
        <v>0</v>
      </c>
      <c r="I96" s="953">
        <f t="shared" si="19"/>
        <v>0</v>
      </c>
      <c r="J96" s="953">
        <f t="shared" si="20"/>
        <v>0</v>
      </c>
      <c r="K96" s="953">
        <f t="shared" si="21"/>
        <v>-6.9999999999999999E-6</v>
      </c>
      <c r="L96" s="570" t="str">
        <f t="shared" si="22"/>
        <v>Modal 5</v>
      </c>
      <c r="M96" s="570">
        <f t="shared" si="24"/>
        <v>5</v>
      </c>
    </row>
    <row r="97" spans="1:13">
      <c r="A97" s="570" t="str">
        <f t="shared" si="23"/>
        <v>T366</v>
      </c>
      <c r="C97" s="953" t="str">
        <f t="shared" si="13"/>
        <v>T36</v>
      </c>
      <c r="D97" s="953" t="str">
        <f t="shared" si="14"/>
        <v>D1</v>
      </c>
      <c r="E97" s="953">
        <f t="shared" si="15"/>
        <v>6</v>
      </c>
      <c r="F97" s="953">
        <f t="shared" si="16"/>
        <v>5.0790000000000002E-3</v>
      </c>
      <c r="G97" s="953">
        <f t="shared" si="17"/>
        <v>6.4700000000000001E-4</v>
      </c>
      <c r="H97" s="953">
        <f t="shared" si="18"/>
        <v>0</v>
      </c>
      <c r="I97" s="953">
        <f t="shared" si="19"/>
        <v>0</v>
      </c>
      <c r="J97" s="953">
        <f t="shared" si="20"/>
        <v>0</v>
      </c>
      <c r="K97" s="953">
        <f t="shared" si="21"/>
        <v>3.0000000000000001E-5</v>
      </c>
      <c r="L97" s="570" t="str">
        <f t="shared" si="22"/>
        <v>Modal 6</v>
      </c>
      <c r="M97" s="570">
        <f t="shared" si="24"/>
        <v>6</v>
      </c>
    </row>
    <row r="98" spans="1:13">
      <c r="A98" s="570" t="str">
        <f t="shared" si="23"/>
        <v>T367</v>
      </c>
      <c r="C98" s="953" t="str">
        <f t="shared" si="13"/>
        <v>T36</v>
      </c>
      <c r="D98" s="953" t="str">
        <f t="shared" si="14"/>
        <v>D1</v>
      </c>
      <c r="E98" s="953">
        <f t="shared" si="15"/>
        <v>7</v>
      </c>
      <c r="F98" s="953">
        <f t="shared" si="16"/>
        <v>3.2200000000000002E-4</v>
      </c>
      <c r="G98" s="953">
        <f t="shared" si="17"/>
        <v>-1.9999999999999999E-6</v>
      </c>
      <c r="H98" s="953">
        <f t="shared" si="18"/>
        <v>0</v>
      </c>
      <c r="I98" s="953">
        <f t="shared" si="19"/>
        <v>0</v>
      </c>
      <c r="J98" s="953">
        <f t="shared" si="20"/>
        <v>0</v>
      </c>
      <c r="K98" s="953">
        <f t="shared" si="21"/>
        <v>-1.9000000000000001E-4</v>
      </c>
      <c r="L98" s="570" t="str">
        <f t="shared" si="22"/>
        <v>Modal 7</v>
      </c>
      <c r="M98" s="570">
        <f t="shared" si="24"/>
        <v>7</v>
      </c>
    </row>
    <row r="99" spans="1:13">
      <c r="A99" s="570" t="str">
        <f t="shared" si="23"/>
        <v>T368</v>
      </c>
      <c r="C99" s="953" t="str">
        <f t="shared" si="13"/>
        <v>T36</v>
      </c>
      <c r="D99" s="953" t="str">
        <f t="shared" si="14"/>
        <v>D1</v>
      </c>
      <c r="E99" s="953">
        <f t="shared" si="15"/>
        <v>8</v>
      </c>
      <c r="F99" s="953">
        <f t="shared" si="16"/>
        <v>3.0699999999999998E-4</v>
      </c>
      <c r="G99" s="953">
        <f t="shared" si="17"/>
        <v>-3.4450000000000001E-3</v>
      </c>
      <c r="H99" s="953">
        <f t="shared" si="18"/>
        <v>0</v>
      </c>
      <c r="I99" s="953">
        <f t="shared" si="19"/>
        <v>0</v>
      </c>
      <c r="J99" s="953">
        <f t="shared" si="20"/>
        <v>0</v>
      </c>
      <c r="K99" s="953">
        <f t="shared" si="21"/>
        <v>3.0000000000000001E-6</v>
      </c>
      <c r="L99" s="570" t="str">
        <f t="shared" si="22"/>
        <v>Modal 8</v>
      </c>
      <c r="M99" s="570">
        <f t="shared" si="24"/>
        <v>8</v>
      </c>
    </row>
    <row r="100" spans="1:13">
      <c r="A100" s="570" t="str">
        <f t="shared" si="23"/>
        <v>T369</v>
      </c>
      <c r="C100" s="953" t="str">
        <f t="shared" si="13"/>
        <v>T36</v>
      </c>
      <c r="D100" s="953" t="str">
        <f t="shared" si="14"/>
        <v>D1</v>
      </c>
      <c r="E100" s="953">
        <f t="shared" si="15"/>
        <v>9</v>
      </c>
      <c r="F100" s="953">
        <f t="shared" si="16"/>
        <v>5.3899999999999998E-4</v>
      </c>
      <c r="G100" s="953">
        <f t="shared" si="17"/>
        <v>2.6999999999999999E-5</v>
      </c>
      <c r="H100" s="953">
        <f t="shared" si="18"/>
        <v>0</v>
      </c>
      <c r="I100" s="953">
        <f t="shared" si="19"/>
        <v>0</v>
      </c>
      <c r="J100" s="953">
        <f t="shared" si="20"/>
        <v>0</v>
      </c>
      <c r="K100" s="953">
        <f t="shared" si="21"/>
        <v>-1.02E-4</v>
      </c>
      <c r="L100" s="570" t="str">
        <f t="shared" si="22"/>
        <v>Modal 9</v>
      </c>
      <c r="M100" s="570">
        <f t="shared" si="24"/>
        <v>9</v>
      </c>
    </row>
    <row r="101" spans="1:13">
      <c r="A101" s="570" t="str">
        <f t="shared" si="23"/>
        <v>T3610</v>
      </c>
      <c r="C101" s="953" t="str">
        <f t="shared" si="13"/>
        <v>T36</v>
      </c>
      <c r="D101" s="953" t="str">
        <f t="shared" si="14"/>
        <v>D1</v>
      </c>
      <c r="E101" s="953">
        <f t="shared" si="15"/>
        <v>10</v>
      </c>
      <c r="F101" s="953">
        <f t="shared" si="16"/>
        <v>-3.5200000000000001E-3</v>
      </c>
      <c r="G101" s="953">
        <f t="shared" si="17"/>
        <v>-3.6999999999999999E-4</v>
      </c>
      <c r="H101" s="953">
        <f t="shared" si="18"/>
        <v>0</v>
      </c>
      <c r="I101" s="953">
        <f t="shared" si="19"/>
        <v>0</v>
      </c>
      <c r="J101" s="953">
        <f t="shared" si="20"/>
        <v>0</v>
      </c>
      <c r="K101" s="953">
        <f t="shared" si="21"/>
        <v>-3.1999999999999999E-5</v>
      </c>
      <c r="L101" s="570" t="str">
        <f t="shared" si="22"/>
        <v>Modal 10</v>
      </c>
      <c r="M101" s="570">
        <f t="shared" si="24"/>
        <v>10</v>
      </c>
    </row>
    <row r="102" spans="1:13">
      <c r="A102" s="570" t="str">
        <f t="shared" si="23"/>
        <v>T3611</v>
      </c>
      <c r="C102" s="953" t="str">
        <f t="shared" si="13"/>
        <v>T36</v>
      </c>
      <c r="D102" s="953" t="str">
        <f t="shared" si="14"/>
        <v>D1</v>
      </c>
      <c r="E102" s="953">
        <f t="shared" si="15"/>
        <v>11</v>
      </c>
      <c r="F102" s="953">
        <f t="shared" si="16"/>
        <v>1.55E-7</v>
      </c>
      <c r="G102" s="953">
        <f t="shared" si="17"/>
        <v>-5.8600000000000004E-4</v>
      </c>
      <c r="H102" s="953">
        <f t="shared" si="18"/>
        <v>0</v>
      </c>
      <c r="I102" s="953">
        <f t="shared" si="19"/>
        <v>0</v>
      </c>
      <c r="J102" s="953">
        <f t="shared" si="20"/>
        <v>0</v>
      </c>
      <c r="K102" s="953">
        <f t="shared" si="21"/>
        <v>1.5E-5</v>
      </c>
      <c r="L102" s="570" t="str">
        <f t="shared" si="22"/>
        <v>Modal 11</v>
      </c>
      <c r="M102" s="570">
        <f t="shared" si="24"/>
        <v>11</v>
      </c>
    </row>
    <row r="103" spans="1:13">
      <c r="A103" s="570" t="str">
        <f t="shared" si="23"/>
        <v>T3612</v>
      </c>
      <c r="C103" s="953" t="str">
        <f t="shared" si="13"/>
        <v>T36</v>
      </c>
      <c r="D103" s="953" t="str">
        <f t="shared" si="14"/>
        <v>D1</v>
      </c>
      <c r="E103" s="953">
        <f t="shared" si="15"/>
        <v>12</v>
      </c>
      <c r="F103" s="953">
        <f t="shared" si="16"/>
        <v>-1.4899999999999999E-4</v>
      </c>
      <c r="G103" s="953">
        <f t="shared" si="17"/>
        <v>1.5590000000000001E-3</v>
      </c>
      <c r="H103" s="953">
        <f t="shared" si="18"/>
        <v>0</v>
      </c>
      <c r="I103" s="953">
        <f t="shared" si="19"/>
        <v>0</v>
      </c>
      <c r="J103" s="953">
        <f t="shared" si="20"/>
        <v>0</v>
      </c>
      <c r="K103" s="953">
        <f t="shared" si="21"/>
        <v>3.9999999999999998E-6</v>
      </c>
      <c r="L103" s="570" t="str">
        <f t="shared" si="22"/>
        <v>Modal 12</v>
      </c>
      <c r="M103" s="570">
        <f t="shared" si="24"/>
        <v>12</v>
      </c>
    </row>
    <row r="104" spans="1:13">
      <c r="A104" s="570" t="str">
        <f t="shared" si="23"/>
        <v>T3613</v>
      </c>
      <c r="C104" s="953" t="str">
        <f t="shared" si="13"/>
        <v>T36</v>
      </c>
      <c r="D104" s="953" t="str">
        <f t="shared" si="14"/>
        <v>D1</v>
      </c>
      <c r="E104" s="953">
        <f t="shared" si="15"/>
        <v>13</v>
      </c>
      <c r="F104" s="953">
        <f t="shared" si="16"/>
        <v>-1.797E-3</v>
      </c>
      <c r="G104" s="953">
        <f t="shared" si="17"/>
        <v>-1.8599999999999999E-4</v>
      </c>
      <c r="H104" s="953">
        <f t="shared" si="18"/>
        <v>0</v>
      </c>
      <c r="I104" s="953">
        <f t="shared" si="19"/>
        <v>0</v>
      </c>
      <c r="J104" s="953">
        <f t="shared" si="20"/>
        <v>0</v>
      </c>
      <c r="K104" s="953">
        <f t="shared" si="21"/>
        <v>-1.2E-5</v>
      </c>
      <c r="L104" s="570" t="str">
        <f t="shared" si="22"/>
        <v>Modal 13</v>
      </c>
      <c r="M104" s="570">
        <f t="shared" si="24"/>
        <v>13</v>
      </c>
    </row>
    <row r="105" spans="1:13">
      <c r="A105" s="570" t="str">
        <f t="shared" si="23"/>
        <v>T3614</v>
      </c>
      <c r="C105" s="953" t="str">
        <f t="shared" si="13"/>
        <v>T36</v>
      </c>
      <c r="D105" s="953" t="str">
        <f t="shared" si="14"/>
        <v>D1</v>
      </c>
      <c r="E105" s="953">
        <f t="shared" si="15"/>
        <v>14</v>
      </c>
      <c r="F105" s="953">
        <f t="shared" si="16"/>
        <v>-1.1900000000000001E-4</v>
      </c>
      <c r="G105" s="953">
        <f t="shared" si="17"/>
        <v>3.9999999999999998E-6</v>
      </c>
      <c r="H105" s="953">
        <f t="shared" si="18"/>
        <v>0</v>
      </c>
      <c r="I105" s="953">
        <f t="shared" si="19"/>
        <v>0</v>
      </c>
      <c r="J105" s="953">
        <f t="shared" si="20"/>
        <v>0</v>
      </c>
      <c r="K105" s="953">
        <f t="shared" si="21"/>
        <v>6.7000000000000002E-5</v>
      </c>
      <c r="L105" s="570" t="str">
        <f t="shared" si="22"/>
        <v>Modal 14</v>
      </c>
      <c r="M105" s="570">
        <f t="shared" si="24"/>
        <v>14</v>
      </c>
    </row>
    <row r="106" spans="1:13">
      <c r="A106" s="570" t="str">
        <f t="shared" si="23"/>
        <v>T3615</v>
      </c>
      <c r="C106" s="953" t="str">
        <f t="shared" si="13"/>
        <v>T36</v>
      </c>
      <c r="D106" s="953" t="str">
        <f t="shared" si="14"/>
        <v>D1</v>
      </c>
      <c r="E106" s="953">
        <f t="shared" si="15"/>
        <v>15</v>
      </c>
      <c r="F106" s="953">
        <f t="shared" si="16"/>
        <v>-2.4000000000000001E-5</v>
      </c>
      <c r="G106" s="953">
        <f t="shared" si="17"/>
        <v>3.1000000000000001E-5</v>
      </c>
      <c r="H106" s="953">
        <f t="shared" si="18"/>
        <v>0</v>
      </c>
      <c r="I106" s="953">
        <f t="shared" si="19"/>
        <v>0</v>
      </c>
      <c r="J106" s="953">
        <f t="shared" si="20"/>
        <v>0</v>
      </c>
      <c r="K106" s="953">
        <f t="shared" si="21"/>
        <v>3.0000000000000001E-6</v>
      </c>
      <c r="L106" s="570" t="str">
        <f t="shared" si="22"/>
        <v>Modal 15</v>
      </c>
      <c r="M106" s="570">
        <f t="shared" si="24"/>
        <v>15</v>
      </c>
    </row>
    <row r="107" spans="1:13">
      <c r="A107" s="570" t="str">
        <f t="shared" si="23"/>
        <v>T3616</v>
      </c>
      <c r="C107" s="953" t="str">
        <f t="shared" si="13"/>
        <v>T36</v>
      </c>
      <c r="D107" s="953" t="str">
        <f t="shared" si="14"/>
        <v>D1</v>
      </c>
      <c r="E107" s="953">
        <f t="shared" si="15"/>
        <v>16</v>
      </c>
      <c r="F107" s="953">
        <f t="shared" si="16"/>
        <v>2.7500000000000002E-4</v>
      </c>
      <c r="G107" s="953">
        <f t="shared" si="17"/>
        <v>5.1E-5</v>
      </c>
      <c r="H107" s="953">
        <f t="shared" si="18"/>
        <v>0</v>
      </c>
      <c r="I107" s="953">
        <f t="shared" si="19"/>
        <v>0</v>
      </c>
      <c r="J107" s="953">
        <f t="shared" si="20"/>
        <v>0</v>
      </c>
      <c r="K107" s="953">
        <f t="shared" si="21"/>
        <v>-1.25E-4</v>
      </c>
      <c r="L107" s="570" t="str">
        <f t="shared" si="22"/>
        <v>Modal 16</v>
      </c>
      <c r="M107" s="570">
        <f t="shared" si="24"/>
        <v>16</v>
      </c>
    </row>
    <row r="108" spans="1:13">
      <c r="A108" s="570" t="str">
        <f t="shared" si="23"/>
        <v>T3617</v>
      </c>
      <c r="C108" s="953" t="str">
        <f t="shared" si="13"/>
        <v>T36</v>
      </c>
      <c r="D108" s="953" t="str">
        <f t="shared" si="14"/>
        <v>D1</v>
      </c>
      <c r="E108" s="953">
        <f t="shared" si="15"/>
        <v>17</v>
      </c>
      <c r="F108" s="953">
        <f t="shared" si="16"/>
        <v>8.1000000000000004E-5</v>
      </c>
      <c r="G108" s="953">
        <f t="shared" si="17"/>
        <v>2.3E-5</v>
      </c>
      <c r="H108" s="953">
        <f t="shared" si="18"/>
        <v>0</v>
      </c>
      <c r="I108" s="953">
        <f t="shared" si="19"/>
        <v>0</v>
      </c>
      <c r="J108" s="953">
        <f t="shared" si="20"/>
        <v>0</v>
      </c>
      <c r="K108" s="953">
        <f t="shared" si="21"/>
        <v>2.3E-5</v>
      </c>
      <c r="L108" s="570" t="str">
        <f t="shared" si="22"/>
        <v>Modal 17</v>
      </c>
      <c r="M108" s="570">
        <f t="shared" si="24"/>
        <v>17</v>
      </c>
    </row>
    <row r="109" spans="1:13">
      <c r="A109" s="570" t="str">
        <f t="shared" si="23"/>
        <v>T3618</v>
      </c>
      <c r="C109" s="953" t="str">
        <f t="shared" si="13"/>
        <v>T36</v>
      </c>
      <c r="D109" s="953" t="str">
        <f t="shared" si="14"/>
        <v>D1</v>
      </c>
      <c r="E109" s="953">
        <f t="shared" si="15"/>
        <v>18</v>
      </c>
      <c r="F109" s="953">
        <f t="shared" si="16"/>
        <v>-1.9699999999999999E-4</v>
      </c>
      <c r="G109" s="953">
        <f t="shared" si="17"/>
        <v>1.565E-3</v>
      </c>
      <c r="H109" s="953">
        <f t="shared" si="18"/>
        <v>0</v>
      </c>
      <c r="I109" s="953">
        <f t="shared" si="19"/>
        <v>0</v>
      </c>
      <c r="J109" s="953">
        <f t="shared" si="20"/>
        <v>0</v>
      </c>
      <c r="K109" s="953">
        <f t="shared" si="21"/>
        <v>3.0000000000000001E-5</v>
      </c>
      <c r="L109" s="570" t="str">
        <f t="shared" si="22"/>
        <v>Modal 18</v>
      </c>
      <c r="M109" s="570">
        <f t="shared" si="24"/>
        <v>18</v>
      </c>
    </row>
    <row r="110" spans="1:13">
      <c r="A110" s="570" t="str">
        <f t="shared" si="23"/>
        <v>T3619</v>
      </c>
      <c r="C110" s="953" t="str">
        <f t="shared" si="13"/>
        <v>T36</v>
      </c>
      <c r="D110" s="953" t="str">
        <f t="shared" si="14"/>
        <v>D1</v>
      </c>
      <c r="E110" s="953">
        <f t="shared" si="15"/>
        <v>19</v>
      </c>
      <c r="F110" s="953">
        <f t="shared" si="16"/>
        <v>1.0900000000000001E-4</v>
      </c>
      <c r="G110" s="953">
        <f t="shared" si="17"/>
        <v>2.72E-4</v>
      </c>
      <c r="H110" s="953">
        <f t="shared" si="18"/>
        <v>0</v>
      </c>
      <c r="I110" s="953">
        <f t="shared" si="19"/>
        <v>0</v>
      </c>
      <c r="J110" s="953">
        <f t="shared" si="20"/>
        <v>0</v>
      </c>
      <c r="K110" s="953">
        <f t="shared" si="21"/>
        <v>-1.76E-4</v>
      </c>
      <c r="L110" s="570" t="str">
        <f t="shared" si="22"/>
        <v>Modal 19</v>
      </c>
      <c r="M110" s="570">
        <f t="shared" si="24"/>
        <v>19</v>
      </c>
    </row>
    <row r="111" spans="1:13">
      <c r="A111" s="570" t="str">
        <f t="shared" si="23"/>
        <v>T3620</v>
      </c>
      <c r="C111" s="953" t="str">
        <f t="shared" si="13"/>
        <v>T36</v>
      </c>
      <c r="D111" s="953" t="str">
        <f t="shared" si="14"/>
        <v>D1</v>
      </c>
      <c r="E111" s="953">
        <f t="shared" si="15"/>
        <v>20</v>
      </c>
      <c r="F111" s="953">
        <f t="shared" si="16"/>
        <v>1.459E-3</v>
      </c>
      <c r="G111" s="953">
        <f t="shared" si="17"/>
        <v>3.6999999999999998E-5</v>
      </c>
      <c r="H111" s="953">
        <f t="shared" si="18"/>
        <v>0</v>
      </c>
      <c r="I111" s="953">
        <f t="shared" si="19"/>
        <v>0</v>
      </c>
      <c r="J111" s="953">
        <f t="shared" si="20"/>
        <v>0</v>
      </c>
      <c r="K111" s="953">
        <f t="shared" si="21"/>
        <v>-3.8000000000000002E-5</v>
      </c>
      <c r="L111" s="570" t="str">
        <f t="shared" si="22"/>
        <v>Modal 20</v>
      </c>
      <c r="M111" s="570">
        <f t="shared" si="24"/>
        <v>20</v>
      </c>
    </row>
    <row r="112" spans="1:13">
      <c r="A112" s="570" t="str">
        <f t="shared" si="23"/>
        <v>T3621</v>
      </c>
      <c r="C112" s="953" t="str">
        <f t="shared" si="13"/>
        <v>T36</v>
      </c>
      <c r="D112" s="953" t="str">
        <f t="shared" si="14"/>
        <v>D1</v>
      </c>
      <c r="E112" s="953">
        <f t="shared" si="15"/>
        <v>21</v>
      </c>
      <c r="F112" s="953">
        <f t="shared" si="16"/>
        <v>3.4299999999999999E-4</v>
      </c>
      <c r="G112" s="953">
        <f t="shared" si="17"/>
        <v>-2.7650000000000001E-3</v>
      </c>
      <c r="H112" s="953">
        <f t="shared" si="18"/>
        <v>0</v>
      </c>
      <c r="I112" s="953">
        <f t="shared" si="19"/>
        <v>0</v>
      </c>
      <c r="J112" s="953">
        <f t="shared" si="20"/>
        <v>0</v>
      </c>
      <c r="K112" s="953">
        <f t="shared" si="21"/>
        <v>-3.6000000000000001E-5</v>
      </c>
      <c r="L112" s="570" t="str">
        <f t="shared" si="22"/>
        <v>Modal 21</v>
      </c>
      <c r="M112" s="570">
        <f t="shared" si="24"/>
        <v>21</v>
      </c>
    </row>
    <row r="113" spans="1:13">
      <c r="A113" s="570" t="str">
        <f t="shared" si="23"/>
        <v>T3622</v>
      </c>
      <c r="C113" s="953" t="str">
        <f t="shared" si="13"/>
        <v>T36</v>
      </c>
      <c r="D113" s="953" t="str">
        <f t="shared" si="14"/>
        <v>D1</v>
      </c>
      <c r="E113" s="953">
        <f t="shared" si="15"/>
        <v>22</v>
      </c>
      <c r="F113" s="953">
        <f t="shared" si="16"/>
        <v>2.8530000000000001E-3</v>
      </c>
      <c r="G113" s="953">
        <f t="shared" si="17"/>
        <v>-2.33E-4</v>
      </c>
      <c r="H113" s="953">
        <f t="shared" si="18"/>
        <v>0</v>
      </c>
      <c r="I113" s="953">
        <f t="shared" si="19"/>
        <v>0</v>
      </c>
      <c r="J113" s="953">
        <f t="shared" si="20"/>
        <v>0</v>
      </c>
      <c r="K113" s="953">
        <f t="shared" si="21"/>
        <v>-1.4100000000000001E-4</v>
      </c>
      <c r="L113" s="570" t="str">
        <f t="shared" si="22"/>
        <v>Modal 22</v>
      </c>
      <c r="M113" s="570">
        <f t="shared" si="24"/>
        <v>22</v>
      </c>
    </row>
    <row r="114" spans="1:13">
      <c r="A114" s="570" t="str">
        <f t="shared" si="23"/>
        <v>T3623</v>
      </c>
      <c r="C114" s="953" t="str">
        <f t="shared" si="13"/>
        <v>T36</v>
      </c>
      <c r="D114" s="953" t="str">
        <f t="shared" si="14"/>
        <v>D1</v>
      </c>
      <c r="E114" s="953">
        <f t="shared" si="15"/>
        <v>23</v>
      </c>
      <c r="F114" s="953">
        <f t="shared" si="16"/>
        <v>9.1000000000000003E-5</v>
      </c>
      <c r="G114" s="953">
        <f t="shared" si="17"/>
        <v>-2.3010000000000001E-3</v>
      </c>
      <c r="H114" s="953">
        <f t="shared" si="18"/>
        <v>0</v>
      </c>
      <c r="I114" s="953">
        <f t="shared" si="19"/>
        <v>0</v>
      </c>
      <c r="J114" s="953">
        <f t="shared" si="20"/>
        <v>0</v>
      </c>
      <c r="K114" s="953">
        <f t="shared" si="21"/>
        <v>-1.03E-4</v>
      </c>
      <c r="L114" s="570" t="str">
        <f t="shared" si="22"/>
        <v>Modal 23</v>
      </c>
      <c r="M114" s="570">
        <f t="shared" si="24"/>
        <v>23</v>
      </c>
    </row>
    <row r="115" spans="1:13">
      <c r="A115" s="570" t="str">
        <f t="shared" si="23"/>
        <v>T3624</v>
      </c>
      <c r="C115" s="953" t="str">
        <f t="shared" si="13"/>
        <v>T36</v>
      </c>
      <c r="D115" s="953" t="str">
        <f t="shared" si="14"/>
        <v>D1</v>
      </c>
      <c r="E115" s="953">
        <f t="shared" si="15"/>
        <v>24</v>
      </c>
      <c r="F115" s="953">
        <f t="shared" si="16"/>
        <v>-1.439E-3</v>
      </c>
      <c r="G115" s="953">
        <f t="shared" si="17"/>
        <v>-1.7830000000000001E-3</v>
      </c>
      <c r="H115" s="953">
        <f t="shared" si="18"/>
        <v>0</v>
      </c>
      <c r="I115" s="953">
        <f t="shared" si="19"/>
        <v>0</v>
      </c>
      <c r="J115" s="953">
        <f t="shared" si="20"/>
        <v>0</v>
      </c>
      <c r="K115" s="953">
        <f t="shared" si="21"/>
        <v>1.4200000000000001E-4</v>
      </c>
      <c r="L115" s="570" t="str">
        <f t="shared" si="22"/>
        <v>Modal 24</v>
      </c>
      <c r="M115" s="570">
        <f t="shared" si="24"/>
        <v>24</v>
      </c>
    </row>
    <row r="116" spans="1:13">
      <c r="A116" s="570" t="str">
        <f t="shared" si="23"/>
        <v>T3625</v>
      </c>
      <c r="C116" s="953" t="str">
        <f t="shared" si="13"/>
        <v>T36</v>
      </c>
      <c r="D116" s="953" t="str">
        <f t="shared" si="14"/>
        <v>D1</v>
      </c>
      <c r="E116" s="953">
        <f t="shared" si="15"/>
        <v>25</v>
      </c>
      <c r="F116" s="953">
        <f t="shared" si="16"/>
        <v>-9.1699999999999995E-4</v>
      </c>
      <c r="G116" s="953">
        <f t="shared" si="17"/>
        <v>-1.2290000000000001E-3</v>
      </c>
      <c r="H116" s="953">
        <f t="shared" si="18"/>
        <v>0</v>
      </c>
      <c r="I116" s="953">
        <f t="shared" si="19"/>
        <v>0</v>
      </c>
      <c r="J116" s="953">
        <f t="shared" si="20"/>
        <v>0</v>
      </c>
      <c r="K116" s="953">
        <f t="shared" si="21"/>
        <v>-5.3000000000000001E-5</v>
      </c>
      <c r="L116" s="570" t="str">
        <f t="shared" si="22"/>
        <v>Modal 25</v>
      </c>
      <c r="M116" s="570">
        <f t="shared" si="24"/>
        <v>25</v>
      </c>
    </row>
    <row r="117" spans="1:13">
      <c r="A117" s="570" t="str">
        <f t="shared" si="23"/>
        <v>T3626</v>
      </c>
      <c r="C117" s="953" t="str">
        <f t="shared" si="13"/>
        <v>T36</v>
      </c>
      <c r="D117" s="953" t="str">
        <f t="shared" si="14"/>
        <v>D1</v>
      </c>
      <c r="E117" s="953">
        <f t="shared" si="15"/>
        <v>26</v>
      </c>
      <c r="F117" s="953">
        <f t="shared" si="16"/>
        <v>2.4800000000000001E-4</v>
      </c>
      <c r="G117" s="953">
        <f t="shared" si="17"/>
        <v>1.983E-3</v>
      </c>
      <c r="H117" s="953">
        <f t="shared" si="18"/>
        <v>0</v>
      </c>
      <c r="I117" s="953">
        <f t="shared" si="19"/>
        <v>0</v>
      </c>
      <c r="J117" s="953">
        <f t="shared" si="20"/>
        <v>0</v>
      </c>
      <c r="K117" s="953">
        <f t="shared" si="21"/>
        <v>-6.7999999999999999E-5</v>
      </c>
      <c r="L117" s="570" t="str">
        <f t="shared" si="22"/>
        <v>Modal 26</v>
      </c>
      <c r="M117" s="570">
        <f t="shared" si="24"/>
        <v>26</v>
      </c>
    </row>
    <row r="118" spans="1:13">
      <c r="A118" s="570" t="str">
        <f t="shared" si="23"/>
        <v>T3627</v>
      </c>
      <c r="C118" s="953" t="str">
        <f t="shared" si="13"/>
        <v>T36</v>
      </c>
      <c r="D118" s="953" t="str">
        <f t="shared" si="14"/>
        <v>D1</v>
      </c>
      <c r="E118" s="953">
        <f t="shared" si="15"/>
        <v>27</v>
      </c>
      <c r="F118" s="953">
        <f t="shared" si="16"/>
        <v>-8.3900000000000001E-4</v>
      </c>
      <c r="G118" s="953">
        <f t="shared" si="17"/>
        <v>-6.1399999999999996E-4</v>
      </c>
      <c r="H118" s="953">
        <f t="shared" si="18"/>
        <v>0</v>
      </c>
      <c r="I118" s="953">
        <f t="shared" si="19"/>
        <v>0</v>
      </c>
      <c r="J118" s="953">
        <f t="shared" si="20"/>
        <v>0</v>
      </c>
      <c r="K118" s="953">
        <f t="shared" si="21"/>
        <v>-4.6999999999999997E-5</v>
      </c>
      <c r="L118" s="570" t="str">
        <f t="shared" si="22"/>
        <v>Modal 27</v>
      </c>
      <c r="M118" s="570">
        <f t="shared" si="24"/>
        <v>27</v>
      </c>
    </row>
    <row r="119" spans="1:13">
      <c r="A119" s="570" t="str">
        <f t="shared" si="23"/>
        <v>T3628</v>
      </c>
      <c r="C119" s="953" t="str">
        <f t="shared" si="13"/>
        <v>T36</v>
      </c>
      <c r="D119" s="953" t="str">
        <f t="shared" si="14"/>
        <v>D1</v>
      </c>
      <c r="E119" s="953">
        <f t="shared" si="15"/>
        <v>28</v>
      </c>
      <c r="F119" s="953">
        <f t="shared" si="16"/>
        <v>2.9E-5</v>
      </c>
      <c r="G119" s="953">
        <f t="shared" si="17"/>
        <v>1.621E-3</v>
      </c>
      <c r="H119" s="953">
        <f t="shared" si="18"/>
        <v>0</v>
      </c>
      <c r="I119" s="953">
        <f t="shared" si="19"/>
        <v>0</v>
      </c>
      <c r="J119" s="953">
        <f t="shared" si="20"/>
        <v>0</v>
      </c>
      <c r="K119" s="953">
        <f t="shared" si="21"/>
        <v>-4.6E-5</v>
      </c>
      <c r="L119" s="570" t="str">
        <f t="shared" si="22"/>
        <v>Modal 28</v>
      </c>
      <c r="M119" s="570">
        <f t="shared" si="24"/>
        <v>28</v>
      </c>
    </row>
    <row r="120" spans="1:13">
      <c r="A120" s="570" t="str">
        <f t="shared" si="23"/>
        <v>T3629</v>
      </c>
      <c r="C120" s="953" t="str">
        <f t="shared" si="13"/>
        <v>T36</v>
      </c>
      <c r="D120" s="953" t="str">
        <f t="shared" si="14"/>
        <v>D1</v>
      </c>
      <c r="E120" s="953">
        <f t="shared" si="15"/>
        <v>29</v>
      </c>
      <c r="F120" s="953">
        <f t="shared" si="16"/>
        <v>7.3399999999999995E-4</v>
      </c>
      <c r="G120" s="953">
        <f t="shared" si="17"/>
        <v>1.6899999999999999E-4</v>
      </c>
      <c r="H120" s="953">
        <f t="shared" si="18"/>
        <v>0</v>
      </c>
      <c r="I120" s="953">
        <f t="shared" si="19"/>
        <v>0</v>
      </c>
      <c r="J120" s="953">
        <f t="shared" si="20"/>
        <v>0</v>
      </c>
      <c r="K120" s="953">
        <f t="shared" si="21"/>
        <v>5.0000000000000002E-5</v>
      </c>
      <c r="L120" s="570" t="str">
        <f t="shared" si="22"/>
        <v>Modal 29</v>
      </c>
      <c r="M120" s="570">
        <f t="shared" si="24"/>
        <v>29</v>
      </c>
    </row>
    <row r="121" spans="1:13">
      <c r="A121" s="570" t="str">
        <f t="shared" si="23"/>
        <v>T3630</v>
      </c>
      <c r="C121" s="953" t="str">
        <f t="shared" si="13"/>
        <v>T36</v>
      </c>
      <c r="D121" s="953" t="str">
        <f t="shared" si="14"/>
        <v>D1</v>
      </c>
      <c r="E121" s="953">
        <f t="shared" si="15"/>
        <v>30</v>
      </c>
      <c r="F121" s="953">
        <f t="shared" si="16"/>
        <v>-8.7999999999999998E-5</v>
      </c>
      <c r="G121" s="953">
        <f t="shared" si="17"/>
        <v>-1.4250000000000001E-3</v>
      </c>
      <c r="H121" s="953">
        <f t="shared" si="18"/>
        <v>0</v>
      </c>
      <c r="I121" s="953">
        <f t="shared" si="19"/>
        <v>0</v>
      </c>
      <c r="J121" s="953">
        <f t="shared" si="20"/>
        <v>0</v>
      </c>
      <c r="K121" s="953">
        <f t="shared" si="21"/>
        <v>3.1000000000000001E-5</v>
      </c>
      <c r="L121" s="570" t="str">
        <f t="shared" si="22"/>
        <v>Modal 30</v>
      </c>
      <c r="M121" s="570">
        <f t="shared" si="24"/>
        <v>30</v>
      </c>
    </row>
    <row r="122" spans="1:13">
      <c r="A122" s="570" t="str">
        <f t="shared" si="23"/>
        <v>T351</v>
      </c>
      <c r="C122" s="953" t="str">
        <f t="shared" si="13"/>
        <v>T35</v>
      </c>
      <c r="D122" s="953" t="str">
        <f t="shared" si="14"/>
        <v>D1</v>
      </c>
      <c r="E122" s="953">
        <f t="shared" si="15"/>
        <v>1</v>
      </c>
      <c r="F122" s="953">
        <f t="shared" si="16"/>
        <v>-1.214E-3</v>
      </c>
      <c r="G122" s="953">
        <f t="shared" si="17"/>
        <v>6.241E-3</v>
      </c>
      <c r="H122" s="953">
        <f t="shared" si="18"/>
        <v>0</v>
      </c>
      <c r="I122" s="953">
        <f t="shared" si="19"/>
        <v>0</v>
      </c>
      <c r="J122" s="953">
        <f t="shared" si="20"/>
        <v>0</v>
      </c>
      <c r="K122" s="953">
        <f t="shared" si="21"/>
        <v>4.8999999999999998E-5</v>
      </c>
      <c r="L122" s="570" t="str">
        <f t="shared" si="22"/>
        <v>Modal 1</v>
      </c>
      <c r="M122" s="570">
        <f t="shared" si="24"/>
        <v>1</v>
      </c>
    </row>
    <row r="123" spans="1:13">
      <c r="A123" s="570" t="str">
        <f t="shared" si="23"/>
        <v>T352</v>
      </c>
      <c r="C123" s="953" t="str">
        <f t="shared" si="13"/>
        <v>T35</v>
      </c>
      <c r="D123" s="953" t="str">
        <f t="shared" si="14"/>
        <v>D1</v>
      </c>
      <c r="E123" s="953">
        <f t="shared" si="15"/>
        <v>2</v>
      </c>
      <c r="F123" s="953">
        <f t="shared" si="16"/>
        <v>-8.4999999999999995E-4</v>
      </c>
      <c r="G123" s="953">
        <f t="shared" si="17"/>
        <v>-1.286E-3</v>
      </c>
      <c r="H123" s="953">
        <f t="shared" si="18"/>
        <v>0</v>
      </c>
      <c r="I123" s="953">
        <f t="shared" si="19"/>
        <v>0</v>
      </c>
      <c r="J123" s="953">
        <f t="shared" si="20"/>
        <v>0</v>
      </c>
      <c r="K123" s="953">
        <f t="shared" si="21"/>
        <v>2.8299999999999999E-4</v>
      </c>
      <c r="L123" s="570" t="str">
        <f t="shared" si="22"/>
        <v>Modal 2</v>
      </c>
      <c r="M123" s="570">
        <f t="shared" si="24"/>
        <v>2</v>
      </c>
    </row>
    <row r="124" spans="1:13">
      <c r="A124" s="570" t="str">
        <f t="shared" si="23"/>
        <v>T353</v>
      </c>
      <c r="C124" s="953" t="str">
        <f t="shared" si="13"/>
        <v>T35</v>
      </c>
      <c r="D124" s="953" t="str">
        <f t="shared" si="14"/>
        <v>D1</v>
      </c>
      <c r="E124" s="953">
        <f t="shared" si="15"/>
        <v>3</v>
      </c>
      <c r="F124" s="953">
        <f t="shared" si="16"/>
        <v>6.1089999999999998E-3</v>
      </c>
      <c r="G124" s="953">
        <f t="shared" si="17"/>
        <v>9.6299999999999999E-4</v>
      </c>
      <c r="H124" s="953">
        <f t="shared" si="18"/>
        <v>0</v>
      </c>
      <c r="I124" s="953">
        <f t="shared" si="19"/>
        <v>0</v>
      </c>
      <c r="J124" s="953">
        <f t="shared" si="20"/>
        <v>0</v>
      </c>
      <c r="K124" s="953">
        <f t="shared" si="21"/>
        <v>4.8999999999999998E-5</v>
      </c>
      <c r="L124" s="570" t="str">
        <f t="shared" si="22"/>
        <v>Modal 3</v>
      </c>
      <c r="M124" s="570">
        <f t="shared" si="24"/>
        <v>3</v>
      </c>
    </row>
    <row r="125" spans="1:13">
      <c r="A125" s="570" t="str">
        <f t="shared" si="23"/>
        <v>T354</v>
      </c>
      <c r="C125" s="953" t="str">
        <f t="shared" si="13"/>
        <v>T35</v>
      </c>
      <c r="D125" s="953" t="str">
        <f t="shared" si="14"/>
        <v>D1</v>
      </c>
      <c r="E125" s="953">
        <f t="shared" si="15"/>
        <v>4</v>
      </c>
      <c r="F125" s="953">
        <f t="shared" si="16"/>
        <v>6.1200000000000002E-4</v>
      </c>
      <c r="G125" s="953">
        <f t="shared" si="17"/>
        <v>-1.7E-5</v>
      </c>
      <c r="H125" s="953">
        <f t="shared" si="18"/>
        <v>0</v>
      </c>
      <c r="I125" s="953">
        <f t="shared" si="19"/>
        <v>0</v>
      </c>
      <c r="J125" s="953">
        <f t="shared" si="20"/>
        <v>0</v>
      </c>
      <c r="K125" s="953">
        <f t="shared" si="21"/>
        <v>-2.2800000000000001E-4</v>
      </c>
      <c r="L125" s="570" t="str">
        <f t="shared" si="22"/>
        <v>Modal 4</v>
      </c>
      <c r="M125" s="570">
        <f t="shared" si="24"/>
        <v>4</v>
      </c>
    </row>
    <row r="126" spans="1:13">
      <c r="A126" s="570" t="str">
        <f t="shared" si="23"/>
        <v>T355</v>
      </c>
      <c r="C126" s="953" t="str">
        <f t="shared" si="13"/>
        <v>T35</v>
      </c>
      <c r="D126" s="953" t="str">
        <f t="shared" si="14"/>
        <v>D1</v>
      </c>
      <c r="E126" s="953">
        <f t="shared" si="15"/>
        <v>5</v>
      </c>
      <c r="F126" s="953">
        <f t="shared" si="16"/>
        <v>-4.6900000000000002E-4</v>
      </c>
      <c r="G126" s="953">
        <f t="shared" si="17"/>
        <v>4.2339999999999999E-3</v>
      </c>
      <c r="H126" s="953">
        <f t="shared" si="18"/>
        <v>0</v>
      </c>
      <c r="I126" s="953">
        <f t="shared" si="19"/>
        <v>0</v>
      </c>
      <c r="J126" s="953">
        <f t="shared" si="20"/>
        <v>0</v>
      </c>
      <c r="K126" s="953">
        <f t="shared" si="21"/>
        <v>-6.0000000000000002E-6</v>
      </c>
      <c r="L126" s="570" t="str">
        <f t="shared" si="22"/>
        <v>Modal 5</v>
      </c>
      <c r="M126" s="570">
        <f t="shared" si="24"/>
        <v>5</v>
      </c>
    </row>
    <row r="127" spans="1:13">
      <c r="A127" s="570" t="str">
        <f t="shared" si="23"/>
        <v>T356</v>
      </c>
      <c r="C127" s="953" t="str">
        <f t="shared" si="13"/>
        <v>T35</v>
      </c>
      <c r="D127" s="953" t="str">
        <f t="shared" si="14"/>
        <v>D1</v>
      </c>
      <c r="E127" s="953">
        <f t="shared" si="15"/>
        <v>6</v>
      </c>
      <c r="F127" s="953">
        <f t="shared" si="16"/>
        <v>4.411E-3</v>
      </c>
      <c r="G127" s="953">
        <f t="shared" si="17"/>
        <v>5.7300000000000005E-4</v>
      </c>
      <c r="H127" s="953">
        <f t="shared" si="18"/>
        <v>0</v>
      </c>
      <c r="I127" s="953">
        <f t="shared" si="19"/>
        <v>0</v>
      </c>
      <c r="J127" s="953">
        <f t="shared" si="20"/>
        <v>0</v>
      </c>
      <c r="K127" s="953">
        <f t="shared" si="21"/>
        <v>2.8E-5</v>
      </c>
      <c r="L127" s="570" t="str">
        <f t="shared" si="22"/>
        <v>Modal 6</v>
      </c>
      <c r="M127" s="570">
        <f t="shared" si="24"/>
        <v>6</v>
      </c>
    </row>
    <row r="128" spans="1:13">
      <c r="A128" s="570" t="str">
        <f t="shared" si="23"/>
        <v>T357</v>
      </c>
      <c r="C128" s="953" t="str">
        <f t="shared" si="13"/>
        <v>T35</v>
      </c>
      <c r="D128" s="953" t="str">
        <f t="shared" si="14"/>
        <v>D1</v>
      </c>
      <c r="E128" s="953">
        <f t="shared" si="15"/>
        <v>7</v>
      </c>
      <c r="F128" s="953">
        <f t="shared" si="16"/>
        <v>1.9699999999999999E-4</v>
      </c>
      <c r="G128" s="953">
        <f t="shared" si="17"/>
        <v>-3.9999999999999998E-6</v>
      </c>
      <c r="H128" s="953">
        <f t="shared" si="18"/>
        <v>0</v>
      </c>
      <c r="I128" s="953">
        <f t="shared" si="19"/>
        <v>0</v>
      </c>
      <c r="J128" s="953">
        <f t="shared" si="20"/>
        <v>0</v>
      </c>
      <c r="K128" s="953">
        <f t="shared" si="21"/>
        <v>-1.36E-4</v>
      </c>
      <c r="L128" s="570" t="str">
        <f t="shared" si="22"/>
        <v>Modal 7</v>
      </c>
      <c r="M128" s="570">
        <f t="shared" si="24"/>
        <v>7</v>
      </c>
    </row>
    <row r="129" spans="1:13">
      <c r="A129" s="570" t="str">
        <f t="shared" si="23"/>
        <v>T358</v>
      </c>
      <c r="C129" s="953" t="str">
        <f t="shared" si="13"/>
        <v>T35</v>
      </c>
      <c r="D129" s="953" t="str">
        <f t="shared" si="14"/>
        <v>D1</v>
      </c>
      <c r="E129" s="953">
        <f t="shared" si="15"/>
        <v>8</v>
      </c>
      <c r="F129" s="953">
        <f t="shared" si="16"/>
        <v>1.8599999999999999E-4</v>
      </c>
      <c r="G129" s="953">
        <f t="shared" si="17"/>
        <v>-2.1930000000000001E-3</v>
      </c>
      <c r="H129" s="953">
        <f t="shared" si="18"/>
        <v>0</v>
      </c>
      <c r="I129" s="953">
        <f t="shared" si="19"/>
        <v>0</v>
      </c>
      <c r="J129" s="953">
        <f t="shared" si="20"/>
        <v>0</v>
      </c>
      <c r="K129" s="953">
        <f t="shared" si="21"/>
        <v>1.9999999999999999E-6</v>
      </c>
      <c r="L129" s="570" t="str">
        <f t="shared" si="22"/>
        <v>Modal 8</v>
      </c>
      <c r="M129" s="570">
        <f t="shared" si="24"/>
        <v>8</v>
      </c>
    </row>
    <row r="130" spans="1:13">
      <c r="A130" s="570" t="str">
        <f t="shared" si="23"/>
        <v>T359</v>
      </c>
      <c r="C130" s="953" t="str">
        <f t="shared" ref="C130:C193" si="25">IF(Etabs="Etabs 9.7.4",IF(INDEX(Mode_1,ROW($E130),COLUMN(A$1))&lt;&gt;"",INDEX(Mode_1,ROW($E130),COLUMN(A$1)),""),IF(Etabs="Etabs 2013 trở lên",IF(INDEX(Mode_2,ROW($E132),COLUMN(A$1))&lt;&gt;"",INDEX(Mode_2,ROW($E132),COLUMN(A$1)),""),""))</f>
        <v>T35</v>
      </c>
      <c r="D130" s="953" t="str">
        <f t="shared" ref="D130:D193" si="26">IF(Etabs="Etabs 9.7.4",IF(INDEX(Mode_1,ROW($E130),COLUMN(B$1))&lt;&gt;"",INDEX(Mode_1,ROW($E130),COLUMN(B$1)),""),IF(Etabs="Etabs 2013 trở lên",IF(INDEX(Mode_2,ROW($E132),COLUMN(B$1))&lt;&gt;"",INDEX(Mode_2,ROW($E132),COLUMN(B$1)),""),""))</f>
        <v>D1</v>
      </c>
      <c r="E130" s="953">
        <f t="shared" ref="E130:E193" si="27">IF(Etabs="Etabs 9.7.4",IF(INDEX(Mode_1,ROW($E130),COLUMN(C$1))&lt;&gt;"",INDEX(Mode_1,ROW($E130),COLUMN(C$1)),""),IF(Etabs="Etabs 2013 trở lên",$M130,""))</f>
        <v>9</v>
      </c>
      <c r="F130" s="953">
        <f t="shared" ref="F130:F193" si="28">IF(Etabs="Etabs 9.7.4",IF(INDEX(Mode_1,ROW($E130),COLUMN(D$1))&lt;&gt;"",INDEX(Mode_1,ROW($E130),COLUMN(D$1)),""),IF(Etabs="Etabs 2013 trở lên",IF(INDEX(Mode_2,ROW($E132),COLUMN(D$1))&lt;&gt;"",INDEX(Mode_2,ROW($E132),COLUMN(D$1)),""),""))</f>
        <v>2.3599999999999999E-4</v>
      </c>
      <c r="G130" s="953">
        <f t="shared" ref="G130:G193" si="29">IF(Etabs="Etabs 9.7.4",IF(INDEX(Mode_1,ROW($E130),COLUMN(E$1))&lt;&gt;"",INDEX(Mode_1,ROW($E130),COLUMN(E$1)),""),IF(Etabs="Etabs 2013 trở lên",IF(INDEX(Mode_2,ROW($E132),COLUMN(E$1))&lt;&gt;"",INDEX(Mode_2,ROW($E132),COLUMN(E$1)),""),""))</f>
        <v>1.5E-5</v>
      </c>
      <c r="H130" s="953">
        <f t="shared" ref="H130:H193" si="30">IF(Etabs="Etabs 9.7.4",IF(INDEX(Mode_1,ROW($E130),COLUMN(F$1))&lt;&gt;"",INDEX(Mode_1,ROW($E130),COLUMN(F$1)),""),IF(Etabs="Etabs 2013 trở lên",0,""))</f>
        <v>0</v>
      </c>
      <c r="I130" s="953">
        <f t="shared" ref="I130:I193" si="31">IF(Etabs="Etabs 9.7.4",IF(INDEX(Mode_1,ROW($E130),COLUMN(G$1))&lt;&gt;"",INDEX(Mode_1,ROW($E130),COLUMN(G$1)),""),IF(Etabs="Etabs 2013 trở lên",0,""))</f>
        <v>0</v>
      </c>
      <c r="J130" s="953">
        <f t="shared" ref="J130:J193" si="32">IF(Etabs="Etabs 9.7.4",IF(INDEX(Mode_1,ROW($E130),COLUMN(H$1))&lt;&gt;"",INDEX(Mode_1,ROW($E130),COLUMN(H$1)),""),IF(Etabs="Etabs 2013 trở lên",0,""))</f>
        <v>0</v>
      </c>
      <c r="K130" s="953">
        <f t="shared" ref="K130:K193" si="33">IF(Etabs="Etabs 9.7.4",IF(INDEX(Mode_1,ROW($E130),COLUMN(I$1))&lt;&gt;"",INDEX(Mode_1,ROW($E130),COLUMN(I$1)),""),IF(Etabs="Etabs 2013 trở lên",IF(INDEX(Mode_2,ROW($E132),COLUMN(F$1))&lt;&gt;"",INDEX(Mode_2,ROW($E132),COLUMN(F$1)),""),""))</f>
        <v>-2.0000000000000002E-5</v>
      </c>
      <c r="L130" s="570" t="str">
        <f t="shared" ref="L130:L193" si="34">IF(Etabs="Etabs 9.7.4",IF(INDEX(Mode_1,ROW($E130),COLUMN(C$1))&lt;&gt;"",INDEX(Mode_1,ROW($E130),COLUMN(C$1)),""),IF(Etabs="Etabs 2013 trở lên",IF(INDEX(Mode_2,ROW($E132),COLUMN(C$1))&lt;&gt;"",INDEX(Mode_2,ROW($E132),COLUMN(C$1)),""),""))</f>
        <v>Modal 9</v>
      </c>
      <c r="M130" s="570">
        <f t="shared" si="24"/>
        <v>9</v>
      </c>
    </row>
    <row r="131" spans="1:13">
      <c r="A131" s="570" t="str">
        <f t="shared" ref="A131:A194" si="35">C131&amp;E131</f>
        <v>T3510</v>
      </c>
      <c r="C131" s="953" t="str">
        <f t="shared" si="25"/>
        <v>T35</v>
      </c>
      <c r="D131" s="953" t="str">
        <f t="shared" si="26"/>
        <v>D1</v>
      </c>
      <c r="E131" s="953">
        <f t="shared" si="27"/>
        <v>10</v>
      </c>
      <c r="F131" s="953">
        <f t="shared" si="28"/>
        <v>-2.3240000000000001E-3</v>
      </c>
      <c r="G131" s="953">
        <f t="shared" si="29"/>
        <v>-2.5099999999999998E-4</v>
      </c>
      <c r="H131" s="953">
        <f t="shared" si="30"/>
        <v>0</v>
      </c>
      <c r="I131" s="953">
        <f t="shared" si="31"/>
        <v>0</v>
      </c>
      <c r="J131" s="953">
        <f t="shared" si="32"/>
        <v>0</v>
      </c>
      <c r="K131" s="953">
        <f t="shared" si="33"/>
        <v>-1.8E-5</v>
      </c>
      <c r="L131" s="570" t="str">
        <f t="shared" si="34"/>
        <v>Modal 10</v>
      </c>
      <c r="M131" s="570">
        <f t="shared" ref="M131:M194" si="36">IFERROR(VALUE(RIGHT(L131,LEN(L131)-6)),"")</f>
        <v>10</v>
      </c>
    </row>
    <row r="132" spans="1:13">
      <c r="A132" s="570" t="str">
        <f t="shared" si="35"/>
        <v>T3511</v>
      </c>
      <c r="C132" s="953" t="str">
        <f t="shared" si="25"/>
        <v>T35</v>
      </c>
      <c r="D132" s="953" t="str">
        <f t="shared" si="26"/>
        <v>D1</v>
      </c>
      <c r="E132" s="953">
        <f t="shared" si="27"/>
        <v>11</v>
      </c>
      <c r="F132" s="953">
        <f t="shared" si="28"/>
        <v>1.73E-4</v>
      </c>
      <c r="G132" s="953">
        <f t="shared" si="29"/>
        <v>3.6000000000000001E-5</v>
      </c>
      <c r="H132" s="953">
        <f t="shared" si="30"/>
        <v>0</v>
      </c>
      <c r="I132" s="953">
        <f t="shared" si="31"/>
        <v>0</v>
      </c>
      <c r="J132" s="953">
        <f t="shared" si="32"/>
        <v>0</v>
      </c>
      <c r="K132" s="953">
        <f t="shared" si="33"/>
        <v>-8.1000000000000004E-5</v>
      </c>
      <c r="L132" s="570" t="str">
        <f t="shared" si="34"/>
        <v>Modal 11</v>
      </c>
      <c r="M132" s="570">
        <f t="shared" si="36"/>
        <v>11</v>
      </c>
    </row>
    <row r="133" spans="1:13">
      <c r="A133" s="570" t="str">
        <f t="shared" si="35"/>
        <v>T3512</v>
      </c>
      <c r="C133" s="953" t="str">
        <f t="shared" si="25"/>
        <v>T35</v>
      </c>
      <c r="D133" s="953" t="str">
        <f t="shared" si="26"/>
        <v>D1</v>
      </c>
      <c r="E133" s="953">
        <f t="shared" si="27"/>
        <v>12</v>
      </c>
      <c r="F133" s="953">
        <f t="shared" si="28"/>
        <v>9.2999999999999997E-5</v>
      </c>
      <c r="G133" s="953">
        <f t="shared" si="29"/>
        <v>-8.5000000000000006E-5</v>
      </c>
      <c r="H133" s="953">
        <f t="shared" si="30"/>
        <v>0</v>
      </c>
      <c r="I133" s="953">
        <f t="shared" si="31"/>
        <v>0</v>
      </c>
      <c r="J133" s="953">
        <f t="shared" si="32"/>
        <v>0</v>
      </c>
      <c r="K133" s="953">
        <f t="shared" si="33"/>
        <v>-3.0000000000000001E-5</v>
      </c>
      <c r="L133" s="570" t="str">
        <f t="shared" si="34"/>
        <v>Modal 12</v>
      </c>
      <c r="M133" s="570">
        <f t="shared" si="36"/>
        <v>12</v>
      </c>
    </row>
    <row r="134" spans="1:13">
      <c r="A134" s="570" t="str">
        <f t="shared" si="35"/>
        <v>T3513</v>
      </c>
      <c r="C134" s="953" t="str">
        <f t="shared" si="25"/>
        <v>T35</v>
      </c>
      <c r="D134" s="953" t="str">
        <f t="shared" si="26"/>
        <v>D1</v>
      </c>
      <c r="E134" s="953">
        <f t="shared" si="27"/>
        <v>13</v>
      </c>
      <c r="F134" s="953">
        <f t="shared" si="28"/>
        <v>-7.7999999999999999E-5</v>
      </c>
      <c r="G134" s="953">
        <f t="shared" si="29"/>
        <v>-2.3E-5</v>
      </c>
      <c r="H134" s="953">
        <f t="shared" si="30"/>
        <v>0</v>
      </c>
      <c r="I134" s="953">
        <f t="shared" si="31"/>
        <v>0</v>
      </c>
      <c r="J134" s="953">
        <f t="shared" si="32"/>
        <v>0</v>
      </c>
      <c r="K134" s="953">
        <f t="shared" si="33"/>
        <v>9.9999999999999995E-7</v>
      </c>
      <c r="L134" s="570" t="str">
        <f t="shared" si="34"/>
        <v>Modal 13</v>
      </c>
      <c r="M134" s="570">
        <f t="shared" si="36"/>
        <v>13</v>
      </c>
    </row>
    <row r="135" spans="1:13">
      <c r="A135" s="570" t="str">
        <f t="shared" si="35"/>
        <v>T3514</v>
      </c>
      <c r="C135" s="953" t="str">
        <f t="shared" si="25"/>
        <v>T35</v>
      </c>
      <c r="D135" s="953" t="str">
        <f t="shared" si="26"/>
        <v>D1</v>
      </c>
      <c r="E135" s="953">
        <f t="shared" si="27"/>
        <v>14</v>
      </c>
      <c r="F135" s="953">
        <f t="shared" si="28"/>
        <v>-3.48E-4</v>
      </c>
      <c r="G135" s="953">
        <f t="shared" si="29"/>
        <v>-5.1999999999999997E-5</v>
      </c>
      <c r="H135" s="953">
        <f t="shared" si="30"/>
        <v>0</v>
      </c>
      <c r="I135" s="953">
        <f t="shared" si="31"/>
        <v>0</v>
      </c>
      <c r="J135" s="953">
        <f t="shared" si="32"/>
        <v>0</v>
      </c>
      <c r="K135" s="953">
        <f t="shared" si="33"/>
        <v>1.7000000000000001E-4</v>
      </c>
      <c r="L135" s="570" t="str">
        <f t="shared" si="34"/>
        <v>Modal 14</v>
      </c>
      <c r="M135" s="570">
        <f t="shared" si="36"/>
        <v>14</v>
      </c>
    </row>
    <row r="136" spans="1:13">
      <c r="A136" s="570" t="str">
        <f t="shared" si="35"/>
        <v>T3515</v>
      </c>
      <c r="C136" s="953" t="str">
        <f t="shared" si="25"/>
        <v>T35</v>
      </c>
      <c r="D136" s="953" t="str">
        <f t="shared" si="26"/>
        <v>D1</v>
      </c>
      <c r="E136" s="953">
        <f t="shared" si="27"/>
        <v>15</v>
      </c>
      <c r="F136" s="953">
        <f t="shared" si="28"/>
        <v>-2.1900000000000001E-4</v>
      </c>
      <c r="G136" s="953">
        <f t="shared" si="29"/>
        <v>2.098E-3</v>
      </c>
      <c r="H136" s="953">
        <f t="shared" si="30"/>
        <v>0</v>
      </c>
      <c r="I136" s="953">
        <f t="shared" si="31"/>
        <v>0</v>
      </c>
      <c r="J136" s="953">
        <f t="shared" si="32"/>
        <v>0</v>
      </c>
      <c r="K136" s="953">
        <f t="shared" si="33"/>
        <v>5.0000000000000004E-6</v>
      </c>
      <c r="L136" s="570" t="str">
        <f t="shared" si="34"/>
        <v>Modal 15</v>
      </c>
      <c r="M136" s="570">
        <f t="shared" si="36"/>
        <v>15</v>
      </c>
    </row>
    <row r="137" spans="1:13">
      <c r="A137" s="570" t="str">
        <f t="shared" si="35"/>
        <v>T3516</v>
      </c>
      <c r="C137" s="953" t="str">
        <f t="shared" si="25"/>
        <v>T35</v>
      </c>
      <c r="D137" s="953" t="str">
        <f t="shared" si="26"/>
        <v>D1</v>
      </c>
      <c r="E137" s="953">
        <f t="shared" si="27"/>
        <v>16</v>
      </c>
      <c r="F137" s="953">
        <f t="shared" si="28"/>
        <v>1.83E-4</v>
      </c>
      <c r="G137" s="953">
        <f t="shared" si="29"/>
        <v>1.11E-4</v>
      </c>
      <c r="H137" s="953">
        <f t="shared" si="30"/>
        <v>0</v>
      </c>
      <c r="I137" s="953">
        <f t="shared" si="31"/>
        <v>0</v>
      </c>
      <c r="J137" s="953">
        <f t="shared" si="32"/>
        <v>0</v>
      </c>
      <c r="K137" s="953">
        <f t="shared" si="33"/>
        <v>-2.14E-4</v>
      </c>
      <c r="L137" s="570" t="str">
        <f t="shared" si="34"/>
        <v>Modal 16</v>
      </c>
      <c r="M137" s="570">
        <f t="shared" si="36"/>
        <v>16</v>
      </c>
    </row>
    <row r="138" spans="1:13">
      <c r="A138" s="570" t="str">
        <f t="shared" si="35"/>
        <v>T3517</v>
      </c>
      <c r="C138" s="953" t="str">
        <f t="shared" si="25"/>
        <v>T35</v>
      </c>
      <c r="D138" s="953" t="str">
        <f t="shared" si="26"/>
        <v>D1</v>
      </c>
      <c r="E138" s="953">
        <f t="shared" si="27"/>
        <v>17</v>
      </c>
      <c r="F138" s="953">
        <f t="shared" si="28"/>
        <v>-1.97E-3</v>
      </c>
      <c r="G138" s="953">
        <f t="shared" si="29"/>
        <v>-1.6699999999999999E-4</v>
      </c>
      <c r="H138" s="953">
        <f t="shared" si="30"/>
        <v>0</v>
      </c>
      <c r="I138" s="953">
        <f t="shared" si="31"/>
        <v>0</v>
      </c>
      <c r="J138" s="953">
        <f t="shared" si="32"/>
        <v>0</v>
      </c>
      <c r="K138" s="953">
        <f t="shared" si="33"/>
        <v>2.3E-5</v>
      </c>
      <c r="L138" s="570" t="str">
        <f t="shared" si="34"/>
        <v>Modal 17</v>
      </c>
      <c r="M138" s="570">
        <f t="shared" si="36"/>
        <v>17</v>
      </c>
    </row>
    <row r="139" spans="1:13">
      <c r="A139" s="570" t="str">
        <f t="shared" si="35"/>
        <v>T3518</v>
      </c>
      <c r="C139" s="953" t="str">
        <f t="shared" si="25"/>
        <v>T35</v>
      </c>
      <c r="D139" s="953" t="str">
        <f t="shared" si="26"/>
        <v>D1</v>
      </c>
      <c r="E139" s="953">
        <f t="shared" si="27"/>
        <v>18</v>
      </c>
      <c r="F139" s="953">
        <f t="shared" si="28"/>
        <v>-3.5500000000000001E-4</v>
      </c>
      <c r="G139" s="953">
        <f t="shared" si="29"/>
        <v>3.6250000000000002E-3</v>
      </c>
      <c r="H139" s="953">
        <f t="shared" si="30"/>
        <v>0</v>
      </c>
      <c r="I139" s="953">
        <f t="shared" si="31"/>
        <v>0</v>
      </c>
      <c r="J139" s="953">
        <f t="shared" si="32"/>
        <v>0</v>
      </c>
      <c r="K139" s="953">
        <f t="shared" si="33"/>
        <v>4.1999999999999998E-5</v>
      </c>
      <c r="L139" s="570" t="str">
        <f t="shared" si="34"/>
        <v>Modal 18</v>
      </c>
      <c r="M139" s="570">
        <f t="shared" si="36"/>
        <v>18</v>
      </c>
    </row>
    <row r="140" spans="1:13">
      <c r="A140" s="570" t="str">
        <f t="shared" si="35"/>
        <v>T3519</v>
      </c>
      <c r="C140" s="953" t="str">
        <f t="shared" si="25"/>
        <v>T35</v>
      </c>
      <c r="D140" s="953" t="str">
        <f t="shared" si="26"/>
        <v>D1</v>
      </c>
      <c r="E140" s="953">
        <f t="shared" si="27"/>
        <v>19</v>
      </c>
      <c r="F140" s="953">
        <f t="shared" si="28"/>
        <v>-8.2000000000000001E-5</v>
      </c>
      <c r="G140" s="953">
        <f t="shared" si="29"/>
        <v>6.69E-4</v>
      </c>
      <c r="H140" s="953">
        <f t="shared" si="30"/>
        <v>0</v>
      </c>
      <c r="I140" s="953">
        <f t="shared" si="31"/>
        <v>0</v>
      </c>
      <c r="J140" s="953">
        <f t="shared" si="32"/>
        <v>0</v>
      </c>
      <c r="K140" s="953">
        <f t="shared" si="33"/>
        <v>-2.3900000000000001E-4</v>
      </c>
      <c r="L140" s="570" t="str">
        <f t="shared" si="34"/>
        <v>Modal 19</v>
      </c>
      <c r="M140" s="570">
        <f t="shared" si="36"/>
        <v>19</v>
      </c>
    </row>
    <row r="141" spans="1:13">
      <c r="A141" s="570" t="str">
        <f t="shared" si="35"/>
        <v>T3520</v>
      </c>
      <c r="C141" s="953" t="str">
        <f t="shared" si="25"/>
        <v>T35</v>
      </c>
      <c r="D141" s="953" t="str">
        <f t="shared" si="26"/>
        <v>D1</v>
      </c>
      <c r="E141" s="953">
        <f t="shared" si="27"/>
        <v>20</v>
      </c>
      <c r="F141" s="953">
        <f t="shared" si="28"/>
        <v>3.5339999999999998E-3</v>
      </c>
      <c r="G141" s="953">
        <f t="shared" si="29"/>
        <v>1.84E-4</v>
      </c>
      <c r="H141" s="953">
        <f t="shared" si="30"/>
        <v>0</v>
      </c>
      <c r="I141" s="953">
        <f t="shared" si="31"/>
        <v>0</v>
      </c>
      <c r="J141" s="953">
        <f t="shared" si="32"/>
        <v>0</v>
      </c>
      <c r="K141" s="953">
        <f t="shared" si="33"/>
        <v>-3.4999999999999997E-5</v>
      </c>
      <c r="L141" s="570" t="str">
        <f t="shared" si="34"/>
        <v>Modal 20</v>
      </c>
      <c r="M141" s="570">
        <f t="shared" si="36"/>
        <v>20</v>
      </c>
    </row>
    <row r="142" spans="1:13">
      <c r="A142" s="570" t="str">
        <f t="shared" si="35"/>
        <v>T3521</v>
      </c>
      <c r="C142" s="953" t="str">
        <f t="shared" si="25"/>
        <v>T35</v>
      </c>
      <c r="D142" s="953" t="str">
        <f t="shared" si="26"/>
        <v>D1</v>
      </c>
      <c r="E142" s="953">
        <f t="shared" si="27"/>
        <v>21</v>
      </c>
      <c r="F142" s="953">
        <f t="shared" si="28"/>
        <v>4.37E-4</v>
      </c>
      <c r="G142" s="953">
        <f t="shared" si="29"/>
        <v>-4.5500000000000002E-3</v>
      </c>
      <c r="H142" s="953">
        <f t="shared" si="30"/>
        <v>0</v>
      </c>
      <c r="I142" s="953">
        <f t="shared" si="31"/>
        <v>0</v>
      </c>
      <c r="J142" s="953">
        <f t="shared" si="32"/>
        <v>0</v>
      </c>
      <c r="K142" s="953">
        <f t="shared" si="33"/>
        <v>-4.1999999999999998E-5</v>
      </c>
      <c r="L142" s="570" t="str">
        <f t="shared" si="34"/>
        <v>Modal 21</v>
      </c>
      <c r="M142" s="570">
        <f t="shared" si="36"/>
        <v>21</v>
      </c>
    </row>
    <row r="143" spans="1:13">
      <c r="A143" s="570" t="str">
        <f t="shared" si="35"/>
        <v>T3522</v>
      </c>
      <c r="C143" s="953" t="str">
        <f t="shared" si="25"/>
        <v>T35</v>
      </c>
      <c r="D143" s="953" t="str">
        <f t="shared" si="26"/>
        <v>D1</v>
      </c>
      <c r="E143" s="953">
        <f t="shared" si="27"/>
        <v>22</v>
      </c>
      <c r="F143" s="953">
        <f t="shared" si="28"/>
        <v>4.4320000000000002E-3</v>
      </c>
      <c r="G143" s="953">
        <f t="shared" si="29"/>
        <v>-1.6899999999999999E-4</v>
      </c>
      <c r="H143" s="953">
        <f t="shared" si="30"/>
        <v>0</v>
      </c>
      <c r="I143" s="953">
        <f t="shared" si="31"/>
        <v>0</v>
      </c>
      <c r="J143" s="953">
        <f t="shared" si="32"/>
        <v>0</v>
      </c>
      <c r="K143" s="953">
        <f t="shared" si="33"/>
        <v>-1.4200000000000001E-4</v>
      </c>
      <c r="L143" s="570" t="str">
        <f t="shared" si="34"/>
        <v>Modal 22</v>
      </c>
      <c r="M143" s="570">
        <f t="shared" si="36"/>
        <v>22</v>
      </c>
    </row>
    <row r="144" spans="1:13">
      <c r="A144" s="570" t="str">
        <f t="shared" si="35"/>
        <v>T3523</v>
      </c>
      <c r="C144" s="953" t="str">
        <f t="shared" si="25"/>
        <v>T35</v>
      </c>
      <c r="D144" s="953" t="str">
        <f t="shared" si="26"/>
        <v>D1</v>
      </c>
      <c r="E144" s="953">
        <f t="shared" si="27"/>
        <v>23</v>
      </c>
      <c r="F144" s="953">
        <f t="shared" si="28"/>
        <v>-4.4099999999999999E-4</v>
      </c>
      <c r="G144" s="953">
        <f t="shared" si="29"/>
        <v>-3.15E-3</v>
      </c>
      <c r="H144" s="953">
        <f t="shared" si="30"/>
        <v>0</v>
      </c>
      <c r="I144" s="953">
        <f t="shared" si="31"/>
        <v>0</v>
      </c>
      <c r="J144" s="953">
        <f t="shared" si="32"/>
        <v>0</v>
      </c>
      <c r="K144" s="953">
        <f t="shared" si="33"/>
        <v>-1.12E-4</v>
      </c>
      <c r="L144" s="570" t="str">
        <f t="shared" si="34"/>
        <v>Modal 23</v>
      </c>
      <c r="M144" s="570">
        <f t="shared" si="36"/>
        <v>23</v>
      </c>
    </row>
    <row r="145" spans="1:13">
      <c r="A145" s="570" t="str">
        <f t="shared" si="35"/>
        <v>T3524</v>
      </c>
      <c r="C145" s="953" t="str">
        <f t="shared" si="25"/>
        <v>T35</v>
      </c>
      <c r="D145" s="953" t="str">
        <f t="shared" si="26"/>
        <v>D1</v>
      </c>
      <c r="E145" s="953">
        <f t="shared" si="27"/>
        <v>24</v>
      </c>
      <c r="F145" s="953">
        <f t="shared" si="28"/>
        <v>-1.5939999999999999E-3</v>
      </c>
      <c r="G145" s="953">
        <f t="shared" si="29"/>
        <v>-2.5539999999999998E-3</v>
      </c>
      <c r="H145" s="953">
        <f t="shared" si="30"/>
        <v>0</v>
      </c>
      <c r="I145" s="953">
        <f t="shared" si="31"/>
        <v>0</v>
      </c>
      <c r="J145" s="953">
        <f t="shared" si="32"/>
        <v>0</v>
      </c>
      <c r="K145" s="953">
        <f t="shared" si="33"/>
        <v>1.4300000000000001E-4</v>
      </c>
      <c r="L145" s="570" t="str">
        <f t="shared" si="34"/>
        <v>Modal 24</v>
      </c>
      <c r="M145" s="570">
        <f t="shared" si="36"/>
        <v>24</v>
      </c>
    </row>
    <row r="146" spans="1:13">
      <c r="A146" s="570" t="str">
        <f t="shared" si="35"/>
        <v>T3525</v>
      </c>
      <c r="C146" s="953" t="str">
        <f t="shared" si="25"/>
        <v>T35</v>
      </c>
      <c r="D146" s="953" t="str">
        <f t="shared" si="26"/>
        <v>D1</v>
      </c>
      <c r="E146" s="953">
        <f t="shared" si="27"/>
        <v>25</v>
      </c>
      <c r="F146" s="953">
        <f t="shared" si="28"/>
        <v>-1.6609999999999999E-3</v>
      </c>
      <c r="G146" s="953">
        <f t="shared" si="29"/>
        <v>-1.4940000000000001E-3</v>
      </c>
      <c r="H146" s="953">
        <f t="shared" si="30"/>
        <v>0</v>
      </c>
      <c r="I146" s="953">
        <f t="shared" si="31"/>
        <v>0</v>
      </c>
      <c r="J146" s="953">
        <f t="shared" si="32"/>
        <v>0</v>
      </c>
      <c r="K146" s="953">
        <f t="shared" si="33"/>
        <v>-6.0999999999999999E-5</v>
      </c>
      <c r="L146" s="570" t="str">
        <f t="shared" si="34"/>
        <v>Modal 25</v>
      </c>
      <c r="M146" s="570">
        <f t="shared" si="36"/>
        <v>25</v>
      </c>
    </row>
    <row r="147" spans="1:13">
      <c r="A147" s="570" t="str">
        <f t="shared" si="35"/>
        <v>T3526</v>
      </c>
      <c r="C147" s="953" t="str">
        <f t="shared" si="25"/>
        <v>T35</v>
      </c>
      <c r="D147" s="953" t="str">
        <f t="shared" si="26"/>
        <v>D1</v>
      </c>
      <c r="E147" s="953">
        <f t="shared" si="27"/>
        <v>26</v>
      </c>
      <c r="F147" s="953">
        <f t="shared" si="28"/>
        <v>2.5999999999999998E-5</v>
      </c>
      <c r="G147" s="953">
        <f t="shared" si="29"/>
        <v>2.5119999999999999E-3</v>
      </c>
      <c r="H147" s="953">
        <f t="shared" si="30"/>
        <v>0</v>
      </c>
      <c r="I147" s="953">
        <f t="shared" si="31"/>
        <v>0</v>
      </c>
      <c r="J147" s="953">
        <f t="shared" si="32"/>
        <v>0</v>
      </c>
      <c r="K147" s="953">
        <f t="shared" si="33"/>
        <v>-6.7000000000000002E-5</v>
      </c>
      <c r="L147" s="570" t="str">
        <f t="shared" si="34"/>
        <v>Modal 26</v>
      </c>
      <c r="M147" s="570">
        <f t="shared" si="36"/>
        <v>26</v>
      </c>
    </row>
    <row r="148" spans="1:13">
      <c r="A148" s="570" t="str">
        <f t="shared" si="35"/>
        <v>T3527</v>
      </c>
      <c r="C148" s="953" t="str">
        <f t="shared" si="25"/>
        <v>T35</v>
      </c>
      <c r="D148" s="953" t="str">
        <f t="shared" si="26"/>
        <v>D1</v>
      </c>
      <c r="E148" s="953">
        <f t="shared" si="27"/>
        <v>27</v>
      </c>
      <c r="F148" s="953">
        <f t="shared" si="28"/>
        <v>-1.3940000000000001E-3</v>
      </c>
      <c r="G148" s="953">
        <f t="shared" si="29"/>
        <v>-6.6399999999999999E-4</v>
      </c>
      <c r="H148" s="953">
        <f t="shared" si="30"/>
        <v>0</v>
      </c>
      <c r="I148" s="953">
        <f t="shared" si="31"/>
        <v>0</v>
      </c>
      <c r="J148" s="953">
        <f t="shared" si="32"/>
        <v>0</v>
      </c>
      <c r="K148" s="953">
        <f t="shared" si="33"/>
        <v>-5.3999999999999998E-5</v>
      </c>
      <c r="L148" s="570" t="str">
        <f t="shared" si="34"/>
        <v>Modal 27</v>
      </c>
      <c r="M148" s="570">
        <f t="shared" si="36"/>
        <v>27</v>
      </c>
    </row>
    <row r="149" spans="1:13">
      <c r="A149" s="570" t="str">
        <f t="shared" si="35"/>
        <v>T3528</v>
      </c>
      <c r="C149" s="953" t="str">
        <f t="shared" si="25"/>
        <v>T35</v>
      </c>
      <c r="D149" s="953" t="str">
        <f t="shared" si="26"/>
        <v>D1</v>
      </c>
      <c r="E149" s="953">
        <f t="shared" si="27"/>
        <v>28</v>
      </c>
      <c r="F149" s="953">
        <f t="shared" si="28"/>
        <v>-1.55E-4</v>
      </c>
      <c r="G149" s="953">
        <f t="shared" si="29"/>
        <v>1.936E-3</v>
      </c>
      <c r="H149" s="953">
        <f t="shared" si="30"/>
        <v>0</v>
      </c>
      <c r="I149" s="953">
        <f t="shared" si="31"/>
        <v>0</v>
      </c>
      <c r="J149" s="953">
        <f t="shared" si="32"/>
        <v>0</v>
      </c>
      <c r="K149" s="953">
        <f t="shared" si="33"/>
        <v>-4.3999999999999999E-5</v>
      </c>
      <c r="L149" s="570" t="str">
        <f t="shared" si="34"/>
        <v>Modal 28</v>
      </c>
      <c r="M149" s="570">
        <f t="shared" si="36"/>
        <v>28</v>
      </c>
    </row>
    <row r="150" spans="1:13">
      <c r="A150" s="570" t="str">
        <f t="shared" si="35"/>
        <v>T3529</v>
      </c>
      <c r="C150" s="953" t="str">
        <f t="shared" si="25"/>
        <v>T35</v>
      </c>
      <c r="D150" s="953" t="str">
        <f t="shared" si="26"/>
        <v>D1</v>
      </c>
      <c r="E150" s="953">
        <f t="shared" si="27"/>
        <v>29</v>
      </c>
      <c r="F150" s="953">
        <f t="shared" si="28"/>
        <v>1.201E-3</v>
      </c>
      <c r="G150" s="953">
        <f t="shared" si="29"/>
        <v>1.2999999999999999E-4</v>
      </c>
      <c r="H150" s="953">
        <f t="shared" si="30"/>
        <v>0</v>
      </c>
      <c r="I150" s="953">
        <f t="shared" si="31"/>
        <v>0</v>
      </c>
      <c r="J150" s="953">
        <f t="shared" si="32"/>
        <v>0</v>
      </c>
      <c r="K150" s="953">
        <f t="shared" si="33"/>
        <v>5.5999999999999999E-5</v>
      </c>
      <c r="L150" s="570" t="str">
        <f t="shared" si="34"/>
        <v>Modal 29</v>
      </c>
      <c r="M150" s="570">
        <f t="shared" si="36"/>
        <v>29</v>
      </c>
    </row>
    <row r="151" spans="1:13">
      <c r="A151" s="570" t="str">
        <f t="shared" si="35"/>
        <v>T3530</v>
      </c>
      <c r="C151" s="953" t="str">
        <f t="shared" si="25"/>
        <v>T35</v>
      </c>
      <c r="D151" s="953" t="str">
        <f t="shared" si="26"/>
        <v>D1</v>
      </c>
      <c r="E151" s="953">
        <f t="shared" si="27"/>
        <v>30</v>
      </c>
      <c r="F151" s="953">
        <f t="shared" si="28"/>
        <v>-9.0000000000000002E-6</v>
      </c>
      <c r="G151" s="953">
        <f t="shared" si="29"/>
        <v>-1.652E-3</v>
      </c>
      <c r="H151" s="953">
        <f t="shared" si="30"/>
        <v>0</v>
      </c>
      <c r="I151" s="953">
        <f t="shared" si="31"/>
        <v>0</v>
      </c>
      <c r="J151" s="953">
        <f t="shared" si="32"/>
        <v>0</v>
      </c>
      <c r="K151" s="953">
        <f t="shared" si="33"/>
        <v>2.9E-5</v>
      </c>
      <c r="L151" s="570" t="str">
        <f t="shared" si="34"/>
        <v>Modal 30</v>
      </c>
      <c r="M151" s="570">
        <f t="shared" si="36"/>
        <v>30</v>
      </c>
    </row>
    <row r="152" spans="1:13">
      <c r="A152" s="570" t="str">
        <f t="shared" si="35"/>
        <v>T341</v>
      </c>
      <c r="C152" s="953" t="str">
        <f t="shared" si="25"/>
        <v>T34</v>
      </c>
      <c r="D152" s="953" t="str">
        <f t="shared" si="26"/>
        <v>D1</v>
      </c>
      <c r="E152" s="953">
        <f t="shared" si="27"/>
        <v>1</v>
      </c>
      <c r="F152" s="953">
        <f t="shared" si="28"/>
        <v>-1.1770000000000001E-3</v>
      </c>
      <c r="G152" s="953">
        <f t="shared" si="29"/>
        <v>6.0549999999999996E-3</v>
      </c>
      <c r="H152" s="953">
        <f t="shared" si="30"/>
        <v>0</v>
      </c>
      <c r="I152" s="953">
        <f t="shared" si="31"/>
        <v>0</v>
      </c>
      <c r="J152" s="953">
        <f t="shared" si="32"/>
        <v>0</v>
      </c>
      <c r="K152" s="953">
        <f t="shared" si="33"/>
        <v>4.8000000000000001E-5</v>
      </c>
      <c r="L152" s="570" t="str">
        <f t="shared" si="34"/>
        <v>Modal 1</v>
      </c>
      <c r="M152" s="570">
        <f t="shared" si="36"/>
        <v>1</v>
      </c>
    </row>
    <row r="153" spans="1:13">
      <c r="A153" s="570" t="str">
        <f t="shared" si="35"/>
        <v>T342</v>
      </c>
      <c r="C153" s="953" t="str">
        <f t="shared" si="25"/>
        <v>T34</v>
      </c>
      <c r="D153" s="953" t="str">
        <f t="shared" si="26"/>
        <v>D1</v>
      </c>
      <c r="E153" s="953">
        <f t="shared" si="27"/>
        <v>2</v>
      </c>
      <c r="F153" s="953">
        <f t="shared" si="28"/>
        <v>-8.3500000000000002E-4</v>
      </c>
      <c r="G153" s="953">
        <f t="shared" si="29"/>
        <v>-1.2489999999999999E-3</v>
      </c>
      <c r="H153" s="953">
        <f t="shared" si="30"/>
        <v>0</v>
      </c>
      <c r="I153" s="953">
        <f t="shared" si="31"/>
        <v>0</v>
      </c>
      <c r="J153" s="953">
        <f t="shared" si="32"/>
        <v>0</v>
      </c>
      <c r="K153" s="953">
        <f t="shared" si="33"/>
        <v>2.7799999999999998E-4</v>
      </c>
      <c r="L153" s="570" t="str">
        <f t="shared" si="34"/>
        <v>Modal 2</v>
      </c>
      <c r="M153" s="570">
        <f t="shared" si="36"/>
        <v>2</v>
      </c>
    </row>
    <row r="154" spans="1:13">
      <c r="A154" s="570" t="str">
        <f t="shared" si="35"/>
        <v>T343</v>
      </c>
      <c r="C154" s="953" t="str">
        <f t="shared" si="25"/>
        <v>T34</v>
      </c>
      <c r="D154" s="953" t="str">
        <f t="shared" si="26"/>
        <v>D1</v>
      </c>
      <c r="E154" s="953">
        <f t="shared" si="27"/>
        <v>3</v>
      </c>
      <c r="F154" s="953">
        <f t="shared" si="28"/>
        <v>5.9589999999999999E-3</v>
      </c>
      <c r="G154" s="953">
        <f t="shared" si="29"/>
        <v>9.4499999999999998E-4</v>
      </c>
      <c r="H154" s="953">
        <f t="shared" si="30"/>
        <v>0</v>
      </c>
      <c r="I154" s="953">
        <f t="shared" si="31"/>
        <v>0</v>
      </c>
      <c r="J154" s="953">
        <f t="shared" si="32"/>
        <v>0</v>
      </c>
      <c r="K154" s="953">
        <f t="shared" si="33"/>
        <v>4.8000000000000001E-5</v>
      </c>
      <c r="L154" s="570" t="str">
        <f t="shared" si="34"/>
        <v>Modal 3</v>
      </c>
      <c r="M154" s="570">
        <f t="shared" si="36"/>
        <v>3</v>
      </c>
    </row>
    <row r="155" spans="1:13">
      <c r="A155" s="570" t="str">
        <f t="shared" si="35"/>
        <v>T344</v>
      </c>
      <c r="C155" s="953" t="str">
        <f t="shared" si="25"/>
        <v>T34</v>
      </c>
      <c r="D155" s="953" t="str">
        <f t="shared" si="26"/>
        <v>D1</v>
      </c>
      <c r="E155" s="953">
        <f t="shared" si="27"/>
        <v>4</v>
      </c>
      <c r="F155" s="953">
        <f t="shared" si="28"/>
        <v>5.22E-4</v>
      </c>
      <c r="G155" s="953">
        <f t="shared" si="29"/>
        <v>-1.2E-5</v>
      </c>
      <c r="H155" s="953">
        <f t="shared" si="30"/>
        <v>0</v>
      </c>
      <c r="I155" s="953">
        <f t="shared" si="31"/>
        <v>0</v>
      </c>
      <c r="J155" s="953">
        <f t="shared" si="32"/>
        <v>0</v>
      </c>
      <c r="K155" s="953">
        <f t="shared" si="33"/>
        <v>-2.0000000000000001E-4</v>
      </c>
      <c r="L155" s="570" t="str">
        <f t="shared" si="34"/>
        <v>Modal 4</v>
      </c>
      <c r="M155" s="570">
        <f t="shared" si="36"/>
        <v>4</v>
      </c>
    </row>
    <row r="156" spans="1:13">
      <c r="A156" s="570" t="str">
        <f t="shared" si="35"/>
        <v>T345</v>
      </c>
      <c r="C156" s="953" t="str">
        <f t="shared" si="25"/>
        <v>T34</v>
      </c>
      <c r="D156" s="953" t="str">
        <f t="shared" si="26"/>
        <v>D1</v>
      </c>
      <c r="E156" s="953">
        <f t="shared" si="27"/>
        <v>5</v>
      </c>
      <c r="F156" s="953">
        <f t="shared" si="28"/>
        <v>-3.77E-4</v>
      </c>
      <c r="G156" s="953">
        <f t="shared" si="29"/>
        <v>3.5019999999999999E-3</v>
      </c>
      <c r="H156" s="953">
        <f t="shared" si="30"/>
        <v>0</v>
      </c>
      <c r="I156" s="953">
        <f t="shared" si="31"/>
        <v>0</v>
      </c>
      <c r="J156" s="953">
        <f t="shared" si="32"/>
        <v>0</v>
      </c>
      <c r="K156" s="953">
        <f t="shared" si="33"/>
        <v>-5.0000000000000004E-6</v>
      </c>
      <c r="L156" s="570" t="str">
        <f t="shared" si="34"/>
        <v>Modal 5</v>
      </c>
      <c r="M156" s="570">
        <f t="shared" si="36"/>
        <v>5</v>
      </c>
    </row>
    <row r="157" spans="1:13">
      <c r="A157" s="570" t="str">
        <f t="shared" si="35"/>
        <v>T346</v>
      </c>
      <c r="C157" s="953" t="str">
        <f t="shared" si="25"/>
        <v>T34</v>
      </c>
      <c r="D157" s="953" t="str">
        <f t="shared" si="26"/>
        <v>D1</v>
      </c>
      <c r="E157" s="953">
        <f t="shared" si="27"/>
        <v>6</v>
      </c>
      <c r="F157" s="953">
        <f t="shared" si="28"/>
        <v>3.7190000000000001E-3</v>
      </c>
      <c r="G157" s="953">
        <f t="shared" si="29"/>
        <v>4.9399999999999997E-4</v>
      </c>
      <c r="H157" s="953">
        <f t="shared" si="30"/>
        <v>0</v>
      </c>
      <c r="I157" s="953">
        <f t="shared" si="31"/>
        <v>0</v>
      </c>
      <c r="J157" s="953">
        <f t="shared" si="32"/>
        <v>0</v>
      </c>
      <c r="K157" s="953">
        <f t="shared" si="33"/>
        <v>2.5000000000000001E-5</v>
      </c>
      <c r="L157" s="570" t="str">
        <f t="shared" si="34"/>
        <v>Modal 6</v>
      </c>
      <c r="M157" s="570">
        <f t="shared" si="36"/>
        <v>6</v>
      </c>
    </row>
    <row r="158" spans="1:13">
      <c r="A158" s="570" t="str">
        <f t="shared" si="35"/>
        <v>T347</v>
      </c>
      <c r="C158" s="953" t="str">
        <f t="shared" si="25"/>
        <v>T34</v>
      </c>
      <c r="D158" s="953" t="str">
        <f t="shared" si="26"/>
        <v>D1</v>
      </c>
      <c r="E158" s="953">
        <f t="shared" si="27"/>
        <v>7</v>
      </c>
      <c r="F158" s="953">
        <f t="shared" si="28"/>
        <v>6.7999999999999999E-5</v>
      </c>
      <c r="G158" s="953">
        <f t="shared" si="29"/>
        <v>-6.9999999999999999E-6</v>
      </c>
      <c r="H158" s="953">
        <f t="shared" si="30"/>
        <v>0</v>
      </c>
      <c r="I158" s="953">
        <f t="shared" si="31"/>
        <v>0</v>
      </c>
      <c r="J158" s="953">
        <f t="shared" si="32"/>
        <v>0</v>
      </c>
      <c r="K158" s="953">
        <f t="shared" si="33"/>
        <v>-7.7999999999999999E-5</v>
      </c>
      <c r="L158" s="570" t="str">
        <f t="shared" si="34"/>
        <v>Modal 7</v>
      </c>
      <c r="M158" s="570">
        <f t="shared" si="36"/>
        <v>7</v>
      </c>
    </row>
    <row r="159" spans="1:13">
      <c r="A159" s="570" t="str">
        <f t="shared" si="35"/>
        <v>T348</v>
      </c>
      <c r="C159" s="953" t="str">
        <f t="shared" si="25"/>
        <v>T34</v>
      </c>
      <c r="D159" s="953" t="str">
        <f t="shared" si="26"/>
        <v>D1</v>
      </c>
      <c r="E159" s="953">
        <f t="shared" si="27"/>
        <v>8</v>
      </c>
      <c r="F159" s="953">
        <f t="shared" si="28"/>
        <v>6.4999999999999994E-5</v>
      </c>
      <c r="G159" s="953">
        <f t="shared" si="29"/>
        <v>-9.3599999999999998E-4</v>
      </c>
      <c r="H159" s="953">
        <f t="shared" si="30"/>
        <v>0</v>
      </c>
      <c r="I159" s="953">
        <f t="shared" si="31"/>
        <v>0</v>
      </c>
      <c r="J159" s="953">
        <f t="shared" si="32"/>
        <v>0</v>
      </c>
      <c r="K159" s="953">
        <f t="shared" si="33"/>
        <v>4.5950000000000001E-7</v>
      </c>
      <c r="L159" s="570" t="str">
        <f t="shared" si="34"/>
        <v>Modal 8</v>
      </c>
      <c r="M159" s="570">
        <f t="shared" si="36"/>
        <v>8</v>
      </c>
    </row>
    <row r="160" spans="1:13">
      <c r="A160" s="570" t="str">
        <f t="shared" si="35"/>
        <v>T349</v>
      </c>
      <c r="C160" s="953" t="str">
        <f t="shared" si="25"/>
        <v>T34</v>
      </c>
      <c r="D160" s="953" t="str">
        <f t="shared" si="26"/>
        <v>D1</v>
      </c>
      <c r="E160" s="953">
        <f t="shared" si="27"/>
        <v>9</v>
      </c>
      <c r="F160" s="953">
        <f t="shared" si="28"/>
        <v>-5.5000000000000002E-5</v>
      </c>
      <c r="G160" s="953">
        <f t="shared" si="29"/>
        <v>3.9999999999999998E-6</v>
      </c>
      <c r="H160" s="953">
        <f t="shared" si="30"/>
        <v>0</v>
      </c>
      <c r="I160" s="953">
        <f t="shared" si="31"/>
        <v>0</v>
      </c>
      <c r="J160" s="953">
        <f t="shared" si="32"/>
        <v>0</v>
      </c>
      <c r="K160" s="953">
        <f t="shared" si="33"/>
        <v>6.0000000000000002E-5</v>
      </c>
      <c r="L160" s="570" t="str">
        <f t="shared" si="34"/>
        <v>Modal 9</v>
      </c>
      <c r="M160" s="570">
        <f t="shared" si="36"/>
        <v>9</v>
      </c>
    </row>
    <row r="161" spans="1:13">
      <c r="A161" s="570" t="str">
        <f t="shared" si="35"/>
        <v>T3410</v>
      </c>
      <c r="C161" s="953" t="str">
        <f t="shared" si="25"/>
        <v>T34</v>
      </c>
      <c r="D161" s="953" t="str">
        <f t="shared" si="26"/>
        <v>D1</v>
      </c>
      <c r="E161" s="953">
        <f t="shared" si="27"/>
        <v>10</v>
      </c>
      <c r="F161" s="953">
        <f t="shared" si="28"/>
        <v>-1.111E-3</v>
      </c>
      <c r="G161" s="953">
        <f t="shared" si="29"/>
        <v>-1.3100000000000001E-4</v>
      </c>
      <c r="H161" s="953">
        <f t="shared" si="30"/>
        <v>0</v>
      </c>
      <c r="I161" s="953">
        <f t="shared" si="31"/>
        <v>0</v>
      </c>
      <c r="J161" s="953">
        <f t="shared" si="32"/>
        <v>0</v>
      </c>
      <c r="K161" s="953">
        <f t="shared" si="33"/>
        <v>-3.0000000000000001E-6</v>
      </c>
      <c r="L161" s="570" t="str">
        <f t="shared" si="34"/>
        <v>Modal 10</v>
      </c>
      <c r="M161" s="570">
        <f t="shared" si="36"/>
        <v>10</v>
      </c>
    </row>
    <row r="162" spans="1:13">
      <c r="A162" s="570" t="str">
        <f t="shared" si="35"/>
        <v>T3411</v>
      </c>
      <c r="C162" s="953" t="str">
        <f t="shared" si="25"/>
        <v>T34</v>
      </c>
      <c r="D162" s="953" t="str">
        <f t="shared" si="26"/>
        <v>D1</v>
      </c>
      <c r="E162" s="953">
        <f t="shared" si="27"/>
        <v>11</v>
      </c>
      <c r="F162" s="953">
        <f t="shared" si="28"/>
        <v>3.1100000000000002E-4</v>
      </c>
      <c r="G162" s="953">
        <f t="shared" si="29"/>
        <v>6.1499999999999999E-4</v>
      </c>
      <c r="H162" s="953">
        <f t="shared" si="30"/>
        <v>0</v>
      </c>
      <c r="I162" s="953">
        <f t="shared" si="31"/>
        <v>0</v>
      </c>
      <c r="J162" s="953">
        <f t="shared" si="32"/>
        <v>0</v>
      </c>
      <c r="K162" s="953">
        <f t="shared" si="33"/>
        <v>-1.6100000000000001E-4</v>
      </c>
      <c r="L162" s="570" t="str">
        <f t="shared" si="34"/>
        <v>Modal 11</v>
      </c>
      <c r="M162" s="570">
        <f t="shared" si="36"/>
        <v>11</v>
      </c>
    </row>
    <row r="163" spans="1:13">
      <c r="A163" s="570" t="str">
        <f t="shared" si="35"/>
        <v>T3412</v>
      </c>
      <c r="C163" s="953" t="str">
        <f t="shared" si="25"/>
        <v>T34</v>
      </c>
      <c r="D163" s="953" t="str">
        <f t="shared" si="26"/>
        <v>D1</v>
      </c>
      <c r="E163" s="953">
        <f t="shared" si="27"/>
        <v>12</v>
      </c>
      <c r="F163" s="953">
        <f t="shared" si="28"/>
        <v>3.1E-4</v>
      </c>
      <c r="G163" s="953">
        <f t="shared" si="29"/>
        <v>-1.6169999999999999E-3</v>
      </c>
      <c r="H163" s="953">
        <f t="shared" si="30"/>
        <v>0</v>
      </c>
      <c r="I163" s="953">
        <f t="shared" si="31"/>
        <v>0</v>
      </c>
      <c r="J163" s="953">
        <f t="shared" si="32"/>
        <v>0</v>
      </c>
      <c r="K163" s="953">
        <f t="shared" si="33"/>
        <v>-5.8999999999999998E-5</v>
      </c>
      <c r="L163" s="570" t="str">
        <f t="shared" si="34"/>
        <v>Modal 12</v>
      </c>
      <c r="M163" s="570">
        <f t="shared" si="36"/>
        <v>12</v>
      </c>
    </row>
    <row r="164" spans="1:13">
      <c r="A164" s="570" t="str">
        <f t="shared" si="35"/>
        <v>T3413</v>
      </c>
      <c r="C164" s="953" t="str">
        <f t="shared" si="25"/>
        <v>T34</v>
      </c>
      <c r="D164" s="953" t="str">
        <f t="shared" si="26"/>
        <v>D1</v>
      </c>
      <c r="E164" s="953">
        <f t="shared" si="27"/>
        <v>13</v>
      </c>
      <c r="F164" s="953">
        <f t="shared" si="28"/>
        <v>1.544E-3</v>
      </c>
      <c r="G164" s="953">
        <f t="shared" si="29"/>
        <v>1.3100000000000001E-4</v>
      </c>
      <c r="H164" s="953">
        <f t="shared" si="30"/>
        <v>0</v>
      </c>
      <c r="I164" s="953">
        <f t="shared" si="31"/>
        <v>0</v>
      </c>
      <c r="J164" s="953">
        <f t="shared" si="32"/>
        <v>0</v>
      </c>
      <c r="K164" s="953">
        <f t="shared" si="33"/>
        <v>1.2999999999999999E-5</v>
      </c>
      <c r="L164" s="570" t="str">
        <f t="shared" si="34"/>
        <v>Modal 13</v>
      </c>
      <c r="M164" s="570">
        <f t="shared" si="36"/>
        <v>13</v>
      </c>
    </row>
    <row r="165" spans="1:13">
      <c r="A165" s="570" t="str">
        <f t="shared" si="35"/>
        <v>T3414</v>
      </c>
      <c r="C165" s="953" t="str">
        <f t="shared" si="25"/>
        <v>T34</v>
      </c>
      <c r="D165" s="953" t="str">
        <f t="shared" si="26"/>
        <v>D1</v>
      </c>
      <c r="E165" s="953">
        <f t="shared" si="27"/>
        <v>14</v>
      </c>
      <c r="F165" s="953">
        <f t="shared" si="28"/>
        <v>-5.0100000000000003E-4</v>
      </c>
      <c r="G165" s="953">
        <f t="shared" si="29"/>
        <v>-9.7999999999999997E-5</v>
      </c>
      <c r="H165" s="953">
        <f t="shared" si="30"/>
        <v>0</v>
      </c>
      <c r="I165" s="953">
        <f t="shared" si="31"/>
        <v>0</v>
      </c>
      <c r="J165" s="953">
        <f t="shared" si="32"/>
        <v>0</v>
      </c>
      <c r="K165" s="953">
        <f t="shared" si="33"/>
        <v>2.3699999999999999E-4</v>
      </c>
      <c r="L165" s="570" t="str">
        <f t="shared" si="34"/>
        <v>Modal 14</v>
      </c>
      <c r="M165" s="570">
        <f t="shared" si="36"/>
        <v>14</v>
      </c>
    </row>
    <row r="166" spans="1:13">
      <c r="A166" s="570" t="str">
        <f t="shared" si="35"/>
        <v>T3415</v>
      </c>
      <c r="C166" s="953" t="str">
        <f t="shared" si="25"/>
        <v>T34</v>
      </c>
      <c r="D166" s="953" t="str">
        <f t="shared" si="26"/>
        <v>D1</v>
      </c>
      <c r="E166" s="953">
        <f t="shared" si="27"/>
        <v>15</v>
      </c>
      <c r="F166" s="953">
        <f t="shared" si="28"/>
        <v>-3.7500000000000001E-4</v>
      </c>
      <c r="G166" s="953">
        <f t="shared" si="29"/>
        <v>3.7729999999999999E-3</v>
      </c>
      <c r="H166" s="953">
        <f t="shared" si="30"/>
        <v>0</v>
      </c>
      <c r="I166" s="953">
        <f t="shared" si="31"/>
        <v>0</v>
      </c>
      <c r="J166" s="953">
        <f t="shared" si="32"/>
        <v>0</v>
      </c>
      <c r="K166" s="953">
        <f t="shared" si="33"/>
        <v>6.0000000000000002E-6</v>
      </c>
      <c r="L166" s="570" t="str">
        <f t="shared" si="34"/>
        <v>Modal 15</v>
      </c>
      <c r="M166" s="570">
        <f t="shared" si="36"/>
        <v>15</v>
      </c>
    </row>
    <row r="167" spans="1:13">
      <c r="A167" s="570" t="str">
        <f t="shared" si="35"/>
        <v>T3416</v>
      </c>
      <c r="C167" s="953" t="str">
        <f t="shared" si="25"/>
        <v>T34</v>
      </c>
      <c r="D167" s="953" t="str">
        <f t="shared" si="26"/>
        <v>D1</v>
      </c>
      <c r="E167" s="953">
        <f t="shared" si="27"/>
        <v>16</v>
      </c>
      <c r="F167" s="953">
        <f t="shared" si="28"/>
        <v>2.9E-5</v>
      </c>
      <c r="G167" s="953">
        <f t="shared" si="29"/>
        <v>1.47E-4</v>
      </c>
      <c r="H167" s="953">
        <f t="shared" si="30"/>
        <v>0</v>
      </c>
      <c r="I167" s="953">
        <f t="shared" si="31"/>
        <v>0</v>
      </c>
      <c r="J167" s="953">
        <f t="shared" si="32"/>
        <v>0</v>
      </c>
      <c r="K167" s="953">
        <f t="shared" si="33"/>
        <v>-2.4399999999999999E-4</v>
      </c>
      <c r="L167" s="570" t="str">
        <f t="shared" si="34"/>
        <v>Modal 16</v>
      </c>
      <c r="M167" s="570">
        <f t="shared" si="36"/>
        <v>16</v>
      </c>
    </row>
    <row r="168" spans="1:13">
      <c r="A168" s="570" t="str">
        <f t="shared" si="35"/>
        <v>T3417</v>
      </c>
      <c r="C168" s="953" t="str">
        <f t="shared" si="25"/>
        <v>T34</v>
      </c>
      <c r="D168" s="953" t="str">
        <f t="shared" si="26"/>
        <v>D1</v>
      </c>
      <c r="E168" s="953">
        <f t="shared" si="27"/>
        <v>17</v>
      </c>
      <c r="F168" s="953">
        <f t="shared" si="28"/>
        <v>-3.6459999999999999E-3</v>
      </c>
      <c r="G168" s="953">
        <f t="shared" si="29"/>
        <v>-3.2499999999999999E-4</v>
      </c>
      <c r="H168" s="953">
        <f t="shared" si="30"/>
        <v>0</v>
      </c>
      <c r="I168" s="953">
        <f t="shared" si="31"/>
        <v>0</v>
      </c>
      <c r="J168" s="953">
        <f t="shared" si="32"/>
        <v>0</v>
      </c>
      <c r="K168" s="953">
        <f t="shared" si="33"/>
        <v>1.5E-5</v>
      </c>
      <c r="L168" s="570" t="str">
        <f t="shared" si="34"/>
        <v>Modal 17</v>
      </c>
      <c r="M168" s="570">
        <f t="shared" si="36"/>
        <v>17</v>
      </c>
    </row>
    <row r="169" spans="1:13">
      <c r="A169" s="570" t="str">
        <f t="shared" si="35"/>
        <v>T3418</v>
      </c>
      <c r="C169" s="953" t="str">
        <f t="shared" si="25"/>
        <v>T34</v>
      </c>
      <c r="D169" s="953" t="str">
        <f t="shared" si="26"/>
        <v>D1</v>
      </c>
      <c r="E169" s="953">
        <f t="shared" si="27"/>
        <v>18</v>
      </c>
      <c r="F169" s="953">
        <f t="shared" si="28"/>
        <v>-4.28E-4</v>
      </c>
      <c r="G169" s="953">
        <f t="shared" si="29"/>
        <v>4.8859999999999997E-3</v>
      </c>
      <c r="H169" s="953">
        <f t="shared" si="30"/>
        <v>0</v>
      </c>
      <c r="I169" s="953">
        <f t="shared" si="31"/>
        <v>0</v>
      </c>
      <c r="J169" s="953">
        <f t="shared" si="32"/>
        <v>0</v>
      </c>
      <c r="K169" s="953">
        <f t="shared" si="33"/>
        <v>4.0000000000000003E-5</v>
      </c>
      <c r="L169" s="570" t="str">
        <f t="shared" si="34"/>
        <v>Modal 18</v>
      </c>
      <c r="M169" s="570">
        <f t="shared" si="36"/>
        <v>18</v>
      </c>
    </row>
    <row r="170" spans="1:13">
      <c r="A170" s="570" t="str">
        <f t="shared" si="35"/>
        <v>T3419</v>
      </c>
      <c r="C170" s="953" t="str">
        <f t="shared" si="25"/>
        <v>T34</v>
      </c>
      <c r="D170" s="953" t="str">
        <f t="shared" si="26"/>
        <v>D1</v>
      </c>
      <c r="E170" s="953">
        <f t="shared" si="27"/>
        <v>19</v>
      </c>
      <c r="F170" s="953">
        <f t="shared" si="28"/>
        <v>-2.8299999999999999E-4</v>
      </c>
      <c r="G170" s="953">
        <f t="shared" si="29"/>
        <v>9.3300000000000002E-4</v>
      </c>
      <c r="H170" s="953">
        <f t="shared" si="30"/>
        <v>0</v>
      </c>
      <c r="I170" s="953">
        <f t="shared" si="31"/>
        <v>0</v>
      </c>
      <c r="J170" s="953">
        <f t="shared" si="32"/>
        <v>0</v>
      </c>
      <c r="K170" s="953">
        <f t="shared" si="33"/>
        <v>-2.2100000000000001E-4</v>
      </c>
      <c r="L170" s="570" t="str">
        <f t="shared" si="34"/>
        <v>Modal 19</v>
      </c>
      <c r="M170" s="570">
        <f t="shared" si="36"/>
        <v>19</v>
      </c>
    </row>
    <row r="171" spans="1:13">
      <c r="A171" s="570" t="str">
        <f t="shared" si="35"/>
        <v>T3420</v>
      </c>
      <c r="C171" s="953" t="str">
        <f t="shared" si="25"/>
        <v>T34</v>
      </c>
      <c r="D171" s="953" t="str">
        <f t="shared" si="26"/>
        <v>D1</v>
      </c>
      <c r="E171" s="953">
        <f t="shared" si="27"/>
        <v>20</v>
      </c>
      <c r="F171" s="953">
        <f t="shared" si="28"/>
        <v>4.8269999999999997E-3</v>
      </c>
      <c r="G171" s="953">
        <f t="shared" si="29"/>
        <v>2.9999999999999997E-4</v>
      </c>
      <c r="H171" s="953">
        <f t="shared" si="30"/>
        <v>0</v>
      </c>
      <c r="I171" s="953">
        <f t="shared" si="31"/>
        <v>0</v>
      </c>
      <c r="J171" s="953">
        <f t="shared" si="32"/>
        <v>0</v>
      </c>
      <c r="K171" s="953">
        <f t="shared" si="33"/>
        <v>-1.5999999999999999E-5</v>
      </c>
      <c r="L171" s="570" t="str">
        <f t="shared" si="34"/>
        <v>Modal 20</v>
      </c>
      <c r="M171" s="570">
        <f t="shared" si="36"/>
        <v>20</v>
      </c>
    </row>
    <row r="172" spans="1:13">
      <c r="A172" s="570" t="str">
        <f t="shared" si="35"/>
        <v>T3421</v>
      </c>
      <c r="C172" s="953" t="str">
        <f t="shared" si="25"/>
        <v>T34</v>
      </c>
      <c r="D172" s="953" t="str">
        <f t="shared" si="26"/>
        <v>D1</v>
      </c>
      <c r="E172" s="953">
        <f t="shared" si="27"/>
        <v>21</v>
      </c>
      <c r="F172" s="953">
        <f t="shared" si="28"/>
        <v>3.8299999999999999E-4</v>
      </c>
      <c r="G172" s="953">
        <f t="shared" si="29"/>
        <v>-5.0720000000000001E-3</v>
      </c>
      <c r="H172" s="953">
        <f t="shared" si="30"/>
        <v>0</v>
      </c>
      <c r="I172" s="953">
        <f t="shared" si="31"/>
        <v>0</v>
      </c>
      <c r="J172" s="953">
        <f t="shared" si="32"/>
        <v>0</v>
      </c>
      <c r="K172" s="953">
        <f t="shared" si="33"/>
        <v>-3.1000000000000001E-5</v>
      </c>
      <c r="L172" s="570" t="str">
        <f t="shared" si="34"/>
        <v>Modal 21</v>
      </c>
      <c r="M172" s="570">
        <f t="shared" si="36"/>
        <v>21</v>
      </c>
    </row>
    <row r="173" spans="1:13">
      <c r="A173" s="570" t="str">
        <f t="shared" si="35"/>
        <v>T3422</v>
      </c>
      <c r="C173" s="953" t="str">
        <f t="shared" si="25"/>
        <v>T34</v>
      </c>
      <c r="D173" s="953" t="str">
        <f t="shared" si="26"/>
        <v>D1</v>
      </c>
      <c r="E173" s="953">
        <f t="shared" si="27"/>
        <v>22</v>
      </c>
      <c r="F173" s="953">
        <f t="shared" si="28"/>
        <v>4.6909999999999999E-3</v>
      </c>
      <c r="G173" s="953">
        <f t="shared" si="29"/>
        <v>3.0000000000000001E-6</v>
      </c>
      <c r="H173" s="953">
        <f t="shared" si="30"/>
        <v>0</v>
      </c>
      <c r="I173" s="953">
        <f t="shared" si="31"/>
        <v>0</v>
      </c>
      <c r="J173" s="953">
        <f t="shared" si="32"/>
        <v>0</v>
      </c>
      <c r="K173" s="953">
        <f t="shared" si="33"/>
        <v>-7.7999999999999999E-5</v>
      </c>
      <c r="L173" s="570" t="str">
        <f t="shared" si="34"/>
        <v>Modal 22</v>
      </c>
      <c r="M173" s="570">
        <f t="shared" si="36"/>
        <v>22</v>
      </c>
    </row>
    <row r="174" spans="1:13">
      <c r="A174" s="570" t="str">
        <f t="shared" si="35"/>
        <v>T3423</v>
      </c>
      <c r="C174" s="953" t="str">
        <f t="shared" si="25"/>
        <v>T34</v>
      </c>
      <c r="D174" s="953" t="str">
        <f t="shared" si="26"/>
        <v>D1</v>
      </c>
      <c r="E174" s="953">
        <f t="shared" si="27"/>
        <v>23</v>
      </c>
      <c r="F174" s="953">
        <f t="shared" si="28"/>
        <v>-1.008E-3</v>
      </c>
      <c r="G174" s="953">
        <f t="shared" si="29"/>
        <v>-2.931E-3</v>
      </c>
      <c r="H174" s="953">
        <f t="shared" si="30"/>
        <v>0</v>
      </c>
      <c r="I174" s="953">
        <f t="shared" si="31"/>
        <v>0</v>
      </c>
      <c r="J174" s="953">
        <f t="shared" si="32"/>
        <v>0</v>
      </c>
      <c r="K174" s="953">
        <f t="shared" si="33"/>
        <v>-7.3999999999999996E-5</v>
      </c>
      <c r="L174" s="570" t="str">
        <f t="shared" si="34"/>
        <v>Modal 23</v>
      </c>
      <c r="M174" s="570">
        <f t="shared" si="36"/>
        <v>23</v>
      </c>
    </row>
    <row r="175" spans="1:13">
      <c r="A175" s="570" t="str">
        <f t="shared" si="35"/>
        <v>T3424</v>
      </c>
      <c r="C175" s="953" t="str">
        <f t="shared" si="25"/>
        <v>T34</v>
      </c>
      <c r="D175" s="953" t="str">
        <f t="shared" si="26"/>
        <v>D1</v>
      </c>
      <c r="E175" s="953">
        <f t="shared" si="27"/>
        <v>24</v>
      </c>
      <c r="F175" s="953">
        <f t="shared" si="28"/>
        <v>-1.078E-3</v>
      </c>
      <c r="G175" s="953">
        <f t="shared" si="29"/>
        <v>-2.5049999999999998E-3</v>
      </c>
      <c r="H175" s="953">
        <f t="shared" si="30"/>
        <v>0</v>
      </c>
      <c r="I175" s="953">
        <f t="shared" si="31"/>
        <v>0</v>
      </c>
      <c r="J175" s="953">
        <f t="shared" si="32"/>
        <v>0</v>
      </c>
      <c r="K175" s="953">
        <f t="shared" si="33"/>
        <v>8.0000000000000007E-5</v>
      </c>
      <c r="L175" s="570" t="str">
        <f t="shared" si="34"/>
        <v>Modal 24</v>
      </c>
      <c r="M175" s="570">
        <f t="shared" si="36"/>
        <v>24</v>
      </c>
    </row>
    <row r="176" spans="1:13">
      <c r="A176" s="570" t="str">
        <f t="shared" si="35"/>
        <v>T3425</v>
      </c>
      <c r="C176" s="953" t="str">
        <f t="shared" si="25"/>
        <v>T34</v>
      </c>
      <c r="D176" s="953" t="str">
        <f t="shared" si="26"/>
        <v>D1</v>
      </c>
      <c r="E176" s="953">
        <f t="shared" si="27"/>
        <v>25</v>
      </c>
      <c r="F176" s="953">
        <f t="shared" si="28"/>
        <v>-1.9810000000000001E-3</v>
      </c>
      <c r="G176" s="953">
        <f t="shared" si="29"/>
        <v>-1.1709999999999999E-3</v>
      </c>
      <c r="H176" s="953">
        <f t="shared" si="30"/>
        <v>0</v>
      </c>
      <c r="I176" s="953">
        <f t="shared" si="31"/>
        <v>0</v>
      </c>
      <c r="J176" s="953">
        <f t="shared" si="32"/>
        <v>0</v>
      </c>
      <c r="K176" s="953">
        <f t="shared" si="33"/>
        <v>-4.3000000000000002E-5</v>
      </c>
      <c r="L176" s="570" t="str">
        <f t="shared" si="34"/>
        <v>Modal 25</v>
      </c>
      <c r="M176" s="570">
        <f t="shared" si="36"/>
        <v>25</v>
      </c>
    </row>
    <row r="177" spans="1:13">
      <c r="A177" s="570" t="str">
        <f t="shared" si="35"/>
        <v>T3426</v>
      </c>
      <c r="C177" s="953" t="str">
        <f t="shared" si="25"/>
        <v>T34</v>
      </c>
      <c r="D177" s="953" t="str">
        <f t="shared" si="26"/>
        <v>D1</v>
      </c>
      <c r="E177" s="953">
        <f t="shared" si="27"/>
        <v>26</v>
      </c>
      <c r="F177" s="953">
        <f t="shared" si="28"/>
        <v>-3.2200000000000002E-4</v>
      </c>
      <c r="G177" s="953">
        <f t="shared" si="29"/>
        <v>2.1059999999999998E-3</v>
      </c>
      <c r="H177" s="953">
        <f t="shared" si="30"/>
        <v>0</v>
      </c>
      <c r="I177" s="953">
        <f t="shared" si="31"/>
        <v>0</v>
      </c>
      <c r="J177" s="953">
        <f t="shared" si="32"/>
        <v>0</v>
      </c>
      <c r="K177" s="953">
        <f t="shared" si="33"/>
        <v>-3.4999999999999997E-5</v>
      </c>
      <c r="L177" s="570" t="str">
        <f t="shared" si="34"/>
        <v>Modal 26</v>
      </c>
      <c r="M177" s="570">
        <f t="shared" si="36"/>
        <v>26</v>
      </c>
    </row>
    <row r="178" spans="1:13">
      <c r="A178" s="570" t="str">
        <f t="shared" si="35"/>
        <v>T3427</v>
      </c>
      <c r="C178" s="953" t="str">
        <f t="shared" si="25"/>
        <v>T34</v>
      </c>
      <c r="D178" s="953" t="str">
        <f t="shared" si="26"/>
        <v>D1</v>
      </c>
      <c r="E178" s="953">
        <f t="shared" si="27"/>
        <v>27</v>
      </c>
      <c r="F178" s="953">
        <f t="shared" si="28"/>
        <v>-1.5560000000000001E-3</v>
      </c>
      <c r="G178" s="953">
        <f t="shared" si="29"/>
        <v>-4.1199999999999999E-4</v>
      </c>
      <c r="H178" s="953">
        <f t="shared" si="30"/>
        <v>0</v>
      </c>
      <c r="I178" s="953">
        <f t="shared" si="31"/>
        <v>0</v>
      </c>
      <c r="J178" s="953">
        <f t="shared" si="32"/>
        <v>0</v>
      </c>
      <c r="K178" s="953">
        <f t="shared" si="33"/>
        <v>-3.8000000000000002E-5</v>
      </c>
      <c r="L178" s="570" t="str">
        <f t="shared" si="34"/>
        <v>Modal 27</v>
      </c>
      <c r="M178" s="570">
        <f t="shared" si="36"/>
        <v>27</v>
      </c>
    </row>
    <row r="179" spans="1:13">
      <c r="A179" s="570" t="str">
        <f t="shared" si="35"/>
        <v>T3428</v>
      </c>
      <c r="C179" s="953" t="str">
        <f t="shared" si="25"/>
        <v>T34</v>
      </c>
      <c r="D179" s="953" t="str">
        <f t="shared" si="26"/>
        <v>D1</v>
      </c>
      <c r="E179" s="953">
        <f t="shared" si="27"/>
        <v>28</v>
      </c>
      <c r="F179" s="953">
        <f t="shared" si="28"/>
        <v>-3.6000000000000002E-4</v>
      </c>
      <c r="G179" s="953">
        <f t="shared" si="29"/>
        <v>1.4779999999999999E-3</v>
      </c>
      <c r="H179" s="953">
        <f t="shared" si="30"/>
        <v>0</v>
      </c>
      <c r="I179" s="953">
        <f t="shared" si="31"/>
        <v>0</v>
      </c>
      <c r="J179" s="953">
        <f t="shared" si="32"/>
        <v>0</v>
      </c>
      <c r="K179" s="953">
        <f t="shared" si="33"/>
        <v>-2.1999999999999999E-5</v>
      </c>
      <c r="L179" s="570" t="str">
        <f t="shared" si="34"/>
        <v>Modal 28</v>
      </c>
      <c r="M179" s="570">
        <f t="shared" si="36"/>
        <v>28</v>
      </c>
    </row>
    <row r="180" spans="1:13">
      <c r="A180" s="570" t="str">
        <f t="shared" si="35"/>
        <v>T3429</v>
      </c>
      <c r="C180" s="953" t="str">
        <f t="shared" si="25"/>
        <v>T34</v>
      </c>
      <c r="D180" s="953" t="str">
        <f t="shared" si="26"/>
        <v>D1</v>
      </c>
      <c r="E180" s="953">
        <f t="shared" si="27"/>
        <v>29</v>
      </c>
      <c r="F180" s="953">
        <f t="shared" si="28"/>
        <v>1.32E-3</v>
      </c>
      <c r="G180" s="953">
        <f t="shared" si="29"/>
        <v>9.9999999999999995E-7</v>
      </c>
      <c r="H180" s="953">
        <f t="shared" si="30"/>
        <v>0</v>
      </c>
      <c r="I180" s="953">
        <f t="shared" si="31"/>
        <v>0</v>
      </c>
      <c r="J180" s="953">
        <f t="shared" si="32"/>
        <v>0</v>
      </c>
      <c r="K180" s="953">
        <f t="shared" si="33"/>
        <v>3.8000000000000002E-5</v>
      </c>
      <c r="L180" s="570" t="str">
        <f t="shared" si="34"/>
        <v>Modal 29</v>
      </c>
      <c r="M180" s="570">
        <f t="shared" si="36"/>
        <v>29</v>
      </c>
    </row>
    <row r="181" spans="1:13">
      <c r="A181" s="570" t="str">
        <f t="shared" si="35"/>
        <v>T3430</v>
      </c>
      <c r="C181" s="953" t="str">
        <f t="shared" si="25"/>
        <v>T34</v>
      </c>
      <c r="D181" s="953" t="str">
        <f t="shared" si="26"/>
        <v>D1</v>
      </c>
      <c r="E181" s="953">
        <f t="shared" si="27"/>
        <v>30</v>
      </c>
      <c r="F181" s="953">
        <f t="shared" si="28"/>
        <v>1.15E-4</v>
      </c>
      <c r="G181" s="953">
        <f t="shared" si="29"/>
        <v>-1.196E-3</v>
      </c>
      <c r="H181" s="953">
        <f t="shared" si="30"/>
        <v>0</v>
      </c>
      <c r="I181" s="953">
        <f t="shared" si="31"/>
        <v>0</v>
      </c>
      <c r="J181" s="953">
        <f t="shared" si="32"/>
        <v>0</v>
      </c>
      <c r="K181" s="953">
        <f t="shared" si="33"/>
        <v>1.2E-5</v>
      </c>
      <c r="L181" s="570" t="str">
        <f t="shared" si="34"/>
        <v>Modal 30</v>
      </c>
      <c r="M181" s="570">
        <f t="shared" si="36"/>
        <v>30</v>
      </c>
    </row>
    <row r="182" spans="1:13">
      <c r="A182" s="570" t="str">
        <f t="shared" si="35"/>
        <v>T331</v>
      </c>
      <c r="C182" s="953" t="str">
        <f t="shared" si="25"/>
        <v>T33</v>
      </c>
      <c r="D182" s="953" t="str">
        <f t="shared" si="26"/>
        <v>D1</v>
      </c>
      <c r="E182" s="953">
        <f t="shared" si="27"/>
        <v>1</v>
      </c>
      <c r="F182" s="953">
        <f t="shared" si="28"/>
        <v>-1.14E-3</v>
      </c>
      <c r="G182" s="953">
        <f t="shared" si="29"/>
        <v>5.8659999999999997E-3</v>
      </c>
      <c r="H182" s="953">
        <f t="shared" si="30"/>
        <v>0</v>
      </c>
      <c r="I182" s="953">
        <f t="shared" si="31"/>
        <v>0</v>
      </c>
      <c r="J182" s="953">
        <f t="shared" si="32"/>
        <v>0</v>
      </c>
      <c r="K182" s="953">
        <f t="shared" si="33"/>
        <v>4.6999999999999997E-5</v>
      </c>
      <c r="L182" s="570" t="str">
        <f t="shared" si="34"/>
        <v>Modal 1</v>
      </c>
      <c r="M182" s="570">
        <f t="shared" si="36"/>
        <v>1</v>
      </c>
    </row>
    <row r="183" spans="1:13">
      <c r="A183" s="570" t="str">
        <f t="shared" si="35"/>
        <v>T332</v>
      </c>
      <c r="C183" s="953" t="str">
        <f t="shared" si="25"/>
        <v>T33</v>
      </c>
      <c r="D183" s="953" t="str">
        <f t="shared" si="26"/>
        <v>D1</v>
      </c>
      <c r="E183" s="953">
        <f t="shared" si="27"/>
        <v>2</v>
      </c>
      <c r="F183" s="953">
        <f t="shared" si="28"/>
        <v>-8.1800000000000004E-4</v>
      </c>
      <c r="G183" s="953">
        <f t="shared" si="29"/>
        <v>-1.212E-3</v>
      </c>
      <c r="H183" s="953">
        <f t="shared" si="30"/>
        <v>0</v>
      </c>
      <c r="I183" s="953">
        <f t="shared" si="31"/>
        <v>0</v>
      </c>
      <c r="J183" s="953">
        <f t="shared" si="32"/>
        <v>0</v>
      </c>
      <c r="K183" s="953">
        <f t="shared" si="33"/>
        <v>2.7300000000000002E-4</v>
      </c>
      <c r="L183" s="570" t="str">
        <f t="shared" si="34"/>
        <v>Modal 2</v>
      </c>
      <c r="M183" s="570">
        <f t="shared" si="36"/>
        <v>2</v>
      </c>
    </row>
    <row r="184" spans="1:13">
      <c r="A184" s="570" t="str">
        <f t="shared" si="35"/>
        <v>T333</v>
      </c>
      <c r="C184" s="953" t="str">
        <f t="shared" si="25"/>
        <v>T33</v>
      </c>
      <c r="D184" s="953" t="str">
        <f t="shared" si="26"/>
        <v>D1</v>
      </c>
      <c r="E184" s="953">
        <f t="shared" si="27"/>
        <v>3</v>
      </c>
      <c r="F184" s="953">
        <f t="shared" si="28"/>
        <v>5.8050000000000003E-3</v>
      </c>
      <c r="G184" s="953">
        <f t="shared" si="29"/>
        <v>9.2599999999999996E-4</v>
      </c>
      <c r="H184" s="953">
        <f t="shared" si="30"/>
        <v>0</v>
      </c>
      <c r="I184" s="953">
        <f t="shared" si="31"/>
        <v>0</v>
      </c>
      <c r="J184" s="953">
        <f t="shared" si="32"/>
        <v>0</v>
      </c>
      <c r="K184" s="953">
        <f t="shared" si="33"/>
        <v>4.6999999999999997E-5</v>
      </c>
      <c r="L184" s="570" t="str">
        <f t="shared" si="34"/>
        <v>Modal 3</v>
      </c>
      <c r="M184" s="570">
        <f t="shared" si="36"/>
        <v>3</v>
      </c>
    </row>
    <row r="185" spans="1:13">
      <c r="A185" s="570" t="str">
        <f t="shared" si="35"/>
        <v>T334</v>
      </c>
      <c r="C185" s="953" t="str">
        <f t="shared" si="25"/>
        <v>T33</v>
      </c>
      <c r="D185" s="953" t="str">
        <f t="shared" si="26"/>
        <v>D1</v>
      </c>
      <c r="E185" s="953">
        <f t="shared" si="27"/>
        <v>4</v>
      </c>
      <c r="F185" s="953">
        <f t="shared" si="28"/>
        <v>4.2900000000000002E-4</v>
      </c>
      <c r="G185" s="953">
        <f t="shared" si="29"/>
        <v>-7.9999999999999996E-6</v>
      </c>
      <c r="H185" s="953">
        <f t="shared" si="30"/>
        <v>0</v>
      </c>
      <c r="I185" s="953">
        <f t="shared" si="31"/>
        <v>0</v>
      </c>
      <c r="J185" s="953">
        <f t="shared" si="32"/>
        <v>0</v>
      </c>
      <c r="K185" s="953">
        <f t="shared" si="33"/>
        <v>-1.7000000000000001E-4</v>
      </c>
      <c r="L185" s="570" t="str">
        <f t="shared" si="34"/>
        <v>Modal 4</v>
      </c>
      <c r="M185" s="570">
        <f t="shared" si="36"/>
        <v>4</v>
      </c>
    </row>
    <row r="186" spans="1:13">
      <c r="A186" s="570" t="str">
        <f t="shared" si="35"/>
        <v>T335</v>
      </c>
      <c r="C186" s="953" t="str">
        <f t="shared" si="25"/>
        <v>T33</v>
      </c>
      <c r="D186" s="953" t="str">
        <f t="shared" si="26"/>
        <v>D1</v>
      </c>
      <c r="E186" s="953">
        <f t="shared" si="27"/>
        <v>5</v>
      </c>
      <c r="F186" s="953">
        <f t="shared" si="28"/>
        <v>-2.8400000000000002E-4</v>
      </c>
      <c r="G186" s="953">
        <f t="shared" si="29"/>
        <v>2.7569999999999999E-3</v>
      </c>
      <c r="H186" s="953">
        <f t="shared" si="30"/>
        <v>0</v>
      </c>
      <c r="I186" s="953">
        <f t="shared" si="31"/>
        <v>0</v>
      </c>
      <c r="J186" s="953">
        <f t="shared" si="32"/>
        <v>0</v>
      </c>
      <c r="K186" s="953">
        <f t="shared" si="33"/>
        <v>-3.9999999999999998E-6</v>
      </c>
      <c r="L186" s="570" t="str">
        <f t="shared" si="34"/>
        <v>Modal 5</v>
      </c>
      <c r="M186" s="570">
        <f t="shared" si="36"/>
        <v>5</v>
      </c>
    </row>
    <row r="187" spans="1:13">
      <c r="A187" s="570" t="str">
        <f t="shared" si="35"/>
        <v>T336</v>
      </c>
      <c r="C187" s="953" t="str">
        <f t="shared" si="25"/>
        <v>T33</v>
      </c>
      <c r="D187" s="953" t="str">
        <f t="shared" si="26"/>
        <v>D1</v>
      </c>
      <c r="E187" s="953">
        <f t="shared" si="27"/>
        <v>6</v>
      </c>
      <c r="F187" s="953">
        <f t="shared" si="28"/>
        <v>3.0079999999999998E-3</v>
      </c>
      <c r="G187" s="953">
        <f t="shared" si="29"/>
        <v>4.1199999999999999E-4</v>
      </c>
      <c r="H187" s="953">
        <f t="shared" si="30"/>
        <v>0</v>
      </c>
      <c r="I187" s="953">
        <f t="shared" si="31"/>
        <v>0</v>
      </c>
      <c r="J187" s="953">
        <f t="shared" si="32"/>
        <v>0</v>
      </c>
      <c r="K187" s="953">
        <f t="shared" si="33"/>
        <v>2.1999999999999999E-5</v>
      </c>
      <c r="L187" s="570" t="str">
        <f t="shared" si="34"/>
        <v>Modal 6</v>
      </c>
      <c r="M187" s="570">
        <f t="shared" si="36"/>
        <v>6</v>
      </c>
    </row>
    <row r="188" spans="1:13">
      <c r="A188" s="570" t="str">
        <f t="shared" si="35"/>
        <v>T337</v>
      </c>
      <c r="C188" s="953" t="str">
        <f t="shared" si="25"/>
        <v>T33</v>
      </c>
      <c r="D188" s="953" t="str">
        <f t="shared" si="26"/>
        <v>D1</v>
      </c>
      <c r="E188" s="953">
        <f t="shared" si="27"/>
        <v>7</v>
      </c>
      <c r="F188" s="953">
        <f t="shared" si="28"/>
        <v>-5.8999999999999998E-5</v>
      </c>
      <c r="G188" s="953">
        <f t="shared" si="29"/>
        <v>-9.0000000000000002E-6</v>
      </c>
      <c r="H188" s="953">
        <f t="shared" si="30"/>
        <v>0</v>
      </c>
      <c r="I188" s="953">
        <f t="shared" si="31"/>
        <v>0</v>
      </c>
      <c r="J188" s="953">
        <f t="shared" si="32"/>
        <v>0</v>
      </c>
      <c r="K188" s="953">
        <f t="shared" si="33"/>
        <v>-2.0000000000000002E-5</v>
      </c>
      <c r="L188" s="570" t="str">
        <f t="shared" si="34"/>
        <v>Modal 7</v>
      </c>
      <c r="M188" s="570">
        <f t="shared" si="36"/>
        <v>7</v>
      </c>
    </row>
    <row r="189" spans="1:13">
      <c r="A189" s="570" t="str">
        <f t="shared" si="35"/>
        <v>T338</v>
      </c>
      <c r="C189" s="953" t="str">
        <f t="shared" si="25"/>
        <v>T33</v>
      </c>
      <c r="D189" s="953" t="str">
        <f t="shared" si="26"/>
        <v>D1</v>
      </c>
      <c r="E189" s="953">
        <f t="shared" si="27"/>
        <v>8</v>
      </c>
      <c r="F189" s="953">
        <f t="shared" si="28"/>
        <v>-5.3000000000000001E-5</v>
      </c>
      <c r="G189" s="953">
        <f t="shared" si="29"/>
        <v>2.9500000000000001E-4</v>
      </c>
      <c r="H189" s="953">
        <f t="shared" si="30"/>
        <v>0</v>
      </c>
      <c r="I189" s="953">
        <f t="shared" si="31"/>
        <v>0</v>
      </c>
      <c r="J189" s="953">
        <f t="shared" si="32"/>
        <v>0</v>
      </c>
      <c r="K189" s="953">
        <f t="shared" si="33"/>
        <v>-9.9999999999999995E-7</v>
      </c>
      <c r="L189" s="570" t="str">
        <f t="shared" si="34"/>
        <v>Modal 8</v>
      </c>
      <c r="M189" s="570">
        <f t="shared" si="36"/>
        <v>8</v>
      </c>
    </row>
    <row r="190" spans="1:13">
      <c r="A190" s="570" t="str">
        <f t="shared" si="35"/>
        <v>T339</v>
      </c>
      <c r="C190" s="953" t="str">
        <f t="shared" si="25"/>
        <v>T33</v>
      </c>
      <c r="D190" s="953" t="str">
        <f t="shared" si="26"/>
        <v>D1</v>
      </c>
      <c r="E190" s="953">
        <f t="shared" si="27"/>
        <v>9</v>
      </c>
      <c r="F190" s="953">
        <f t="shared" si="28"/>
        <v>-3.2499999999999999E-4</v>
      </c>
      <c r="G190" s="953">
        <f t="shared" si="29"/>
        <v>-6.9999999999999999E-6</v>
      </c>
      <c r="H190" s="953">
        <f t="shared" si="30"/>
        <v>0</v>
      </c>
      <c r="I190" s="953">
        <f t="shared" si="31"/>
        <v>0</v>
      </c>
      <c r="J190" s="953">
        <f t="shared" si="32"/>
        <v>0</v>
      </c>
      <c r="K190" s="953">
        <f t="shared" si="33"/>
        <v>1.3200000000000001E-4</v>
      </c>
      <c r="L190" s="570" t="str">
        <f t="shared" si="34"/>
        <v>Modal 9</v>
      </c>
      <c r="M190" s="570">
        <f t="shared" si="36"/>
        <v>9</v>
      </c>
    </row>
    <row r="191" spans="1:13">
      <c r="A191" s="570" t="str">
        <f t="shared" si="35"/>
        <v>T3310</v>
      </c>
      <c r="C191" s="953" t="str">
        <f t="shared" si="25"/>
        <v>T33</v>
      </c>
      <c r="D191" s="953" t="str">
        <f t="shared" si="26"/>
        <v>D1</v>
      </c>
      <c r="E191" s="953">
        <f t="shared" si="27"/>
        <v>10</v>
      </c>
      <c r="F191" s="953">
        <f t="shared" si="28"/>
        <v>8.6000000000000003E-5</v>
      </c>
      <c r="G191" s="953">
        <f t="shared" si="29"/>
        <v>-1.1E-5</v>
      </c>
      <c r="H191" s="953">
        <f t="shared" si="30"/>
        <v>0</v>
      </c>
      <c r="I191" s="953">
        <f t="shared" si="31"/>
        <v>0</v>
      </c>
      <c r="J191" s="953">
        <f t="shared" si="32"/>
        <v>0</v>
      </c>
      <c r="K191" s="953">
        <f t="shared" si="33"/>
        <v>1.1E-5</v>
      </c>
      <c r="L191" s="570" t="str">
        <f t="shared" si="34"/>
        <v>Modal 10</v>
      </c>
      <c r="M191" s="570">
        <f t="shared" si="36"/>
        <v>10</v>
      </c>
    </row>
    <row r="192" spans="1:13">
      <c r="A192" s="570" t="str">
        <f t="shared" si="35"/>
        <v>T3311</v>
      </c>
      <c r="C192" s="953" t="str">
        <f t="shared" si="25"/>
        <v>T33</v>
      </c>
      <c r="D192" s="953" t="str">
        <f t="shared" si="26"/>
        <v>D1</v>
      </c>
      <c r="E192" s="953">
        <f t="shared" si="27"/>
        <v>11</v>
      </c>
      <c r="F192" s="953">
        <f t="shared" si="28"/>
        <v>4.0200000000000001E-4</v>
      </c>
      <c r="G192" s="953">
        <f t="shared" si="29"/>
        <v>1.1169999999999999E-3</v>
      </c>
      <c r="H192" s="953">
        <f t="shared" si="30"/>
        <v>0</v>
      </c>
      <c r="I192" s="953">
        <f t="shared" si="31"/>
        <v>0</v>
      </c>
      <c r="J192" s="953">
        <f t="shared" si="32"/>
        <v>0</v>
      </c>
      <c r="K192" s="953">
        <f t="shared" si="33"/>
        <v>-2.1800000000000001E-4</v>
      </c>
      <c r="L192" s="570" t="str">
        <f t="shared" si="34"/>
        <v>Modal 11</v>
      </c>
      <c r="M192" s="570">
        <f t="shared" si="36"/>
        <v>11</v>
      </c>
    </row>
    <row r="193" spans="1:13">
      <c r="A193" s="570" t="str">
        <f t="shared" si="35"/>
        <v>T3312</v>
      </c>
      <c r="C193" s="953" t="str">
        <f t="shared" si="25"/>
        <v>T33</v>
      </c>
      <c r="D193" s="953" t="str">
        <f t="shared" si="26"/>
        <v>D1</v>
      </c>
      <c r="E193" s="953">
        <f t="shared" si="27"/>
        <v>12</v>
      </c>
      <c r="F193" s="953">
        <f t="shared" si="28"/>
        <v>4.86E-4</v>
      </c>
      <c r="G193" s="953">
        <f t="shared" si="29"/>
        <v>-2.9510000000000001E-3</v>
      </c>
      <c r="H193" s="953">
        <f t="shared" si="30"/>
        <v>0</v>
      </c>
      <c r="I193" s="953">
        <f t="shared" si="31"/>
        <v>0</v>
      </c>
      <c r="J193" s="953">
        <f t="shared" si="32"/>
        <v>0</v>
      </c>
      <c r="K193" s="953">
        <f t="shared" si="33"/>
        <v>-7.8999999999999996E-5</v>
      </c>
      <c r="L193" s="570" t="str">
        <f t="shared" si="34"/>
        <v>Modal 12</v>
      </c>
      <c r="M193" s="570">
        <f t="shared" si="36"/>
        <v>12</v>
      </c>
    </row>
    <row r="194" spans="1:13">
      <c r="A194" s="570" t="str">
        <f t="shared" si="35"/>
        <v>T3313</v>
      </c>
      <c r="C194" s="953" t="str">
        <f t="shared" ref="C194:C257" si="37">IF(Etabs="Etabs 9.7.4",IF(INDEX(Mode_1,ROW($E194),COLUMN(A$1))&lt;&gt;"",INDEX(Mode_1,ROW($E194),COLUMN(A$1)),""),IF(Etabs="Etabs 2013 trở lên",IF(INDEX(Mode_2,ROW($E196),COLUMN(A$1))&lt;&gt;"",INDEX(Mode_2,ROW($E196),COLUMN(A$1)),""),""))</f>
        <v>T33</v>
      </c>
      <c r="D194" s="953" t="str">
        <f t="shared" ref="D194:D257" si="38">IF(Etabs="Etabs 9.7.4",IF(INDEX(Mode_1,ROW($E194),COLUMN(B$1))&lt;&gt;"",INDEX(Mode_1,ROW($E194),COLUMN(B$1)),""),IF(Etabs="Etabs 2013 trở lên",IF(INDEX(Mode_2,ROW($E196),COLUMN(B$1))&lt;&gt;"",INDEX(Mode_2,ROW($E196),COLUMN(B$1)),""),""))</f>
        <v>D1</v>
      </c>
      <c r="E194" s="953">
        <f t="shared" ref="E194:E257" si="39">IF(Etabs="Etabs 9.7.4",IF(INDEX(Mode_1,ROW($E194),COLUMN(C$1))&lt;&gt;"",INDEX(Mode_1,ROW($E194),COLUMN(C$1)),""),IF(Etabs="Etabs 2013 trở lên",$M194,""))</f>
        <v>13</v>
      </c>
      <c r="F194" s="953">
        <f t="shared" ref="F194:F257" si="40">IF(Etabs="Etabs 9.7.4",IF(INDEX(Mode_1,ROW($E194),COLUMN(D$1))&lt;&gt;"",INDEX(Mode_1,ROW($E194),COLUMN(D$1)),""),IF(Etabs="Etabs 2013 trở lên",IF(INDEX(Mode_2,ROW($E196),COLUMN(D$1))&lt;&gt;"",INDEX(Mode_2,ROW($E196),COLUMN(D$1)),""),""))</f>
        <v>2.9710000000000001E-3</v>
      </c>
      <c r="G194" s="953">
        <f t="shared" ref="G194:G257" si="41">IF(Etabs="Etabs 9.7.4",IF(INDEX(Mode_1,ROW($E194),COLUMN(E$1))&lt;&gt;"",INDEX(Mode_1,ROW($E194),COLUMN(E$1)),""),IF(Etabs="Etabs 2013 trở lên",IF(INDEX(Mode_2,ROW($E196),COLUMN(E$1))&lt;&gt;"",INDEX(Mode_2,ROW($E196),COLUMN(E$1)),""),""))</f>
        <v>2.6899999999999998E-4</v>
      </c>
      <c r="H194" s="953">
        <f t="shared" ref="H194:H257" si="42">IF(Etabs="Etabs 9.7.4",IF(INDEX(Mode_1,ROW($E194),COLUMN(F$1))&lt;&gt;"",INDEX(Mode_1,ROW($E194),COLUMN(F$1)),""),IF(Etabs="Etabs 2013 trở lên",0,""))</f>
        <v>0</v>
      </c>
      <c r="I194" s="953">
        <f t="shared" ref="I194:I257" si="43">IF(Etabs="Etabs 9.7.4",IF(INDEX(Mode_1,ROW($E194),COLUMN(G$1))&lt;&gt;"",INDEX(Mode_1,ROW($E194),COLUMN(G$1)),""),IF(Etabs="Etabs 2013 trở lên",0,""))</f>
        <v>0</v>
      </c>
      <c r="J194" s="953">
        <f t="shared" ref="J194:J257" si="44">IF(Etabs="Etabs 9.7.4",IF(INDEX(Mode_1,ROW($E194),COLUMN(H$1))&lt;&gt;"",INDEX(Mode_1,ROW($E194),COLUMN(H$1)),""),IF(Etabs="Etabs 2013 trở lên",0,""))</f>
        <v>0</v>
      </c>
      <c r="K194" s="953">
        <f t="shared" ref="K194:K257" si="45">IF(Etabs="Etabs 9.7.4",IF(INDEX(Mode_1,ROW($E194),COLUMN(I$1))&lt;&gt;"",INDEX(Mode_1,ROW($E194),COLUMN(I$1)),""),IF(Etabs="Etabs 2013 trở lên",IF(INDEX(Mode_2,ROW($E196),COLUMN(F$1))&lt;&gt;"",INDEX(Mode_2,ROW($E196),COLUMN(F$1)),""),""))</f>
        <v>2.4000000000000001E-5</v>
      </c>
      <c r="L194" s="570" t="str">
        <f t="shared" ref="L194:L257" si="46">IF(Etabs="Etabs 9.7.4",IF(INDEX(Mode_1,ROW($E194),COLUMN(C$1))&lt;&gt;"",INDEX(Mode_1,ROW($E194),COLUMN(C$1)),""),IF(Etabs="Etabs 2013 trở lên",IF(INDEX(Mode_2,ROW($E196),COLUMN(C$1))&lt;&gt;"",INDEX(Mode_2,ROW($E196),COLUMN(C$1)),""),""))</f>
        <v>Modal 13</v>
      </c>
      <c r="M194" s="570">
        <f t="shared" si="36"/>
        <v>13</v>
      </c>
    </row>
    <row r="195" spans="1:13">
      <c r="A195" s="570" t="str">
        <f t="shared" ref="A195:A258" si="47">C195&amp;E195</f>
        <v>T3314</v>
      </c>
      <c r="C195" s="953" t="str">
        <f t="shared" si="37"/>
        <v>T33</v>
      </c>
      <c r="D195" s="953" t="str">
        <f t="shared" si="38"/>
        <v>D1</v>
      </c>
      <c r="E195" s="953">
        <f t="shared" si="39"/>
        <v>14</v>
      </c>
      <c r="F195" s="953">
        <f t="shared" si="40"/>
        <v>-5.6300000000000002E-4</v>
      </c>
      <c r="G195" s="953">
        <f t="shared" si="41"/>
        <v>-1.2999999999999999E-4</v>
      </c>
      <c r="H195" s="953">
        <f t="shared" si="42"/>
        <v>0</v>
      </c>
      <c r="I195" s="953">
        <f t="shared" si="43"/>
        <v>0</v>
      </c>
      <c r="J195" s="953">
        <f t="shared" si="44"/>
        <v>0</v>
      </c>
      <c r="K195" s="953">
        <f t="shared" si="45"/>
        <v>2.5599999999999999E-4</v>
      </c>
      <c r="L195" s="570" t="str">
        <f t="shared" si="46"/>
        <v>Modal 14</v>
      </c>
      <c r="M195" s="570">
        <f t="shared" ref="M195:M258" si="48">IFERROR(VALUE(RIGHT(L195,LEN(L195)-6)),"")</f>
        <v>14</v>
      </c>
    </row>
    <row r="196" spans="1:13">
      <c r="A196" s="570" t="str">
        <f t="shared" si="47"/>
        <v>T3315</v>
      </c>
      <c r="C196" s="953" t="str">
        <f t="shared" si="37"/>
        <v>T33</v>
      </c>
      <c r="D196" s="953" t="str">
        <f t="shared" si="38"/>
        <v>D1</v>
      </c>
      <c r="E196" s="953">
        <f t="shared" si="39"/>
        <v>15</v>
      </c>
      <c r="F196" s="953">
        <f t="shared" si="40"/>
        <v>-4.7399999999999997E-4</v>
      </c>
      <c r="G196" s="953">
        <f t="shared" si="41"/>
        <v>4.8869999999999999E-3</v>
      </c>
      <c r="H196" s="953">
        <f t="shared" si="42"/>
        <v>0</v>
      </c>
      <c r="I196" s="953">
        <f t="shared" si="43"/>
        <v>0</v>
      </c>
      <c r="J196" s="953">
        <f t="shared" si="44"/>
        <v>0</v>
      </c>
      <c r="K196" s="953">
        <f t="shared" si="45"/>
        <v>5.0000000000000004E-6</v>
      </c>
      <c r="L196" s="570" t="str">
        <f t="shared" si="46"/>
        <v>Modal 15</v>
      </c>
      <c r="M196" s="570">
        <f t="shared" si="48"/>
        <v>15</v>
      </c>
    </row>
    <row r="197" spans="1:13">
      <c r="A197" s="570" t="str">
        <f t="shared" si="47"/>
        <v>T3316</v>
      </c>
      <c r="C197" s="953" t="str">
        <f t="shared" si="37"/>
        <v>T33</v>
      </c>
      <c r="D197" s="953" t="str">
        <f t="shared" si="38"/>
        <v>D1</v>
      </c>
      <c r="E197" s="953">
        <f t="shared" si="39"/>
        <v>16</v>
      </c>
      <c r="F197" s="953">
        <f t="shared" si="40"/>
        <v>-1.6899999999999999E-4</v>
      </c>
      <c r="G197" s="953">
        <f t="shared" si="41"/>
        <v>1.5300000000000001E-4</v>
      </c>
      <c r="H197" s="953">
        <f t="shared" si="42"/>
        <v>0</v>
      </c>
      <c r="I197" s="953">
        <f t="shared" si="43"/>
        <v>0</v>
      </c>
      <c r="J197" s="953">
        <f t="shared" si="44"/>
        <v>0</v>
      </c>
      <c r="K197" s="953">
        <f t="shared" si="45"/>
        <v>-2.1000000000000001E-4</v>
      </c>
      <c r="L197" s="570" t="str">
        <f t="shared" si="46"/>
        <v>Modal 16</v>
      </c>
      <c r="M197" s="570">
        <f t="shared" si="48"/>
        <v>16</v>
      </c>
    </row>
    <row r="198" spans="1:13">
      <c r="A198" s="570" t="str">
        <f t="shared" si="47"/>
        <v>T3317</v>
      </c>
      <c r="C198" s="953" t="str">
        <f t="shared" si="37"/>
        <v>T33</v>
      </c>
      <c r="D198" s="953" t="str">
        <f t="shared" si="38"/>
        <v>D1</v>
      </c>
      <c r="E198" s="953">
        <f t="shared" si="39"/>
        <v>17</v>
      </c>
      <c r="F198" s="953">
        <f t="shared" si="40"/>
        <v>-4.7790000000000003E-3</v>
      </c>
      <c r="G198" s="953">
        <f t="shared" si="41"/>
        <v>-4.3399999999999998E-4</v>
      </c>
      <c r="H198" s="953">
        <f t="shared" si="42"/>
        <v>0</v>
      </c>
      <c r="I198" s="953">
        <f t="shared" si="43"/>
        <v>0</v>
      </c>
      <c r="J198" s="953">
        <f t="shared" si="44"/>
        <v>0</v>
      </c>
      <c r="K198" s="953">
        <f t="shared" si="45"/>
        <v>9.9999999999999995E-7</v>
      </c>
      <c r="L198" s="570" t="str">
        <f t="shared" si="46"/>
        <v>Modal 17</v>
      </c>
      <c r="M198" s="570">
        <f t="shared" si="48"/>
        <v>17</v>
      </c>
    </row>
    <row r="199" spans="1:13">
      <c r="A199" s="570" t="str">
        <f t="shared" si="47"/>
        <v>T3318</v>
      </c>
      <c r="C199" s="953" t="str">
        <f t="shared" si="37"/>
        <v>T33</v>
      </c>
      <c r="D199" s="953" t="str">
        <f t="shared" si="38"/>
        <v>D1</v>
      </c>
      <c r="E199" s="953">
        <f t="shared" si="39"/>
        <v>18</v>
      </c>
      <c r="F199" s="953">
        <f t="shared" si="40"/>
        <v>-4.0499999999999998E-4</v>
      </c>
      <c r="G199" s="953">
        <f t="shared" si="41"/>
        <v>5.1630000000000001E-3</v>
      </c>
      <c r="H199" s="953">
        <f t="shared" si="42"/>
        <v>0</v>
      </c>
      <c r="I199" s="953">
        <f t="shared" si="43"/>
        <v>0</v>
      </c>
      <c r="J199" s="953">
        <f t="shared" si="44"/>
        <v>0</v>
      </c>
      <c r="K199" s="953">
        <f t="shared" si="45"/>
        <v>2.5000000000000001E-5</v>
      </c>
      <c r="L199" s="570" t="str">
        <f t="shared" si="46"/>
        <v>Modal 18</v>
      </c>
      <c r="M199" s="570">
        <f t="shared" si="48"/>
        <v>18</v>
      </c>
    </row>
    <row r="200" spans="1:13">
      <c r="A200" s="570" t="str">
        <f t="shared" si="47"/>
        <v>T3319</v>
      </c>
      <c r="C200" s="953" t="str">
        <f t="shared" si="37"/>
        <v>T33</v>
      </c>
      <c r="D200" s="953" t="str">
        <f t="shared" si="38"/>
        <v>D1</v>
      </c>
      <c r="E200" s="953">
        <f t="shared" si="39"/>
        <v>19</v>
      </c>
      <c r="F200" s="953">
        <f t="shared" si="40"/>
        <v>-4.6000000000000001E-4</v>
      </c>
      <c r="G200" s="953">
        <f t="shared" si="41"/>
        <v>1.0139999999999999E-3</v>
      </c>
      <c r="H200" s="953">
        <f t="shared" si="42"/>
        <v>0</v>
      </c>
      <c r="I200" s="953">
        <f t="shared" si="43"/>
        <v>0</v>
      </c>
      <c r="J200" s="953">
        <f t="shared" si="44"/>
        <v>0</v>
      </c>
      <c r="K200" s="953">
        <f t="shared" si="45"/>
        <v>-1.2999999999999999E-4</v>
      </c>
      <c r="L200" s="570" t="str">
        <f t="shared" si="46"/>
        <v>Modal 19</v>
      </c>
      <c r="M200" s="570">
        <f t="shared" si="48"/>
        <v>19</v>
      </c>
    </row>
    <row r="201" spans="1:13">
      <c r="A201" s="570" t="str">
        <f t="shared" si="47"/>
        <v>T3320</v>
      </c>
      <c r="C201" s="953" t="str">
        <f t="shared" si="37"/>
        <v>T33</v>
      </c>
      <c r="D201" s="953" t="str">
        <f t="shared" si="38"/>
        <v>D1</v>
      </c>
      <c r="E201" s="953">
        <f t="shared" si="39"/>
        <v>20</v>
      </c>
      <c r="F201" s="953">
        <f t="shared" si="40"/>
        <v>5.1489999999999999E-3</v>
      </c>
      <c r="G201" s="953">
        <f t="shared" si="41"/>
        <v>3.6600000000000001E-4</v>
      </c>
      <c r="H201" s="953">
        <f t="shared" si="42"/>
        <v>0</v>
      </c>
      <c r="I201" s="953">
        <f t="shared" si="43"/>
        <v>0</v>
      </c>
      <c r="J201" s="953">
        <f t="shared" si="44"/>
        <v>0</v>
      </c>
      <c r="K201" s="953">
        <f t="shared" si="45"/>
        <v>1.2999999999999999E-5</v>
      </c>
      <c r="L201" s="570" t="str">
        <f t="shared" si="46"/>
        <v>Modal 20</v>
      </c>
      <c r="M201" s="570">
        <f t="shared" si="48"/>
        <v>20</v>
      </c>
    </row>
    <row r="202" spans="1:13">
      <c r="A202" s="570" t="str">
        <f t="shared" si="47"/>
        <v>T3321</v>
      </c>
      <c r="C202" s="953" t="str">
        <f t="shared" si="37"/>
        <v>T33</v>
      </c>
      <c r="D202" s="953" t="str">
        <f t="shared" si="38"/>
        <v>D1</v>
      </c>
      <c r="E202" s="953">
        <f t="shared" si="39"/>
        <v>21</v>
      </c>
      <c r="F202" s="953">
        <f t="shared" si="40"/>
        <v>1.9599999999999999E-4</v>
      </c>
      <c r="G202" s="953">
        <f t="shared" si="41"/>
        <v>-4.2469999999999999E-3</v>
      </c>
      <c r="H202" s="953">
        <f t="shared" si="42"/>
        <v>0</v>
      </c>
      <c r="I202" s="953">
        <f t="shared" si="43"/>
        <v>0</v>
      </c>
      <c r="J202" s="953">
        <f t="shared" si="44"/>
        <v>0</v>
      </c>
      <c r="K202" s="953">
        <f t="shared" si="45"/>
        <v>-7.9999999999999996E-6</v>
      </c>
      <c r="L202" s="570" t="str">
        <f t="shared" si="46"/>
        <v>Modal 21</v>
      </c>
      <c r="M202" s="570">
        <f t="shared" si="48"/>
        <v>21</v>
      </c>
    </row>
    <row r="203" spans="1:13">
      <c r="A203" s="570" t="str">
        <f t="shared" si="47"/>
        <v>T3322</v>
      </c>
      <c r="C203" s="953" t="str">
        <f t="shared" si="37"/>
        <v>T33</v>
      </c>
      <c r="D203" s="953" t="str">
        <f t="shared" si="38"/>
        <v>D1</v>
      </c>
      <c r="E203" s="953">
        <f t="shared" si="39"/>
        <v>22</v>
      </c>
      <c r="F203" s="953">
        <f t="shared" si="40"/>
        <v>3.6150000000000002E-3</v>
      </c>
      <c r="G203" s="953">
        <f t="shared" si="41"/>
        <v>2.32E-4</v>
      </c>
      <c r="H203" s="953">
        <f t="shared" si="42"/>
        <v>0</v>
      </c>
      <c r="I203" s="953">
        <f t="shared" si="43"/>
        <v>0</v>
      </c>
      <c r="J203" s="953">
        <f t="shared" si="44"/>
        <v>0</v>
      </c>
      <c r="K203" s="953">
        <f t="shared" si="45"/>
        <v>2.0000000000000002E-5</v>
      </c>
      <c r="L203" s="570" t="str">
        <f t="shared" si="46"/>
        <v>Modal 22</v>
      </c>
      <c r="M203" s="570">
        <f t="shared" si="48"/>
        <v>22</v>
      </c>
    </row>
    <row r="204" spans="1:13">
      <c r="A204" s="570" t="str">
        <f t="shared" si="47"/>
        <v>T3323</v>
      </c>
      <c r="C204" s="953" t="str">
        <f t="shared" si="37"/>
        <v>T33</v>
      </c>
      <c r="D204" s="953" t="str">
        <f t="shared" si="38"/>
        <v>D1</v>
      </c>
      <c r="E204" s="953">
        <f t="shared" si="39"/>
        <v>23</v>
      </c>
      <c r="F204" s="953">
        <f t="shared" si="40"/>
        <v>-1.4679999999999999E-3</v>
      </c>
      <c r="G204" s="953">
        <f t="shared" si="41"/>
        <v>-1.7290000000000001E-3</v>
      </c>
      <c r="H204" s="953">
        <f t="shared" si="42"/>
        <v>0</v>
      </c>
      <c r="I204" s="953">
        <f t="shared" si="43"/>
        <v>0</v>
      </c>
      <c r="J204" s="953">
        <f t="shared" si="44"/>
        <v>0</v>
      </c>
      <c r="K204" s="953">
        <f t="shared" si="45"/>
        <v>-6.0000000000000002E-6</v>
      </c>
      <c r="L204" s="570" t="str">
        <f t="shared" si="46"/>
        <v>Modal 23</v>
      </c>
      <c r="M204" s="570">
        <f t="shared" si="48"/>
        <v>23</v>
      </c>
    </row>
    <row r="205" spans="1:13">
      <c r="A205" s="570" t="str">
        <f t="shared" si="47"/>
        <v>T3324</v>
      </c>
      <c r="C205" s="953" t="str">
        <f t="shared" si="37"/>
        <v>T33</v>
      </c>
      <c r="D205" s="953" t="str">
        <f t="shared" si="38"/>
        <v>D1</v>
      </c>
      <c r="E205" s="953">
        <f t="shared" si="39"/>
        <v>24</v>
      </c>
      <c r="F205" s="953">
        <f t="shared" si="40"/>
        <v>-4.1E-5</v>
      </c>
      <c r="G205" s="953">
        <f t="shared" si="41"/>
        <v>-1.658E-3</v>
      </c>
      <c r="H205" s="953">
        <f t="shared" si="42"/>
        <v>0</v>
      </c>
      <c r="I205" s="953">
        <f t="shared" si="43"/>
        <v>0</v>
      </c>
      <c r="J205" s="953">
        <f t="shared" si="44"/>
        <v>0</v>
      </c>
      <c r="K205" s="953">
        <f t="shared" si="45"/>
        <v>-1.8E-5</v>
      </c>
      <c r="L205" s="570" t="str">
        <f t="shared" si="46"/>
        <v>Modal 24</v>
      </c>
      <c r="M205" s="570">
        <f t="shared" si="48"/>
        <v>24</v>
      </c>
    </row>
    <row r="206" spans="1:13">
      <c r="A206" s="570" t="str">
        <f t="shared" si="47"/>
        <v>T3325</v>
      </c>
      <c r="C206" s="953" t="str">
        <f t="shared" si="37"/>
        <v>T33</v>
      </c>
      <c r="D206" s="953" t="str">
        <f t="shared" si="38"/>
        <v>D1</v>
      </c>
      <c r="E206" s="953">
        <f t="shared" si="39"/>
        <v>25</v>
      </c>
      <c r="F206" s="953">
        <f t="shared" si="40"/>
        <v>-1.7899999999999999E-3</v>
      </c>
      <c r="G206" s="953">
        <f t="shared" si="41"/>
        <v>-3.7500000000000001E-4</v>
      </c>
      <c r="H206" s="953">
        <f t="shared" si="42"/>
        <v>0</v>
      </c>
      <c r="I206" s="953">
        <f t="shared" si="43"/>
        <v>0</v>
      </c>
      <c r="J206" s="953">
        <f t="shared" si="44"/>
        <v>0</v>
      </c>
      <c r="K206" s="953">
        <f t="shared" si="45"/>
        <v>-9.0000000000000002E-6</v>
      </c>
      <c r="L206" s="570" t="str">
        <f t="shared" si="46"/>
        <v>Modal 25</v>
      </c>
      <c r="M206" s="570">
        <f t="shared" si="48"/>
        <v>25</v>
      </c>
    </row>
    <row r="207" spans="1:13">
      <c r="A207" s="570" t="str">
        <f t="shared" si="47"/>
        <v>T3326</v>
      </c>
      <c r="C207" s="953" t="str">
        <f t="shared" si="37"/>
        <v>T33</v>
      </c>
      <c r="D207" s="953" t="str">
        <f t="shared" si="38"/>
        <v>D1</v>
      </c>
      <c r="E207" s="953">
        <f t="shared" si="39"/>
        <v>26</v>
      </c>
      <c r="F207" s="953">
        <f t="shared" si="40"/>
        <v>-6.8999999999999997E-4</v>
      </c>
      <c r="G207" s="953">
        <f t="shared" si="41"/>
        <v>9.1E-4</v>
      </c>
      <c r="H207" s="953">
        <f t="shared" si="42"/>
        <v>0</v>
      </c>
      <c r="I207" s="953">
        <f t="shared" si="43"/>
        <v>0</v>
      </c>
      <c r="J207" s="953">
        <f t="shared" si="44"/>
        <v>0</v>
      </c>
      <c r="K207" s="953">
        <f t="shared" si="45"/>
        <v>1.2E-5</v>
      </c>
      <c r="L207" s="570" t="str">
        <f t="shared" si="46"/>
        <v>Modal 26</v>
      </c>
      <c r="M207" s="570">
        <f t="shared" si="48"/>
        <v>26</v>
      </c>
    </row>
    <row r="208" spans="1:13">
      <c r="A208" s="570" t="str">
        <f t="shared" si="47"/>
        <v>T3327</v>
      </c>
      <c r="C208" s="953" t="str">
        <f t="shared" si="37"/>
        <v>T33</v>
      </c>
      <c r="D208" s="953" t="str">
        <f t="shared" si="38"/>
        <v>D1</v>
      </c>
      <c r="E208" s="953">
        <f t="shared" si="39"/>
        <v>27</v>
      </c>
      <c r="F208" s="953">
        <f t="shared" si="40"/>
        <v>-1.2750000000000001E-3</v>
      </c>
      <c r="G208" s="953">
        <f t="shared" si="41"/>
        <v>4.5000000000000003E-5</v>
      </c>
      <c r="H208" s="953">
        <f t="shared" si="42"/>
        <v>0</v>
      </c>
      <c r="I208" s="953">
        <f t="shared" si="43"/>
        <v>0</v>
      </c>
      <c r="J208" s="953">
        <f t="shared" si="44"/>
        <v>0</v>
      </c>
      <c r="K208" s="953">
        <f t="shared" si="45"/>
        <v>-6.0000000000000002E-6</v>
      </c>
      <c r="L208" s="570" t="str">
        <f t="shared" si="46"/>
        <v>Modal 27</v>
      </c>
      <c r="M208" s="570">
        <f t="shared" si="48"/>
        <v>27</v>
      </c>
    </row>
    <row r="209" spans="1:13">
      <c r="A209" s="570" t="str">
        <f t="shared" si="47"/>
        <v>T3328</v>
      </c>
      <c r="C209" s="953" t="str">
        <f t="shared" si="37"/>
        <v>T33</v>
      </c>
      <c r="D209" s="953" t="str">
        <f t="shared" si="38"/>
        <v>D1</v>
      </c>
      <c r="E209" s="953">
        <f t="shared" si="39"/>
        <v>28</v>
      </c>
      <c r="F209" s="953">
        <f t="shared" si="40"/>
        <v>-5.1599999999999997E-4</v>
      </c>
      <c r="G209" s="953">
        <f t="shared" si="41"/>
        <v>4.2099999999999999E-4</v>
      </c>
      <c r="H209" s="953">
        <f t="shared" si="42"/>
        <v>0</v>
      </c>
      <c r="I209" s="953">
        <f t="shared" si="43"/>
        <v>0</v>
      </c>
      <c r="J209" s="953">
        <f t="shared" si="44"/>
        <v>0</v>
      </c>
      <c r="K209" s="953">
        <f t="shared" si="45"/>
        <v>9.0000000000000002E-6</v>
      </c>
      <c r="L209" s="570" t="str">
        <f t="shared" si="46"/>
        <v>Modal 28</v>
      </c>
      <c r="M209" s="570">
        <f t="shared" si="48"/>
        <v>28</v>
      </c>
    </row>
    <row r="210" spans="1:13">
      <c r="A210" s="570" t="str">
        <f t="shared" si="47"/>
        <v>T3329</v>
      </c>
      <c r="C210" s="953" t="str">
        <f t="shared" si="37"/>
        <v>T33</v>
      </c>
      <c r="D210" s="953" t="str">
        <f t="shared" si="38"/>
        <v>D1</v>
      </c>
      <c r="E210" s="953">
        <f t="shared" si="39"/>
        <v>29</v>
      </c>
      <c r="F210" s="953">
        <f t="shared" si="40"/>
        <v>1.0549999999999999E-3</v>
      </c>
      <c r="G210" s="953">
        <f t="shared" si="41"/>
        <v>-1.64E-4</v>
      </c>
      <c r="H210" s="953">
        <f t="shared" si="42"/>
        <v>0</v>
      </c>
      <c r="I210" s="953">
        <f t="shared" si="43"/>
        <v>0</v>
      </c>
      <c r="J210" s="953">
        <f t="shared" si="44"/>
        <v>0</v>
      </c>
      <c r="K210" s="953">
        <f t="shared" si="45"/>
        <v>3.9999999999999998E-6</v>
      </c>
      <c r="L210" s="570" t="str">
        <f t="shared" si="46"/>
        <v>Modal 29</v>
      </c>
      <c r="M210" s="570">
        <f t="shared" si="48"/>
        <v>29</v>
      </c>
    </row>
    <row r="211" spans="1:13">
      <c r="A211" s="570" t="str">
        <f t="shared" si="47"/>
        <v>T3330</v>
      </c>
      <c r="C211" s="953" t="str">
        <f t="shared" si="37"/>
        <v>T33</v>
      </c>
      <c r="D211" s="953" t="str">
        <f t="shared" si="38"/>
        <v>D1</v>
      </c>
      <c r="E211" s="953">
        <f t="shared" si="39"/>
        <v>30</v>
      </c>
      <c r="F211" s="953">
        <f t="shared" si="40"/>
        <v>2.3900000000000001E-4</v>
      </c>
      <c r="G211" s="953">
        <f t="shared" si="41"/>
        <v>-2.3800000000000001E-4</v>
      </c>
      <c r="H211" s="953">
        <f t="shared" si="42"/>
        <v>0</v>
      </c>
      <c r="I211" s="953">
        <f t="shared" si="43"/>
        <v>0</v>
      </c>
      <c r="J211" s="953">
        <f t="shared" si="44"/>
        <v>0</v>
      </c>
      <c r="K211" s="953">
        <f t="shared" si="45"/>
        <v>-9.0000000000000002E-6</v>
      </c>
      <c r="L211" s="570" t="str">
        <f t="shared" si="46"/>
        <v>Modal 30</v>
      </c>
      <c r="M211" s="570">
        <f t="shared" si="48"/>
        <v>30</v>
      </c>
    </row>
    <row r="212" spans="1:13">
      <c r="A212" s="570" t="str">
        <f t="shared" si="47"/>
        <v>T321</v>
      </c>
      <c r="C212" s="953" t="str">
        <f t="shared" si="37"/>
        <v>T32</v>
      </c>
      <c r="D212" s="953" t="str">
        <f t="shared" si="38"/>
        <v>D1</v>
      </c>
      <c r="E212" s="953">
        <f t="shared" si="39"/>
        <v>1</v>
      </c>
      <c r="F212" s="953">
        <f t="shared" si="40"/>
        <v>-1.1019999999999999E-3</v>
      </c>
      <c r="G212" s="953">
        <f t="shared" si="41"/>
        <v>5.6740000000000002E-3</v>
      </c>
      <c r="H212" s="953">
        <f t="shared" si="42"/>
        <v>0</v>
      </c>
      <c r="I212" s="953">
        <f t="shared" si="43"/>
        <v>0</v>
      </c>
      <c r="J212" s="953">
        <f t="shared" si="44"/>
        <v>0</v>
      </c>
      <c r="K212" s="953">
        <f t="shared" si="45"/>
        <v>4.6E-5</v>
      </c>
      <c r="L212" s="570" t="str">
        <f t="shared" si="46"/>
        <v>Modal 1</v>
      </c>
      <c r="M212" s="570">
        <f t="shared" si="48"/>
        <v>1</v>
      </c>
    </row>
    <row r="213" spans="1:13">
      <c r="A213" s="570" t="str">
        <f t="shared" si="47"/>
        <v>T322</v>
      </c>
      <c r="C213" s="953" t="str">
        <f t="shared" si="37"/>
        <v>T32</v>
      </c>
      <c r="D213" s="953" t="str">
        <f t="shared" si="38"/>
        <v>D1</v>
      </c>
      <c r="E213" s="953">
        <f t="shared" si="39"/>
        <v>2</v>
      </c>
      <c r="F213" s="953">
        <f t="shared" si="40"/>
        <v>-8.0099999999999995E-4</v>
      </c>
      <c r="G213" s="953">
        <f t="shared" si="41"/>
        <v>-1.173E-3</v>
      </c>
      <c r="H213" s="953">
        <f t="shared" si="42"/>
        <v>0</v>
      </c>
      <c r="I213" s="953">
        <f t="shared" si="43"/>
        <v>0</v>
      </c>
      <c r="J213" s="953">
        <f t="shared" si="44"/>
        <v>0</v>
      </c>
      <c r="K213" s="953">
        <f t="shared" si="45"/>
        <v>2.6800000000000001E-4</v>
      </c>
      <c r="L213" s="570" t="str">
        <f t="shared" si="46"/>
        <v>Modal 2</v>
      </c>
      <c r="M213" s="570">
        <f t="shared" si="48"/>
        <v>2</v>
      </c>
    </row>
    <row r="214" spans="1:13">
      <c r="A214" s="570" t="str">
        <f t="shared" si="47"/>
        <v>T323</v>
      </c>
      <c r="C214" s="953" t="str">
        <f t="shared" si="37"/>
        <v>T32</v>
      </c>
      <c r="D214" s="953" t="str">
        <f t="shared" si="38"/>
        <v>D1</v>
      </c>
      <c r="E214" s="953">
        <f t="shared" si="39"/>
        <v>3</v>
      </c>
      <c r="F214" s="953">
        <f t="shared" si="40"/>
        <v>5.646E-3</v>
      </c>
      <c r="G214" s="953">
        <f t="shared" si="41"/>
        <v>9.0600000000000001E-4</v>
      </c>
      <c r="H214" s="953">
        <f t="shared" si="42"/>
        <v>0</v>
      </c>
      <c r="I214" s="953">
        <f t="shared" si="43"/>
        <v>0</v>
      </c>
      <c r="J214" s="953">
        <f t="shared" si="44"/>
        <v>0</v>
      </c>
      <c r="K214" s="953">
        <f t="shared" si="45"/>
        <v>4.6E-5</v>
      </c>
      <c r="L214" s="570" t="str">
        <f t="shared" si="46"/>
        <v>Modal 3</v>
      </c>
      <c r="M214" s="570">
        <f t="shared" si="48"/>
        <v>3</v>
      </c>
    </row>
    <row r="215" spans="1:13">
      <c r="A215" s="570" t="str">
        <f t="shared" si="47"/>
        <v>T324</v>
      </c>
      <c r="C215" s="953" t="str">
        <f t="shared" si="37"/>
        <v>T32</v>
      </c>
      <c r="D215" s="953" t="str">
        <f t="shared" si="38"/>
        <v>D1</v>
      </c>
      <c r="E215" s="953">
        <f t="shared" si="39"/>
        <v>4</v>
      </c>
      <c r="F215" s="953">
        <f t="shared" si="40"/>
        <v>3.3100000000000002E-4</v>
      </c>
      <c r="G215" s="953">
        <f t="shared" si="41"/>
        <v>-3.0000000000000001E-6</v>
      </c>
      <c r="H215" s="953">
        <f t="shared" si="42"/>
        <v>0</v>
      </c>
      <c r="I215" s="953">
        <f t="shared" si="43"/>
        <v>0</v>
      </c>
      <c r="J215" s="953">
        <f t="shared" si="44"/>
        <v>0</v>
      </c>
      <c r="K215" s="953">
        <f t="shared" si="45"/>
        <v>-1.3799999999999999E-4</v>
      </c>
      <c r="L215" s="570" t="str">
        <f t="shared" si="46"/>
        <v>Modal 4</v>
      </c>
      <c r="M215" s="570">
        <f t="shared" si="48"/>
        <v>4</v>
      </c>
    </row>
    <row r="216" spans="1:13">
      <c r="A216" s="570" t="str">
        <f t="shared" si="47"/>
        <v>T325</v>
      </c>
      <c r="C216" s="953" t="str">
        <f t="shared" si="37"/>
        <v>T32</v>
      </c>
      <c r="D216" s="953" t="str">
        <f t="shared" si="38"/>
        <v>D1</v>
      </c>
      <c r="E216" s="953">
        <f t="shared" si="39"/>
        <v>5</v>
      </c>
      <c r="F216" s="953">
        <f t="shared" si="40"/>
        <v>-1.9000000000000001E-4</v>
      </c>
      <c r="G216" s="953">
        <f t="shared" si="41"/>
        <v>2.003E-3</v>
      </c>
      <c r="H216" s="953">
        <f t="shared" si="42"/>
        <v>0</v>
      </c>
      <c r="I216" s="953">
        <f t="shared" si="43"/>
        <v>0</v>
      </c>
      <c r="J216" s="953">
        <f t="shared" si="44"/>
        <v>0</v>
      </c>
      <c r="K216" s="953">
        <f t="shared" si="45"/>
        <v>-3.0000000000000001E-6</v>
      </c>
      <c r="L216" s="570" t="str">
        <f t="shared" si="46"/>
        <v>Modal 5</v>
      </c>
      <c r="M216" s="570">
        <f t="shared" si="48"/>
        <v>5</v>
      </c>
    </row>
    <row r="217" spans="1:13">
      <c r="A217" s="570" t="str">
        <f t="shared" si="47"/>
        <v>T326</v>
      </c>
      <c r="C217" s="953" t="str">
        <f t="shared" si="37"/>
        <v>T32</v>
      </c>
      <c r="D217" s="953" t="str">
        <f t="shared" si="38"/>
        <v>D1</v>
      </c>
      <c r="E217" s="953">
        <f t="shared" si="39"/>
        <v>6</v>
      </c>
      <c r="F217" s="953">
        <f t="shared" si="40"/>
        <v>2.281E-3</v>
      </c>
      <c r="G217" s="953">
        <f t="shared" si="41"/>
        <v>3.2600000000000001E-4</v>
      </c>
      <c r="H217" s="953">
        <f t="shared" si="42"/>
        <v>0</v>
      </c>
      <c r="I217" s="953">
        <f t="shared" si="43"/>
        <v>0</v>
      </c>
      <c r="J217" s="953">
        <f t="shared" si="44"/>
        <v>0</v>
      </c>
      <c r="K217" s="953">
        <f t="shared" si="45"/>
        <v>1.9000000000000001E-5</v>
      </c>
      <c r="L217" s="570" t="str">
        <f t="shared" si="46"/>
        <v>Modal 6</v>
      </c>
      <c r="M217" s="570">
        <f t="shared" si="48"/>
        <v>6</v>
      </c>
    </row>
    <row r="218" spans="1:13">
      <c r="A218" s="570" t="str">
        <f t="shared" si="47"/>
        <v>T327</v>
      </c>
      <c r="C218" s="953" t="str">
        <f t="shared" si="37"/>
        <v>T32</v>
      </c>
      <c r="D218" s="953" t="str">
        <f t="shared" si="38"/>
        <v>D1</v>
      </c>
      <c r="E218" s="953">
        <f t="shared" si="39"/>
        <v>7</v>
      </c>
      <c r="F218" s="953">
        <f t="shared" si="40"/>
        <v>-1.8200000000000001E-4</v>
      </c>
      <c r="G218" s="953">
        <f t="shared" si="41"/>
        <v>-1.1E-5</v>
      </c>
      <c r="H218" s="953">
        <f t="shared" si="42"/>
        <v>0</v>
      </c>
      <c r="I218" s="953">
        <f t="shared" si="43"/>
        <v>0</v>
      </c>
      <c r="J218" s="953">
        <f t="shared" si="44"/>
        <v>0</v>
      </c>
      <c r="K218" s="953">
        <f t="shared" si="45"/>
        <v>3.8000000000000002E-5</v>
      </c>
      <c r="L218" s="570" t="str">
        <f t="shared" si="46"/>
        <v>Modal 7</v>
      </c>
      <c r="M218" s="570">
        <f t="shared" si="48"/>
        <v>7</v>
      </c>
    </row>
    <row r="219" spans="1:13">
      <c r="A219" s="570" t="str">
        <f t="shared" si="47"/>
        <v>T328</v>
      </c>
      <c r="C219" s="953" t="str">
        <f t="shared" si="37"/>
        <v>T32</v>
      </c>
      <c r="D219" s="953" t="str">
        <f t="shared" si="38"/>
        <v>D1</v>
      </c>
      <c r="E219" s="953">
        <f t="shared" si="39"/>
        <v>8</v>
      </c>
      <c r="F219" s="953">
        <f t="shared" si="40"/>
        <v>-1.64E-4</v>
      </c>
      <c r="G219" s="953">
        <f t="shared" si="41"/>
        <v>1.4630000000000001E-3</v>
      </c>
      <c r="H219" s="953">
        <f t="shared" si="42"/>
        <v>0</v>
      </c>
      <c r="I219" s="953">
        <f t="shared" si="43"/>
        <v>0</v>
      </c>
      <c r="J219" s="953">
        <f t="shared" si="44"/>
        <v>0</v>
      </c>
      <c r="K219" s="953">
        <f t="shared" si="45"/>
        <v>-1.9999999999999999E-6</v>
      </c>
      <c r="L219" s="570" t="str">
        <f t="shared" si="46"/>
        <v>Modal 8</v>
      </c>
      <c r="M219" s="570">
        <f t="shared" si="48"/>
        <v>8</v>
      </c>
    </row>
    <row r="220" spans="1:13">
      <c r="A220" s="570" t="str">
        <f t="shared" si="47"/>
        <v>T329</v>
      </c>
      <c r="C220" s="953" t="str">
        <f t="shared" si="37"/>
        <v>T32</v>
      </c>
      <c r="D220" s="953" t="str">
        <f t="shared" si="38"/>
        <v>D1</v>
      </c>
      <c r="E220" s="953">
        <f t="shared" si="39"/>
        <v>9</v>
      </c>
      <c r="F220" s="953">
        <f t="shared" si="40"/>
        <v>-5.5900000000000004E-4</v>
      </c>
      <c r="G220" s="953">
        <f t="shared" si="41"/>
        <v>-1.7E-5</v>
      </c>
      <c r="H220" s="953">
        <f t="shared" si="42"/>
        <v>0</v>
      </c>
      <c r="I220" s="953">
        <f t="shared" si="43"/>
        <v>0</v>
      </c>
      <c r="J220" s="953">
        <f t="shared" si="44"/>
        <v>0</v>
      </c>
      <c r="K220" s="953">
        <f t="shared" si="45"/>
        <v>1.92E-4</v>
      </c>
      <c r="L220" s="570" t="str">
        <f t="shared" si="46"/>
        <v>Modal 9</v>
      </c>
      <c r="M220" s="570">
        <f t="shared" si="48"/>
        <v>9</v>
      </c>
    </row>
    <row r="221" spans="1:13">
      <c r="A221" s="570" t="str">
        <f t="shared" si="47"/>
        <v>T3210</v>
      </c>
      <c r="C221" s="953" t="str">
        <f t="shared" si="37"/>
        <v>T32</v>
      </c>
      <c r="D221" s="953" t="str">
        <f t="shared" si="38"/>
        <v>D1</v>
      </c>
      <c r="E221" s="953">
        <f t="shared" si="39"/>
        <v>10</v>
      </c>
      <c r="F221" s="953">
        <f t="shared" si="40"/>
        <v>1.2329999999999999E-3</v>
      </c>
      <c r="G221" s="953">
        <f t="shared" si="41"/>
        <v>1.05E-4</v>
      </c>
      <c r="H221" s="953">
        <f t="shared" si="42"/>
        <v>0</v>
      </c>
      <c r="I221" s="953">
        <f t="shared" si="43"/>
        <v>0</v>
      </c>
      <c r="J221" s="953">
        <f t="shared" si="44"/>
        <v>0</v>
      </c>
      <c r="K221" s="953">
        <f t="shared" si="45"/>
        <v>2.4000000000000001E-5</v>
      </c>
      <c r="L221" s="570" t="str">
        <f t="shared" si="46"/>
        <v>Modal 10</v>
      </c>
      <c r="M221" s="570">
        <f t="shared" si="48"/>
        <v>10</v>
      </c>
    </row>
    <row r="222" spans="1:13">
      <c r="A222" s="570" t="str">
        <f t="shared" si="47"/>
        <v>T3211</v>
      </c>
      <c r="C222" s="953" t="str">
        <f t="shared" si="37"/>
        <v>T32</v>
      </c>
      <c r="D222" s="953" t="str">
        <f t="shared" si="38"/>
        <v>D1</v>
      </c>
      <c r="E222" s="953">
        <f t="shared" si="39"/>
        <v>11</v>
      </c>
      <c r="F222" s="953">
        <f t="shared" si="40"/>
        <v>4.3899999999999999E-4</v>
      </c>
      <c r="G222" s="953">
        <f t="shared" si="41"/>
        <v>1.513E-3</v>
      </c>
      <c r="H222" s="953">
        <f t="shared" si="42"/>
        <v>0</v>
      </c>
      <c r="I222" s="953">
        <f t="shared" si="43"/>
        <v>0</v>
      </c>
      <c r="J222" s="953">
        <f t="shared" si="44"/>
        <v>0</v>
      </c>
      <c r="K222" s="953">
        <f t="shared" si="45"/>
        <v>-2.4499999999999999E-4</v>
      </c>
      <c r="L222" s="570" t="str">
        <f t="shared" si="46"/>
        <v>Modal 11</v>
      </c>
      <c r="M222" s="570">
        <f t="shared" si="48"/>
        <v>11</v>
      </c>
    </row>
    <row r="223" spans="1:13">
      <c r="A223" s="570" t="str">
        <f t="shared" si="47"/>
        <v>T3212</v>
      </c>
      <c r="C223" s="953" t="str">
        <f t="shared" si="37"/>
        <v>T32</v>
      </c>
      <c r="D223" s="953" t="str">
        <f t="shared" si="38"/>
        <v>D1</v>
      </c>
      <c r="E223" s="953">
        <f t="shared" si="39"/>
        <v>12</v>
      </c>
      <c r="F223" s="953">
        <f t="shared" si="40"/>
        <v>6.11E-4</v>
      </c>
      <c r="G223" s="953">
        <f t="shared" si="41"/>
        <v>-4.0020000000000003E-3</v>
      </c>
      <c r="H223" s="953">
        <f t="shared" si="42"/>
        <v>0</v>
      </c>
      <c r="I223" s="953">
        <f t="shared" si="43"/>
        <v>0</v>
      </c>
      <c r="J223" s="953">
        <f t="shared" si="44"/>
        <v>0</v>
      </c>
      <c r="K223" s="953">
        <f t="shared" si="45"/>
        <v>-8.8999999999999995E-5</v>
      </c>
      <c r="L223" s="570" t="str">
        <f t="shared" si="46"/>
        <v>Modal 12</v>
      </c>
      <c r="M223" s="570">
        <f t="shared" si="48"/>
        <v>12</v>
      </c>
    </row>
    <row r="224" spans="1:13">
      <c r="A224" s="570" t="str">
        <f t="shared" si="47"/>
        <v>T3213</v>
      </c>
      <c r="C224" s="953" t="str">
        <f t="shared" si="37"/>
        <v>T32</v>
      </c>
      <c r="D224" s="953" t="str">
        <f t="shared" si="38"/>
        <v>D1</v>
      </c>
      <c r="E224" s="953">
        <f t="shared" si="39"/>
        <v>13</v>
      </c>
      <c r="F224" s="953">
        <f t="shared" si="40"/>
        <v>4.1159999999999999E-3</v>
      </c>
      <c r="G224" s="953">
        <f t="shared" si="41"/>
        <v>3.8099999999999999E-4</v>
      </c>
      <c r="H224" s="953">
        <f t="shared" si="42"/>
        <v>0</v>
      </c>
      <c r="I224" s="953">
        <f t="shared" si="43"/>
        <v>0</v>
      </c>
      <c r="J224" s="953">
        <f t="shared" si="44"/>
        <v>0</v>
      </c>
      <c r="K224" s="953">
        <f t="shared" si="45"/>
        <v>3.1999999999999999E-5</v>
      </c>
      <c r="L224" s="570" t="str">
        <f t="shared" si="46"/>
        <v>Modal 13</v>
      </c>
      <c r="M224" s="570">
        <f t="shared" si="48"/>
        <v>13</v>
      </c>
    </row>
    <row r="225" spans="1:13">
      <c r="A225" s="570" t="str">
        <f t="shared" si="47"/>
        <v>T3214</v>
      </c>
      <c r="C225" s="953" t="str">
        <f t="shared" si="37"/>
        <v>T32</v>
      </c>
      <c r="D225" s="953" t="str">
        <f t="shared" si="38"/>
        <v>D1</v>
      </c>
      <c r="E225" s="953">
        <f t="shared" si="39"/>
        <v>14</v>
      </c>
      <c r="F225" s="953">
        <f t="shared" si="40"/>
        <v>-5.31E-4</v>
      </c>
      <c r="G225" s="953">
        <f t="shared" si="41"/>
        <v>-1.4300000000000001E-4</v>
      </c>
      <c r="H225" s="953">
        <f t="shared" si="42"/>
        <v>0</v>
      </c>
      <c r="I225" s="953">
        <f t="shared" si="43"/>
        <v>0</v>
      </c>
      <c r="J225" s="953">
        <f t="shared" si="44"/>
        <v>0</v>
      </c>
      <c r="K225" s="953">
        <f t="shared" si="45"/>
        <v>2.2499999999999999E-4</v>
      </c>
      <c r="L225" s="570" t="str">
        <f t="shared" si="46"/>
        <v>Modal 14</v>
      </c>
      <c r="M225" s="570">
        <f t="shared" si="48"/>
        <v>14</v>
      </c>
    </row>
    <row r="226" spans="1:13">
      <c r="A226" s="570" t="str">
        <f t="shared" si="47"/>
        <v>T3215</v>
      </c>
      <c r="C226" s="953" t="str">
        <f t="shared" si="37"/>
        <v>T32</v>
      </c>
      <c r="D226" s="953" t="str">
        <f t="shared" si="38"/>
        <v>D1</v>
      </c>
      <c r="E226" s="953">
        <f t="shared" si="39"/>
        <v>15</v>
      </c>
      <c r="F226" s="953">
        <f t="shared" si="40"/>
        <v>-5.0600000000000005E-4</v>
      </c>
      <c r="G226" s="953">
        <f t="shared" si="41"/>
        <v>5.3299999999999997E-3</v>
      </c>
      <c r="H226" s="953">
        <f t="shared" si="42"/>
        <v>0</v>
      </c>
      <c r="I226" s="953">
        <f t="shared" si="43"/>
        <v>0</v>
      </c>
      <c r="J226" s="953">
        <f t="shared" si="44"/>
        <v>0</v>
      </c>
      <c r="K226" s="953">
        <f t="shared" si="45"/>
        <v>3.0000000000000001E-6</v>
      </c>
      <c r="L226" s="570" t="str">
        <f t="shared" si="46"/>
        <v>Modal 15</v>
      </c>
      <c r="M226" s="570">
        <f t="shared" si="48"/>
        <v>15</v>
      </c>
    </row>
    <row r="227" spans="1:13">
      <c r="A227" s="570" t="str">
        <f t="shared" si="47"/>
        <v>T3216</v>
      </c>
      <c r="C227" s="953" t="str">
        <f t="shared" si="37"/>
        <v>T32</v>
      </c>
      <c r="D227" s="953" t="str">
        <f t="shared" si="38"/>
        <v>D1</v>
      </c>
      <c r="E227" s="953">
        <f t="shared" si="39"/>
        <v>16</v>
      </c>
      <c r="F227" s="953">
        <f t="shared" si="40"/>
        <v>-3.8200000000000002E-4</v>
      </c>
      <c r="G227" s="953">
        <f t="shared" si="41"/>
        <v>1.3200000000000001E-4</v>
      </c>
      <c r="H227" s="953">
        <f t="shared" si="42"/>
        <v>0</v>
      </c>
      <c r="I227" s="953">
        <f t="shared" si="43"/>
        <v>0</v>
      </c>
      <c r="J227" s="953">
        <f t="shared" si="44"/>
        <v>0</v>
      </c>
      <c r="K227" s="953">
        <f t="shared" si="45"/>
        <v>-1.2300000000000001E-4</v>
      </c>
      <c r="L227" s="570" t="str">
        <f t="shared" si="46"/>
        <v>Modal 16</v>
      </c>
      <c r="M227" s="570">
        <f t="shared" si="48"/>
        <v>16</v>
      </c>
    </row>
    <row r="228" spans="1:13">
      <c r="A228" s="570" t="str">
        <f t="shared" si="47"/>
        <v>T3217</v>
      </c>
      <c r="C228" s="953" t="str">
        <f t="shared" si="37"/>
        <v>T32</v>
      </c>
      <c r="D228" s="953" t="str">
        <f t="shared" si="38"/>
        <v>D1</v>
      </c>
      <c r="E228" s="953">
        <f t="shared" si="39"/>
        <v>17</v>
      </c>
      <c r="F228" s="953">
        <f t="shared" si="40"/>
        <v>-5.254E-3</v>
      </c>
      <c r="G228" s="953">
        <f t="shared" si="41"/>
        <v>-4.8500000000000003E-4</v>
      </c>
      <c r="H228" s="953">
        <f t="shared" si="42"/>
        <v>0</v>
      </c>
      <c r="I228" s="953">
        <f t="shared" si="43"/>
        <v>0</v>
      </c>
      <c r="J228" s="953">
        <f t="shared" si="44"/>
        <v>0</v>
      </c>
      <c r="K228" s="953">
        <f t="shared" si="45"/>
        <v>-1.7E-5</v>
      </c>
      <c r="L228" s="570" t="str">
        <f t="shared" si="46"/>
        <v>Modal 17</v>
      </c>
      <c r="M228" s="570">
        <f t="shared" si="48"/>
        <v>17</v>
      </c>
    </row>
    <row r="229" spans="1:13">
      <c r="A229" s="570" t="str">
        <f t="shared" si="47"/>
        <v>T3218</v>
      </c>
      <c r="C229" s="953" t="str">
        <f t="shared" si="37"/>
        <v>T32</v>
      </c>
      <c r="D229" s="953" t="str">
        <f t="shared" si="38"/>
        <v>D1</v>
      </c>
      <c r="E229" s="953">
        <f t="shared" si="39"/>
        <v>18</v>
      </c>
      <c r="F229" s="953">
        <f t="shared" si="40"/>
        <v>-2.9599999999999998E-4</v>
      </c>
      <c r="G229" s="953">
        <f t="shared" si="41"/>
        <v>4.4359999999999998E-3</v>
      </c>
      <c r="H229" s="953">
        <f t="shared" si="42"/>
        <v>0</v>
      </c>
      <c r="I229" s="953">
        <f t="shared" si="43"/>
        <v>0</v>
      </c>
      <c r="J229" s="953">
        <f t="shared" si="44"/>
        <v>0</v>
      </c>
      <c r="K229" s="953">
        <f t="shared" si="45"/>
        <v>9.9999999999999995E-7</v>
      </c>
      <c r="L229" s="570" t="str">
        <f t="shared" si="46"/>
        <v>Modal 18</v>
      </c>
      <c r="M229" s="570">
        <f t="shared" si="48"/>
        <v>18</v>
      </c>
    </row>
    <row r="230" spans="1:13">
      <c r="A230" s="570" t="str">
        <f t="shared" si="47"/>
        <v>T3219</v>
      </c>
      <c r="C230" s="953" t="str">
        <f t="shared" si="37"/>
        <v>T32</v>
      </c>
      <c r="D230" s="953" t="str">
        <f t="shared" si="38"/>
        <v>D1</v>
      </c>
      <c r="E230" s="953">
        <f t="shared" si="39"/>
        <v>19</v>
      </c>
      <c r="F230" s="953">
        <f t="shared" si="40"/>
        <v>-5.7300000000000005E-4</v>
      </c>
      <c r="G230" s="953">
        <f t="shared" si="41"/>
        <v>8.8800000000000001E-4</v>
      </c>
      <c r="H230" s="953">
        <f t="shared" si="42"/>
        <v>0</v>
      </c>
      <c r="I230" s="953">
        <f t="shared" si="43"/>
        <v>0</v>
      </c>
      <c r="J230" s="953">
        <f t="shared" si="44"/>
        <v>0</v>
      </c>
      <c r="K230" s="953">
        <f t="shared" si="45"/>
        <v>3.9999999999999998E-6</v>
      </c>
      <c r="L230" s="570" t="str">
        <f t="shared" si="46"/>
        <v>Modal 19</v>
      </c>
      <c r="M230" s="570">
        <f t="shared" si="48"/>
        <v>19</v>
      </c>
    </row>
    <row r="231" spans="1:13">
      <c r="A231" s="570" t="str">
        <f t="shared" si="47"/>
        <v>T3220</v>
      </c>
      <c r="C231" s="953" t="str">
        <f t="shared" si="37"/>
        <v>T32</v>
      </c>
      <c r="D231" s="953" t="str">
        <f t="shared" si="38"/>
        <v>D1</v>
      </c>
      <c r="E231" s="953">
        <f t="shared" si="39"/>
        <v>20</v>
      </c>
      <c r="F231" s="953">
        <f t="shared" si="40"/>
        <v>4.4749999999999998E-3</v>
      </c>
      <c r="G231" s="953">
        <f t="shared" si="41"/>
        <v>3.68E-4</v>
      </c>
      <c r="H231" s="953">
        <f t="shared" si="42"/>
        <v>0</v>
      </c>
      <c r="I231" s="953">
        <f t="shared" si="43"/>
        <v>0</v>
      </c>
      <c r="J231" s="953">
        <f t="shared" si="44"/>
        <v>0</v>
      </c>
      <c r="K231" s="953">
        <f t="shared" si="45"/>
        <v>4.0000000000000003E-5</v>
      </c>
      <c r="L231" s="570" t="str">
        <f t="shared" si="46"/>
        <v>Modal 20</v>
      </c>
      <c r="M231" s="570">
        <f t="shared" si="48"/>
        <v>20</v>
      </c>
    </row>
    <row r="232" spans="1:13">
      <c r="A232" s="570" t="str">
        <f t="shared" si="47"/>
        <v>T3221</v>
      </c>
      <c r="C232" s="953" t="str">
        <f t="shared" si="37"/>
        <v>T32</v>
      </c>
      <c r="D232" s="953" t="str">
        <f t="shared" si="38"/>
        <v>D1</v>
      </c>
      <c r="E232" s="953">
        <f t="shared" si="39"/>
        <v>21</v>
      </c>
      <c r="F232" s="953">
        <f t="shared" si="40"/>
        <v>-7.1000000000000005E-5</v>
      </c>
      <c r="G232" s="953">
        <f t="shared" si="41"/>
        <v>-2.3010000000000001E-3</v>
      </c>
      <c r="H232" s="953">
        <f t="shared" si="42"/>
        <v>0</v>
      </c>
      <c r="I232" s="953">
        <f t="shared" si="43"/>
        <v>0</v>
      </c>
      <c r="J232" s="953">
        <f t="shared" si="44"/>
        <v>0</v>
      </c>
      <c r="K232" s="953">
        <f t="shared" si="45"/>
        <v>1.9000000000000001E-5</v>
      </c>
      <c r="L232" s="570" t="str">
        <f t="shared" si="46"/>
        <v>Modal 21</v>
      </c>
      <c r="M232" s="570">
        <f t="shared" si="48"/>
        <v>21</v>
      </c>
    </row>
    <row r="233" spans="1:13">
      <c r="A233" s="570" t="str">
        <f t="shared" si="47"/>
        <v>T3222</v>
      </c>
      <c r="C233" s="953" t="str">
        <f t="shared" si="37"/>
        <v>T32</v>
      </c>
      <c r="D233" s="953" t="str">
        <f t="shared" si="38"/>
        <v>D1</v>
      </c>
      <c r="E233" s="953">
        <f t="shared" si="39"/>
        <v>22</v>
      </c>
      <c r="F233" s="953">
        <f t="shared" si="40"/>
        <v>1.5269999999999999E-3</v>
      </c>
      <c r="G233" s="953">
        <f t="shared" si="41"/>
        <v>4.35E-4</v>
      </c>
      <c r="H233" s="953">
        <f t="shared" si="42"/>
        <v>0</v>
      </c>
      <c r="I233" s="953">
        <f t="shared" si="43"/>
        <v>0</v>
      </c>
      <c r="J233" s="953">
        <f t="shared" si="44"/>
        <v>0</v>
      </c>
      <c r="K233" s="953">
        <f t="shared" si="45"/>
        <v>1.12E-4</v>
      </c>
      <c r="L233" s="570" t="str">
        <f t="shared" si="46"/>
        <v>Modal 22</v>
      </c>
      <c r="M233" s="570">
        <f t="shared" si="48"/>
        <v>22</v>
      </c>
    </row>
    <row r="234" spans="1:13">
      <c r="A234" s="570" t="str">
        <f t="shared" si="47"/>
        <v>T3223</v>
      </c>
      <c r="C234" s="953" t="str">
        <f t="shared" si="37"/>
        <v>T32</v>
      </c>
      <c r="D234" s="953" t="str">
        <f t="shared" si="38"/>
        <v>D1</v>
      </c>
      <c r="E234" s="953">
        <f t="shared" si="39"/>
        <v>23</v>
      </c>
      <c r="F234" s="953">
        <f t="shared" si="40"/>
        <v>-1.6570000000000001E-3</v>
      </c>
      <c r="G234" s="953">
        <f t="shared" si="41"/>
        <v>7.6000000000000004E-5</v>
      </c>
      <c r="H234" s="953">
        <f t="shared" si="42"/>
        <v>0</v>
      </c>
      <c r="I234" s="953">
        <f t="shared" si="43"/>
        <v>0</v>
      </c>
      <c r="J234" s="953">
        <f t="shared" si="44"/>
        <v>0</v>
      </c>
      <c r="K234" s="953">
        <f t="shared" si="45"/>
        <v>6.4999999999999994E-5</v>
      </c>
      <c r="L234" s="570" t="str">
        <f t="shared" si="46"/>
        <v>Modal 23</v>
      </c>
      <c r="M234" s="570">
        <f t="shared" si="48"/>
        <v>23</v>
      </c>
    </row>
    <row r="235" spans="1:13">
      <c r="A235" s="570" t="str">
        <f t="shared" si="47"/>
        <v>T3224</v>
      </c>
      <c r="C235" s="953" t="str">
        <f t="shared" si="37"/>
        <v>T32</v>
      </c>
      <c r="D235" s="953" t="str">
        <f t="shared" si="38"/>
        <v>D1</v>
      </c>
      <c r="E235" s="953">
        <f t="shared" si="39"/>
        <v>24</v>
      </c>
      <c r="F235" s="953">
        <f t="shared" si="40"/>
        <v>1.17E-3</v>
      </c>
      <c r="G235" s="953">
        <f t="shared" si="41"/>
        <v>-2.61E-4</v>
      </c>
      <c r="H235" s="953">
        <f t="shared" si="42"/>
        <v>0</v>
      </c>
      <c r="I235" s="953">
        <f t="shared" si="43"/>
        <v>0</v>
      </c>
      <c r="J235" s="953">
        <f t="shared" si="44"/>
        <v>0</v>
      </c>
      <c r="K235" s="953">
        <f t="shared" si="45"/>
        <v>-1.07E-4</v>
      </c>
      <c r="L235" s="570" t="str">
        <f t="shared" si="46"/>
        <v>Modal 24</v>
      </c>
      <c r="M235" s="570">
        <f t="shared" si="48"/>
        <v>24</v>
      </c>
    </row>
    <row r="236" spans="1:13">
      <c r="A236" s="570" t="str">
        <f t="shared" si="47"/>
        <v>T3225</v>
      </c>
      <c r="C236" s="953" t="str">
        <f t="shared" si="37"/>
        <v>T32</v>
      </c>
      <c r="D236" s="953" t="str">
        <f t="shared" si="38"/>
        <v>D1</v>
      </c>
      <c r="E236" s="953">
        <f t="shared" si="39"/>
        <v>25</v>
      </c>
      <c r="F236" s="953">
        <f t="shared" si="40"/>
        <v>-1.109E-3</v>
      </c>
      <c r="G236" s="953">
        <f t="shared" si="41"/>
        <v>6.0899999999999995E-4</v>
      </c>
      <c r="H236" s="953">
        <f t="shared" si="42"/>
        <v>0</v>
      </c>
      <c r="I236" s="953">
        <f t="shared" si="43"/>
        <v>0</v>
      </c>
      <c r="J236" s="953">
        <f t="shared" si="44"/>
        <v>0</v>
      </c>
      <c r="K236" s="953">
        <f t="shared" si="45"/>
        <v>2.9E-5</v>
      </c>
      <c r="L236" s="570" t="str">
        <f t="shared" si="46"/>
        <v>Modal 25</v>
      </c>
      <c r="M236" s="570">
        <f t="shared" si="48"/>
        <v>25</v>
      </c>
    </row>
    <row r="237" spans="1:13">
      <c r="A237" s="570" t="str">
        <f t="shared" si="47"/>
        <v>T3226</v>
      </c>
      <c r="C237" s="953" t="str">
        <f t="shared" si="37"/>
        <v>T32</v>
      </c>
      <c r="D237" s="953" t="str">
        <f t="shared" si="38"/>
        <v>D1</v>
      </c>
      <c r="E237" s="953">
        <f t="shared" si="39"/>
        <v>26</v>
      </c>
      <c r="F237" s="953">
        <f t="shared" si="40"/>
        <v>-9.2500000000000004E-4</v>
      </c>
      <c r="G237" s="953">
        <f t="shared" si="41"/>
        <v>-6.6699999999999995E-4</v>
      </c>
      <c r="H237" s="953">
        <f t="shared" si="42"/>
        <v>0</v>
      </c>
      <c r="I237" s="953">
        <f t="shared" si="43"/>
        <v>0</v>
      </c>
      <c r="J237" s="953">
        <f t="shared" si="44"/>
        <v>0</v>
      </c>
      <c r="K237" s="953">
        <f t="shared" si="45"/>
        <v>5.1999999999999997E-5</v>
      </c>
      <c r="L237" s="570" t="str">
        <f t="shared" si="46"/>
        <v>Modal 26</v>
      </c>
      <c r="M237" s="570">
        <f t="shared" si="48"/>
        <v>26</v>
      </c>
    </row>
    <row r="238" spans="1:13">
      <c r="A238" s="570" t="str">
        <f t="shared" si="47"/>
        <v>T3227</v>
      </c>
      <c r="C238" s="953" t="str">
        <f t="shared" si="37"/>
        <v>T32</v>
      </c>
      <c r="D238" s="953" t="str">
        <f t="shared" si="38"/>
        <v>D1</v>
      </c>
      <c r="E238" s="953">
        <f t="shared" si="39"/>
        <v>27</v>
      </c>
      <c r="F238" s="953">
        <f t="shared" si="40"/>
        <v>-6.1200000000000002E-4</v>
      </c>
      <c r="G238" s="953">
        <f t="shared" si="41"/>
        <v>5.2400000000000005E-4</v>
      </c>
      <c r="H238" s="953">
        <f t="shared" si="42"/>
        <v>0</v>
      </c>
      <c r="I238" s="953">
        <f t="shared" si="43"/>
        <v>0</v>
      </c>
      <c r="J238" s="953">
        <f t="shared" si="44"/>
        <v>0</v>
      </c>
      <c r="K238" s="953">
        <f t="shared" si="45"/>
        <v>2.6999999999999999E-5</v>
      </c>
      <c r="L238" s="570" t="str">
        <f t="shared" si="46"/>
        <v>Modal 27</v>
      </c>
      <c r="M238" s="570">
        <f t="shared" si="48"/>
        <v>27</v>
      </c>
    </row>
    <row r="239" spans="1:13">
      <c r="A239" s="570" t="str">
        <f t="shared" si="47"/>
        <v>T3228</v>
      </c>
      <c r="C239" s="953" t="str">
        <f t="shared" si="37"/>
        <v>T32</v>
      </c>
      <c r="D239" s="953" t="str">
        <f t="shared" si="38"/>
        <v>D1</v>
      </c>
      <c r="E239" s="953">
        <f t="shared" si="39"/>
        <v>28</v>
      </c>
      <c r="F239" s="953">
        <f t="shared" si="40"/>
        <v>-5.4199999999999995E-4</v>
      </c>
      <c r="G239" s="953">
        <f t="shared" si="41"/>
        <v>-8.43E-4</v>
      </c>
      <c r="H239" s="953">
        <f t="shared" si="42"/>
        <v>0</v>
      </c>
      <c r="I239" s="953">
        <f t="shared" si="43"/>
        <v>0</v>
      </c>
      <c r="J239" s="953">
        <f t="shared" si="44"/>
        <v>0</v>
      </c>
      <c r="K239" s="953">
        <f t="shared" si="45"/>
        <v>3.4999999999999997E-5</v>
      </c>
      <c r="L239" s="570" t="str">
        <f t="shared" si="46"/>
        <v>Modal 28</v>
      </c>
      <c r="M239" s="570">
        <f t="shared" si="48"/>
        <v>28</v>
      </c>
    </row>
    <row r="240" spans="1:13">
      <c r="A240" s="570" t="str">
        <f t="shared" si="47"/>
        <v>T3229</v>
      </c>
      <c r="C240" s="953" t="str">
        <f t="shared" si="37"/>
        <v>T32</v>
      </c>
      <c r="D240" s="953" t="str">
        <f t="shared" si="38"/>
        <v>D1</v>
      </c>
      <c r="E240" s="953">
        <f t="shared" si="39"/>
        <v>29</v>
      </c>
      <c r="F240" s="953">
        <f t="shared" si="40"/>
        <v>4.6700000000000002E-4</v>
      </c>
      <c r="G240" s="953">
        <f t="shared" si="41"/>
        <v>-2.8699999999999998E-4</v>
      </c>
      <c r="H240" s="953">
        <f t="shared" si="42"/>
        <v>0</v>
      </c>
      <c r="I240" s="953">
        <f t="shared" si="43"/>
        <v>0</v>
      </c>
      <c r="J240" s="953">
        <f t="shared" si="44"/>
        <v>0</v>
      </c>
      <c r="K240" s="953">
        <f t="shared" si="45"/>
        <v>-3.1000000000000001E-5</v>
      </c>
      <c r="L240" s="570" t="str">
        <f t="shared" si="46"/>
        <v>Modal 29</v>
      </c>
      <c r="M240" s="570">
        <f t="shared" si="48"/>
        <v>29</v>
      </c>
    </row>
    <row r="241" spans="1:13">
      <c r="A241" s="570" t="str">
        <f t="shared" si="47"/>
        <v>T3230</v>
      </c>
      <c r="C241" s="953" t="str">
        <f t="shared" si="37"/>
        <v>T32</v>
      </c>
      <c r="D241" s="953" t="str">
        <f t="shared" si="38"/>
        <v>D1</v>
      </c>
      <c r="E241" s="953">
        <f t="shared" si="39"/>
        <v>30</v>
      </c>
      <c r="F241" s="953">
        <f t="shared" si="40"/>
        <v>3.0200000000000002E-4</v>
      </c>
      <c r="G241" s="953">
        <f t="shared" si="41"/>
        <v>8.4900000000000004E-4</v>
      </c>
      <c r="H241" s="953">
        <f t="shared" si="42"/>
        <v>0</v>
      </c>
      <c r="I241" s="953">
        <f t="shared" si="43"/>
        <v>0</v>
      </c>
      <c r="J241" s="953">
        <f t="shared" si="44"/>
        <v>0</v>
      </c>
      <c r="K241" s="953">
        <f t="shared" si="45"/>
        <v>-2.5000000000000001E-5</v>
      </c>
      <c r="L241" s="570" t="str">
        <f t="shared" si="46"/>
        <v>Modal 30</v>
      </c>
      <c r="M241" s="570">
        <f t="shared" si="48"/>
        <v>30</v>
      </c>
    </row>
    <row r="242" spans="1:13">
      <c r="A242" s="570" t="str">
        <f t="shared" si="47"/>
        <v>T311</v>
      </c>
      <c r="C242" s="953" t="str">
        <f t="shared" si="37"/>
        <v>T31</v>
      </c>
      <c r="D242" s="953" t="str">
        <f t="shared" si="38"/>
        <v>D1</v>
      </c>
      <c r="E242" s="953">
        <f t="shared" si="39"/>
        <v>1</v>
      </c>
      <c r="F242" s="953">
        <f t="shared" si="40"/>
        <v>-1.0629999999999999E-3</v>
      </c>
      <c r="G242" s="953">
        <f t="shared" si="41"/>
        <v>5.4790000000000004E-3</v>
      </c>
      <c r="H242" s="953">
        <f t="shared" si="42"/>
        <v>0</v>
      </c>
      <c r="I242" s="953">
        <f t="shared" si="43"/>
        <v>0</v>
      </c>
      <c r="J242" s="953">
        <f t="shared" si="44"/>
        <v>0</v>
      </c>
      <c r="K242" s="953">
        <f t="shared" si="45"/>
        <v>4.5000000000000003E-5</v>
      </c>
      <c r="L242" s="570" t="str">
        <f t="shared" si="46"/>
        <v>Modal 1</v>
      </c>
      <c r="M242" s="570">
        <f t="shared" si="48"/>
        <v>1</v>
      </c>
    </row>
    <row r="243" spans="1:13">
      <c r="A243" s="570" t="str">
        <f t="shared" si="47"/>
        <v>T312</v>
      </c>
      <c r="C243" s="953" t="str">
        <f t="shared" si="37"/>
        <v>T31</v>
      </c>
      <c r="D243" s="953" t="str">
        <f t="shared" si="38"/>
        <v>D1</v>
      </c>
      <c r="E243" s="953">
        <f t="shared" si="39"/>
        <v>2</v>
      </c>
      <c r="F243" s="953">
        <f t="shared" si="40"/>
        <v>-7.8299999999999995E-4</v>
      </c>
      <c r="G243" s="953">
        <f t="shared" si="41"/>
        <v>-1.134E-3</v>
      </c>
      <c r="H243" s="953">
        <f t="shared" si="42"/>
        <v>0</v>
      </c>
      <c r="I243" s="953">
        <f t="shared" si="43"/>
        <v>0</v>
      </c>
      <c r="J243" s="953">
        <f t="shared" si="44"/>
        <v>0</v>
      </c>
      <c r="K243" s="953">
        <f t="shared" si="45"/>
        <v>2.6200000000000003E-4</v>
      </c>
      <c r="L243" s="570" t="str">
        <f t="shared" si="46"/>
        <v>Modal 2</v>
      </c>
      <c r="M243" s="570">
        <f t="shared" si="48"/>
        <v>2</v>
      </c>
    </row>
    <row r="244" spans="1:13">
      <c r="A244" s="570" t="str">
        <f t="shared" si="47"/>
        <v>T313</v>
      </c>
      <c r="C244" s="953" t="str">
        <f t="shared" si="37"/>
        <v>T31</v>
      </c>
      <c r="D244" s="953" t="str">
        <f t="shared" si="38"/>
        <v>D1</v>
      </c>
      <c r="E244" s="953">
        <f t="shared" si="39"/>
        <v>3</v>
      </c>
      <c r="F244" s="953">
        <f t="shared" si="40"/>
        <v>5.4819999999999999E-3</v>
      </c>
      <c r="G244" s="953">
        <f t="shared" si="41"/>
        <v>8.8500000000000004E-4</v>
      </c>
      <c r="H244" s="953">
        <f t="shared" si="42"/>
        <v>0</v>
      </c>
      <c r="I244" s="953">
        <f t="shared" si="43"/>
        <v>0</v>
      </c>
      <c r="J244" s="953">
        <f t="shared" si="44"/>
        <v>0</v>
      </c>
      <c r="K244" s="953">
        <f t="shared" si="45"/>
        <v>4.5000000000000003E-5</v>
      </c>
      <c r="L244" s="570" t="str">
        <f t="shared" si="46"/>
        <v>Modal 3</v>
      </c>
      <c r="M244" s="570">
        <f t="shared" si="48"/>
        <v>3</v>
      </c>
    </row>
    <row r="245" spans="1:13">
      <c r="A245" s="570" t="str">
        <f t="shared" si="47"/>
        <v>T314</v>
      </c>
      <c r="C245" s="953" t="str">
        <f t="shared" si="37"/>
        <v>T31</v>
      </c>
      <c r="D245" s="953" t="str">
        <f t="shared" si="38"/>
        <v>D1</v>
      </c>
      <c r="E245" s="953">
        <f t="shared" si="39"/>
        <v>4</v>
      </c>
      <c r="F245" s="953">
        <f t="shared" si="40"/>
        <v>2.31E-4</v>
      </c>
      <c r="G245" s="953">
        <f t="shared" si="41"/>
        <v>9.9999999999999995E-7</v>
      </c>
      <c r="H245" s="953">
        <f t="shared" si="42"/>
        <v>0</v>
      </c>
      <c r="I245" s="953">
        <f t="shared" si="43"/>
        <v>0</v>
      </c>
      <c r="J245" s="953">
        <f t="shared" si="44"/>
        <v>0</v>
      </c>
      <c r="K245" s="953">
        <f t="shared" si="45"/>
        <v>-1.05E-4</v>
      </c>
      <c r="L245" s="570" t="str">
        <f t="shared" si="46"/>
        <v>Modal 4</v>
      </c>
      <c r="M245" s="570">
        <f t="shared" si="48"/>
        <v>4</v>
      </c>
    </row>
    <row r="246" spans="1:13">
      <c r="A246" s="570" t="str">
        <f t="shared" si="47"/>
        <v>T315</v>
      </c>
      <c r="C246" s="953" t="str">
        <f t="shared" si="37"/>
        <v>T31</v>
      </c>
      <c r="D246" s="953" t="str">
        <f t="shared" si="38"/>
        <v>D1</v>
      </c>
      <c r="E246" s="953">
        <f t="shared" si="39"/>
        <v>5</v>
      </c>
      <c r="F246" s="953">
        <f t="shared" si="40"/>
        <v>-9.7E-5</v>
      </c>
      <c r="G246" s="953">
        <f t="shared" si="41"/>
        <v>1.2470000000000001E-3</v>
      </c>
      <c r="H246" s="953">
        <f t="shared" si="42"/>
        <v>0</v>
      </c>
      <c r="I246" s="953">
        <f t="shared" si="43"/>
        <v>0</v>
      </c>
      <c r="J246" s="953">
        <f t="shared" si="44"/>
        <v>0</v>
      </c>
      <c r="K246" s="953">
        <f t="shared" si="45"/>
        <v>-1.9999999999999999E-6</v>
      </c>
      <c r="L246" s="570" t="str">
        <f t="shared" si="46"/>
        <v>Modal 5</v>
      </c>
      <c r="M246" s="570">
        <f t="shared" si="48"/>
        <v>5</v>
      </c>
    </row>
    <row r="247" spans="1:13">
      <c r="A247" s="570" t="str">
        <f t="shared" si="47"/>
        <v>T316</v>
      </c>
      <c r="C247" s="953" t="str">
        <f t="shared" si="37"/>
        <v>T31</v>
      </c>
      <c r="D247" s="953" t="str">
        <f t="shared" si="38"/>
        <v>D1</v>
      </c>
      <c r="E247" s="953">
        <f t="shared" si="39"/>
        <v>6</v>
      </c>
      <c r="F247" s="953">
        <f t="shared" si="40"/>
        <v>1.5449999999999999E-3</v>
      </c>
      <c r="G247" s="953">
        <f t="shared" si="41"/>
        <v>2.3900000000000001E-4</v>
      </c>
      <c r="H247" s="953">
        <f t="shared" si="42"/>
        <v>0</v>
      </c>
      <c r="I247" s="953">
        <f t="shared" si="43"/>
        <v>0</v>
      </c>
      <c r="J247" s="953">
        <f t="shared" si="44"/>
        <v>0</v>
      </c>
      <c r="K247" s="953">
        <f t="shared" si="45"/>
        <v>1.5E-5</v>
      </c>
      <c r="L247" s="570" t="str">
        <f t="shared" si="46"/>
        <v>Modal 6</v>
      </c>
      <c r="M247" s="570">
        <f t="shared" si="48"/>
        <v>6</v>
      </c>
    </row>
    <row r="248" spans="1:13">
      <c r="A248" s="570" t="str">
        <f t="shared" si="47"/>
        <v>T317</v>
      </c>
      <c r="C248" s="953" t="str">
        <f t="shared" si="37"/>
        <v>T31</v>
      </c>
      <c r="D248" s="953" t="str">
        <f t="shared" si="38"/>
        <v>D1</v>
      </c>
      <c r="E248" s="953">
        <f t="shared" si="39"/>
        <v>7</v>
      </c>
      <c r="F248" s="953">
        <f t="shared" si="40"/>
        <v>-2.9599999999999998E-4</v>
      </c>
      <c r="G248" s="953">
        <f t="shared" si="41"/>
        <v>-1.2999999999999999E-5</v>
      </c>
      <c r="H248" s="953">
        <f t="shared" si="42"/>
        <v>0</v>
      </c>
      <c r="I248" s="953">
        <f t="shared" si="43"/>
        <v>0</v>
      </c>
      <c r="J248" s="953">
        <f t="shared" si="44"/>
        <v>0</v>
      </c>
      <c r="K248" s="953">
        <f t="shared" si="45"/>
        <v>9.2999999999999997E-5</v>
      </c>
      <c r="L248" s="570" t="str">
        <f t="shared" si="46"/>
        <v>Modal 7</v>
      </c>
      <c r="M248" s="570">
        <f t="shared" si="48"/>
        <v>7</v>
      </c>
    </row>
    <row r="249" spans="1:13">
      <c r="A249" s="570" t="str">
        <f t="shared" si="47"/>
        <v>T318</v>
      </c>
      <c r="C249" s="953" t="str">
        <f t="shared" si="37"/>
        <v>T31</v>
      </c>
      <c r="D249" s="953" t="str">
        <f t="shared" si="38"/>
        <v>D1</v>
      </c>
      <c r="E249" s="953">
        <f t="shared" si="39"/>
        <v>8</v>
      </c>
      <c r="F249" s="953">
        <f t="shared" si="40"/>
        <v>-2.6499999999999999E-4</v>
      </c>
      <c r="G249" s="953">
        <f t="shared" si="41"/>
        <v>2.532E-3</v>
      </c>
      <c r="H249" s="953">
        <f t="shared" si="42"/>
        <v>0</v>
      </c>
      <c r="I249" s="953">
        <f t="shared" si="43"/>
        <v>0</v>
      </c>
      <c r="J249" s="953">
        <f t="shared" si="44"/>
        <v>0</v>
      </c>
      <c r="K249" s="953">
        <f t="shared" si="45"/>
        <v>-3.0000000000000001E-6</v>
      </c>
      <c r="L249" s="570" t="str">
        <f t="shared" si="46"/>
        <v>Modal 8</v>
      </c>
      <c r="M249" s="570">
        <f t="shared" si="48"/>
        <v>8</v>
      </c>
    </row>
    <row r="250" spans="1:13">
      <c r="A250" s="570" t="str">
        <f t="shared" si="47"/>
        <v>T319</v>
      </c>
      <c r="C250" s="953" t="str">
        <f t="shared" si="37"/>
        <v>T31</v>
      </c>
      <c r="D250" s="953" t="str">
        <f t="shared" si="38"/>
        <v>D1</v>
      </c>
      <c r="E250" s="953">
        <f t="shared" si="39"/>
        <v>9</v>
      </c>
      <c r="F250" s="953">
        <f t="shared" si="40"/>
        <v>-7.4899999999999999E-4</v>
      </c>
      <c r="G250" s="953">
        <f t="shared" si="41"/>
        <v>-2.5000000000000001E-5</v>
      </c>
      <c r="H250" s="953">
        <f t="shared" si="42"/>
        <v>0</v>
      </c>
      <c r="I250" s="953">
        <f t="shared" si="43"/>
        <v>0</v>
      </c>
      <c r="J250" s="953">
        <f t="shared" si="44"/>
        <v>0</v>
      </c>
      <c r="K250" s="953">
        <f t="shared" si="45"/>
        <v>2.3499999999999999E-4</v>
      </c>
      <c r="L250" s="570" t="str">
        <f t="shared" si="46"/>
        <v>Modal 9</v>
      </c>
      <c r="M250" s="570">
        <f t="shared" si="48"/>
        <v>9</v>
      </c>
    </row>
    <row r="251" spans="1:13">
      <c r="A251" s="570" t="str">
        <f t="shared" si="47"/>
        <v>T3110</v>
      </c>
      <c r="C251" s="953" t="str">
        <f t="shared" si="37"/>
        <v>T31</v>
      </c>
      <c r="D251" s="953" t="str">
        <f t="shared" si="38"/>
        <v>D1</v>
      </c>
      <c r="E251" s="953">
        <f t="shared" si="39"/>
        <v>10</v>
      </c>
      <c r="F251" s="953">
        <f t="shared" si="40"/>
        <v>2.2950000000000002E-3</v>
      </c>
      <c r="G251" s="953">
        <f t="shared" si="41"/>
        <v>2.13E-4</v>
      </c>
      <c r="H251" s="953">
        <f t="shared" si="42"/>
        <v>0</v>
      </c>
      <c r="I251" s="953">
        <f t="shared" si="43"/>
        <v>0</v>
      </c>
      <c r="J251" s="953">
        <f t="shared" si="44"/>
        <v>0</v>
      </c>
      <c r="K251" s="953">
        <f t="shared" si="45"/>
        <v>3.4999999999999997E-5</v>
      </c>
      <c r="L251" s="570" t="str">
        <f t="shared" si="46"/>
        <v>Modal 10</v>
      </c>
      <c r="M251" s="570">
        <f t="shared" si="48"/>
        <v>10</v>
      </c>
    </row>
    <row r="252" spans="1:13">
      <c r="A252" s="570" t="str">
        <f t="shared" si="47"/>
        <v>T3111</v>
      </c>
      <c r="C252" s="953" t="str">
        <f t="shared" si="37"/>
        <v>T31</v>
      </c>
      <c r="D252" s="953" t="str">
        <f t="shared" si="38"/>
        <v>D1</v>
      </c>
      <c r="E252" s="953">
        <f t="shared" si="39"/>
        <v>11</v>
      </c>
      <c r="F252" s="953">
        <f t="shared" si="40"/>
        <v>4.1899999999999999E-4</v>
      </c>
      <c r="G252" s="953">
        <f t="shared" si="41"/>
        <v>1.7769999999999999E-3</v>
      </c>
      <c r="H252" s="953">
        <f t="shared" si="42"/>
        <v>0</v>
      </c>
      <c r="I252" s="953">
        <f t="shared" si="43"/>
        <v>0</v>
      </c>
      <c r="J252" s="953">
        <f t="shared" si="44"/>
        <v>0</v>
      </c>
      <c r="K252" s="953">
        <f t="shared" si="45"/>
        <v>-2.3900000000000001E-4</v>
      </c>
      <c r="L252" s="570" t="str">
        <f t="shared" si="46"/>
        <v>Modal 11</v>
      </c>
      <c r="M252" s="570">
        <f t="shared" si="48"/>
        <v>11</v>
      </c>
    </row>
    <row r="253" spans="1:13">
      <c r="A253" s="570" t="str">
        <f t="shared" si="47"/>
        <v>T3112</v>
      </c>
      <c r="C253" s="953" t="str">
        <f t="shared" si="37"/>
        <v>T31</v>
      </c>
      <c r="D253" s="953" t="str">
        <f t="shared" si="38"/>
        <v>D1</v>
      </c>
      <c r="E253" s="953">
        <f t="shared" si="39"/>
        <v>12</v>
      </c>
      <c r="F253" s="953">
        <f t="shared" si="40"/>
        <v>6.7599999999999995E-4</v>
      </c>
      <c r="G253" s="953">
        <f t="shared" si="41"/>
        <v>-4.7070000000000002E-3</v>
      </c>
      <c r="H253" s="953">
        <f t="shared" si="42"/>
        <v>0</v>
      </c>
      <c r="I253" s="953">
        <f t="shared" si="43"/>
        <v>0</v>
      </c>
      <c r="J253" s="953">
        <f t="shared" si="44"/>
        <v>0</v>
      </c>
      <c r="K253" s="953">
        <f t="shared" si="45"/>
        <v>-8.6000000000000003E-5</v>
      </c>
      <c r="L253" s="570" t="str">
        <f t="shared" si="46"/>
        <v>Modal 12</v>
      </c>
      <c r="M253" s="570">
        <f t="shared" si="48"/>
        <v>12</v>
      </c>
    </row>
    <row r="254" spans="1:13">
      <c r="A254" s="570" t="str">
        <f t="shared" si="47"/>
        <v>T3113</v>
      </c>
      <c r="C254" s="953" t="str">
        <f t="shared" si="37"/>
        <v>T31</v>
      </c>
      <c r="D254" s="953" t="str">
        <f t="shared" si="38"/>
        <v>D1</v>
      </c>
      <c r="E254" s="953">
        <f t="shared" si="39"/>
        <v>13</v>
      </c>
      <c r="F254" s="953">
        <f t="shared" si="40"/>
        <v>4.9059999999999998E-3</v>
      </c>
      <c r="G254" s="953">
        <f t="shared" si="41"/>
        <v>4.6000000000000001E-4</v>
      </c>
      <c r="H254" s="953">
        <f t="shared" si="42"/>
        <v>0</v>
      </c>
      <c r="I254" s="953">
        <f t="shared" si="43"/>
        <v>0</v>
      </c>
      <c r="J254" s="953">
        <f t="shared" si="44"/>
        <v>0</v>
      </c>
      <c r="K254" s="953">
        <f t="shared" si="45"/>
        <v>3.6000000000000001E-5</v>
      </c>
      <c r="L254" s="570" t="str">
        <f t="shared" si="46"/>
        <v>Modal 13</v>
      </c>
      <c r="M254" s="570">
        <f t="shared" si="48"/>
        <v>13</v>
      </c>
    </row>
    <row r="255" spans="1:13">
      <c r="A255" s="570" t="str">
        <f t="shared" si="47"/>
        <v>T3114</v>
      </c>
      <c r="C255" s="953" t="str">
        <f t="shared" si="37"/>
        <v>T31</v>
      </c>
      <c r="D255" s="953" t="str">
        <f t="shared" si="38"/>
        <v>D1</v>
      </c>
      <c r="E255" s="953">
        <f t="shared" si="39"/>
        <v>14</v>
      </c>
      <c r="F255" s="953">
        <f t="shared" si="40"/>
        <v>-4.15E-4</v>
      </c>
      <c r="G255" s="953">
        <f t="shared" si="41"/>
        <v>-1.3899999999999999E-4</v>
      </c>
      <c r="H255" s="953">
        <f t="shared" si="42"/>
        <v>0</v>
      </c>
      <c r="I255" s="953">
        <f t="shared" si="43"/>
        <v>0</v>
      </c>
      <c r="J255" s="953">
        <f t="shared" si="44"/>
        <v>0</v>
      </c>
      <c r="K255" s="953">
        <f t="shared" si="45"/>
        <v>1.5200000000000001E-4</v>
      </c>
      <c r="L255" s="570" t="str">
        <f t="shared" si="46"/>
        <v>Modal 14</v>
      </c>
      <c r="M255" s="570">
        <f t="shared" si="48"/>
        <v>14</v>
      </c>
    </row>
    <row r="256" spans="1:13">
      <c r="A256" s="570" t="str">
        <f t="shared" si="47"/>
        <v>T3115</v>
      </c>
      <c r="C256" s="953" t="str">
        <f t="shared" si="37"/>
        <v>T31</v>
      </c>
      <c r="D256" s="953" t="str">
        <f t="shared" si="38"/>
        <v>D1</v>
      </c>
      <c r="E256" s="953">
        <f t="shared" si="39"/>
        <v>15</v>
      </c>
      <c r="F256" s="953">
        <f t="shared" si="40"/>
        <v>-4.7100000000000001E-4</v>
      </c>
      <c r="G256" s="953">
        <f t="shared" si="41"/>
        <v>5.0639999999999999E-3</v>
      </c>
      <c r="H256" s="953">
        <f t="shared" si="42"/>
        <v>0</v>
      </c>
      <c r="I256" s="953">
        <f t="shared" si="43"/>
        <v>0</v>
      </c>
      <c r="J256" s="953">
        <f t="shared" si="44"/>
        <v>0</v>
      </c>
      <c r="K256" s="953">
        <f t="shared" si="45"/>
        <v>2.6839999999999999E-7</v>
      </c>
      <c r="L256" s="570" t="str">
        <f t="shared" si="46"/>
        <v>Modal 15</v>
      </c>
      <c r="M256" s="570">
        <f t="shared" si="48"/>
        <v>15</v>
      </c>
    </row>
    <row r="257" spans="1:13">
      <c r="A257" s="570" t="str">
        <f t="shared" si="47"/>
        <v>T3116</v>
      </c>
      <c r="C257" s="953" t="str">
        <f t="shared" si="37"/>
        <v>T31</v>
      </c>
      <c r="D257" s="953" t="str">
        <f t="shared" si="38"/>
        <v>D1</v>
      </c>
      <c r="E257" s="953">
        <f t="shared" si="39"/>
        <v>16</v>
      </c>
      <c r="F257" s="953">
        <f t="shared" si="40"/>
        <v>-5.6800000000000004E-4</v>
      </c>
      <c r="G257" s="953">
        <f t="shared" si="41"/>
        <v>8.7999999999999998E-5</v>
      </c>
      <c r="H257" s="953">
        <f t="shared" si="42"/>
        <v>0</v>
      </c>
      <c r="I257" s="953">
        <f t="shared" si="43"/>
        <v>0</v>
      </c>
      <c r="J257" s="953">
        <f t="shared" si="44"/>
        <v>0</v>
      </c>
      <c r="K257" s="953">
        <f t="shared" si="45"/>
        <v>-3.0000000000000001E-6</v>
      </c>
      <c r="L257" s="570" t="str">
        <f t="shared" si="46"/>
        <v>Modal 16</v>
      </c>
      <c r="M257" s="570">
        <f t="shared" si="48"/>
        <v>16</v>
      </c>
    </row>
    <row r="258" spans="1:13">
      <c r="A258" s="570" t="str">
        <f t="shared" si="47"/>
        <v>T3117</v>
      </c>
      <c r="C258" s="953" t="str">
        <f t="shared" ref="C258:C321" si="49">IF(Etabs="Etabs 9.7.4",IF(INDEX(Mode_1,ROW($E258),COLUMN(A$1))&lt;&gt;"",INDEX(Mode_1,ROW($E258),COLUMN(A$1)),""),IF(Etabs="Etabs 2013 trở lên",IF(INDEX(Mode_2,ROW($E260),COLUMN(A$1))&lt;&gt;"",INDEX(Mode_2,ROW($E260),COLUMN(A$1)),""),""))</f>
        <v>T31</v>
      </c>
      <c r="D258" s="953" t="str">
        <f t="shared" ref="D258:D321" si="50">IF(Etabs="Etabs 9.7.4",IF(INDEX(Mode_1,ROW($E258),COLUMN(B$1))&lt;&gt;"",INDEX(Mode_1,ROW($E258),COLUMN(B$1)),""),IF(Etabs="Etabs 2013 trở lên",IF(INDEX(Mode_2,ROW($E260),COLUMN(B$1))&lt;&gt;"",INDEX(Mode_2,ROW($E260),COLUMN(B$1)),""),""))</f>
        <v>D1</v>
      </c>
      <c r="E258" s="953">
        <f t="shared" ref="E258:E321" si="51">IF(Etabs="Etabs 9.7.4",IF(INDEX(Mode_1,ROW($E258),COLUMN(C$1))&lt;&gt;"",INDEX(Mode_1,ROW($E258),COLUMN(C$1)),""),IF(Etabs="Etabs 2013 trở lên",$M258,""))</f>
        <v>17</v>
      </c>
      <c r="F258" s="953">
        <f t="shared" ref="F258:F321" si="52">IF(Etabs="Etabs 9.7.4",IF(INDEX(Mode_1,ROW($E258),COLUMN(D$1))&lt;&gt;"",INDEX(Mode_1,ROW($E258),COLUMN(D$1)),""),IF(Etabs="Etabs 2013 trở lên",IF(INDEX(Mode_2,ROW($E260),COLUMN(D$1))&lt;&gt;"",INDEX(Mode_2,ROW($E260),COLUMN(D$1)),""),""))</f>
        <v>-5.0340000000000003E-3</v>
      </c>
      <c r="G258" s="953">
        <f t="shared" ref="G258:G321" si="53">IF(Etabs="Etabs 9.7.4",IF(INDEX(Mode_1,ROW($E258),COLUMN(E$1))&lt;&gt;"",INDEX(Mode_1,ROW($E258),COLUMN(E$1)),""),IF(Etabs="Etabs 2013 trở lên",IF(INDEX(Mode_2,ROW($E260),COLUMN(E$1))&lt;&gt;"",INDEX(Mode_2,ROW($E260),COLUMN(E$1)),""),""))</f>
        <v>-4.7199999999999998E-4</v>
      </c>
      <c r="H258" s="953">
        <f t="shared" ref="H258:H321" si="54">IF(Etabs="Etabs 9.7.4",IF(INDEX(Mode_1,ROW($E258),COLUMN(F$1))&lt;&gt;"",INDEX(Mode_1,ROW($E258),COLUMN(F$1)),""),IF(Etabs="Etabs 2013 trở lên",0,""))</f>
        <v>0</v>
      </c>
      <c r="I258" s="953">
        <f t="shared" ref="I258:I321" si="55">IF(Etabs="Etabs 9.7.4",IF(INDEX(Mode_1,ROW($E258),COLUMN(G$1))&lt;&gt;"",INDEX(Mode_1,ROW($E258),COLUMN(G$1)),""),IF(Etabs="Etabs 2013 trở lên",0,""))</f>
        <v>0</v>
      </c>
      <c r="J258" s="953">
        <f t="shared" ref="J258:J321" si="56">IF(Etabs="Etabs 9.7.4",IF(INDEX(Mode_1,ROW($E258),COLUMN(H$1))&lt;&gt;"",INDEX(Mode_1,ROW($E258),COLUMN(H$1)),""),IF(Etabs="Etabs 2013 trở lên",0,""))</f>
        <v>0</v>
      </c>
      <c r="K258" s="953">
        <f t="shared" ref="K258:K321" si="57">IF(Etabs="Etabs 9.7.4",IF(INDEX(Mode_1,ROW($E258),COLUMN(I$1))&lt;&gt;"",INDEX(Mode_1,ROW($E258),COLUMN(I$1)),""),IF(Etabs="Etabs 2013 trở lên",IF(INDEX(Mode_2,ROW($E260),COLUMN(F$1))&lt;&gt;"",INDEX(Mode_2,ROW($E260),COLUMN(F$1)),""),""))</f>
        <v>-3.1999999999999999E-5</v>
      </c>
      <c r="L258" s="570" t="str">
        <f t="shared" ref="L258:L321" si="58">IF(Etabs="Etabs 9.7.4",IF(INDEX(Mode_1,ROW($E258),COLUMN(C$1))&lt;&gt;"",INDEX(Mode_1,ROW($E258),COLUMN(C$1)),""),IF(Etabs="Etabs 2013 trở lên",IF(INDEX(Mode_2,ROW($E260),COLUMN(C$1))&lt;&gt;"",INDEX(Mode_2,ROW($E260),COLUMN(C$1)),""),""))</f>
        <v>Modal 17</v>
      </c>
      <c r="M258" s="570">
        <f t="shared" si="48"/>
        <v>17</v>
      </c>
    </row>
    <row r="259" spans="1:13">
      <c r="A259" s="570" t="str">
        <f t="shared" ref="A259:A322" si="59">C259&amp;E259</f>
        <v>T3118</v>
      </c>
      <c r="C259" s="953" t="str">
        <f t="shared" si="49"/>
        <v>T31</v>
      </c>
      <c r="D259" s="953" t="str">
        <f t="shared" si="50"/>
        <v>D1</v>
      </c>
      <c r="E259" s="953">
        <f t="shared" si="51"/>
        <v>18</v>
      </c>
      <c r="F259" s="953">
        <f t="shared" si="52"/>
        <v>-1.2300000000000001E-4</v>
      </c>
      <c r="G259" s="953">
        <f t="shared" si="53"/>
        <v>2.8570000000000002E-3</v>
      </c>
      <c r="H259" s="953">
        <f t="shared" si="54"/>
        <v>0</v>
      </c>
      <c r="I259" s="953">
        <f t="shared" si="55"/>
        <v>0</v>
      </c>
      <c r="J259" s="953">
        <f t="shared" si="56"/>
        <v>0</v>
      </c>
      <c r="K259" s="953">
        <f t="shared" si="57"/>
        <v>-2.3E-5</v>
      </c>
      <c r="L259" s="570" t="str">
        <f t="shared" si="58"/>
        <v>Modal 18</v>
      </c>
      <c r="M259" s="570">
        <f t="shared" ref="M259:M322" si="60">IFERROR(VALUE(RIGHT(L259,LEN(L259)-6)),"")</f>
        <v>18</v>
      </c>
    </row>
    <row r="260" spans="1:13">
      <c r="A260" s="570" t="str">
        <f t="shared" si="59"/>
        <v>T3119</v>
      </c>
      <c r="C260" s="953" t="str">
        <f t="shared" si="49"/>
        <v>T31</v>
      </c>
      <c r="D260" s="953" t="str">
        <f t="shared" si="50"/>
        <v>D1</v>
      </c>
      <c r="E260" s="953">
        <f t="shared" si="51"/>
        <v>19</v>
      </c>
      <c r="F260" s="953">
        <f t="shared" si="52"/>
        <v>-5.9000000000000003E-4</v>
      </c>
      <c r="G260" s="953">
        <f t="shared" si="53"/>
        <v>5.71E-4</v>
      </c>
      <c r="H260" s="953">
        <f t="shared" si="54"/>
        <v>0</v>
      </c>
      <c r="I260" s="953">
        <f t="shared" si="55"/>
        <v>0</v>
      </c>
      <c r="J260" s="953">
        <f t="shared" si="56"/>
        <v>0</v>
      </c>
      <c r="K260" s="953">
        <f t="shared" si="57"/>
        <v>1.3799999999999999E-4</v>
      </c>
      <c r="L260" s="570" t="str">
        <f t="shared" si="58"/>
        <v>Modal 19</v>
      </c>
      <c r="M260" s="570">
        <f t="shared" si="60"/>
        <v>19</v>
      </c>
    </row>
    <row r="261" spans="1:13">
      <c r="A261" s="570" t="str">
        <f t="shared" si="59"/>
        <v>T3120</v>
      </c>
      <c r="C261" s="953" t="str">
        <f t="shared" si="49"/>
        <v>T31</v>
      </c>
      <c r="D261" s="953" t="str">
        <f t="shared" si="50"/>
        <v>D1</v>
      </c>
      <c r="E261" s="953">
        <f t="shared" si="51"/>
        <v>20</v>
      </c>
      <c r="F261" s="953">
        <f t="shared" si="52"/>
        <v>2.9520000000000002E-3</v>
      </c>
      <c r="G261" s="953">
        <f t="shared" si="53"/>
        <v>3.0200000000000002E-4</v>
      </c>
      <c r="H261" s="953">
        <f t="shared" si="54"/>
        <v>0</v>
      </c>
      <c r="I261" s="953">
        <f t="shared" si="55"/>
        <v>0</v>
      </c>
      <c r="J261" s="953">
        <f t="shared" si="56"/>
        <v>0</v>
      </c>
      <c r="K261" s="953">
        <f t="shared" si="57"/>
        <v>5.5999999999999999E-5</v>
      </c>
      <c r="L261" s="570" t="str">
        <f t="shared" si="58"/>
        <v>Modal 20</v>
      </c>
      <c r="M261" s="570">
        <f t="shared" si="60"/>
        <v>20</v>
      </c>
    </row>
    <row r="262" spans="1:13">
      <c r="A262" s="570" t="str">
        <f t="shared" si="59"/>
        <v>T3121</v>
      </c>
      <c r="C262" s="953" t="str">
        <f t="shared" si="49"/>
        <v>T31</v>
      </c>
      <c r="D262" s="953" t="str">
        <f t="shared" si="50"/>
        <v>D1</v>
      </c>
      <c r="E262" s="953">
        <f t="shared" si="51"/>
        <v>21</v>
      </c>
      <c r="F262" s="953">
        <f t="shared" si="52"/>
        <v>-3.3799999999999998E-4</v>
      </c>
      <c r="G262" s="953">
        <f t="shared" si="53"/>
        <v>2.6899999999999998E-4</v>
      </c>
      <c r="H262" s="953">
        <f t="shared" si="54"/>
        <v>0</v>
      </c>
      <c r="I262" s="953">
        <f t="shared" si="55"/>
        <v>0</v>
      </c>
      <c r="J262" s="953">
        <f t="shared" si="56"/>
        <v>0</v>
      </c>
      <c r="K262" s="953">
        <f t="shared" si="57"/>
        <v>3.8000000000000002E-5</v>
      </c>
      <c r="L262" s="570" t="str">
        <f t="shared" si="58"/>
        <v>Modal 21</v>
      </c>
      <c r="M262" s="570">
        <f t="shared" si="60"/>
        <v>21</v>
      </c>
    </row>
    <row r="263" spans="1:13">
      <c r="A263" s="570" t="str">
        <f t="shared" si="59"/>
        <v>T3122</v>
      </c>
      <c r="C263" s="953" t="str">
        <f t="shared" si="49"/>
        <v>T31</v>
      </c>
      <c r="D263" s="953" t="str">
        <f t="shared" si="50"/>
        <v>D1</v>
      </c>
      <c r="E263" s="953">
        <f t="shared" si="51"/>
        <v>22</v>
      </c>
      <c r="F263" s="953">
        <f t="shared" si="52"/>
        <v>-9.8799999999999995E-4</v>
      </c>
      <c r="G263" s="953">
        <f t="shared" si="53"/>
        <v>5.2499999999999997E-4</v>
      </c>
      <c r="H263" s="953">
        <f t="shared" si="54"/>
        <v>0</v>
      </c>
      <c r="I263" s="953">
        <f t="shared" si="55"/>
        <v>0</v>
      </c>
      <c r="J263" s="953">
        <f t="shared" si="56"/>
        <v>0</v>
      </c>
      <c r="K263" s="953">
        <f t="shared" si="57"/>
        <v>1.5799999999999999E-4</v>
      </c>
      <c r="L263" s="570" t="str">
        <f t="shared" si="58"/>
        <v>Modal 22</v>
      </c>
      <c r="M263" s="570">
        <f t="shared" si="60"/>
        <v>22</v>
      </c>
    </row>
    <row r="264" spans="1:13">
      <c r="A264" s="570" t="str">
        <f t="shared" si="59"/>
        <v>T3123</v>
      </c>
      <c r="C264" s="953" t="str">
        <f t="shared" si="49"/>
        <v>T31</v>
      </c>
      <c r="D264" s="953" t="str">
        <f t="shared" si="50"/>
        <v>D1</v>
      </c>
      <c r="E264" s="953">
        <f t="shared" si="51"/>
        <v>23</v>
      </c>
      <c r="F264" s="953">
        <f t="shared" si="52"/>
        <v>-1.4400000000000001E-3</v>
      </c>
      <c r="G264" s="953">
        <f t="shared" si="53"/>
        <v>1.913E-3</v>
      </c>
      <c r="H264" s="953">
        <f t="shared" si="54"/>
        <v>0</v>
      </c>
      <c r="I264" s="953">
        <f t="shared" si="55"/>
        <v>0</v>
      </c>
      <c r="J264" s="953">
        <f t="shared" si="56"/>
        <v>0</v>
      </c>
      <c r="K264" s="953">
        <f t="shared" si="57"/>
        <v>1.08E-4</v>
      </c>
      <c r="L264" s="570" t="str">
        <f t="shared" si="58"/>
        <v>Modal 23</v>
      </c>
      <c r="M264" s="570">
        <f t="shared" si="60"/>
        <v>23</v>
      </c>
    </row>
    <row r="265" spans="1:13">
      <c r="A265" s="570" t="str">
        <f t="shared" si="59"/>
        <v>T3124</v>
      </c>
      <c r="C265" s="953" t="str">
        <f t="shared" si="49"/>
        <v>T31</v>
      </c>
      <c r="D265" s="953" t="str">
        <f t="shared" si="50"/>
        <v>D1</v>
      </c>
      <c r="E265" s="953">
        <f t="shared" si="51"/>
        <v>24</v>
      </c>
      <c r="F265" s="953">
        <f t="shared" si="52"/>
        <v>2.1189999999999998E-3</v>
      </c>
      <c r="G265" s="953">
        <f t="shared" si="53"/>
        <v>1.2769999999999999E-3</v>
      </c>
      <c r="H265" s="953">
        <f t="shared" si="54"/>
        <v>0</v>
      </c>
      <c r="I265" s="953">
        <f t="shared" si="55"/>
        <v>0</v>
      </c>
      <c r="J265" s="953">
        <f t="shared" si="56"/>
        <v>0</v>
      </c>
      <c r="K265" s="953">
        <f t="shared" si="57"/>
        <v>-1.4799999999999999E-4</v>
      </c>
      <c r="L265" s="570" t="str">
        <f t="shared" si="58"/>
        <v>Modal 24</v>
      </c>
      <c r="M265" s="570">
        <f t="shared" si="60"/>
        <v>24</v>
      </c>
    </row>
    <row r="266" spans="1:13">
      <c r="A266" s="570" t="str">
        <f t="shared" si="59"/>
        <v>T3125</v>
      </c>
      <c r="C266" s="953" t="str">
        <f t="shared" si="49"/>
        <v>T31</v>
      </c>
      <c r="D266" s="953" t="str">
        <f t="shared" si="50"/>
        <v>D1</v>
      </c>
      <c r="E266" s="953">
        <f t="shared" si="51"/>
        <v>25</v>
      </c>
      <c r="F266" s="953">
        <f t="shared" si="52"/>
        <v>-7.7999999999999999E-5</v>
      </c>
      <c r="G266" s="953">
        <f t="shared" si="53"/>
        <v>1.4189999999999999E-3</v>
      </c>
      <c r="H266" s="953">
        <f t="shared" si="54"/>
        <v>0</v>
      </c>
      <c r="I266" s="953">
        <f t="shared" si="55"/>
        <v>0</v>
      </c>
      <c r="J266" s="953">
        <f t="shared" si="56"/>
        <v>0</v>
      </c>
      <c r="K266" s="953">
        <f t="shared" si="57"/>
        <v>5.5000000000000002E-5</v>
      </c>
      <c r="L266" s="570" t="str">
        <f t="shared" si="58"/>
        <v>Modal 25</v>
      </c>
      <c r="M266" s="570">
        <f t="shared" si="60"/>
        <v>25</v>
      </c>
    </row>
    <row r="267" spans="1:13">
      <c r="A267" s="570" t="str">
        <f t="shared" si="59"/>
        <v>T3126</v>
      </c>
      <c r="C267" s="953" t="str">
        <f t="shared" si="49"/>
        <v>T31</v>
      </c>
      <c r="D267" s="953" t="str">
        <f t="shared" si="50"/>
        <v>D1</v>
      </c>
      <c r="E267" s="953">
        <f t="shared" si="51"/>
        <v>26</v>
      </c>
      <c r="F267" s="953">
        <f t="shared" si="52"/>
        <v>-8.8999999999999995E-4</v>
      </c>
      <c r="G267" s="953">
        <f t="shared" si="53"/>
        <v>-2.0760000000000002E-3</v>
      </c>
      <c r="H267" s="953">
        <f t="shared" si="54"/>
        <v>0</v>
      </c>
      <c r="I267" s="953">
        <f t="shared" si="55"/>
        <v>0</v>
      </c>
      <c r="J267" s="953">
        <f t="shared" si="56"/>
        <v>0</v>
      </c>
      <c r="K267" s="953">
        <f t="shared" si="57"/>
        <v>6.7000000000000002E-5</v>
      </c>
      <c r="L267" s="570" t="str">
        <f t="shared" si="58"/>
        <v>Modal 26</v>
      </c>
      <c r="M267" s="570">
        <f t="shared" si="60"/>
        <v>26</v>
      </c>
    </row>
    <row r="268" spans="1:13">
      <c r="A268" s="570" t="str">
        <f t="shared" si="59"/>
        <v>T3127</v>
      </c>
      <c r="C268" s="953" t="str">
        <f t="shared" si="49"/>
        <v>T31</v>
      </c>
      <c r="D268" s="953" t="str">
        <f t="shared" si="50"/>
        <v>D1</v>
      </c>
      <c r="E268" s="953">
        <f t="shared" si="51"/>
        <v>27</v>
      </c>
      <c r="F268" s="953">
        <f t="shared" si="52"/>
        <v>2.7099999999999997E-4</v>
      </c>
      <c r="G268" s="953">
        <f t="shared" si="53"/>
        <v>8.1999999999999998E-4</v>
      </c>
      <c r="H268" s="953">
        <f t="shared" si="54"/>
        <v>0</v>
      </c>
      <c r="I268" s="953">
        <f t="shared" si="55"/>
        <v>0</v>
      </c>
      <c r="J268" s="953">
        <f t="shared" si="56"/>
        <v>0</v>
      </c>
      <c r="K268" s="953">
        <f t="shared" si="57"/>
        <v>5.0000000000000002E-5</v>
      </c>
      <c r="L268" s="570" t="str">
        <f t="shared" si="58"/>
        <v>Modal 27</v>
      </c>
      <c r="M268" s="570">
        <f t="shared" si="60"/>
        <v>27</v>
      </c>
    </row>
    <row r="269" spans="1:13">
      <c r="A269" s="570" t="str">
        <f t="shared" si="59"/>
        <v>T3128</v>
      </c>
      <c r="C269" s="953" t="str">
        <f t="shared" si="49"/>
        <v>T31</v>
      </c>
      <c r="D269" s="953" t="str">
        <f t="shared" si="50"/>
        <v>D1</v>
      </c>
      <c r="E269" s="953">
        <f t="shared" si="51"/>
        <v>28</v>
      </c>
      <c r="F269" s="953">
        <f t="shared" si="52"/>
        <v>-3.86E-4</v>
      </c>
      <c r="G269" s="953">
        <f t="shared" si="53"/>
        <v>-1.8339999999999999E-3</v>
      </c>
      <c r="H269" s="953">
        <f t="shared" si="54"/>
        <v>0</v>
      </c>
      <c r="I269" s="953">
        <f t="shared" si="55"/>
        <v>0</v>
      </c>
      <c r="J269" s="953">
        <f t="shared" si="56"/>
        <v>0</v>
      </c>
      <c r="K269" s="953">
        <f t="shared" si="57"/>
        <v>4.3999999999999999E-5</v>
      </c>
      <c r="L269" s="570" t="str">
        <f t="shared" si="58"/>
        <v>Modal 28</v>
      </c>
      <c r="M269" s="570">
        <f t="shared" si="60"/>
        <v>28</v>
      </c>
    </row>
    <row r="270" spans="1:13">
      <c r="A270" s="570" t="str">
        <f t="shared" si="59"/>
        <v>T3129</v>
      </c>
      <c r="C270" s="953" t="str">
        <f t="shared" si="49"/>
        <v>T31</v>
      </c>
      <c r="D270" s="953" t="str">
        <f t="shared" si="50"/>
        <v>D1</v>
      </c>
      <c r="E270" s="953">
        <f t="shared" si="51"/>
        <v>29</v>
      </c>
      <c r="F270" s="953">
        <f t="shared" si="52"/>
        <v>-2.9E-4</v>
      </c>
      <c r="G270" s="953">
        <f t="shared" si="53"/>
        <v>-2.9599999999999998E-4</v>
      </c>
      <c r="H270" s="953">
        <f t="shared" si="54"/>
        <v>0</v>
      </c>
      <c r="I270" s="953">
        <f t="shared" si="55"/>
        <v>0</v>
      </c>
      <c r="J270" s="953">
        <f t="shared" si="56"/>
        <v>0</v>
      </c>
      <c r="K270" s="953">
        <f t="shared" si="57"/>
        <v>-5.3000000000000001E-5</v>
      </c>
      <c r="L270" s="570" t="str">
        <f t="shared" si="58"/>
        <v>Modal 29</v>
      </c>
      <c r="M270" s="570">
        <f t="shared" si="60"/>
        <v>29</v>
      </c>
    </row>
    <row r="271" spans="1:13">
      <c r="A271" s="570" t="str">
        <f t="shared" si="59"/>
        <v>T3130</v>
      </c>
      <c r="C271" s="953" t="str">
        <f t="shared" si="49"/>
        <v>T31</v>
      </c>
      <c r="D271" s="953" t="str">
        <f t="shared" si="50"/>
        <v>D1</v>
      </c>
      <c r="E271" s="953">
        <f t="shared" si="51"/>
        <v>30</v>
      </c>
      <c r="F271" s="953">
        <f t="shared" si="52"/>
        <v>2.5700000000000001E-4</v>
      </c>
      <c r="G271" s="953">
        <f t="shared" si="53"/>
        <v>1.634E-3</v>
      </c>
      <c r="H271" s="953">
        <f t="shared" si="54"/>
        <v>0</v>
      </c>
      <c r="I271" s="953">
        <f t="shared" si="55"/>
        <v>0</v>
      </c>
      <c r="J271" s="953">
        <f t="shared" si="56"/>
        <v>0</v>
      </c>
      <c r="K271" s="953">
        <f t="shared" si="57"/>
        <v>-2.9E-5</v>
      </c>
      <c r="L271" s="570" t="str">
        <f t="shared" si="58"/>
        <v>Modal 30</v>
      </c>
      <c r="M271" s="570">
        <f t="shared" si="60"/>
        <v>30</v>
      </c>
    </row>
    <row r="272" spans="1:13">
      <c r="A272" s="570" t="str">
        <f t="shared" si="59"/>
        <v>T301</v>
      </c>
      <c r="C272" s="953" t="str">
        <f t="shared" si="49"/>
        <v>T30</v>
      </c>
      <c r="D272" s="953" t="str">
        <f t="shared" si="50"/>
        <v>D1</v>
      </c>
      <c r="E272" s="953">
        <f t="shared" si="51"/>
        <v>1</v>
      </c>
      <c r="F272" s="953">
        <f t="shared" si="52"/>
        <v>-1.024E-3</v>
      </c>
      <c r="G272" s="953">
        <f t="shared" si="53"/>
        <v>5.2810000000000001E-3</v>
      </c>
      <c r="H272" s="953">
        <f t="shared" si="54"/>
        <v>0</v>
      </c>
      <c r="I272" s="953">
        <f t="shared" si="55"/>
        <v>0</v>
      </c>
      <c r="J272" s="953">
        <f t="shared" si="56"/>
        <v>0</v>
      </c>
      <c r="K272" s="953">
        <f t="shared" si="57"/>
        <v>4.3999999999999999E-5</v>
      </c>
      <c r="L272" s="570" t="str">
        <f t="shared" si="58"/>
        <v>Modal 1</v>
      </c>
      <c r="M272" s="570">
        <f t="shared" si="60"/>
        <v>1</v>
      </c>
    </row>
    <row r="273" spans="1:13">
      <c r="A273" s="570" t="str">
        <f t="shared" si="59"/>
        <v>T302</v>
      </c>
      <c r="C273" s="953" t="str">
        <f t="shared" si="49"/>
        <v>T30</v>
      </c>
      <c r="D273" s="953" t="str">
        <f t="shared" si="50"/>
        <v>D1</v>
      </c>
      <c r="E273" s="953">
        <f t="shared" si="51"/>
        <v>2</v>
      </c>
      <c r="F273" s="953">
        <f t="shared" si="52"/>
        <v>-7.6300000000000001E-4</v>
      </c>
      <c r="G273" s="953">
        <f t="shared" si="53"/>
        <v>-1.0939999999999999E-3</v>
      </c>
      <c r="H273" s="953">
        <f t="shared" si="54"/>
        <v>0</v>
      </c>
      <c r="I273" s="953">
        <f t="shared" si="55"/>
        <v>0</v>
      </c>
      <c r="J273" s="953">
        <f t="shared" si="56"/>
        <v>0</v>
      </c>
      <c r="K273" s="953">
        <f t="shared" si="57"/>
        <v>2.5599999999999999E-4</v>
      </c>
      <c r="L273" s="570" t="str">
        <f t="shared" si="58"/>
        <v>Modal 2</v>
      </c>
      <c r="M273" s="570">
        <f t="shared" si="60"/>
        <v>2</v>
      </c>
    </row>
    <row r="274" spans="1:13">
      <c r="A274" s="570" t="str">
        <f t="shared" si="59"/>
        <v>T303</v>
      </c>
      <c r="C274" s="953" t="str">
        <f t="shared" si="49"/>
        <v>T30</v>
      </c>
      <c r="D274" s="953" t="str">
        <f t="shared" si="50"/>
        <v>D1</v>
      </c>
      <c r="E274" s="953">
        <f t="shared" si="51"/>
        <v>3</v>
      </c>
      <c r="F274" s="953">
        <f t="shared" si="52"/>
        <v>5.313E-3</v>
      </c>
      <c r="G274" s="953">
        <f t="shared" si="53"/>
        <v>8.6300000000000005E-4</v>
      </c>
      <c r="H274" s="953">
        <f t="shared" si="54"/>
        <v>0</v>
      </c>
      <c r="I274" s="953">
        <f t="shared" si="55"/>
        <v>0</v>
      </c>
      <c r="J274" s="953">
        <f t="shared" si="56"/>
        <v>0</v>
      </c>
      <c r="K274" s="953">
        <f t="shared" si="57"/>
        <v>4.3999999999999999E-5</v>
      </c>
      <c r="L274" s="570" t="str">
        <f t="shared" si="58"/>
        <v>Modal 3</v>
      </c>
      <c r="M274" s="570">
        <f t="shared" si="60"/>
        <v>3</v>
      </c>
    </row>
    <row r="275" spans="1:13">
      <c r="A275" s="570" t="str">
        <f t="shared" si="59"/>
        <v>T304</v>
      </c>
      <c r="C275" s="953" t="str">
        <f t="shared" si="49"/>
        <v>T30</v>
      </c>
      <c r="D275" s="953" t="str">
        <f t="shared" si="50"/>
        <v>D1</v>
      </c>
      <c r="E275" s="953">
        <f t="shared" si="51"/>
        <v>4</v>
      </c>
      <c r="F275" s="953">
        <f t="shared" si="52"/>
        <v>1.2899999999999999E-4</v>
      </c>
      <c r="G275" s="953">
        <f t="shared" si="53"/>
        <v>5.0000000000000004E-6</v>
      </c>
      <c r="H275" s="953">
        <f t="shared" si="54"/>
        <v>0</v>
      </c>
      <c r="I275" s="953">
        <f t="shared" si="55"/>
        <v>0</v>
      </c>
      <c r="J275" s="953">
        <f t="shared" si="56"/>
        <v>0</v>
      </c>
      <c r="K275" s="953">
        <f t="shared" si="57"/>
        <v>-7.1000000000000005E-5</v>
      </c>
      <c r="L275" s="570" t="str">
        <f t="shared" si="58"/>
        <v>Modal 4</v>
      </c>
      <c r="M275" s="570">
        <f t="shared" si="60"/>
        <v>4</v>
      </c>
    </row>
    <row r="276" spans="1:13">
      <c r="A276" s="570" t="str">
        <f t="shared" si="59"/>
        <v>T305</v>
      </c>
      <c r="C276" s="953" t="str">
        <f t="shared" si="49"/>
        <v>T30</v>
      </c>
      <c r="D276" s="953" t="str">
        <f t="shared" si="50"/>
        <v>D1</v>
      </c>
      <c r="E276" s="953">
        <f t="shared" si="51"/>
        <v>5</v>
      </c>
      <c r="F276" s="953">
        <f t="shared" si="52"/>
        <v>-6.0000000000000002E-6</v>
      </c>
      <c r="G276" s="953">
        <f t="shared" si="53"/>
        <v>4.95E-4</v>
      </c>
      <c r="H276" s="953">
        <f t="shared" si="54"/>
        <v>0</v>
      </c>
      <c r="I276" s="953">
        <f t="shared" si="55"/>
        <v>0</v>
      </c>
      <c r="J276" s="953">
        <f t="shared" si="56"/>
        <v>0</v>
      </c>
      <c r="K276" s="953">
        <f t="shared" si="57"/>
        <v>-9.9999999999999995E-7</v>
      </c>
      <c r="L276" s="570" t="str">
        <f t="shared" si="58"/>
        <v>Modal 5</v>
      </c>
      <c r="M276" s="570">
        <f t="shared" si="60"/>
        <v>5</v>
      </c>
    </row>
    <row r="277" spans="1:13">
      <c r="A277" s="570" t="str">
        <f t="shared" si="59"/>
        <v>T306</v>
      </c>
      <c r="C277" s="953" t="str">
        <f t="shared" si="49"/>
        <v>T30</v>
      </c>
      <c r="D277" s="953" t="str">
        <f t="shared" si="50"/>
        <v>D1</v>
      </c>
      <c r="E277" s="953">
        <f t="shared" si="51"/>
        <v>6</v>
      </c>
      <c r="F277" s="953">
        <f t="shared" si="52"/>
        <v>8.0800000000000002E-4</v>
      </c>
      <c r="G277" s="953">
        <f t="shared" si="53"/>
        <v>1.4899999999999999E-4</v>
      </c>
      <c r="H277" s="953">
        <f t="shared" si="54"/>
        <v>0</v>
      </c>
      <c r="I277" s="953">
        <f t="shared" si="55"/>
        <v>0</v>
      </c>
      <c r="J277" s="953">
        <f t="shared" si="56"/>
        <v>0</v>
      </c>
      <c r="K277" s="953">
        <f t="shared" si="57"/>
        <v>1.1E-5</v>
      </c>
      <c r="L277" s="570" t="str">
        <f t="shared" si="58"/>
        <v>Modal 6</v>
      </c>
      <c r="M277" s="570">
        <f t="shared" si="60"/>
        <v>6</v>
      </c>
    </row>
    <row r="278" spans="1:13">
      <c r="A278" s="570" t="str">
        <f t="shared" si="59"/>
        <v>T307</v>
      </c>
      <c r="C278" s="953" t="str">
        <f t="shared" si="49"/>
        <v>T30</v>
      </c>
      <c r="D278" s="953" t="str">
        <f t="shared" si="50"/>
        <v>D1</v>
      </c>
      <c r="E278" s="953">
        <f t="shared" si="51"/>
        <v>7</v>
      </c>
      <c r="F278" s="953">
        <f t="shared" si="52"/>
        <v>-3.97E-4</v>
      </c>
      <c r="G278" s="953">
        <f t="shared" si="53"/>
        <v>-1.4E-5</v>
      </c>
      <c r="H278" s="953">
        <f t="shared" si="54"/>
        <v>0</v>
      </c>
      <c r="I278" s="953">
        <f t="shared" si="55"/>
        <v>0</v>
      </c>
      <c r="J278" s="953">
        <f t="shared" si="56"/>
        <v>0</v>
      </c>
      <c r="K278" s="953">
        <f t="shared" si="57"/>
        <v>1.4300000000000001E-4</v>
      </c>
      <c r="L278" s="570" t="str">
        <f t="shared" si="58"/>
        <v>Modal 7</v>
      </c>
      <c r="M278" s="570">
        <f t="shared" si="60"/>
        <v>7</v>
      </c>
    </row>
    <row r="279" spans="1:13">
      <c r="A279" s="570" t="str">
        <f t="shared" si="59"/>
        <v>T308</v>
      </c>
      <c r="C279" s="953" t="str">
        <f t="shared" si="49"/>
        <v>T30</v>
      </c>
      <c r="D279" s="953" t="str">
        <f t="shared" si="50"/>
        <v>D1</v>
      </c>
      <c r="E279" s="953">
        <f t="shared" si="51"/>
        <v>8</v>
      </c>
      <c r="F279" s="953">
        <f t="shared" si="52"/>
        <v>-3.5300000000000002E-4</v>
      </c>
      <c r="G279" s="953">
        <f t="shared" si="53"/>
        <v>3.4680000000000002E-3</v>
      </c>
      <c r="H279" s="953">
        <f t="shared" si="54"/>
        <v>0</v>
      </c>
      <c r="I279" s="953">
        <f t="shared" si="55"/>
        <v>0</v>
      </c>
      <c r="J279" s="953">
        <f t="shared" si="56"/>
        <v>0</v>
      </c>
      <c r="K279" s="953">
        <f t="shared" si="57"/>
        <v>-3.0000000000000001E-6</v>
      </c>
      <c r="L279" s="570" t="str">
        <f t="shared" si="58"/>
        <v>Modal 8</v>
      </c>
      <c r="M279" s="570">
        <f t="shared" si="60"/>
        <v>8</v>
      </c>
    </row>
    <row r="280" spans="1:13">
      <c r="A280" s="570" t="str">
        <f t="shared" si="59"/>
        <v>T309</v>
      </c>
      <c r="C280" s="953" t="str">
        <f t="shared" si="49"/>
        <v>T30</v>
      </c>
      <c r="D280" s="953" t="str">
        <f t="shared" si="50"/>
        <v>D1</v>
      </c>
      <c r="E280" s="953">
        <f t="shared" si="51"/>
        <v>9</v>
      </c>
      <c r="F280" s="953">
        <f t="shared" si="52"/>
        <v>-8.83E-4</v>
      </c>
      <c r="G280" s="953">
        <f t="shared" si="53"/>
        <v>-3.1000000000000001E-5</v>
      </c>
      <c r="H280" s="953">
        <f t="shared" si="54"/>
        <v>0</v>
      </c>
      <c r="I280" s="953">
        <f t="shared" si="55"/>
        <v>0</v>
      </c>
      <c r="J280" s="953">
        <f t="shared" si="56"/>
        <v>0</v>
      </c>
      <c r="K280" s="953">
        <f t="shared" si="57"/>
        <v>2.5900000000000001E-4</v>
      </c>
      <c r="L280" s="570" t="str">
        <f t="shared" si="58"/>
        <v>Modal 9</v>
      </c>
      <c r="M280" s="570">
        <f t="shared" si="60"/>
        <v>9</v>
      </c>
    </row>
    <row r="281" spans="1:13">
      <c r="A281" s="570" t="str">
        <f t="shared" si="59"/>
        <v>T3010</v>
      </c>
      <c r="C281" s="953" t="str">
        <f t="shared" si="49"/>
        <v>T30</v>
      </c>
      <c r="D281" s="953" t="str">
        <f t="shared" si="50"/>
        <v>D1</v>
      </c>
      <c r="E281" s="953">
        <f t="shared" si="51"/>
        <v>10</v>
      </c>
      <c r="F281" s="953">
        <f t="shared" si="52"/>
        <v>3.2369999999999999E-3</v>
      </c>
      <c r="G281" s="953">
        <f t="shared" si="53"/>
        <v>3.1E-4</v>
      </c>
      <c r="H281" s="953">
        <f t="shared" si="54"/>
        <v>0</v>
      </c>
      <c r="I281" s="953">
        <f t="shared" si="55"/>
        <v>0</v>
      </c>
      <c r="J281" s="953">
        <f t="shared" si="56"/>
        <v>0</v>
      </c>
      <c r="K281" s="953">
        <f t="shared" si="57"/>
        <v>4.3999999999999999E-5</v>
      </c>
      <c r="L281" s="570" t="str">
        <f t="shared" si="58"/>
        <v>Modal 10</v>
      </c>
      <c r="M281" s="570">
        <f t="shared" si="60"/>
        <v>10</v>
      </c>
    </row>
    <row r="282" spans="1:13">
      <c r="A282" s="570" t="str">
        <f t="shared" si="59"/>
        <v>T3011</v>
      </c>
      <c r="C282" s="953" t="str">
        <f t="shared" si="49"/>
        <v>T30</v>
      </c>
      <c r="D282" s="953" t="str">
        <f t="shared" si="50"/>
        <v>D1</v>
      </c>
      <c r="E282" s="953">
        <f t="shared" si="51"/>
        <v>11</v>
      </c>
      <c r="F282" s="953">
        <f t="shared" si="52"/>
        <v>3.4499999999999998E-4</v>
      </c>
      <c r="G282" s="953">
        <f t="shared" si="53"/>
        <v>1.8929999999999999E-3</v>
      </c>
      <c r="H282" s="953">
        <f t="shared" si="54"/>
        <v>0</v>
      </c>
      <c r="I282" s="953">
        <f t="shared" si="55"/>
        <v>0</v>
      </c>
      <c r="J282" s="953">
        <f t="shared" si="56"/>
        <v>0</v>
      </c>
      <c r="K282" s="953">
        <f t="shared" si="57"/>
        <v>-2.02E-4</v>
      </c>
      <c r="L282" s="570" t="str">
        <f t="shared" si="58"/>
        <v>Modal 11</v>
      </c>
      <c r="M282" s="570">
        <f t="shared" si="60"/>
        <v>11</v>
      </c>
    </row>
    <row r="283" spans="1:13">
      <c r="A283" s="570" t="str">
        <f t="shared" si="59"/>
        <v>T3012</v>
      </c>
      <c r="C283" s="953" t="str">
        <f t="shared" si="49"/>
        <v>T30</v>
      </c>
      <c r="D283" s="953" t="str">
        <f t="shared" si="50"/>
        <v>D1</v>
      </c>
      <c r="E283" s="953">
        <f t="shared" si="51"/>
        <v>12</v>
      </c>
      <c r="F283" s="953">
        <f t="shared" si="52"/>
        <v>6.78E-4</v>
      </c>
      <c r="G283" s="953">
        <f t="shared" si="53"/>
        <v>-5.0220000000000004E-3</v>
      </c>
      <c r="H283" s="953">
        <f t="shared" si="54"/>
        <v>0</v>
      </c>
      <c r="I283" s="953">
        <f t="shared" si="55"/>
        <v>0</v>
      </c>
      <c r="J283" s="953">
        <f t="shared" si="56"/>
        <v>0</v>
      </c>
      <c r="K283" s="953">
        <f t="shared" si="57"/>
        <v>-7.2000000000000002E-5</v>
      </c>
      <c r="L283" s="570" t="str">
        <f t="shared" si="58"/>
        <v>Modal 12</v>
      </c>
      <c r="M283" s="570">
        <f t="shared" si="60"/>
        <v>12</v>
      </c>
    </row>
    <row r="284" spans="1:13">
      <c r="A284" s="570" t="str">
        <f t="shared" si="59"/>
        <v>T3013</v>
      </c>
      <c r="C284" s="953" t="str">
        <f t="shared" si="49"/>
        <v>T30</v>
      </c>
      <c r="D284" s="953" t="str">
        <f t="shared" si="50"/>
        <v>D1</v>
      </c>
      <c r="E284" s="953">
        <f t="shared" si="51"/>
        <v>13</v>
      </c>
      <c r="F284" s="953">
        <f t="shared" si="52"/>
        <v>5.2919999999999998E-3</v>
      </c>
      <c r="G284" s="953">
        <f t="shared" si="53"/>
        <v>5.0100000000000003E-4</v>
      </c>
      <c r="H284" s="953">
        <f t="shared" si="54"/>
        <v>0</v>
      </c>
      <c r="I284" s="953">
        <f t="shared" si="55"/>
        <v>0</v>
      </c>
      <c r="J284" s="953">
        <f t="shared" si="56"/>
        <v>0</v>
      </c>
      <c r="K284" s="953">
        <f t="shared" si="57"/>
        <v>3.6999999999999998E-5</v>
      </c>
      <c r="L284" s="570" t="str">
        <f t="shared" si="58"/>
        <v>Modal 13</v>
      </c>
      <c r="M284" s="570">
        <f t="shared" si="60"/>
        <v>13</v>
      </c>
    </row>
    <row r="285" spans="1:13">
      <c r="A285" s="570" t="str">
        <f t="shared" si="59"/>
        <v>T3014</v>
      </c>
      <c r="C285" s="953" t="str">
        <f t="shared" si="49"/>
        <v>T30</v>
      </c>
      <c r="D285" s="953" t="str">
        <f t="shared" si="50"/>
        <v>D1</v>
      </c>
      <c r="E285" s="953">
        <f t="shared" si="51"/>
        <v>14</v>
      </c>
      <c r="F285" s="953">
        <f t="shared" si="52"/>
        <v>-2.3800000000000001E-4</v>
      </c>
      <c r="G285" s="953">
        <f t="shared" si="53"/>
        <v>-1.17E-4</v>
      </c>
      <c r="H285" s="953">
        <f t="shared" si="54"/>
        <v>0</v>
      </c>
      <c r="I285" s="953">
        <f t="shared" si="55"/>
        <v>0</v>
      </c>
      <c r="J285" s="953">
        <f t="shared" si="56"/>
        <v>0</v>
      </c>
      <c r="K285" s="953">
        <f t="shared" si="57"/>
        <v>4.8999999999999998E-5</v>
      </c>
      <c r="L285" s="570" t="str">
        <f t="shared" si="58"/>
        <v>Modal 14</v>
      </c>
      <c r="M285" s="570">
        <f t="shared" si="60"/>
        <v>14</v>
      </c>
    </row>
    <row r="286" spans="1:13">
      <c r="A286" s="570" t="str">
        <f t="shared" si="59"/>
        <v>T3015</v>
      </c>
      <c r="C286" s="953" t="str">
        <f t="shared" si="49"/>
        <v>T30</v>
      </c>
      <c r="D286" s="953" t="str">
        <f t="shared" si="50"/>
        <v>D1</v>
      </c>
      <c r="E286" s="953">
        <f t="shared" si="51"/>
        <v>15</v>
      </c>
      <c r="F286" s="953">
        <f t="shared" si="52"/>
        <v>-3.7300000000000001E-4</v>
      </c>
      <c r="G286" s="953">
        <f t="shared" si="53"/>
        <v>4.1349999999999998E-3</v>
      </c>
      <c r="H286" s="953">
        <f t="shared" si="54"/>
        <v>0</v>
      </c>
      <c r="I286" s="953">
        <f t="shared" si="55"/>
        <v>0</v>
      </c>
      <c r="J286" s="953">
        <f t="shared" si="56"/>
        <v>0</v>
      </c>
      <c r="K286" s="953">
        <f t="shared" si="57"/>
        <v>-3.0000000000000001E-6</v>
      </c>
      <c r="L286" s="570" t="str">
        <f t="shared" si="58"/>
        <v>Modal 15</v>
      </c>
      <c r="M286" s="570">
        <f t="shared" si="60"/>
        <v>15</v>
      </c>
    </row>
    <row r="287" spans="1:13">
      <c r="A287" s="570" t="str">
        <f t="shared" si="59"/>
        <v>T3016</v>
      </c>
      <c r="C287" s="953" t="str">
        <f t="shared" si="49"/>
        <v>T30</v>
      </c>
      <c r="D287" s="953" t="str">
        <f t="shared" si="50"/>
        <v>D1</v>
      </c>
      <c r="E287" s="953">
        <f t="shared" si="51"/>
        <v>16</v>
      </c>
      <c r="F287" s="953">
        <f t="shared" si="52"/>
        <v>-6.8400000000000004E-4</v>
      </c>
      <c r="G287" s="953">
        <f t="shared" si="53"/>
        <v>3.1000000000000001E-5</v>
      </c>
      <c r="H287" s="953">
        <f t="shared" si="54"/>
        <v>0</v>
      </c>
      <c r="I287" s="953">
        <f t="shared" si="55"/>
        <v>0</v>
      </c>
      <c r="J287" s="953">
        <f t="shared" si="56"/>
        <v>0</v>
      </c>
      <c r="K287" s="953">
        <f t="shared" si="57"/>
        <v>1.18E-4</v>
      </c>
      <c r="L287" s="570" t="str">
        <f t="shared" si="58"/>
        <v>Modal 16</v>
      </c>
      <c r="M287" s="570">
        <f t="shared" si="60"/>
        <v>16</v>
      </c>
    </row>
    <row r="288" spans="1:13">
      <c r="A288" s="570" t="str">
        <f t="shared" si="59"/>
        <v>T3017</v>
      </c>
      <c r="C288" s="953" t="str">
        <f t="shared" si="49"/>
        <v>T30</v>
      </c>
      <c r="D288" s="953" t="str">
        <f t="shared" si="50"/>
        <v>D1</v>
      </c>
      <c r="E288" s="953">
        <f t="shared" si="51"/>
        <v>17</v>
      </c>
      <c r="F288" s="953">
        <f t="shared" si="52"/>
        <v>-4.1609999999999998E-3</v>
      </c>
      <c r="G288" s="953">
        <f t="shared" si="53"/>
        <v>-4.0000000000000002E-4</v>
      </c>
      <c r="H288" s="953">
        <f t="shared" si="54"/>
        <v>0</v>
      </c>
      <c r="I288" s="953">
        <f t="shared" si="55"/>
        <v>0</v>
      </c>
      <c r="J288" s="953">
        <f t="shared" si="56"/>
        <v>0</v>
      </c>
      <c r="K288" s="953">
        <f t="shared" si="57"/>
        <v>-4.3000000000000002E-5</v>
      </c>
      <c r="L288" s="570" t="str">
        <f t="shared" si="58"/>
        <v>Modal 17</v>
      </c>
      <c r="M288" s="570">
        <f t="shared" si="60"/>
        <v>17</v>
      </c>
    </row>
    <row r="289" spans="1:13">
      <c r="A289" s="570" t="str">
        <f t="shared" si="59"/>
        <v>T3018</v>
      </c>
      <c r="C289" s="953" t="str">
        <f t="shared" si="49"/>
        <v>T30</v>
      </c>
      <c r="D289" s="953" t="str">
        <f t="shared" si="50"/>
        <v>D1</v>
      </c>
      <c r="E289" s="953">
        <f t="shared" si="51"/>
        <v>18</v>
      </c>
      <c r="F289" s="953">
        <f t="shared" si="52"/>
        <v>7.6000000000000004E-5</v>
      </c>
      <c r="G289" s="953">
        <f t="shared" si="53"/>
        <v>7.2599999999999997E-4</v>
      </c>
      <c r="H289" s="953">
        <f t="shared" si="54"/>
        <v>0</v>
      </c>
      <c r="I289" s="953">
        <f t="shared" si="55"/>
        <v>0</v>
      </c>
      <c r="J289" s="953">
        <f t="shared" si="56"/>
        <v>0</v>
      </c>
      <c r="K289" s="953">
        <f t="shared" si="57"/>
        <v>-4.0000000000000003E-5</v>
      </c>
      <c r="L289" s="570" t="str">
        <f t="shared" si="58"/>
        <v>Modal 18</v>
      </c>
      <c r="M289" s="570">
        <f t="shared" si="60"/>
        <v>18</v>
      </c>
    </row>
    <row r="290" spans="1:13">
      <c r="A290" s="570" t="str">
        <f t="shared" si="59"/>
        <v>T3019</v>
      </c>
      <c r="C290" s="953" t="str">
        <f t="shared" si="49"/>
        <v>T30</v>
      </c>
      <c r="D290" s="953" t="str">
        <f t="shared" si="50"/>
        <v>D1</v>
      </c>
      <c r="E290" s="953">
        <f t="shared" si="51"/>
        <v>19</v>
      </c>
      <c r="F290" s="953">
        <f t="shared" si="52"/>
        <v>-4.9600000000000002E-4</v>
      </c>
      <c r="G290" s="953">
        <f t="shared" si="53"/>
        <v>1.17E-4</v>
      </c>
      <c r="H290" s="953">
        <f t="shared" si="54"/>
        <v>0</v>
      </c>
      <c r="I290" s="953">
        <f t="shared" si="55"/>
        <v>0</v>
      </c>
      <c r="J290" s="953">
        <f t="shared" si="56"/>
        <v>0</v>
      </c>
      <c r="K290" s="953">
        <f t="shared" si="57"/>
        <v>2.2800000000000001E-4</v>
      </c>
      <c r="L290" s="570" t="str">
        <f t="shared" si="58"/>
        <v>Modal 19</v>
      </c>
      <c r="M290" s="570">
        <f t="shared" si="60"/>
        <v>19</v>
      </c>
    </row>
    <row r="291" spans="1:13">
      <c r="A291" s="570" t="str">
        <f t="shared" si="59"/>
        <v>T3020</v>
      </c>
      <c r="C291" s="953" t="str">
        <f t="shared" si="49"/>
        <v>T30</v>
      </c>
      <c r="D291" s="953" t="str">
        <f t="shared" si="50"/>
        <v>D1</v>
      </c>
      <c r="E291" s="953">
        <f t="shared" si="51"/>
        <v>20</v>
      </c>
      <c r="F291" s="953">
        <f t="shared" si="52"/>
        <v>8.7200000000000005E-4</v>
      </c>
      <c r="G291" s="953">
        <f t="shared" si="53"/>
        <v>1.75E-4</v>
      </c>
      <c r="H291" s="953">
        <f t="shared" si="54"/>
        <v>0</v>
      </c>
      <c r="I291" s="953">
        <f t="shared" si="55"/>
        <v>0</v>
      </c>
      <c r="J291" s="953">
        <f t="shared" si="56"/>
        <v>0</v>
      </c>
      <c r="K291" s="953">
        <f t="shared" si="57"/>
        <v>5.3000000000000001E-5</v>
      </c>
      <c r="L291" s="570" t="str">
        <f t="shared" si="58"/>
        <v>Modal 20</v>
      </c>
      <c r="M291" s="570">
        <f t="shared" si="60"/>
        <v>20</v>
      </c>
    </row>
    <row r="292" spans="1:13">
      <c r="A292" s="570" t="str">
        <f t="shared" si="59"/>
        <v>T3021</v>
      </c>
      <c r="C292" s="953" t="str">
        <f t="shared" si="49"/>
        <v>T30</v>
      </c>
      <c r="D292" s="953" t="str">
        <f t="shared" si="50"/>
        <v>D1</v>
      </c>
      <c r="E292" s="953">
        <f t="shared" si="51"/>
        <v>21</v>
      </c>
      <c r="F292" s="953">
        <f t="shared" si="52"/>
        <v>-5.2599999999999999E-4</v>
      </c>
      <c r="G292" s="953">
        <f t="shared" si="53"/>
        <v>2.8149999999999998E-3</v>
      </c>
      <c r="H292" s="953">
        <f t="shared" si="54"/>
        <v>0</v>
      </c>
      <c r="I292" s="953">
        <f t="shared" si="55"/>
        <v>0</v>
      </c>
      <c r="J292" s="953">
        <f t="shared" si="56"/>
        <v>0</v>
      </c>
      <c r="K292" s="953">
        <f t="shared" si="57"/>
        <v>4.3999999999999999E-5</v>
      </c>
      <c r="L292" s="570" t="str">
        <f t="shared" si="58"/>
        <v>Modal 21</v>
      </c>
      <c r="M292" s="570">
        <f t="shared" si="60"/>
        <v>21</v>
      </c>
    </row>
    <row r="293" spans="1:13">
      <c r="A293" s="570" t="str">
        <f t="shared" si="59"/>
        <v>T3022</v>
      </c>
      <c r="C293" s="953" t="str">
        <f t="shared" si="49"/>
        <v>T30</v>
      </c>
      <c r="D293" s="953" t="str">
        <f t="shared" si="50"/>
        <v>D1</v>
      </c>
      <c r="E293" s="953">
        <f t="shared" si="51"/>
        <v>22</v>
      </c>
      <c r="F293" s="953">
        <f t="shared" si="52"/>
        <v>-3.2439999999999999E-3</v>
      </c>
      <c r="G293" s="953">
        <f t="shared" si="53"/>
        <v>4.4099999999999999E-4</v>
      </c>
      <c r="H293" s="953">
        <f t="shared" si="54"/>
        <v>0</v>
      </c>
      <c r="I293" s="953">
        <f t="shared" si="55"/>
        <v>0</v>
      </c>
      <c r="J293" s="953">
        <f t="shared" si="56"/>
        <v>0</v>
      </c>
      <c r="K293" s="953">
        <f t="shared" si="57"/>
        <v>1.3899999999999999E-4</v>
      </c>
      <c r="L293" s="570" t="str">
        <f t="shared" si="58"/>
        <v>Modal 22</v>
      </c>
      <c r="M293" s="570">
        <f t="shared" si="60"/>
        <v>22</v>
      </c>
    </row>
    <row r="294" spans="1:13">
      <c r="A294" s="570" t="str">
        <f t="shared" si="59"/>
        <v>T3023</v>
      </c>
      <c r="C294" s="953" t="str">
        <f t="shared" si="49"/>
        <v>T30</v>
      </c>
      <c r="D294" s="953" t="str">
        <f t="shared" si="50"/>
        <v>D1</v>
      </c>
      <c r="E294" s="953">
        <f t="shared" si="51"/>
        <v>23</v>
      </c>
      <c r="F294" s="953">
        <f t="shared" si="52"/>
        <v>-7.7999999999999999E-4</v>
      </c>
      <c r="G294" s="953">
        <f t="shared" si="53"/>
        <v>3.1939999999999998E-3</v>
      </c>
      <c r="H294" s="953">
        <f t="shared" si="54"/>
        <v>0</v>
      </c>
      <c r="I294" s="953">
        <f t="shared" si="55"/>
        <v>0</v>
      </c>
      <c r="J294" s="953">
        <f t="shared" si="56"/>
        <v>0</v>
      </c>
      <c r="K294" s="953">
        <f t="shared" si="57"/>
        <v>1.06E-4</v>
      </c>
      <c r="L294" s="570" t="str">
        <f t="shared" si="58"/>
        <v>Modal 23</v>
      </c>
      <c r="M294" s="570">
        <f t="shared" si="60"/>
        <v>23</v>
      </c>
    </row>
    <row r="295" spans="1:13">
      <c r="A295" s="570" t="str">
        <f t="shared" si="59"/>
        <v>T3024</v>
      </c>
      <c r="C295" s="953" t="str">
        <f t="shared" si="49"/>
        <v>T30</v>
      </c>
      <c r="D295" s="953" t="str">
        <f t="shared" si="50"/>
        <v>D1</v>
      </c>
      <c r="E295" s="953">
        <f t="shared" si="51"/>
        <v>24</v>
      </c>
      <c r="F295" s="953">
        <f t="shared" si="52"/>
        <v>2.428E-3</v>
      </c>
      <c r="G295" s="953">
        <f t="shared" si="53"/>
        <v>2.4910000000000002E-3</v>
      </c>
      <c r="H295" s="953">
        <f t="shared" si="54"/>
        <v>0</v>
      </c>
      <c r="I295" s="953">
        <f t="shared" si="55"/>
        <v>0</v>
      </c>
      <c r="J295" s="953">
        <f t="shared" si="56"/>
        <v>0</v>
      </c>
      <c r="K295" s="953">
        <f t="shared" si="57"/>
        <v>-1.25E-4</v>
      </c>
      <c r="L295" s="570" t="str">
        <f t="shared" si="58"/>
        <v>Modal 24</v>
      </c>
      <c r="M295" s="570">
        <f t="shared" si="60"/>
        <v>24</v>
      </c>
    </row>
    <row r="296" spans="1:13">
      <c r="A296" s="570" t="str">
        <f t="shared" si="59"/>
        <v>T3025</v>
      </c>
      <c r="C296" s="953" t="str">
        <f t="shared" si="49"/>
        <v>T30</v>
      </c>
      <c r="D296" s="953" t="str">
        <f t="shared" si="50"/>
        <v>D1</v>
      </c>
      <c r="E296" s="953">
        <f t="shared" si="51"/>
        <v>25</v>
      </c>
      <c r="F296" s="953">
        <f t="shared" si="52"/>
        <v>1.059E-3</v>
      </c>
      <c r="G296" s="953">
        <f t="shared" si="53"/>
        <v>1.7390000000000001E-3</v>
      </c>
      <c r="H296" s="953">
        <f t="shared" si="54"/>
        <v>0</v>
      </c>
      <c r="I296" s="953">
        <f t="shared" si="55"/>
        <v>0</v>
      </c>
      <c r="J296" s="953">
        <f t="shared" si="56"/>
        <v>0</v>
      </c>
      <c r="K296" s="953">
        <f t="shared" si="57"/>
        <v>5.8999999999999998E-5</v>
      </c>
      <c r="L296" s="570" t="str">
        <f t="shared" si="58"/>
        <v>Modal 25</v>
      </c>
      <c r="M296" s="570">
        <f t="shared" si="60"/>
        <v>25</v>
      </c>
    </row>
    <row r="297" spans="1:13">
      <c r="A297" s="570" t="str">
        <f t="shared" si="59"/>
        <v>T3026</v>
      </c>
      <c r="C297" s="953" t="str">
        <f t="shared" si="49"/>
        <v>T30</v>
      </c>
      <c r="D297" s="953" t="str">
        <f t="shared" si="50"/>
        <v>D1</v>
      </c>
      <c r="E297" s="953">
        <f t="shared" si="51"/>
        <v>26</v>
      </c>
      <c r="F297" s="953">
        <f t="shared" si="52"/>
        <v>-5.2099999999999998E-4</v>
      </c>
      <c r="G297" s="953">
        <f t="shared" si="53"/>
        <v>-2.807E-3</v>
      </c>
      <c r="H297" s="953">
        <f t="shared" si="54"/>
        <v>0</v>
      </c>
      <c r="I297" s="953">
        <f t="shared" si="55"/>
        <v>0</v>
      </c>
      <c r="J297" s="953">
        <f t="shared" si="56"/>
        <v>0</v>
      </c>
      <c r="K297" s="953">
        <f t="shared" si="57"/>
        <v>5.3000000000000001E-5</v>
      </c>
      <c r="L297" s="570" t="str">
        <f t="shared" si="58"/>
        <v>Modal 26</v>
      </c>
      <c r="M297" s="570">
        <f t="shared" si="60"/>
        <v>26</v>
      </c>
    </row>
    <row r="298" spans="1:13">
      <c r="A298" s="570" t="str">
        <f t="shared" si="59"/>
        <v>T3027</v>
      </c>
      <c r="C298" s="953" t="str">
        <f t="shared" si="49"/>
        <v>T30</v>
      </c>
      <c r="D298" s="953" t="str">
        <f t="shared" si="50"/>
        <v>D1</v>
      </c>
      <c r="E298" s="953">
        <f t="shared" si="51"/>
        <v>27</v>
      </c>
      <c r="F298" s="953">
        <f t="shared" si="52"/>
        <v>1.134E-3</v>
      </c>
      <c r="G298" s="953">
        <f t="shared" si="53"/>
        <v>7.8899999999999999E-4</v>
      </c>
      <c r="H298" s="953">
        <f t="shared" si="54"/>
        <v>0</v>
      </c>
      <c r="I298" s="953">
        <f t="shared" si="55"/>
        <v>0</v>
      </c>
      <c r="J298" s="953">
        <f t="shared" si="56"/>
        <v>0</v>
      </c>
      <c r="K298" s="953">
        <f t="shared" si="57"/>
        <v>5.1999999999999997E-5</v>
      </c>
      <c r="L298" s="570" t="str">
        <f t="shared" si="58"/>
        <v>Modal 27</v>
      </c>
      <c r="M298" s="570">
        <f t="shared" si="60"/>
        <v>27</v>
      </c>
    </row>
    <row r="299" spans="1:13">
      <c r="A299" s="570" t="str">
        <f t="shared" si="59"/>
        <v>T3028</v>
      </c>
      <c r="C299" s="953" t="str">
        <f t="shared" si="49"/>
        <v>T30</v>
      </c>
      <c r="D299" s="953" t="str">
        <f t="shared" si="50"/>
        <v>D1</v>
      </c>
      <c r="E299" s="953">
        <f t="shared" si="51"/>
        <v>28</v>
      </c>
      <c r="F299" s="953">
        <f t="shared" si="52"/>
        <v>-5.1999999999999997E-5</v>
      </c>
      <c r="G299" s="953">
        <f t="shared" si="53"/>
        <v>-2.1570000000000001E-3</v>
      </c>
      <c r="H299" s="953">
        <f t="shared" si="54"/>
        <v>0</v>
      </c>
      <c r="I299" s="953">
        <f t="shared" si="55"/>
        <v>0</v>
      </c>
      <c r="J299" s="953">
        <f t="shared" si="56"/>
        <v>0</v>
      </c>
      <c r="K299" s="953">
        <f t="shared" si="57"/>
        <v>3.3000000000000003E-5</v>
      </c>
      <c r="L299" s="570" t="str">
        <f t="shared" si="58"/>
        <v>Modal 28</v>
      </c>
      <c r="M299" s="570">
        <f t="shared" si="60"/>
        <v>28</v>
      </c>
    </row>
    <row r="300" spans="1:13">
      <c r="A300" s="570" t="str">
        <f t="shared" si="59"/>
        <v>T3029</v>
      </c>
      <c r="C300" s="953" t="str">
        <f t="shared" si="49"/>
        <v>T30</v>
      </c>
      <c r="D300" s="953" t="str">
        <f t="shared" si="50"/>
        <v>D1</v>
      </c>
      <c r="E300" s="953">
        <f t="shared" si="51"/>
        <v>29</v>
      </c>
      <c r="F300" s="953">
        <f t="shared" si="52"/>
        <v>-1.0039999999999999E-3</v>
      </c>
      <c r="G300" s="953">
        <f t="shared" si="53"/>
        <v>-1.6100000000000001E-4</v>
      </c>
      <c r="H300" s="953">
        <f t="shared" si="54"/>
        <v>0</v>
      </c>
      <c r="I300" s="953">
        <f t="shared" si="55"/>
        <v>0</v>
      </c>
      <c r="J300" s="953">
        <f t="shared" si="56"/>
        <v>0</v>
      </c>
      <c r="K300" s="953">
        <f t="shared" si="57"/>
        <v>-5.3999999999999998E-5</v>
      </c>
      <c r="L300" s="570" t="str">
        <f t="shared" si="58"/>
        <v>Modal 29</v>
      </c>
      <c r="M300" s="570">
        <f t="shared" si="60"/>
        <v>29</v>
      </c>
    </row>
    <row r="301" spans="1:13">
      <c r="A301" s="570" t="str">
        <f t="shared" si="59"/>
        <v>T3030</v>
      </c>
      <c r="C301" s="953" t="str">
        <f t="shared" si="49"/>
        <v>T30</v>
      </c>
      <c r="D301" s="953" t="str">
        <f t="shared" si="50"/>
        <v>D1</v>
      </c>
      <c r="E301" s="953">
        <f t="shared" si="51"/>
        <v>30</v>
      </c>
      <c r="F301" s="953">
        <f t="shared" si="52"/>
        <v>9.3999999999999994E-5</v>
      </c>
      <c r="G301" s="953">
        <f t="shared" si="53"/>
        <v>1.7910000000000001E-3</v>
      </c>
      <c r="H301" s="953">
        <f t="shared" si="54"/>
        <v>0</v>
      </c>
      <c r="I301" s="953">
        <f t="shared" si="55"/>
        <v>0</v>
      </c>
      <c r="J301" s="953">
        <f t="shared" si="56"/>
        <v>0</v>
      </c>
      <c r="K301" s="953">
        <f t="shared" si="57"/>
        <v>-1.9000000000000001E-5</v>
      </c>
      <c r="L301" s="570" t="str">
        <f t="shared" si="58"/>
        <v>Modal 30</v>
      </c>
      <c r="M301" s="570">
        <f t="shared" si="60"/>
        <v>30</v>
      </c>
    </row>
    <row r="302" spans="1:13">
      <c r="A302" s="570" t="str">
        <f t="shared" si="59"/>
        <v>T291</v>
      </c>
      <c r="C302" s="953" t="str">
        <f t="shared" si="49"/>
        <v>T29</v>
      </c>
      <c r="D302" s="953" t="str">
        <f t="shared" si="50"/>
        <v>D1</v>
      </c>
      <c r="E302" s="953">
        <f t="shared" si="51"/>
        <v>1</v>
      </c>
      <c r="F302" s="953">
        <f t="shared" si="52"/>
        <v>-9.8400000000000007E-4</v>
      </c>
      <c r="G302" s="953">
        <f t="shared" si="53"/>
        <v>5.0790000000000002E-3</v>
      </c>
      <c r="H302" s="953">
        <f t="shared" si="54"/>
        <v>0</v>
      </c>
      <c r="I302" s="953">
        <f t="shared" si="55"/>
        <v>0</v>
      </c>
      <c r="J302" s="953">
        <f t="shared" si="56"/>
        <v>0</v>
      </c>
      <c r="K302" s="953">
        <f t="shared" si="57"/>
        <v>4.3000000000000002E-5</v>
      </c>
      <c r="L302" s="570" t="str">
        <f t="shared" si="58"/>
        <v>Modal 1</v>
      </c>
      <c r="M302" s="570">
        <f t="shared" si="60"/>
        <v>1</v>
      </c>
    </row>
    <row r="303" spans="1:13">
      <c r="A303" s="570" t="str">
        <f t="shared" si="59"/>
        <v>T292</v>
      </c>
      <c r="C303" s="953" t="str">
        <f t="shared" si="49"/>
        <v>T29</v>
      </c>
      <c r="D303" s="953" t="str">
        <f t="shared" si="50"/>
        <v>D1</v>
      </c>
      <c r="E303" s="953">
        <f t="shared" si="51"/>
        <v>2</v>
      </c>
      <c r="F303" s="953">
        <f t="shared" si="52"/>
        <v>-7.4299999999999995E-4</v>
      </c>
      <c r="G303" s="953">
        <f t="shared" si="53"/>
        <v>-1.054E-3</v>
      </c>
      <c r="H303" s="953">
        <f t="shared" si="54"/>
        <v>0</v>
      </c>
      <c r="I303" s="953">
        <f t="shared" si="55"/>
        <v>0</v>
      </c>
      <c r="J303" s="953">
        <f t="shared" si="56"/>
        <v>0</v>
      </c>
      <c r="K303" s="953">
        <f t="shared" si="57"/>
        <v>2.5000000000000001E-4</v>
      </c>
      <c r="L303" s="570" t="str">
        <f t="shared" si="58"/>
        <v>Modal 2</v>
      </c>
      <c r="M303" s="570">
        <f t="shared" si="60"/>
        <v>2</v>
      </c>
    </row>
    <row r="304" spans="1:13">
      <c r="A304" s="570" t="str">
        <f t="shared" si="59"/>
        <v>T293</v>
      </c>
      <c r="C304" s="953" t="str">
        <f t="shared" si="49"/>
        <v>T29</v>
      </c>
      <c r="D304" s="953" t="str">
        <f t="shared" si="50"/>
        <v>D1</v>
      </c>
      <c r="E304" s="953">
        <f t="shared" si="51"/>
        <v>3</v>
      </c>
      <c r="F304" s="953">
        <f t="shared" si="52"/>
        <v>5.1390000000000003E-3</v>
      </c>
      <c r="G304" s="953">
        <f t="shared" si="53"/>
        <v>8.4000000000000003E-4</v>
      </c>
      <c r="H304" s="953">
        <f t="shared" si="54"/>
        <v>0</v>
      </c>
      <c r="I304" s="953">
        <f t="shared" si="55"/>
        <v>0</v>
      </c>
      <c r="J304" s="953">
        <f t="shared" si="56"/>
        <v>0</v>
      </c>
      <c r="K304" s="953">
        <f t="shared" si="57"/>
        <v>4.3000000000000002E-5</v>
      </c>
      <c r="L304" s="570" t="str">
        <f t="shared" si="58"/>
        <v>Modal 3</v>
      </c>
      <c r="M304" s="570">
        <f t="shared" si="60"/>
        <v>3</v>
      </c>
    </row>
    <row r="305" spans="1:13">
      <c r="A305" s="570" t="str">
        <f t="shared" si="59"/>
        <v>T294</v>
      </c>
      <c r="C305" s="953" t="str">
        <f t="shared" si="49"/>
        <v>T29</v>
      </c>
      <c r="D305" s="953" t="str">
        <f t="shared" si="50"/>
        <v>D1</v>
      </c>
      <c r="E305" s="953">
        <f t="shared" si="51"/>
        <v>4</v>
      </c>
      <c r="F305" s="953">
        <f t="shared" si="52"/>
        <v>2.5999999999999998E-5</v>
      </c>
      <c r="G305" s="953">
        <f t="shared" si="53"/>
        <v>9.0000000000000002E-6</v>
      </c>
      <c r="H305" s="953">
        <f t="shared" si="54"/>
        <v>0</v>
      </c>
      <c r="I305" s="953">
        <f t="shared" si="55"/>
        <v>0</v>
      </c>
      <c r="J305" s="953">
        <f t="shared" si="56"/>
        <v>0</v>
      </c>
      <c r="K305" s="953">
        <f t="shared" si="57"/>
        <v>-3.6999999999999998E-5</v>
      </c>
      <c r="L305" s="570" t="str">
        <f t="shared" si="58"/>
        <v>Modal 4</v>
      </c>
      <c r="M305" s="570">
        <f t="shared" si="60"/>
        <v>4</v>
      </c>
    </row>
    <row r="306" spans="1:13">
      <c r="A306" s="570" t="str">
        <f t="shared" si="59"/>
        <v>T295</v>
      </c>
      <c r="C306" s="953" t="str">
        <f t="shared" si="49"/>
        <v>T29</v>
      </c>
      <c r="D306" s="953" t="str">
        <f t="shared" si="50"/>
        <v>D1</v>
      </c>
      <c r="E306" s="953">
        <f t="shared" si="51"/>
        <v>5</v>
      </c>
      <c r="F306" s="953">
        <f t="shared" si="52"/>
        <v>8.3999999999999995E-5</v>
      </c>
      <c r="G306" s="953">
        <f t="shared" si="53"/>
        <v>-2.4499999999999999E-4</v>
      </c>
      <c r="H306" s="953">
        <f t="shared" si="54"/>
        <v>0</v>
      </c>
      <c r="I306" s="953">
        <f t="shared" si="55"/>
        <v>0</v>
      </c>
      <c r="J306" s="953">
        <f t="shared" si="56"/>
        <v>0</v>
      </c>
      <c r="K306" s="953">
        <f t="shared" si="57"/>
        <v>-3.6730000000000001E-7</v>
      </c>
      <c r="L306" s="570" t="str">
        <f t="shared" si="58"/>
        <v>Modal 5</v>
      </c>
      <c r="M306" s="570">
        <f t="shared" si="60"/>
        <v>5</v>
      </c>
    </row>
    <row r="307" spans="1:13">
      <c r="A307" s="570" t="str">
        <f t="shared" si="59"/>
        <v>T296</v>
      </c>
      <c r="C307" s="953" t="str">
        <f t="shared" si="49"/>
        <v>T29</v>
      </c>
      <c r="D307" s="953" t="str">
        <f t="shared" si="50"/>
        <v>D1</v>
      </c>
      <c r="E307" s="953">
        <f t="shared" si="51"/>
        <v>6</v>
      </c>
      <c r="F307" s="953">
        <f t="shared" si="52"/>
        <v>7.7000000000000001E-5</v>
      </c>
      <c r="G307" s="953">
        <f t="shared" si="53"/>
        <v>5.8999999999999998E-5</v>
      </c>
      <c r="H307" s="953">
        <f t="shared" si="54"/>
        <v>0</v>
      </c>
      <c r="I307" s="953">
        <f t="shared" si="55"/>
        <v>0</v>
      </c>
      <c r="J307" s="953">
        <f t="shared" si="56"/>
        <v>0</v>
      </c>
      <c r="K307" s="953">
        <f t="shared" si="57"/>
        <v>6.9999999999999999E-6</v>
      </c>
      <c r="L307" s="570" t="str">
        <f t="shared" si="58"/>
        <v>Modal 6</v>
      </c>
      <c r="M307" s="570">
        <f t="shared" si="60"/>
        <v>6</v>
      </c>
    </row>
    <row r="308" spans="1:13">
      <c r="A308" s="570" t="str">
        <f t="shared" si="59"/>
        <v>T297</v>
      </c>
      <c r="C308" s="953" t="str">
        <f t="shared" si="49"/>
        <v>T29</v>
      </c>
      <c r="D308" s="953" t="str">
        <f t="shared" si="50"/>
        <v>D1</v>
      </c>
      <c r="E308" s="953">
        <f t="shared" si="51"/>
        <v>7</v>
      </c>
      <c r="F308" s="953">
        <f t="shared" si="52"/>
        <v>-4.8099999999999998E-4</v>
      </c>
      <c r="G308" s="953">
        <f t="shared" si="53"/>
        <v>-1.5E-5</v>
      </c>
      <c r="H308" s="953">
        <f t="shared" si="54"/>
        <v>0</v>
      </c>
      <c r="I308" s="953">
        <f t="shared" si="55"/>
        <v>0</v>
      </c>
      <c r="J308" s="953">
        <f t="shared" si="56"/>
        <v>0</v>
      </c>
      <c r="K308" s="953">
        <f t="shared" si="57"/>
        <v>1.8699999999999999E-4</v>
      </c>
      <c r="L308" s="570" t="str">
        <f t="shared" si="58"/>
        <v>Modal 7</v>
      </c>
      <c r="M308" s="570">
        <f t="shared" si="60"/>
        <v>7</v>
      </c>
    </row>
    <row r="309" spans="1:13">
      <c r="A309" s="570" t="str">
        <f t="shared" si="59"/>
        <v>T298</v>
      </c>
      <c r="C309" s="953" t="str">
        <f t="shared" si="49"/>
        <v>T29</v>
      </c>
      <c r="D309" s="953" t="str">
        <f t="shared" si="50"/>
        <v>D1</v>
      </c>
      <c r="E309" s="953">
        <f t="shared" si="51"/>
        <v>8</v>
      </c>
      <c r="F309" s="953">
        <f t="shared" si="52"/>
        <v>-4.2499999999999998E-4</v>
      </c>
      <c r="G309" s="953">
        <f t="shared" si="53"/>
        <v>4.241E-3</v>
      </c>
      <c r="H309" s="953">
        <f t="shared" si="54"/>
        <v>0</v>
      </c>
      <c r="I309" s="953">
        <f t="shared" si="55"/>
        <v>0</v>
      </c>
      <c r="J309" s="953">
        <f t="shared" si="56"/>
        <v>0</v>
      </c>
      <c r="K309" s="953">
        <f t="shared" si="57"/>
        <v>-3.9999999999999998E-6</v>
      </c>
      <c r="L309" s="570" t="str">
        <f t="shared" si="58"/>
        <v>Modal 8</v>
      </c>
      <c r="M309" s="570">
        <f t="shared" si="60"/>
        <v>8</v>
      </c>
    </row>
    <row r="310" spans="1:13">
      <c r="A310" s="570" t="str">
        <f t="shared" si="59"/>
        <v>T299</v>
      </c>
      <c r="C310" s="953" t="str">
        <f t="shared" si="49"/>
        <v>T29</v>
      </c>
      <c r="D310" s="953" t="str">
        <f t="shared" si="50"/>
        <v>D1</v>
      </c>
      <c r="E310" s="953">
        <f t="shared" si="51"/>
        <v>9</v>
      </c>
      <c r="F310" s="953">
        <f t="shared" si="52"/>
        <v>-9.5799999999999998E-4</v>
      </c>
      <c r="G310" s="953">
        <f t="shared" si="53"/>
        <v>-3.4999999999999997E-5</v>
      </c>
      <c r="H310" s="953">
        <f t="shared" si="54"/>
        <v>0</v>
      </c>
      <c r="I310" s="953">
        <f t="shared" si="55"/>
        <v>0</v>
      </c>
      <c r="J310" s="953">
        <f t="shared" si="56"/>
        <v>0</v>
      </c>
      <c r="K310" s="953">
        <f t="shared" si="57"/>
        <v>2.6200000000000003E-4</v>
      </c>
      <c r="L310" s="570" t="str">
        <f t="shared" si="58"/>
        <v>Modal 9</v>
      </c>
      <c r="M310" s="570">
        <f t="shared" si="60"/>
        <v>9</v>
      </c>
    </row>
    <row r="311" spans="1:13">
      <c r="A311" s="570" t="str">
        <f t="shared" si="59"/>
        <v>T2910</v>
      </c>
      <c r="C311" s="953" t="str">
        <f t="shared" si="49"/>
        <v>T29</v>
      </c>
      <c r="D311" s="953" t="str">
        <f t="shared" si="50"/>
        <v>D1</v>
      </c>
      <c r="E311" s="953">
        <f t="shared" si="51"/>
        <v>10</v>
      </c>
      <c r="F311" s="953">
        <f t="shared" si="52"/>
        <v>4.0289999999999996E-3</v>
      </c>
      <c r="G311" s="953">
        <f t="shared" si="53"/>
        <v>3.9300000000000001E-4</v>
      </c>
      <c r="H311" s="953">
        <f t="shared" si="54"/>
        <v>0</v>
      </c>
      <c r="I311" s="953">
        <f t="shared" si="55"/>
        <v>0</v>
      </c>
      <c r="J311" s="953">
        <f t="shared" si="56"/>
        <v>0</v>
      </c>
      <c r="K311" s="953">
        <f t="shared" si="57"/>
        <v>4.8999999999999998E-5</v>
      </c>
      <c r="L311" s="570" t="str">
        <f t="shared" si="58"/>
        <v>Modal 10</v>
      </c>
      <c r="M311" s="570">
        <f t="shared" si="60"/>
        <v>10</v>
      </c>
    </row>
    <row r="312" spans="1:13">
      <c r="A312" s="570" t="str">
        <f t="shared" si="59"/>
        <v>T2911</v>
      </c>
      <c r="C312" s="953" t="str">
        <f t="shared" si="49"/>
        <v>T29</v>
      </c>
      <c r="D312" s="953" t="str">
        <f t="shared" si="50"/>
        <v>D1</v>
      </c>
      <c r="E312" s="953">
        <f t="shared" si="51"/>
        <v>11</v>
      </c>
      <c r="F312" s="953">
        <f t="shared" si="52"/>
        <v>2.2699999999999999E-4</v>
      </c>
      <c r="G312" s="953">
        <f t="shared" si="53"/>
        <v>1.8550000000000001E-3</v>
      </c>
      <c r="H312" s="953">
        <f t="shared" si="54"/>
        <v>0</v>
      </c>
      <c r="I312" s="953">
        <f t="shared" si="55"/>
        <v>0</v>
      </c>
      <c r="J312" s="953">
        <f t="shared" si="56"/>
        <v>0</v>
      </c>
      <c r="K312" s="953">
        <f t="shared" si="57"/>
        <v>-1.3899999999999999E-4</v>
      </c>
      <c r="L312" s="570" t="str">
        <f t="shared" si="58"/>
        <v>Modal 11</v>
      </c>
      <c r="M312" s="570">
        <f t="shared" si="60"/>
        <v>11</v>
      </c>
    </row>
    <row r="313" spans="1:13">
      <c r="A313" s="570" t="str">
        <f t="shared" si="59"/>
        <v>T2912</v>
      </c>
      <c r="C313" s="953" t="str">
        <f t="shared" si="49"/>
        <v>T29</v>
      </c>
      <c r="D313" s="953" t="str">
        <f t="shared" si="50"/>
        <v>D1</v>
      </c>
      <c r="E313" s="953">
        <f t="shared" si="51"/>
        <v>12</v>
      </c>
      <c r="F313" s="953">
        <f t="shared" si="52"/>
        <v>6.2E-4</v>
      </c>
      <c r="G313" s="953">
        <f t="shared" si="53"/>
        <v>-4.9319999999999998E-3</v>
      </c>
      <c r="H313" s="953">
        <f t="shared" si="54"/>
        <v>0</v>
      </c>
      <c r="I313" s="953">
        <f t="shared" si="55"/>
        <v>0</v>
      </c>
      <c r="J313" s="953">
        <f t="shared" si="56"/>
        <v>0</v>
      </c>
      <c r="K313" s="953">
        <f t="shared" si="57"/>
        <v>-4.8000000000000001E-5</v>
      </c>
      <c r="L313" s="570" t="str">
        <f t="shared" si="58"/>
        <v>Modal 12</v>
      </c>
      <c r="M313" s="570">
        <f t="shared" si="60"/>
        <v>12</v>
      </c>
    </row>
    <row r="314" spans="1:13">
      <c r="A314" s="570" t="str">
        <f t="shared" si="59"/>
        <v>T2913</v>
      </c>
      <c r="C314" s="953" t="str">
        <f t="shared" si="49"/>
        <v>T29</v>
      </c>
      <c r="D314" s="953" t="str">
        <f t="shared" si="50"/>
        <v>D1</v>
      </c>
      <c r="E314" s="953">
        <f t="shared" si="51"/>
        <v>13</v>
      </c>
      <c r="F314" s="953">
        <f t="shared" si="52"/>
        <v>5.2529999999999999E-3</v>
      </c>
      <c r="G314" s="953">
        <f t="shared" si="53"/>
        <v>5.0299999999999997E-4</v>
      </c>
      <c r="H314" s="953">
        <f t="shared" si="54"/>
        <v>0</v>
      </c>
      <c r="I314" s="953">
        <f t="shared" si="55"/>
        <v>0</v>
      </c>
      <c r="J314" s="953">
        <f t="shared" si="56"/>
        <v>0</v>
      </c>
      <c r="K314" s="953">
        <f t="shared" si="57"/>
        <v>3.3000000000000003E-5</v>
      </c>
      <c r="L314" s="570" t="str">
        <f t="shared" si="58"/>
        <v>Modal 13</v>
      </c>
      <c r="M314" s="570">
        <f t="shared" si="60"/>
        <v>13</v>
      </c>
    </row>
    <row r="315" spans="1:13">
      <c r="A315" s="570" t="str">
        <f t="shared" si="59"/>
        <v>T2914</v>
      </c>
      <c r="C315" s="953" t="str">
        <f t="shared" si="49"/>
        <v>T29</v>
      </c>
      <c r="D315" s="953" t="str">
        <f t="shared" si="50"/>
        <v>D1</v>
      </c>
      <c r="E315" s="953">
        <f t="shared" si="51"/>
        <v>14</v>
      </c>
      <c r="F315" s="953">
        <f t="shared" si="52"/>
        <v>-3.1000000000000001E-5</v>
      </c>
      <c r="G315" s="953">
        <f t="shared" si="53"/>
        <v>-8.2000000000000001E-5</v>
      </c>
      <c r="H315" s="953">
        <f t="shared" si="54"/>
        <v>0</v>
      </c>
      <c r="I315" s="953">
        <f t="shared" si="55"/>
        <v>0</v>
      </c>
      <c r="J315" s="953">
        <f t="shared" si="56"/>
        <v>0</v>
      </c>
      <c r="K315" s="953">
        <f t="shared" si="57"/>
        <v>-6.3999999999999997E-5</v>
      </c>
      <c r="L315" s="570" t="str">
        <f t="shared" si="58"/>
        <v>Modal 14</v>
      </c>
      <c r="M315" s="570">
        <f t="shared" si="60"/>
        <v>14</v>
      </c>
    </row>
    <row r="316" spans="1:13">
      <c r="A316" s="570" t="str">
        <f t="shared" si="59"/>
        <v>T2915</v>
      </c>
      <c r="C316" s="953" t="str">
        <f t="shared" si="49"/>
        <v>T29</v>
      </c>
      <c r="D316" s="953" t="str">
        <f t="shared" si="50"/>
        <v>D1</v>
      </c>
      <c r="E316" s="953">
        <f t="shared" si="51"/>
        <v>15</v>
      </c>
      <c r="F316" s="953">
        <f t="shared" si="52"/>
        <v>-2.2499999999999999E-4</v>
      </c>
      <c r="G316" s="953">
        <f t="shared" si="53"/>
        <v>2.6679999999999998E-3</v>
      </c>
      <c r="H316" s="953">
        <f t="shared" si="54"/>
        <v>0</v>
      </c>
      <c r="I316" s="953">
        <f t="shared" si="55"/>
        <v>0</v>
      </c>
      <c r="J316" s="953">
        <f t="shared" si="56"/>
        <v>0</v>
      </c>
      <c r="K316" s="953">
        <f t="shared" si="57"/>
        <v>-6.0000000000000002E-6</v>
      </c>
      <c r="L316" s="570" t="str">
        <f t="shared" si="58"/>
        <v>Modal 15</v>
      </c>
      <c r="M316" s="570">
        <f t="shared" si="60"/>
        <v>15</v>
      </c>
    </row>
    <row r="317" spans="1:13">
      <c r="A317" s="570" t="str">
        <f t="shared" si="59"/>
        <v>T2916</v>
      </c>
      <c r="C317" s="953" t="str">
        <f t="shared" si="49"/>
        <v>T29</v>
      </c>
      <c r="D317" s="953" t="str">
        <f t="shared" si="50"/>
        <v>D1</v>
      </c>
      <c r="E317" s="953">
        <f t="shared" si="51"/>
        <v>16</v>
      </c>
      <c r="F317" s="953">
        <f t="shared" si="52"/>
        <v>-6.96E-4</v>
      </c>
      <c r="G317" s="953">
        <f t="shared" si="53"/>
        <v>-2.9E-5</v>
      </c>
      <c r="H317" s="953">
        <f t="shared" si="54"/>
        <v>0</v>
      </c>
      <c r="I317" s="953">
        <f t="shared" si="55"/>
        <v>0</v>
      </c>
      <c r="J317" s="953">
        <f t="shared" si="56"/>
        <v>0</v>
      </c>
      <c r="K317" s="953">
        <f t="shared" si="57"/>
        <v>2.1000000000000001E-4</v>
      </c>
      <c r="L317" s="570" t="str">
        <f t="shared" si="58"/>
        <v>Modal 16</v>
      </c>
      <c r="M317" s="570">
        <f t="shared" si="60"/>
        <v>16</v>
      </c>
    </row>
    <row r="318" spans="1:13">
      <c r="A318" s="570" t="str">
        <f t="shared" si="59"/>
        <v>T2917</v>
      </c>
      <c r="C318" s="953" t="str">
        <f t="shared" si="49"/>
        <v>T29</v>
      </c>
      <c r="D318" s="953" t="str">
        <f t="shared" si="50"/>
        <v>D1</v>
      </c>
      <c r="E318" s="953">
        <f t="shared" si="51"/>
        <v>17</v>
      </c>
      <c r="F318" s="953">
        <f t="shared" si="52"/>
        <v>-2.7539999999999999E-3</v>
      </c>
      <c r="G318" s="953">
        <f t="shared" si="53"/>
        <v>-2.7700000000000001E-4</v>
      </c>
      <c r="H318" s="953">
        <f t="shared" si="54"/>
        <v>0</v>
      </c>
      <c r="I318" s="953">
        <f t="shared" si="55"/>
        <v>0</v>
      </c>
      <c r="J318" s="953">
        <f t="shared" si="56"/>
        <v>0</v>
      </c>
      <c r="K318" s="953">
        <f t="shared" si="57"/>
        <v>-4.3999999999999999E-5</v>
      </c>
      <c r="L318" s="570" t="str">
        <f t="shared" si="58"/>
        <v>Modal 17</v>
      </c>
      <c r="M318" s="570">
        <f t="shared" si="60"/>
        <v>17</v>
      </c>
    </row>
    <row r="319" spans="1:13">
      <c r="A319" s="570" t="str">
        <f t="shared" si="59"/>
        <v>T2918</v>
      </c>
      <c r="C319" s="953" t="str">
        <f t="shared" si="49"/>
        <v>T29</v>
      </c>
      <c r="D319" s="953" t="str">
        <f t="shared" si="50"/>
        <v>D1</v>
      </c>
      <c r="E319" s="953">
        <f t="shared" si="51"/>
        <v>18</v>
      </c>
      <c r="F319" s="953">
        <f t="shared" si="52"/>
        <v>2.61E-4</v>
      </c>
      <c r="G319" s="953">
        <f t="shared" si="53"/>
        <v>-1.562E-3</v>
      </c>
      <c r="H319" s="953">
        <f t="shared" si="54"/>
        <v>0</v>
      </c>
      <c r="I319" s="953">
        <f t="shared" si="55"/>
        <v>0</v>
      </c>
      <c r="J319" s="953">
        <f t="shared" si="56"/>
        <v>0</v>
      </c>
      <c r="K319" s="953">
        <f t="shared" si="57"/>
        <v>-4.5000000000000003E-5</v>
      </c>
      <c r="L319" s="570" t="str">
        <f t="shared" si="58"/>
        <v>Modal 18</v>
      </c>
      <c r="M319" s="570">
        <f t="shared" si="60"/>
        <v>18</v>
      </c>
    </row>
    <row r="320" spans="1:13">
      <c r="A320" s="570" t="str">
        <f t="shared" si="59"/>
        <v>T2919</v>
      </c>
      <c r="C320" s="953" t="str">
        <f t="shared" si="49"/>
        <v>T29</v>
      </c>
      <c r="D320" s="953" t="str">
        <f t="shared" si="50"/>
        <v>D1</v>
      </c>
      <c r="E320" s="953">
        <f t="shared" si="51"/>
        <v>19</v>
      </c>
      <c r="F320" s="953">
        <f t="shared" si="52"/>
        <v>-2.9700000000000001E-4</v>
      </c>
      <c r="G320" s="953">
        <f t="shared" si="53"/>
        <v>-3.8499999999999998E-4</v>
      </c>
      <c r="H320" s="953">
        <f t="shared" si="54"/>
        <v>0</v>
      </c>
      <c r="I320" s="953">
        <f t="shared" si="55"/>
        <v>0</v>
      </c>
      <c r="J320" s="953">
        <f t="shared" si="56"/>
        <v>0</v>
      </c>
      <c r="K320" s="953">
        <f t="shared" si="57"/>
        <v>2.4600000000000002E-4</v>
      </c>
      <c r="L320" s="570" t="str">
        <f t="shared" si="58"/>
        <v>Modal 19</v>
      </c>
      <c r="M320" s="570">
        <f t="shared" si="60"/>
        <v>19</v>
      </c>
    </row>
    <row r="321" spans="1:13">
      <c r="A321" s="570" t="str">
        <f t="shared" si="59"/>
        <v>T2920</v>
      </c>
      <c r="C321" s="953" t="str">
        <f t="shared" si="49"/>
        <v>T29</v>
      </c>
      <c r="D321" s="953" t="str">
        <f t="shared" si="50"/>
        <v>D1</v>
      </c>
      <c r="E321" s="953">
        <f t="shared" si="51"/>
        <v>20</v>
      </c>
      <c r="F321" s="953">
        <f t="shared" si="52"/>
        <v>-1.3780000000000001E-3</v>
      </c>
      <c r="G321" s="953">
        <f t="shared" si="53"/>
        <v>6.9999999999999999E-6</v>
      </c>
      <c r="H321" s="953">
        <f t="shared" si="54"/>
        <v>0</v>
      </c>
      <c r="I321" s="953">
        <f t="shared" si="55"/>
        <v>0</v>
      </c>
      <c r="J321" s="953">
        <f t="shared" si="56"/>
        <v>0</v>
      </c>
      <c r="K321" s="953">
        <f t="shared" si="57"/>
        <v>3.1000000000000001E-5</v>
      </c>
      <c r="L321" s="570" t="str">
        <f t="shared" si="58"/>
        <v>Modal 20</v>
      </c>
      <c r="M321" s="570">
        <f t="shared" si="60"/>
        <v>20</v>
      </c>
    </row>
    <row r="322" spans="1:13">
      <c r="A322" s="570" t="str">
        <f t="shared" si="59"/>
        <v>T2921</v>
      </c>
      <c r="C322" s="953" t="str">
        <f t="shared" ref="C322:C385" si="61">IF(Etabs="Etabs 9.7.4",IF(INDEX(Mode_1,ROW($E322),COLUMN(A$1))&lt;&gt;"",INDEX(Mode_1,ROW($E322),COLUMN(A$1)),""),IF(Etabs="Etabs 2013 trở lên",IF(INDEX(Mode_2,ROW($E324),COLUMN(A$1))&lt;&gt;"",INDEX(Mode_2,ROW($E324),COLUMN(A$1)),""),""))</f>
        <v>T29</v>
      </c>
      <c r="D322" s="953" t="str">
        <f t="shared" ref="D322:D385" si="62">IF(Etabs="Etabs 9.7.4",IF(INDEX(Mode_1,ROW($E322),COLUMN(B$1))&lt;&gt;"",INDEX(Mode_1,ROW($E322),COLUMN(B$1)),""),IF(Etabs="Etabs 2013 trở lên",IF(INDEX(Mode_2,ROW($E324),COLUMN(B$1))&lt;&gt;"",INDEX(Mode_2,ROW($E324),COLUMN(B$1)),""),""))</f>
        <v>D1</v>
      </c>
      <c r="E322" s="953">
        <f t="shared" ref="E322:E385" si="63">IF(Etabs="Etabs 9.7.4",IF(INDEX(Mode_1,ROW($E322),COLUMN(C$1))&lt;&gt;"",INDEX(Mode_1,ROW($E322),COLUMN(C$1)),""),IF(Etabs="Etabs 2013 trở lên",$M322,""))</f>
        <v>21</v>
      </c>
      <c r="F322" s="953">
        <f t="shared" ref="F322:F385" si="64">IF(Etabs="Etabs 9.7.4",IF(INDEX(Mode_1,ROW($E322),COLUMN(D$1))&lt;&gt;"",INDEX(Mode_1,ROW($E322),COLUMN(D$1)),""),IF(Etabs="Etabs 2013 trở lên",IF(INDEX(Mode_2,ROW($E324),COLUMN(D$1))&lt;&gt;"",INDEX(Mode_2,ROW($E324),COLUMN(D$1)),""),""))</f>
        <v>-5.7200000000000003E-4</v>
      </c>
      <c r="G322" s="953">
        <f t="shared" ref="G322:G385" si="65">IF(Etabs="Etabs 9.7.4",IF(INDEX(Mode_1,ROW($E322),COLUMN(E$1))&lt;&gt;"",INDEX(Mode_1,ROW($E322),COLUMN(E$1)),""),IF(Etabs="Etabs 2013 trở lên",IF(INDEX(Mode_2,ROW($E324),COLUMN(E$1))&lt;&gt;"",INDEX(Mode_2,ROW($E324),COLUMN(E$1)),""),""))</f>
        <v>4.692E-3</v>
      </c>
      <c r="H322" s="953">
        <f t="shared" ref="H322:H385" si="66">IF(Etabs="Etabs 9.7.4",IF(INDEX(Mode_1,ROW($E322),COLUMN(F$1))&lt;&gt;"",INDEX(Mode_1,ROW($E322),COLUMN(F$1)),""),IF(Etabs="Etabs 2013 trở lên",0,""))</f>
        <v>0</v>
      </c>
      <c r="I322" s="953">
        <f t="shared" ref="I322:I385" si="67">IF(Etabs="Etabs 9.7.4",IF(INDEX(Mode_1,ROW($E322),COLUMN(G$1))&lt;&gt;"",INDEX(Mode_1,ROW($E322),COLUMN(G$1)),""),IF(Etabs="Etabs 2013 trở lên",0,""))</f>
        <v>0</v>
      </c>
      <c r="J322" s="953">
        <f t="shared" ref="J322:J385" si="68">IF(Etabs="Etabs 9.7.4",IF(INDEX(Mode_1,ROW($E322),COLUMN(H$1))&lt;&gt;"",INDEX(Mode_1,ROW($E322),COLUMN(H$1)),""),IF(Etabs="Etabs 2013 trở lên",0,""))</f>
        <v>0</v>
      </c>
      <c r="K322" s="953">
        <f t="shared" ref="K322:K385" si="69">IF(Etabs="Etabs 9.7.4",IF(INDEX(Mode_1,ROW($E322),COLUMN(I$1))&lt;&gt;"",INDEX(Mode_1,ROW($E322),COLUMN(I$1)),""),IF(Etabs="Etabs 2013 trở lên",IF(INDEX(Mode_2,ROW($E324),COLUMN(F$1))&lt;&gt;"",INDEX(Mode_2,ROW($E324),COLUMN(F$1)),""),""))</f>
        <v>3.3000000000000003E-5</v>
      </c>
      <c r="L322" s="570" t="str">
        <f t="shared" ref="L322:L385" si="70">IF(Etabs="Etabs 9.7.4",IF(INDEX(Mode_1,ROW($E322),COLUMN(C$1))&lt;&gt;"",INDEX(Mode_1,ROW($E322),COLUMN(C$1)),""),IF(Etabs="Etabs 2013 trở lên",IF(INDEX(Mode_2,ROW($E324),COLUMN(C$1))&lt;&gt;"",INDEX(Mode_2,ROW($E324),COLUMN(C$1)),""),""))</f>
        <v>Modal 21</v>
      </c>
      <c r="M322" s="570">
        <f t="shared" si="60"/>
        <v>21</v>
      </c>
    </row>
    <row r="323" spans="1:13">
      <c r="A323" s="570" t="str">
        <f t="shared" ref="A323:A386" si="71">C323&amp;E323</f>
        <v>T2922</v>
      </c>
      <c r="C323" s="953" t="str">
        <f t="shared" si="61"/>
        <v>T29</v>
      </c>
      <c r="D323" s="953" t="str">
        <f t="shared" si="62"/>
        <v>D1</v>
      </c>
      <c r="E323" s="953">
        <f t="shared" si="63"/>
        <v>22</v>
      </c>
      <c r="F323" s="953">
        <f t="shared" si="64"/>
        <v>-4.6369999999999996E-3</v>
      </c>
      <c r="G323" s="953">
        <f t="shared" si="65"/>
        <v>1.7799999999999999E-4</v>
      </c>
      <c r="H323" s="953">
        <f t="shared" si="66"/>
        <v>0</v>
      </c>
      <c r="I323" s="953">
        <f t="shared" si="67"/>
        <v>0</v>
      </c>
      <c r="J323" s="953">
        <f t="shared" si="68"/>
        <v>0</v>
      </c>
      <c r="K323" s="953">
        <f t="shared" si="69"/>
        <v>6.0999999999999999E-5</v>
      </c>
      <c r="L323" s="570" t="str">
        <f t="shared" si="70"/>
        <v>Modal 22</v>
      </c>
      <c r="M323" s="570">
        <f t="shared" ref="M323:M386" si="72">IFERROR(VALUE(RIGHT(L323,LEN(L323)-6)),"")</f>
        <v>22</v>
      </c>
    </row>
    <row r="324" spans="1:13">
      <c r="A324" s="570" t="str">
        <f t="shared" si="71"/>
        <v>T2923</v>
      </c>
      <c r="C324" s="953" t="str">
        <f t="shared" si="61"/>
        <v>T29</v>
      </c>
      <c r="D324" s="953" t="str">
        <f t="shared" si="62"/>
        <v>D1</v>
      </c>
      <c r="E324" s="953">
        <f t="shared" si="63"/>
        <v>23</v>
      </c>
      <c r="F324" s="953">
        <f t="shared" si="64"/>
        <v>2.32E-4</v>
      </c>
      <c r="G324" s="953">
        <f t="shared" si="65"/>
        <v>3.4889999999999999E-3</v>
      </c>
      <c r="H324" s="953">
        <f t="shared" si="66"/>
        <v>0</v>
      </c>
      <c r="I324" s="953">
        <f t="shared" si="67"/>
        <v>0</v>
      </c>
      <c r="J324" s="953">
        <f t="shared" si="68"/>
        <v>0</v>
      </c>
      <c r="K324" s="953">
        <f t="shared" si="69"/>
        <v>6.2000000000000003E-5</v>
      </c>
      <c r="L324" s="570" t="str">
        <f t="shared" si="70"/>
        <v>Modal 23</v>
      </c>
      <c r="M324" s="570">
        <f t="shared" si="72"/>
        <v>23</v>
      </c>
    </row>
    <row r="325" spans="1:13">
      <c r="A325" s="570" t="str">
        <f t="shared" si="71"/>
        <v>T2924</v>
      </c>
      <c r="C325" s="953" t="str">
        <f t="shared" si="61"/>
        <v>T29</v>
      </c>
      <c r="D325" s="953" t="str">
        <f t="shared" si="62"/>
        <v>D1</v>
      </c>
      <c r="E325" s="953">
        <f t="shared" si="63"/>
        <v>24</v>
      </c>
      <c r="F325" s="953">
        <f t="shared" si="64"/>
        <v>1.9120000000000001E-3</v>
      </c>
      <c r="G325" s="953">
        <f t="shared" si="65"/>
        <v>3.0000000000000001E-3</v>
      </c>
      <c r="H325" s="953">
        <f t="shared" si="66"/>
        <v>0</v>
      </c>
      <c r="I325" s="953">
        <f t="shared" si="67"/>
        <v>0</v>
      </c>
      <c r="J325" s="953">
        <f t="shared" si="68"/>
        <v>0</v>
      </c>
      <c r="K325" s="953">
        <f t="shared" si="69"/>
        <v>-4.8999999999999998E-5</v>
      </c>
      <c r="L325" s="570" t="str">
        <f t="shared" si="70"/>
        <v>Modal 24</v>
      </c>
      <c r="M325" s="570">
        <f t="shared" si="72"/>
        <v>24</v>
      </c>
    </row>
    <row r="326" spans="1:13">
      <c r="A326" s="570" t="str">
        <f t="shared" si="71"/>
        <v>T2925</v>
      </c>
      <c r="C326" s="953" t="str">
        <f t="shared" si="61"/>
        <v>T29</v>
      </c>
      <c r="D326" s="953" t="str">
        <f t="shared" si="62"/>
        <v>D1</v>
      </c>
      <c r="E326" s="953">
        <f t="shared" si="63"/>
        <v>25</v>
      </c>
      <c r="F326" s="953">
        <f t="shared" si="64"/>
        <v>2.006E-3</v>
      </c>
      <c r="G326" s="953">
        <f t="shared" si="65"/>
        <v>1.418E-3</v>
      </c>
      <c r="H326" s="953">
        <f t="shared" si="66"/>
        <v>0</v>
      </c>
      <c r="I326" s="953">
        <f t="shared" si="67"/>
        <v>0</v>
      </c>
      <c r="J326" s="953">
        <f t="shared" si="68"/>
        <v>0</v>
      </c>
      <c r="K326" s="953">
        <f t="shared" si="69"/>
        <v>4.0000000000000003E-5</v>
      </c>
      <c r="L326" s="570" t="str">
        <f t="shared" si="70"/>
        <v>Modal 25</v>
      </c>
      <c r="M326" s="570">
        <f t="shared" si="72"/>
        <v>25</v>
      </c>
    </row>
    <row r="327" spans="1:13">
      <c r="A327" s="570" t="str">
        <f t="shared" si="71"/>
        <v>T2926</v>
      </c>
      <c r="C327" s="953" t="str">
        <f t="shared" si="61"/>
        <v>T29</v>
      </c>
      <c r="D327" s="953" t="str">
        <f t="shared" si="62"/>
        <v>D1</v>
      </c>
      <c r="E327" s="953">
        <f t="shared" si="63"/>
        <v>26</v>
      </c>
      <c r="F327" s="953">
        <f t="shared" si="64"/>
        <v>1.26E-4</v>
      </c>
      <c r="G327" s="953">
        <f t="shared" si="65"/>
        <v>-2.5660000000000001E-3</v>
      </c>
      <c r="H327" s="953">
        <f t="shared" si="66"/>
        <v>0</v>
      </c>
      <c r="I327" s="953">
        <f t="shared" si="67"/>
        <v>0</v>
      </c>
      <c r="J327" s="953">
        <f t="shared" si="68"/>
        <v>0</v>
      </c>
      <c r="K327" s="953">
        <f t="shared" si="69"/>
        <v>1.5999999999999999E-5</v>
      </c>
      <c r="L327" s="570" t="str">
        <f t="shared" si="70"/>
        <v>Modal 26</v>
      </c>
      <c r="M327" s="570">
        <f t="shared" si="72"/>
        <v>26</v>
      </c>
    </row>
    <row r="328" spans="1:13">
      <c r="A328" s="570" t="str">
        <f t="shared" si="71"/>
        <v>T2927</v>
      </c>
      <c r="C328" s="953" t="str">
        <f t="shared" si="61"/>
        <v>T29</v>
      </c>
      <c r="D328" s="953" t="str">
        <f t="shared" si="62"/>
        <v>D1</v>
      </c>
      <c r="E328" s="953">
        <f t="shared" si="63"/>
        <v>27</v>
      </c>
      <c r="F328" s="953">
        <f t="shared" si="64"/>
        <v>1.7240000000000001E-3</v>
      </c>
      <c r="G328" s="953">
        <f t="shared" si="65"/>
        <v>4.0900000000000002E-4</v>
      </c>
      <c r="H328" s="953">
        <f t="shared" si="66"/>
        <v>0</v>
      </c>
      <c r="I328" s="953">
        <f t="shared" si="67"/>
        <v>0</v>
      </c>
      <c r="J328" s="953">
        <f t="shared" si="68"/>
        <v>0</v>
      </c>
      <c r="K328" s="953">
        <f t="shared" si="69"/>
        <v>3.4999999999999997E-5</v>
      </c>
      <c r="L328" s="570" t="str">
        <f t="shared" si="70"/>
        <v>Modal 27</v>
      </c>
      <c r="M328" s="570">
        <f t="shared" si="72"/>
        <v>27</v>
      </c>
    </row>
    <row r="329" spans="1:13">
      <c r="A329" s="570" t="str">
        <f t="shared" si="71"/>
        <v>T2928</v>
      </c>
      <c r="C329" s="953" t="str">
        <f t="shared" si="61"/>
        <v>T29</v>
      </c>
      <c r="D329" s="953" t="str">
        <f t="shared" si="62"/>
        <v>D1</v>
      </c>
      <c r="E329" s="953">
        <f t="shared" si="63"/>
        <v>28</v>
      </c>
      <c r="F329" s="953">
        <f t="shared" si="64"/>
        <v>3.8000000000000002E-4</v>
      </c>
      <c r="G329" s="953">
        <f t="shared" si="65"/>
        <v>-1.6570000000000001E-3</v>
      </c>
      <c r="H329" s="953">
        <f t="shared" si="66"/>
        <v>0</v>
      </c>
      <c r="I329" s="953">
        <f t="shared" si="67"/>
        <v>0</v>
      </c>
      <c r="J329" s="953">
        <f t="shared" si="68"/>
        <v>0</v>
      </c>
      <c r="K329" s="953">
        <f t="shared" si="69"/>
        <v>7.9999999999999996E-6</v>
      </c>
      <c r="L329" s="570" t="str">
        <f t="shared" si="70"/>
        <v>Modal 28</v>
      </c>
      <c r="M329" s="570">
        <f t="shared" si="72"/>
        <v>28</v>
      </c>
    </row>
    <row r="330" spans="1:13">
      <c r="A330" s="570" t="str">
        <f t="shared" si="71"/>
        <v>T2929</v>
      </c>
      <c r="C330" s="953" t="str">
        <f t="shared" si="61"/>
        <v>T29</v>
      </c>
      <c r="D330" s="953" t="str">
        <f t="shared" si="62"/>
        <v>D1</v>
      </c>
      <c r="E330" s="953">
        <f t="shared" si="63"/>
        <v>29</v>
      </c>
      <c r="F330" s="953">
        <f t="shared" si="64"/>
        <v>-1.4530000000000001E-3</v>
      </c>
      <c r="G330" s="953">
        <f t="shared" si="65"/>
        <v>8.3999999999999995E-5</v>
      </c>
      <c r="H330" s="953">
        <f t="shared" si="66"/>
        <v>0</v>
      </c>
      <c r="I330" s="953">
        <f t="shared" si="67"/>
        <v>0</v>
      </c>
      <c r="J330" s="953">
        <f t="shared" si="68"/>
        <v>0</v>
      </c>
      <c r="K330" s="953">
        <f t="shared" si="69"/>
        <v>-3.4E-5</v>
      </c>
      <c r="L330" s="570" t="str">
        <f t="shared" si="70"/>
        <v>Modal 29</v>
      </c>
      <c r="M330" s="570">
        <f t="shared" si="72"/>
        <v>29</v>
      </c>
    </row>
    <row r="331" spans="1:13">
      <c r="A331" s="570" t="str">
        <f t="shared" si="71"/>
        <v>T2930</v>
      </c>
      <c r="C331" s="953" t="str">
        <f t="shared" si="61"/>
        <v>T29</v>
      </c>
      <c r="D331" s="953" t="str">
        <f t="shared" si="62"/>
        <v>D1</v>
      </c>
      <c r="E331" s="953">
        <f t="shared" si="63"/>
        <v>30</v>
      </c>
      <c r="F331" s="953">
        <f t="shared" si="64"/>
        <v>-1.46E-4</v>
      </c>
      <c r="G331" s="953">
        <f t="shared" si="65"/>
        <v>1.232E-3</v>
      </c>
      <c r="H331" s="953">
        <f t="shared" si="66"/>
        <v>0</v>
      </c>
      <c r="I331" s="953">
        <f t="shared" si="67"/>
        <v>0</v>
      </c>
      <c r="J331" s="953">
        <f t="shared" si="68"/>
        <v>0</v>
      </c>
      <c r="K331" s="953">
        <f t="shared" si="69"/>
        <v>-9.9999999999999995E-7</v>
      </c>
      <c r="L331" s="570" t="str">
        <f t="shared" si="70"/>
        <v>Modal 30</v>
      </c>
      <c r="M331" s="570">
        <f t="shared" si="72"/>
        <v>30</v>
      </c>
    </row>
    <row r="332" spans="1:13">
      <c r="A332" s="570" t="str">
        <f t="shared" si="71"/>
        <v>T281</v>
      </c>
      <c r="C332" s="953" t="str">
        <f t="shared" si="61"/>
        <v>T28</v>
      </c>
      <c r="D332" s="953" t="str">
        <f t="shared" si="62"/>
        <v>D1</v>
      </c>
      <c r="E332" s="953">
        <f t="shared" si="63"/>
        <v>1</v>
      </c>
      <c r="F332" s="953">
        <f t="shared" si="64"/>
        <v>-9.4399999999999996E-4</v>
      </c>
      <c r="G332" s="953">
        <f t="shared" si="65"/>
        <v>4.8760000000000001E-3</v>
      </c>
      <c r="H332" s="953">
        <f t="shared" si="66"/>
        <v>0</v>
      </c>
      <c r="I332" s="953">
        <f t="shared" si="67"/>
        <v>0</v>
      </c>
      <c r="J332" s="953">
        <f t="shared" si="68"/>
        <v>0</v>
      </c>
      <c r="K332" s="953">
        <f t="shared" si="69"/>
        <v>4.1999999999999998E-5</v>
      </c>
      <c r="L332" s="570" t="str">
        <f t="shared" si="70"/>
        <v>Modal 1</v>
      </c>
      <c r="M332" s="570">
        <f t="shared" si="72"/>
        <v>1</v>
      </c>
    </row>
    <row r="333" spans="1:13">
      <c r="A333" s="570" t="str">
        <f t="shared" si="71"/>
        <v>T282</v>
      </c>
      <c r="C333" s="953" t="str">
        <f t="shared" si="61"/>
        <v>T28</v>
      </c>
      <c r="D333" s="953" t="str">
        <f t="shared" si="62"/>
        <v>D1</v>
      </c>
      <c r="E333" s="953">
        <f t="shared" si="63"/>
        <v>2</v>
      </c>
      <c r="F333" s="953">
        <f t="shared" si="64"/>
        <v>-7.2199999999999999E-4</v>
      </c>
      <c r="G333" s="953">
        <f t="shared" si="65"/>
        <v>-1.013E-3</v>
      </c>
      <c r="H333" s="953">
        <f t="shared" si="66"/>
        <v>0</v>
      </c>
      <c r="I333" s="953">
        <f t="shared" si="67"/>
        <v>0</v>
      </c>
      <c r="J333" s="953">
        <f t="shared" si="68"/>
        <v>0</v>
      </c>
      <c r="K333" s="953">
        <f t="shared" si="69"/>
        <v>2.43E-4</v>
      </c>
      <c r="L333" s="570" t="str">
        <f t="shared" si="70"/>
        <v>Modal 2</v>
      </c>
      <c r="M333" s="570">
        <f t="shared" si="72"/>
        <v>2</v>
      </c>
    </row>
    <row r="334" spans="1:13">
      <c r="A334" s="570" t="str">
        <f t="shared" si="71"/>
        <v>T283</v>
      </c>
      <c r="C334" s="953" t="str">
        <f t="shared" si="61"/>
        <v>T28</v>
      </c>
      <c r="D334" s="953" t="str">
        <f t="shared" si="62"/>
        <v>D1</v>
      </c>
      <c r="E334" s="953">
        <f t="shared" si="63"/>
        <v>3</v>
      </c>
      <c r="F334" s="953">
        <f t="shared" si="64"/>
        <v>4.96E-3</v>
      </c>
      <c r="G334" s="953">
        <f t="shared" si="65"/>
        <v>8.1499999999999997E-4</v>
      </c>
      <c r="H334" s="953">
        <f t="shared" si="66"/>
        <v>0</v>
      </c>
      <c r="I334" s="953">
        <f t="shared" si="67"/>
        <v>0</v>
      </c>
      <c r="J334" s="953">
        <f t="shared" si="68"/>
        <v>0</v>
      </c>
      <c r="K334" s="953">
        <f t="shared" si="69"/>
        <v>4.1999999999999998E-5</v>
      </c>
      <c r="L334" s="570" t="str">
        <f t="shared" si="70"/>
        <v>Modal 3</v>
      </c>
      <c r="M334" s="570">
        <f t="shared" si="72"/>
        <v>3</v>
      </c>
    </row>
    <row r="335" spans="1:13">
      <c r="A335" s="570" t="str">
        <f t="shared" si="71"/>
        <v>T284</v>
      </c>
      <c r="C335" s="953" t="str">
        <f t="shared" si="61"/>
        <v>T28</v>
      </c>
      <c r="D335" s="953" t="str">
        <f t="shared" si="62"/>
        <v>D1</v>
      </c>
      <c r="E335" s="953">
        <f t="shared" si="63"/>
        <v>4</v>
      </c>
      <c r="F335" s="953">
        <f t="shared" si="64"/>
        <v>-7.6000000000000004E-5</v>
      </c>
      <c r="G335" s="953">
        <f t="shared" si="65"/>
        <v>1.2E-5</v>
      </c>
      <c r="H335" s="953">
        <f t="shared" si="66"/>
        <v>0</v>
      </c>
      <c r="I335" s="953">
        <f t="shared" si="67"/>
        <v>0</v>
      </c>
      <c r="J335" s="953">
        <f t="shared" si="68"/>
        <v>0</v>
      </c>
      <c r="K335" s="953">
        <f t="shared" si="69"/>
        <v>-1.9999999999999999E-6</v>
      </c>
      <c r="L335" s="570" t="str">
        <f t="shared" si="70"/>
        <v>Modal 4</v>
      </c>
      <c r="M335" s="570">
        <f t="shared" si="72"/>
        <v>4</v>
      </c>
    </row>
    <row r="336" spans="1:13">
      <c r="A336" s="570" t="str">
        <f t="shared" si="71"/>
        <v>T285</v>
      </c>
      <c r="C336" s="953" t="str">
        <f t="shared" si="61"/>
        <v>T28</v>
      </c>
      <c r="D336" s="953" t="str">
        <f t="shared" si="62"/>
        <v>D1</v>
      </c>
      <c r="E336" s="953">
        <f t="shared" si="63"/>
        <v>5</v>
      </c>
      <c r="F336" s="953">
        <f t="shared" si="64"/>
        <v>1.7100000000000001E-4</v>
      </c>
      <c r="G336" s="953">
        <f t="shared" si="65"/>
        <v>-9.6599999999999995E-4</v>
      </c>
      <c r="H336" s="953">
        <f t="shared" si="66"/>
        <v>0</v>
      </c>
      <c r="I336" s="953">
        <f t="shared" si="67"/>
        <v>0</v>
      </c>
      <c r="J336" s="953">
        <f t="shared" si="68"/>
        <v>0</v>
      </c>
      <c r="K336" s="953">
        <f t="shared" si="69"/>
        <v>9.9999999999999995E-7</v>
      </c>
      <c r="L336" s="570" t="str">
        <f t="shared" si="70"/>
        <v>Modal 5</v>
      </c>
      <c r="M336" s="570">
        <f t="shared" si="72"/>
        <v>5</v>
      </c>
    </row>
    <row r="337" spans="1:13">
      <c r="A337" s="570" t="str">
        <f t="shared" si="71"/>
        <v>T286</v>
      </c>
      <c r="C337" s="953" t="str">
        <f t="shared" si="61"/>
        <v>T28</v>
      </c>
      <c r="D337" s="953" t="str">
        <f t="shared" si="62"/>
        <v>D1</v>
      </c>
      <c r="E337" s="953">
        <f t="shared" si="63"/>
        <v>6</v>
      </c>
      <c r="F337" s="953">
        <f t="shared" si="64"/>
        <v>-6.4099999999999997E-4</v>
      </c>
      <c r="G337" s="953">
        <f t="shared" si="65"/>
        <v>-3.1000000000000001E-5</v>
      </c>
      <c r="H337" s="953">
        <f t="shared" si="66"/>
        <v>0</v>
      </c>
      <c r="I337" s="953">
        <f t="shared" si="67"/>
        <v>0</v>
      </c>
      <c r="J337" s="953">
        <f t="shared" si="68"/>
        <v>0</v>
      </c>
      <c r="K337" s="953">
        <f t="shared" si="69"/>
        <v>3.0000000000000001E-6</v>
      </c>
      <c r="L337" s="570" t="str">
        <f t="shared" si="70"/>
        <v>Modal 6</v>
      </c>
      <c r="M337" s="570">
        <f t="shared" si="72"/>
        <v>6</v>
      </c>
    </row>
    <row r="338" spans="1:13">
      <c r="A338" s="570" t="str">
        <f t="shared" si="71"/>
        <v>T287</v>
      </c>
      <c r="C338" s="953" t="str">
        <f t="shared" si="61"/>
        <v>T28</v>
      </c>
      <c r="D338" s="953" t="str">
        <f t="shared" si="62"/>
        <v>D1</v>
      </c>
      <c r="E338" s="953">
        <f t="shared" si="63"/>
        <v>7</v>
      </c>
      <c r="F338" s="953">
        <f t="shared" si="64"/>
        <v>-5.44E-4</v>
      </c>
      <c r="G338" s="953">
        <f t="shared" si="65"/>
        <v>-1.5E-5</v>
      </c>
      <c r="H338" s="953">
        <f t="shared" si="66"/>
        <v>0</v>
      </c>
      <c r="I338" s="953">
        <f t="shared" si="67"/>
        <v>0</v>
      </c>
      <c r="J338" s="953">
        <f t="shared" si="68"/>
        <v>0</v>
      </c>
      <c r="K338" s="953">
        <f t="shared" si="69"/>
        <v>2.22E-4</v>
      </c>
      <c r="L338" s="570" t="str">
        <f t="shared" si="70"/>
        <v>Modal 7</v>
      </c>
      <c r="M338" s="570">
        <f t="shared" si="72"/>
        <v>7</v>
      </c>
    </row>
    <row r="339" spans="1:13">
      <c r="A339" s="570" t="str">
        <f t="shared" si="71"/>
        <v>T288</v>
      </c>
      <c r="C339" s="953" t="str">
        <f t="shared" si="61"/>
        <v>T28</v>
      </c>
      <c r="D339" s="953" t="str">
        <f t="shared" si="62"/>
        <v>D1</v>
      </c>
      <c r="E339" s="953">
        <f t="shared" si="63"/>
        <v>8</v>
      </c>
      <c r="F339" s="953">
        <f t="shared" si="64"/>
        <v>-4.7800000000000002E-4</v>
      </c>
      <c r="G339" s="953">
        <f t="shared" si="65"/>
        <v>4.8250000000000003E-3</v>
      </c>
      <c r="H339" s="953">
        <f t="shared" si="66"/>
        <v>0</v>
      </c>
      <c r="I339" s="953">
        <f t="shared" si="67"/>
        <v>0</v>
      </c>
      <c r="J339" s="953">
        <f t="shared" si="68"/>
        <v>0</v>
      </c>
      <c r="K339" s="953">
        <f t="shared" si="69"/>
        <v>-3.9999999999999998E-6</v>
      </c>
      <c r="L339" s="570" t="str">
        <f t="shared" si="70"/>
        <v>Modal 8</v>
      </c>
      <c r="M339" s="570">
        <f t="shared" si="72"/>
        <v>8</v>
      </c>
    </row>
    <row r="340" spans="1:13">
      <c r="A340" s="570" t="str">
        <f t="shared" si="71"/>
        <v>T289</v>
      </c>
      <c r="C340" s="953" t="str">
        <f t="shared" si="61"/>
        <v>T28</v>
      </c>
      <c r="D340" s="953" t="str">
        <f t="shared" si="62"/>
        <v>D1</v>
      </c>
      <c r="E340" s="953">
        <f t="shared" si="63"/>
        <v>9</v>
      </c>
      <c r="F340" s="953">
        <f t="shared" si="64"/>
        <v>-9.7000000000000005E-4</v>
      </c>
      <c r="G340" s="953">
        <f t="shared" si="65"/>
        <v>-3.6999999999999998E-5</v>
      </c>
      <c r="H340" s="953">
        <f t="shared" si="66"/>
        <v>0</v>
      </c>
      <c r="I340" s="953">
        <f t="shared" si="67"/>
        <v>0</v>
      </c>
      <c r="J340" s="953">
        <f t="shared" si="68"/>
        <v>0</v>
      </c>
      <c r="K340" s="953">
        <f t="shared" si="69"/>
        <v>2.43E-4</v>
      </c>
      <c r="L340" s="570" t="str">
        <f t="shared" si="70"/>
        <v>Modal 9</v>
      </c>
      <c r="M340" s="570">
        <f t="shared" si="72"/>
        <v>9</v>
      </c>
    </row>
    <row r="341" spans="1:13">
      <c r="A341" s="570" t="str">
        <f t="shared" si="71"/>
        <v>T2810</v>
      </c>
      <c r="C341" s="953" t="str">
        <f t="shared" si="61"/>
        <v>T28</v>
      </c>
      <c r="D341" s="953" t="str">
        <f t="shared" si="62"/>
        <v>D1</v>
      </c>
      <c r="E341" s="953">
        <f t="shared" si="63"/>
        <v>10</v>
      </c>
      <c r="F341" s="953">
        <f t="shared" si="64"/>
        <v>4.6430000000000004E-3</v>
      </c>
      <c r="G341" s="953">
        <f t="shared" si="65"/>
        <v>4.5800000000000002E-4</v>
      </c>
      <c r="H341" s="953">
        <f t="shared" si="66"/>
        <v>0</v>
      </c>
      <c r="I341" s="953">
        <f t="shared" si="67"/>
        <v>0</v>
      </c>
      <c r="J341" s="953">
        <f t="shared" si="68"/>
        <v>0</v>
      </c>
      <c r="K341" s="953">
        <f t="shared" si="69"/>
        <v>5.1E-5</v>
      </c>
      <c r="L341" s="570" t="str">
        <f t="shared" si="70"/>
        <v>Modal 10</v>
      </c>
      <c r="M341" s="570">
        <f t="shared" si="72"/>
        <v>10</v>
      </c>
    </row>
    <row r="342" spans="1:13">
      <c r="A342" s="570" t="str">
        <f t="shared" si="71"/>
        <v>T2811</v>
      </c>
      <c r="C342" s="953" t="str">
        <f t="shared" si="61"/>
        <v>T28</v>
      </c>
      <c r="D342" s="953" t="str">
        <f t="shared" si="62"/>
        <v>D1</v>
      </c>
      <c r="E342" s="953">
        <f t="shared" si="63"/>
        <v>11</v>
      </c>
      <c r="F342" s="953">
        <f t="shared" si="64"/>
        <v>8.1000000000000004E-5</v>
      </c>
      <c r="G342" s="953">
        <f t="shared" si="65"/>
        <v>1.67E-3</v>
      </c>
      <c r="H342" s="953">
        <f t="shared" si="66"/>
        <v>0</v>
      </c>
      <c r="I342" s="953">
        <f t="shared" si="67"/>
        <v>0</v>
      </c>
      <c r="J342" s="953">
        <f t="shared" si="68"/>
        <v>0</v>
      </c>
      <c r="K342" s="953">
        <f t="shared" si="69"/>
        <v>-5.8E-5</v>
      </c>
      <c r="L342" s="570" t="str">
        <f t="shared" si="70"/>
        <v>Modal 11</v>
      </c>
      <c r="M342" s="570">
        <f t="shared" si="72"/>
        <v>11</v>
      </c>
    </row>
    <row r="343" spans="1:13">
      <c r="A343" s="570" t="str">
        <f t="shared" si="71"/>
        <v>T2812</v>
      </c>
      <c r="C343" s="953" t="str">
        <f t="shared" si="61"/>
        <v>T28</v>
      </c>
      <c r="D343" s="953" t="str">
        <f t="shared" si="62"/>
        <v>D1</v>
      </c>
      <c r="E343" s="953">
        <f t="shared" si="63"/>
        <v>12</v>
      </c>
      <c r="F343" s="953">
        <f t="shared" si="64"/>
        <v>5.0799999999999999E-4</v>
      </c>
      <c r="G343" s="953">
        <f t="shared" si="65"/>
        <v>-4.4470000000000004E-3</v>
      </c>
      <c r="H343" s="953">
        <f t="shared" si="66"/>
        <v>0</v>
      </c>
      <c r="I343" s="953">
        <f t="shared" si="67"/>
        <v>0</v>
      </c>
      <c r="J343" s="953">
        <f t="shared" si="68"/>
        <v>0</v>
      </c>
      <c r="K343" s="953">
        <f t="shared" si="69"/>
        <v>-1.8E-5</v>
      </c>
      <c r="L343" s="570" t="str">
        <f t="shared" si="70"/>
        <v>Modal 12</v>
      </c>
      <c r="M343" s="570">
        <f t="shared" si="72"/>
        <v>12</v>
      </c>
    </row>
    <row r="344" spans="1:13">
      <c r="A344" s="570" t="str">
        <f t="shared" si="71"/>
        <v>T2813</v>
      </c>
      <c r="C344" s="953" t="str">
        <f t="shared" si="61"/>
        <v>T28</v>
      </c>
      <c r="D344" s="953" t="str">
        <f t="shared" si="62"/>
        <v>D1</v>
      </c>
      <c r="E344" s="953">
        <f t="shared" si="63"/>
        <v>13</v>
      </c>
      <c r="F344" s="953">
        <f t="shared" si="64"/>
        <v>4.7980000000000002E-3</v>
      </c>
      <c r="G344" s="953">
        <f t="shared" si="65"/>
        <v>4.6500000000000003E-4</v>
      </c>
      <c r="H344" s="953">
        <f t="shared" si="66"/>
        <v>0</v>
      </c>
      <c r="I344" s="953">
        <f t="shared" si="67"/>
        <v>0</v>
      </c>
      <c r="J344" s="953">
        <f t="shared" si="68"/>
        <v>0</v>
      </c>
      <c r="K344" s="953">
        <f t="shared" si="69"/>
        <v>2.5999999999999998E-5</v>
      </c>
      <c r="L344" s="570" t="str">
        <f t="shared" si="70"/>
        <v>Modal 13</v>
      </c>
      <c r="M344" s="570">
        <f t="shared" si="72"/>
        <v>13</v>
      </c>
    </row>
    <row r="345" spans="1:13">
      <c r="A345" s="570" t="str">
        <f t="shared" si="71"/>
        <v>T2814</v>
      </c>
      <c r="C345" s="953" t="str">
        <f t="shared" si="61"/>
        <v>T28</v>
      </c>
      <c r="D345" s="953" t="str">
        <f t="shared" si="62"/>
        <v>D1</v>
      </c>
      <c r="E345" s="953">
        <f t="shared" si="63"/>
        <v>14</v>
      </c>
      <c r="F345" s="953">
        <f t="shared" si="64"/>
        <v>1.7000000000000001E-4</v>
      </c>
      <c r="G345" s="953">
        <f t="shared" si="65"/>
        <v>-3.8000000000000002E-5</v>
      </c>
      <c r="H345" s="953">
        <f t="shared" si="66"/>
        <v>0</v>
      </c>
      <c r="I345" s="953">
        <f t="shared" si="67"/>
        <v>0</v>
      </c>
      <c r="J345" s="953">
        <f t="shared" si="68"/>
        <v>0</v>
      </c>
      <c r="K345" s="953">
        <f t="shared" si="69"/>
        <v>-1.65E-4</v>
      </c>
      <c r="L345" s="570" t="str">
        <f t="shared" si="70"/>
        <v>Modal 14</v>
      </c>
      <c r="M345" s="570">
        <f t="shared" si="72"/>
        <v>14</v>
      </c>
    </row>
    <row r="346" spans="1:13">
      <c r="A346" s="570" t="str">
        <f t="shared" si="71"/>
        <v>T2815</v>
      </c>
      <c r="C346" s="953" t="str">
        <f t="shared" si="61"/>
        <v>T28</v>
      </c>
      <c r="D346" s="953" t="str">
        <f t="shared" si="62"/>
        <v>D1</v>
      </c>
      <c r="E346" s="953">
        <f t="shared" si="63"/>
        <v>15</v>
      </c>
      <c r="F346" s="953">
        <f t="shared" si="64"/>
        <v>-4.6999999999999997E-5</v>
      </c>
      <c r="G346" s="953">
        <f t="shared" si="65"/>
        <v>8.4999999999999995E-4</v>
      </c>
      <c r="H346" s="953">
        <f t="shared" si="66"/>
        <v>0</v>
      </c>
      <c r="I346" s="953">
        <f t="shared" si="67"/>
        <v>0</v>
      </c>
      <c r="J346" s="953">
        <f t="shared" si="68"/>
        <v>0</v>
      </c>
      <c r="K346" s="953">
        <f t="shared" si="69"/>
        <v>-6.9999999999999999E-6</v>
      </c>
      <c r="L346" s="570" t="str">
        <f t="shared" si="70"/>
        <v>Modal 15</v>
      </c>
      <c r="M346" s="570">
        <f t="shared" si="72"/>
        <v>15</v>
      </c>
    </row>
    <row r="347" spans="1:13">
      <c r="A347" s="570" t="str">
        <f t="shared" si="71"/>
        <v>T2816</v>
      </c>
      <c r="C347" s="953" t="str">
        <f t="shared" si="61"/>
        <v>T28</v>
      </c>
      <c r="D347" s="953" t="str">
        <f t="shared" si="62"/>
        <v>D1</v>
      </c>
      <c r="E347" s="953">
        <f t="shared" si="63"/>
        <v>16</v>
      </c>
      <c r="F347" s="953">
        <f t="shared" si="64"/>
        <v>-5.8799999999999998E-4</v>
      </c>
      <c r="G347" s="953">
        <f t="shared" si="65"/>
        <v>-8.3999999999999995E-5</v>
      </c>
      <c r="H347" s="953">
        <f t="shared" si="66"/>
        <v>0</v>
      </c>
      <c r="I347" s="953">
        <f t="shared" si="67"/>
        <v>0</v>
      </c>
      <c r="J347" s="953">
        <f t="shared" si="68"/>
        <v>0</v>
      </c>
      <c r="K347" s="953">
        <f t="shared" si="69"/>
        <v>2.5099999999999998E-4</v>
      </c>
      <c r="L347" s="570" t="str">
        <f t="shared" si="70"/>
        <v>Modal 16</v>
      </c>
      <c r="M347" s="570">
        <f t="shared" si="72"/>
        <v>16</v>
      </c>
    </row>
    <row r="348" spans="1:13">
      <c r="A348" s="570" t="str">
        <f t="shared" si="71"/>
        <v>T2817</v>
      </c>
      <c r="C348" s="953" t="str">
        <f t="shared" si="61"/>
        <v>T28</v>
      </c>
      <c r="D348" s="953" t="str">
        <f t="shared" si="62"/>
        <v>D1</v>
      </c>
      <c r="E348" s="953">
        <f t="shared" si="63"/>
        <v>17</v>
      </c>
      <c r="F348" s="953">
        <f t="shared" si="64"/>
        <v>-9.9299999999999996E-4</v>
      </c>
      <c r="G348" s="953">
        <f t="shared" si="65"/>
        <v>-1.1900000000000001E-4</v>
      </c>
      <c r="H348" s="953">
        <f t="shared" si="66"/>
        <v>0</v>
      </c>
      <c r="I348" s="953">
        <f t="shared" si="67"/>
        <v>0</v>
      </c>
      <c r="J348" s="953">
        <f t="shared" si="68"/>
        <v>0</v>
      </c>
      <c r="K348" s="953">
        <f t="shared" si="69"/>
        <v>-3.6000000000000001E-5</v>
      </c>
      <c r="L348" s="570" t="str">
        <f t="shared" si="70"/>
        <v>Modal 17</v>
      </c>
      <c r="M348" s="570">
        <f t="shared" si="72"/>
        <v>17</v>
      </c>
    </row>
    <row r="349" spans="1:13">
      <c r="A349" s="570" t="str">
        <f t="shared" si="71"/>
        <v>T2818</v>
      </c>
      <c r="C349" s="953" t="str">
        <f t="shared" si="61"/>
        <v>T28</v>
      </c>
      <c r="D349" s="953" t="str">
        <f t="shared" si="62"/>
        <v>D1</v>
      </c>
      <c r="E349" s="953">
        <f t="shared" si="63"/>
        <v>18</v>
      </c>
      <c r="F349" s="953">
        <f t="shared" si="64"/>
        <v>3.9599999999999998E-4</v>
      </c>
      <c r="G349" s="953">
        <f t="shared" si="65"/>
        <v>-3.5829999999999998E-3</v>
      </c>
      <c r="H349" s="953">
        <f t="shared" si="66"/>
        <v>0</v>
      </c>
      <c r="I349" s="953">
        <f t="shared" si="67"/>
        <v>0</v>
      </c>
      <c r="J349" s="953">
        <f t="shared" si="68"/>
        <v>0</v>
      </c>
      <c r="K349" s="953">
        <f t="shared" si="69"/>
        <v>-3.6999999999999998E-5</v>
      </c>
      <c r="L349" s="570" t="str">
        <f t="shared" si="70"/>
        <v>Modal 18</v>
      </c>
      <c r="M349" s="570">
        <f t="shared" si="72"/>
        <v>18</v>
      </c>
    </row>
    <row r="350" spans="1:13">
      <c r="A350" s="570" t="str">
        <f t="shared" si="71"/>
        <v>T2819</v>
      </c>
      <c r="C350" s="953" t="str">
        <f t="shared" si="61"/>
        <v>T28</v>
      </c>
      <c r="D350" s="953" t="str">
        <f t="shared" si="62"/>
        <v>D1</v>
      </c>
      <c r="E350" s="953">
        <f t="shared" si="63"/>
        <v>19</v>
      </c>
      <c r="F350" s="953">
        <f t="shared" si="64"/>
        <v>-2.4000000000000001E-5</v>
      </c>
      <c r="G350" s="953">
        <f t="shared" si="65"/>
        <v>-8.2700000000000004E-4</v>
      </c>
      <c r="H350" s="953">
        <f t="shared" si="66"/>
        <v>0</v>
      </c>
      <c r="I350" s="953">
        <f t="shared" si="67"/>
        <v>0</v>
      </c>
      <c r="J350" s="953">
        <f t="shared" si="68"/>
        <v>0</v>
      </c>
      <c r="K350" s="953">
        <f t="shared" si="69"/>
        <v>1.8599999999999999E-4</v>
      </c>
      <c r="L350" s="570" t="str">
        <f t="shared" si="70"/>
        <v>Modal 19</v>
      </c>
      <c r="M350" s="570">
        <f t="shared" si="72"/>
        <v>19</v>
      </c>
    </row>
    <row r="351" spans="1:13">
      <c r="A351" s="570" t="str">
        <f t="shared" si="71"/>
        <v>T2820</v>
      </c>
      <c r="C351" s="953" t="str">
        <f t="shared" si="61"/>
        <v>T28</v>
      </c>
      <c r="D351" s="953" t="str">
        <f t="shared" si="62"/>
        <v>D1</v>
      </c>
      <c r="E351" s="953">
        <f t="shared" si="63"/>
        <v>20</v>
      </c>
      <c r="F351" s="953">
        <f t="shared" si="64"/>
        <v>-3.388E-3</v>
      </c>
      <c r="G351" s="953">
        <f t="shared" si="65"/>
        <v>-1.73E-4</v>
      </c>
      <c r="H351" s="953">
        <f t="shared" si="66"/>
        <v>0</v>
      </c>
      <c r="I351" s="953">
        <f t="shared" si="67"/>
        <v>0</v>
      </c>
      <c r="J351" s="953">
        <f t="shared" si="68"/>
        <v>0</v>
      </c>
      <c r="K351" s="953">
        <f t="shared" si="69"/>
        <v>-1.9999999999999999E-6</v>
      </c>
      <c r="L351" s="570" t="str">
        <f t="shared" si="70"/>
        <v>Modal 20</v>
      </c>
      <c r="M351" s="570">
        <f t="shared" si="72"/>
        <v>20</v>
      </c>
    </row>
    <row r="352" spans="1:13">
      <c r="A352" s="570" t="str">
        <f t="shared" si="71"/>
        <v>T2821</v>
      </c>
      <c r="C352" s="953" t="str">
        <f t="shared" si="61"/>
        <v>T28</v>
      </c>
      <c r="D352" s="953" t="str">
        <f t="shared" si="62"/>
        <v>D1</v>
      </c>
      <c r="E352" s="953">
        <f t="shared" si="63"/>
        <v>21</v>
      </c>
      <c r="F352" s="953">
        <f t="shared" si="64"/>
        <v>-4.57E-4</v>
      </c>
      <c r="G352" s="953">
        <f t="shared" si="65"/>
        <v>5.4219999999999997E-3</v>
      </c>
      <c r="H352" s="953">
        <f t="shared" si="66"/>
        <v>0</v>
      </c>
      <c r="I352" s="953">
        <f t="shared" si="67"/>
        <v>0</v>
      </c>
      <c r="J352" s="953">
        <f t="shared" si="68"/>
        <v>0</v>
      </c>
      <c r="K352" s="953">
        <f t="shared" si="69"/>
        <v>9.0000000000000002E-6</v>
      </c>
      <c r="L352" s="570" t="str">
        <f t="shared" si="70"/>
        <v>Modal 21</v>
      </c>
      <c r="M352" s="570">
        <f t="shared" si="72"/>
        <v>21</v>
      </c>
    </row>
    <row r="353" spans="1:13">
      <c r="A353" s="570" t="str">
        <f t="shared" si="71"/>
        <v>T2822</v>
      </c>
      <c r="C353" s="953" t="str">
        <f t="shared" si="61"/>
        <v>T28</v>
      </c>
      <c r="D353" s="953" t="str">
        <f t="shared" si="62"/>
        <v>D1</v>
      </c>
      <c r="E353" s="953">
        <f t="shared" si="63"/>
        <v>22</v>
      </c>
      <c r="F353" s="953">
        <f t="shared" si="64"/>
        <v>-4.8019999999999998E-3</v>
      </c>
      <c r="G353" s="953">
        <f t="shared" si="65"/>
        <v>-2.05E-4</v>
      </c>
      <c r="H353" s="953">
        <f t="shared" si="66"/>
        <v>0</v>
      </c>
      <c r="I353" s="953">
        <f t="shared" si="67"/>
        <v>0</v>
      </c>
      <c r="J353" s="953">
        <f t="shared" si="68"/>
        <v>0</v>
      </c>
      <c r="K353" s="953">
        <f t="shared" si="69"/>
        <v>-4.3000000000000002E-5</v>
      </c>
      <c r="L353" s="570" t="str">
        <f t="shared" si="70"/>
        <v>Modal 22</v>
      </c>
      <c r="M353" s="570">
        <f t="shared" si="72"/>
        <v>22</v>
      </c>
    </row>
    <row r="354" spans="1:13">
      <c r="A354" s="570" t="str">
        <f t="shared" si="71"/>
        <v>T2823</v>
      </c>
      <c r="C354" s="953" t="str">
        <f t="shared" si="61"/>
        <v>T28</v>
      </c>
      <c r="D354" s="953" t="str">
        <f t="shared" si="62"/>
        <v>D1</v>
      </c>
      <c r="E354" s="953">
        <f t="shared" si="63"/>
        <v>23</v>
      </c>
      <c r="F354" s="953">
        <f t="shared" si="64"/>
        <v>1.3669999999999999E-3</v>
      </c>
      <c r="G354" s="953">
        <f t="shared" si="65"/>
        <v>2.6700000000000001E-3</v>
      </c>
      <c r="H354" s="953">
        <f t="shared" si="66"/>
        <v>0</v>
      </c>
      <c r="I354" s="953">
        <f t="shared" si="67"/>
        <v>0</v>
      </c>
      <c r="J354" s="953">
        <f t="shared" si="68"/>
        <v>0</v>
      </c>
      <c r="K354" s="953">
        <f t="shared" si="69"/>
        <v>-6.0000000000000002E-6</v>
      </c>
      <c r="L354" s="570" t="str">
        <f t="shared" si="70"/>
        <v>Modal 23</v>
      </c>
      <c r="M354" s="570">
        <f t="shared" si="72"/>
        <v>23</v>
      </c>
    </row>
    <row r="355" spans="1:13">
      <c r="A355" s="570" t="str">
        <f t="shared" si="71"/>
        <v>T2824</v>
      </c>
      <c r="C355" s="953" t="str">
        <f t="shared" si="61"/>
        <v>T28</v>
      </c>
      <c r="D355" s="953" t="str">
        <f t="shared" si="62"/>
        <v>D1</v>
      </c>
      <c r="E355" s="953">
        <f t="shared" si="63"/>
        <v>24</v>
      </c>
      <c r="F355" s="953">
        <f t="shared" si="64"/>
        <v>6.6E-4</v>
      </c>
      <c r="G355" s="953">
        <f t="shared" si="65"/>
        <v>2.6159999999999998E-3</v>
      </c>
      <c r="H355" s="953">
        <f t="shared" si="66"/>
        <v>0</v>
      </c>
      <c r="I355" s="953">
        <f t="shared" si="67"/>
        <v>0</v>
      </c>
      <c r="J355" s="953">
        <f t="shared" si="68"/>
        <v>0</v>
      </c>
      <c r="K355" s="953">
        <f t="shared" si="69"/>
        <v>4.5000000000000003E-5</v>
      </c>
      <c r="L355" s="570" t="str">
        <f t="shared" si="70"/>
        <v>Modal 24</v>
      </c>
      <c r="M355" s="570">
        <f t="shared" si="72"/>
        <v>24</v>
      </c>
    </row>
    <row r="356" spans="1:13">
      <c r="A356" s="570" t="str">
        <f t="shared" si="71"/>
        <v>T2825</v>
      </c>
      <c r="C356" s="953" t="str">
        <f t="shared" si="61"/>
        <v>T28</v>
      </c>
      <c r="D356" s="953" t="str">
        <f t="shared" si="62"/>
        <v>D1</v>
      </c>
      <c r="E356" s="953">
        <f t="shared" si="63"/>
        <v>25</v>
      </c>
      <c r="F356" s="953">
        <f t="shared" si="64"/>
        <v>2.4840000000000001E-3</v>
      </c>
      <c r="G356" s="953">
        <f t="shared" si="65"/>
        <v>5.31E-4</v>
      </c>
      <c r="H356" s="953">
        <f t="shared" si="66"/>
        <v>0</v>
      </c>
      <c r="I356" s="953">
        <f t="shared" si="67"/>
        <v>0</v>
      </c>
      <c r="J356" s="953">
        <f t="shared" si="68"/>
        <v>0</v>
      </c>
      <c r="K356" s="953">
        <f t="shared" si="69"/>
        <v>6.0000000000000002E-6</v>
      </c>
      <c r="L356" s="570" t="str">
        <f t="shared" si="70"/>
        <v>Modal 25</v>
      </c>
      <c r="M356" s="570">
        <f t="shared" si="72"/>
        <v>25</v>
      </c>
    </row>
    <row r="357" spans="1:13">
      <c r="A357" s="570" t="str">
        <f t="shared" si="71"/>
        <v>T2826</v>
      </c>
      <c r="C357" s="953" t="str">
        <f t="shared" si="61"/>
        <v>T28</v>
      </c>
      <c r="D357" s="953" t="str">
        <f t="shared" si="62"/>
        <v>D1</v>
      </c>
      <c r="E357" s="953">
        <f t="shared" si="63"/>
        <v>26</v>
      </c>
      <c r="F357" s="953">
        <f t="shared" si="64"/>
        <v>8.7500000000000002E-4</v>
      </c>
      <c r="G357" s="953">
        <f t="shared" si="65"/>
        <v>-1.392E-3</v>
      </c>
      <c r="H357" s="953">
        <f t="shared" si="66"/>
        <v>0</v>
      </c>
      <c r="I357" s="953">
        <f t="shared" si="67"/>
        <v>0</v>
      </c>
      <c r="J357" s="953">
        <f t="shared" si="68"/>
        <v>0</v>
      </c>
      <c r="K357" s="953">
        <f t="shared" si="69"/>
        <v>-2.4000000000000001E-5</v>
      </c>
      <c r="L357" s="570" t="str">
        <f t="shared" si="70"/>
        <v>Modal 26</v>
      </c>
      <c r="M357" s="570">
        <f t="shared" si="72"/>
        <v>26</v>
      </c>
    </row>
    <row r="358" spans="1:13">
      <c r="A358" s="570" t="str">
        <f t="shared" si="71"/>
        <v>T2827</v>
      </c>
      <c r="C358" s="953" t="str">
        <f t="shared" si="61"/>
        <v>T28</v>
      </c>
      <c r="D358" s="953" t="str">
        <f t="shared" si="62"/>
        <v>D1</v>
      </c>
      <c r="E358" s="953">
        <f t="shared" si="63"/>
        <v>27</v>
      </c>
      <c r="F358" s="953">
        <f t="shared" si="64"/>
        <v>1.8389999999999999E-3</v>
      </c>
      <c r="G358" s="953">
        <f t="shared" si="65"/>
        <v>-1.94E-4</v>
      </c>
      <c r="H358" s="953">
        <f t="shared" si="66"/>
        <v>0</v>
      </c>
      <c r="I358" s="953">
        <f t="shared" si="67"/>
        <v>0</v>
      </c>
      <c r="J358" s="953">
        <f t="shared" si="68"/>
        <v>0</v>
      </c>
      <c r="K358" s="953">
        <f t="shared" si="69"/>
        <v>3.9999999999999998E-6</v>
      </c>
      <c r="L358" s="570" t="str">
        <f t="shared" si="70"/>
        <v>Modal 27</v>
      </c>
      <c r="M358" s="570">
        <f t="shared" si="72"/>
        <v>27</v>
      </c>
    </row>
    <row r="359" spans="1:13">
      <c r="A359" s="570" t="str">
        <f t="shared" si="71"/>
        <v>T2828</v>
      </c>
      <c r="C359" s="953" t="str">
        <f t="shared" si="61"/>
        <v>T28</v>
      </c>
      <c r="D359" s="953" t="str">
        <f t="shared" si="62"/>
        <v>D1</v>
      </c>
      <c r="E359" s="953">
        <f t="shared" si="63"/>
        <v>28</v>
      </c>
      <c r="F359" s="953">
        <f t="shared" si="64"/>
        <v>7.6900000000000004E-4</v>
      </c>
      <c r="G359" s="953">
        <f t="shared" si="65"/>
        <v>-4.8799999999999999E-4</v>
      </c>
      <c r="H359" s="953">
        <f t="shared" si="66"/>
        <v>0</v>
      </c>
      <c r="I359" s="953">
        <f t="shared" si="67"/>
        <v>0</v>
      </c>
      <c r="J359" s="953">
        <f t="shared" si="68"/>
        <v>0</v>
      </c>
      <c r="K359" s="953">
        <f t="shared" si="69"/>
        <v>-1.7E-5</v>
      </c>
      <c r="L359" s="570" t="str">
        <f t="shared" si="70"/>
        <v>Modal 28</v>
      </c>
      <c r="M359" s="570">
        <f t="shared" si="72"/>
        <v>28</v>
      </c>
    </row>
    <row r="360" spans="1:13">
      <c r="A360" s="570" t="str">
        <f t="shared" si="71"/>
        <v>T2829</v>
      </c>
      <c r="C360" s="953" t="str">
        <f t="shared" si="61"/>
        <v>T28</v>
      </c>
      <c r="D360" s="953" t="str">
        <f t="shared" si="62"/>
        <v>D1</v>
      </c>
      <c r="E360" s="953">
        <f t="shared" si="63"/>
        <v>29</v>
      </c>
      <c r="F360" s="953">
        <f t="shared" si="64"/>
        <v>-1.4779999999999999E-3</v>
      </c>
      <c r="G360" s="953">
        <f t="shared" si="65"/>
        <v>3.5E-4</v>
      </c>
      <c r="H360" s="953">
        <f t="shared" si="66"/>
        <v>0</v>
      </c>
      <c r="I360" s="953">
        <f t="shared" si="67"/>
        <v>0</v>
      </c>
      <c r="J360" s="953">
        <f t="shared" si="68"/>
        <v>0</v>
      </c>
      <c r="K360" s="953">
        <f t="shared" si="69"/>
        <v>-9.9999999999999995E-7</v>
      </c>
      <c r="L360" s="570" t="str">
        <f t="shared" si="70"/>
        <v>Modal 29</v>
      </c>
      <c r="M360" s="570">
        <f t="shared" si="72"/>
        <v>29</v>
      </c>
    </row>
    <row r="361" spans="1:13">
      <c r="A361" s="570" t="str">
        <f t="shared" si="71"/>
        <v>T2830</v>
      </c>
      <c r="C361" s="953" t="str">
        <f t="shared" si="61"/>
        <v>T28</v>
      </c>
      <c r="D361" s="953" t="str">
        <f t="shared" si="62"/>
        <v>D1</v>
      </c>
      <c r="E361" s="953">
        <f t="shared" si="63"/>
        <v>30</v>
      </c>
      <c r="F361" s="953">
        <f t="shared" si="64"/>
        <v>-3.7800000000000003E-4</v>
      </c>
      <c r="G361" s="953">
        <f t="shared" si="65"/>
        <v>1.5300000000000001E-4</v>
      </c>
      <c r="H361" s="953">
        <f t="shared" si="66"/>
        <v>0</v>
      </c>
      <c r="I361" s="953">
        <f t="shared" si="67"/>
        <v>0</v>
      </c>
      <c r="J361" s="953">
        <f t="shared" si="68"/>
        <v>0</v>
      </c>
      <c r="K361" s="953">
        <f t="shared" si="69"/>
        <v>1.5E-5</v>
      </c>
      <c r="L361" s="570" t="str">
        <f t="shared" si="70"/>
        <v>Modal 30</v>
      </c>
      <c r="M361" s="570">
        <f t="shared" si="72"/>
        <v>30</v>
      </c>
    </row>
    <row r="362" spans="1:13">
      <c r="A362" s="570" t="str">
        <f t="shared" si="71"/>
        <v>T271</v>
      </c>
      <c r="C362" s="953" t="str">
        <f t="shared" si="61"/>
        <v>T27</v>
      </c>
      <c r="D362" s="953" t="str">
        <f t="shared" si="62"/>
        <v>D1</v>
      </c>
      <c r="E362" s="953">
        <f t="shared" si="63"/>
        <v>1</v>
      </c>
      <c r="F362" s="953">
        <f t="shared" si="64"/>
        <v>-9.0399999999999996E-4</v>
      </c>
      <c r="G362" s="953">
        <f t="shared" si="65"/>
        <v>4.6690000000000004E-3</v>
      </c>
      <c r="H362" s="953">
        <f t="shared" si="66"/>
        <v>0</v>
      </c>
      <c r="I362" s="953">
        <f t="shared" si="67"/>
        <v>0</v>
      </c>
      <c r="J362" s="953">
        <f t="shared" si="68"/>
        <v>0</v>
      </c>
      <c r="K362" s="953">
        <f t="shared" si="69"/>
        <v>4.1E-5</v>
      </c>
      <c r="L362" s="570" t="str">
        <f t="shared" si="70"/>
        <v>Modal 1</v>
      </c>
      <c r="M362" s="570">
        <f t="shared" si="72"/>
        <v>1</v>
      </c>
    </row>
    <row r="363" spans="1:13">
      <c r="A363" s="570" t="str">
        <f t="shared" si="71"/>
        <v>T272</v>
      </c>
      <c r="C363" s="953" t="str">
        <f t="shared" si="61"/>
        <v>T27</v>
      </c>
      <c r="D363" s="953" t="str">
        <f t="shared" si="62"/>
        <v>D1</v>
      </c>
      <c r="E363" s="953">
        <f t="shared" si="63"/>
        <v>2</v>
      </c>
      <c r="F363" s="953">
        <f t="shared" si="64"/>
        <v>-6.9899999999999997E-4</v>
      </c>
      <c r="G363" s="953">
        <f t="shared" si="65"/>
        <v>-9.7099999999999997E-4</v>
      </c>
      <c r="H363" s="953">
        <f t="shared" si="66"/>
        <v>0</v>
      </c>
      <c r="I363" s="953">
        <f t="shared" si="67"/>
        <v>0</v>
      </c>
      <c r="J363" s="953">
        <f t="shared" si="68"/>
        <v>0</v>
      </c>
      <c r="K363" s="953">
        <f t="shared" si="69"/>
        <v>2.3599999999999999E-4</v>
      </c>
      <c r="L363" s="570" t="str">
        <f t="shared" si="70"/>
        <v>Modal 2</v>
      </c>
      <c r="M363" s="570">
        <f t="shared" si="72"/>
        <v>2</v>
      </c>
    </row>
    <row r="364" spans="1:13">
      <c r="A364" s="570" t="str">
        <f t="shared" si="71"/>
        <v>T273</v>
      </c>
      <c r="C364" s="953" t="str">
        <f t="shared" si="61"/>
        <v>T27</v>
      </c>
      <c r="D364" s="953" t="str">
        <f t="shared" si="62"/>
        <v>D1</v>
      </c>
      <c r="E364" s="953">
        <f t="shared" si="63"/>
        <v>3</v>
      </c>
      <c r="F364" s="953">
        <f t="shared" si="64"/>
        <v>4.777E-3</v>
      </c>
      <c r="G364" s="953">
        <f t="shared" si="65"/>
        <v>7.9000000000000001E-4</v>
      </c>
      <c r="H364" s="953">
        <f t="shared" si="66"/>
        <v>0</v>
      </c>
      <c r="I364" s="953">
        <f t="shared" si="67"/>
        <v>0</v>
      </c>
      <c r="J364" s="953">
        <f t="shared" si="68"/>
        <v>0</v>
      </c>
      <c r="K364" s="953">
        <f t="shared" si="69"/>
        <v>4.1E-5</v>
      </c>
      <c r="L364" s="570" t="str">
        <f t="shared" si="70"/>
        <v>Modal 3</v>
      </c>
      <c r="M364" s="570">
        <f t="shared" si="72"/>
        <v>3</v>
      </c>
    </row>
    <row r="365" spans="1:13">
      <c r="A365" s="570" t="str">
        <f t="shared" si="71"/>
        <v>T274</v>
      </c>
      <c r="C365" s="953" t="str">
        <f t="shared" si="61"/>
        <v>T27</v>
      </c>
      <c r="D365" s="953" t="str">
        <f t="shared" si="62"/>
        <v>D1</v>
      </c>
      <c r="E365" s="953">
        <f t="shared" si="63"/>
        <v>4</v>
      </c>
      <c r="F365" s="953">
        <f t="shared" si="64"/>
        <v>-1.76E-4</v>
      </c>
      <c r="G365" s="953">
        <f t="shared" si="65"/>
        <v>1.5E-5</v>
      </c>
      <c r="H365" s="953">
        <f t="shared" si="66"/>
        <v>0</v>
      </c>
      <c r="I365" s="953">
        <f t="shared" si="67"/>
        <v>0</v>
      </c>
      <c r="J365" s="953">
        <f t="shared" si="68"/>
        <v>0</v>
      </c>
      <c r="K365" s="953">
        <f t="shared" si="69"/>
        <v>3.3000000000000003E-5</v>
      </c>
      <c r="L365" s="570" t="str">
        <f t="shared" si="70"/>
        <v>Modal 4</v>
      </c>
      <c r="M365" s="570">
        <f t="shared" si="72"/>
        <v>4</v>
      </c>
    </row>
    <row r="366" spans="1:13">
      <c r="A366" s="570" t="str">
        <f t="shared" si="71"/>
        <v>T275</v>
      </c>
      <c r="C366" s="953" t="str">
        <f t="shared" si="61"/>
        <v>T27</v>
      </c>
      <c r="D366" s="953" t="str">
        <f t="shared" si="62"/>
        <v>D1</v>
      </c>
      <c r="E366" s="953">
        <f t="shared" si="63"/>
        <v>5</v>
      </c>
      <c r="F366" s="953">
        <f t="shared" si="64"/>
        <v>2.5300000000000002E-4</v>
      </c>
      <c r="G366" s="953">
        <f t="shared" si="65"/>
        <v>-1.6590000000000001E-3</v>
      </c>
      <c r="H366" s="953">
        <f t="shared" si="66"/>
        <v>0</v>
      </c>
      <c r="I366" s="953">
        <f t="shared" si="67"/>
        <v>0</v>
      </c>
      <c r="J366" s="953">
        <f t="shared" si="68"/>
        <v>0</v>
      </c>
      <c r="K366" s="953">
        <f t="shared" si="69"/>
        <v>1.9999999999999999E-6</v>
      </c>
      <c r="L366" s="570" t="str">
        <f t="shared" si="70"/>
        <v>Modal 5</v>
      </c>
      <c r="M366" s="570">
        <f t="shared" si="72"/>
        <v>5</v>
      </c>
    </row>
    <row r="367" spans="1:13">
      <c r="A367" s="570" t="str">
        <f t="shared" si="71"/>
        <v>T276</v>
      </c>
      <c r="C367" s="953" t="str">
        <f t="shared" si="61"/>
        <v>T27</v>
      </c>
      <c r="D367" s="953" t="str">
        <f t="shared" si="62"/>
        <v>D1</v>
      </c>
      <c r="E367" s="953">
        <f t="shared" si="63"/>
        <v>6</v>
      </c>
      <c r="F367" s="953">
        <f t="shared" si="64"/>
        <v>-1.3370000000000001E-3</v>
      </c>
      <c r="G367" s="953">
        <f t="shared" si="65"/>
        <v>-1.1900000000000001E-4</v>
      </c>
      <c r="H367" s="953">
        <f t="shared" si="66"/>
        <v>0</v>
      </c>
      <c r="I367" s="953">
        <f t="shared" si="67"/>
        <v>0</v>
      </c>
      <c r="J367" s="953">
        <f t="shared" si="68"/>
        <v>0</v>
      </c>
      <c r="K367" s="953">
        <f t="shared" si="69"/>
        <v>-9.9999999999999995E-7</v>
      </c>
      <c r="L367" s="570" t="str">
        <f t="shared" si="70"/>
        <v>Modal 6</v>
      </c>
      <c r="M367" s="570">
        <f t="shared" si="72"/>
        <v>6</v>
      </c>
    </row>
    <row r="368" spans="1:13">
      <c r="A368" s="570" t="str">
        <f t="shared" si="71"/>
        <v>T277</v>
      </c>
      <c r="C368" s="953" t="str">
        <f t="shared" si="61"/>
        <v>T27</v>
      </c>
      <c r="D368" s="953" t="str">
        <f t="shared" si="62"/>
        <v>D1</v>
      </c>
      <c r="E368" s="953">
        <f t="shared" si="63"/>
        <v>7</v>
      </c>
      <c r="F368" s="953">
        <f t="shared" si="64"/>
        <v>-5.8399999999999999E-4</v>
      </c>
      <c r="G368" s="953">
        <f t="shared" si="65"/>
        <v>-1.4E-5</v>
      </c>
      <c r="H368" s="953">
        <f t="shared" si="66"/>
        <v>0</v>
      </c>
      <c r="I368" s="953">
        <f t="shared" si="67"/>
        <v>0</v>
      </c>
      <c r="J368" s="953">
        <f t="shared" si="68"/>
        <v>0</v>
      </c>
      <c r="K368" s="953">
        <f t="shared" si="69"/>
        <v>2.4800000000000001E-4</v>
      </c>
      <c r="L368" s="570" t="str">
        <f t="shared" si="70"/>
        <v>Modal 7</v>
      </c>
      <c r="M368" s="570">
        <f t="shared" si="72"/>
        <v>7</v>
      </c>
    </row>
    <row r="369" spans="1:13">
      <c r="A369" s="570" t="str">
        <f t="shared" si="71"/>
        <v>T278</v>
      </c>
      <c r="C369" s="953" t="str">
        <f t="shared" si="61"/>
        <v>T27</v>
      </c>
      <c r="D369" s="953" t="str">
        <f t="shared" si="62"/>
        <v>D1</v>
      </c>
      <c r="E369" s="953">
        <f t="shared" si="63"/>
        <v>8</v>
      </c>
      <c r="F369" s="953">
        <f t="shared" si="64"/>
        <v>-5.1000000000000004E-4</v>
      </c>
      <c r="G369" s="953">
        <f t="shared" si="65"/>
        <v>5.1999999999999998E-3</v>
      </c>
      <c r="H369" s="953">
        <f t="shared" si="66"/>
        <v>0</v>
      </c>
      <c r="I369" s="953">
        <f t="shared" si="67"/>
        <v>0</v>
      </c>
      <c r="J369" s="953">
        <f t="shared" si="68"/>
        <v>0</v>
      </c>
      <c r="K369" s="953">
        <f t="shared" si="69"/>
        <v>-5.0000000000000004E-6</v>
      </c>
      <c r="L369" s="570" t="str">
        <f t="shared" si="70"/>
        <v>Modal 8</v>
      </c>
      <c r="M369" s="570">
        <f t="shared" si="72"/>
        <v>8</v>
      </c>
    </row>
    <row r="370" spans="1:13">
      <c r="A370" s="570" t="str">
        <f t="shared" si="71"/>
        <v>T279</v>
      </c>
      <c r="C370" s="953" t="str">
        <f t="shared" si="61"/>
        <v>T27</v>
      </c>
      <c r="D370" s="953" t="str">
        <f t="shared" si="62"/>
        <v>D1</v>
      </c>
      <c r="E370" s="953">
        <f t="shared" si="63"/>
        <v>9</v>
      </c>
      <c r="F370" s="953">
        <f t="shared" si="64"/>
        <v>-9.2299999999999999E-4</v>
      </c>
      <c r="G370" s="953">
        <f t="shared" si="65"/>
        <v>-3.6000000000000001E-5</v>
      </c>
      <c r="H370" s="953">
        <f t="shared" si="66"/>
        <v>0</v>
      </c>
      <c r="I370" s="953">
        <f t="shared" si="67"/>
        <v>0</v>
      </c>
      <c r="J370" s="953">
        <f t="shared" si="68"/>
        <v>0</v>
      </c>
      <c r="K370" s="953">
        <f t="shared" si="69"/>
        <v>2.05E-4</v>
      </c>
      <c r="L370" s="570" t="str">
        <f t="shared" si="70"/>
        <v>Modal 9</v>
      </c>
      <c r="M370" s="570">
        <f t="shared" si="72"/>
        <v>9</v>
      </c>
    </row>
    <row r="371" spans="1:13">
      <c r="A371" s="570" t="str">
        <f t="shared" si="71"/>
        <v>T2710</v>
      </c>
      <c r="C371" s="953" t="str">
        <f t="shared" si="61"/>
        <v>T27</v>
      </c>
      <c r="D371" s="953" t="str">
        <f t="shared" si="62"/>
        <v>D1</v>
      </c>
      <c r="E371" s="953">
        <f t="shared" si="63"/>
        <v>10</v>
      </c>
      <c r="F371" s="953">
        <f t="shared" si="64"/>
        <v>5.0600000000000003E-3</v>
      </c>
      <c r="G371" s="953">
        <f t="shared" si="65"/>
        <v>5.04E-4</v>
      </c>
      <c r="H371" s="953">
        <f t="shared" si="66"/>
        <v>0</v>
      </c>
      <c r="I371" s="953">
        <f t="shared" si="67"/>
        <v>0</v>
      </c>
      <c r="J371" s="953">
        <f t="shared" si="68"/>
        <v>0</v>
      </c>
      <c r="K371" s="953">
        <f t="shared" si="69"/>
        <v>5.0000000000000002E-5</v>
      </c>
      <c r="L371" s="570" t="str">
        <f t="shared" si="70"/>
        <v>Modal 10</v>
      </c>
      <c r="M371" s="570">
        <f t="shared" si="72"/>
        <v>10</v>
      </c>
    </row>
    <row r="372" spans="1:13">
      <c r="A372" s="570" t="str">
        <f t="shared" si="71"/>
        <v>T2711</v>
      </c>
      <c r="C372" s="953" t="str">
        <f t="shared" si="61"/>
        <v>T27</v>
      </c>
      <c r="D372" s="953" t="str">
        <f t="shared" si="62"/>
        <v>D1</v>
      </c>
      <c r="E372" s="953">
        <f t="shared" si="63"/>
        <v>11</v>
      </c>
      <c r="F372" s="953">
        <f t="shared" si="64"/>
        <v>-7.3999999999999996E-5</v>
      </c>
      <c r="G372" s="953">
        <f t="shared" si="65"/>
        <v>1.353E-3</v>
      </c>
      <c r="H372" s="953">
        <f t="shared" si="66"/>
        <v>0</v>
      </c>
      <c r="I372" s="953">
        <f t="shared" si="67"/>
        <v>0</v>
      </c>
      <c r="J372" s="953">
        <f t="shared" si="68"/>
        <v>0</v>
      </c>
      <c r="K372" s="953">
        <f t="shared" si="69"/>
        <v>3.1000000000000001E-5</v>
      </c>
      <c r="L372" s="570" t="str">
        <f t="shared" si="70"/>
        <v>Modal 11</v>
      </c>
      <c r="M372" s="570">
        <f t="shared" si="72"/>
        <v>11</v>
      </c>
    </row>
    <row r="373" spans="1:13">
      <c r="A373" s="570" t="str">
        <f t="shared" si="71"/>
        <v>T2712</v>
      </c>
      <c r="C373" s="953" t="str">
        <f t="shared" si="61"/>
        <v>T27</v>
      </c>
      <c r="D373" s="953" t="str">
        <f t="shared" si="62"/>
        <v>D1</v>
      </c>
      <c r="E373" s="953">
        <f t="shared" si="63"/>
        <v>12</v>
      </c>
      <c r="F373" s="953">
        <f t="shared" si="64"/>
        <v>3.5399999999999999E-4</v>
      </c>
      <c r="G373" s="953">
        <f t="shared" si="65"/>
        <v>-3.6099999999999999E-3</v>
      </c>
      <c r="H373" s="953">
        <f t="shared" si="66"/>
        <v>0</v>
      </c>
      <c r="I373" s="953">
        <f t="shared" si="67"/>
        <v>0</v>
      </c>
      <c r="J373" s="953">
        <f t="shared" si="68"/>
        <v>0</v>
      </c>
      <c r="K373" s="953">
        <f t="shared" si="69"/>
        <v>1.5E-5</v>
      </c>
      <c r="L373" s="570" t="str">
        <f t="shared" si="70"/>
        <v>Modal 12</v>
      </c>
      <c r="M373" s="570">
        <f t="shared" si="72"/>
        <v>12</v>
      </c>
    </row>
    <row r="374" spans="1:13">
      <c r="A374" s="570" t="str">
        <f t="shared" si="71"/>
        <v>T2713</v>
      </c>
      <c r="C374" s="953" t="str">
        <f t="shared" si="61"/>
        <v>T27</v>
      </c>
      <c r="D374" s="953" t="str">
        <f t="shared" si="62"/>
        <v>D1</v>
      </c>
      <c r="E374" s="953">
        <f t="shared" si="63"/>
        <v>13</v>
      </c>
      <c r="F374" s="953">
        <f t="shared" si="64"/>
        <v>3.9639999999999996E-3</v>
      </c>
      <c r="G374" s="953">
        <f t="shared" si="65"/>
        <v>3.8999999999999999E-4</v>
      </c>
      <c r="H374" s="953">
        <f t="shared" si="66"/>
        <v>0</v>
      </c>
      <c r="I374" s="953">
        <f t="shared" si="67"/>
        <v>0</v>
      </c>
      <c r="J374" s="953">
        <f t="shared" si="68"/>
        <v>0</v>
      </c>
      <c r="K374" s="953">
        <f t="shared" si="69"/>
        <v>1.7E-5</v>
      </c>
      <c r="L374" s="570" t="str">
        <f t="shared" si="70"/>
        <v>Modal 13</v>
      </c>
      <c r="M374" s="570">
        <f t="shared" si="72"/>
        <v>13</v>
      </c>
    </row>
    <row r="375" spans="1:13">
      <c r="A375" s="570" t="str">
        <f t="shared" si="71"/>
        <v>T2714</v>
      </c>
      <c r="C375" s="953" t="str">
        <f t="shared" si="61"/>
        <v>T27</v>
      </c>
      <c r="D375" s="953" t="str">
        <f t="shared" si="62"/>
        <v>D1</v>
      </c>
      <c r="E375" s="953">
        <f t="shared" si="63"/>
        <v>14</v>
      </c>
      <c r="F375" s="953">
        <f t="shared" si="64"/>
        <v>3.3300000000000002E-4</v>
      </c>
      <c r="G375" s="953">
        <f t="shared" si="65"/>
        <v>9.0000000000000002E-6</v>
      </c>
      <c r="H375" s="953">
        <f t="shared" si="66"/>
        <v>0</v>
      </c>
      <c r="I375" s="953">
        <f t="shared" si="67"/>
        <v>0</v>
      </c>
      <c r="J375" s="953">
        <f t="shared" si="68"/>
        <v>0</v>
      </c>
      <c r="K375" s="953">
        <f t="shared" si="69"/>
        <v>-2.3599999999999999E-4</v>
      </c>
      <c r="L375" s="570" t="str">
        <f t="shared" si="70"/>
        <v>Modal 14</v>
      </c>
      <c r="M375" s="570">
        <f t="shared" si="72"/>
        <v>14</v>
      </c>
    </row>
    <row r="376" spans="1:13">
      <c r="A376" s="570" t="str">
        <f t="shared" si="71"/>
        <v>T2715</v>
      </c>
      <c r="C376" s="953" t="str">
        <f t="shared" si="61"/>
        <v>T27</v>
      </c>
      <c r="D376" s="953" t="str">
        <f t="shared" si="62"/>
        <v>D1</v>
      </c>
      <c r="E376" s="953">
        <f t="shared" si="63"/>
        <v>15</v>
      </c>
      <c r="F376" s="953">
        <f t="shared" si="64"/>
        <v>1.3799999999999999E-4</v>
      </c>
      <c r="G376" s="953">
        <f t="shared" si="65"/>
        <v>-1.09E-3</v>
      </c>
      <c r="H376" s="953">
        <f t="shared" si="66"/>
        <v>0</v>
      </c>
      <c r="I376" s="953">
        <f t="shared" si="67"/>
        <v>0</v>
      </c>
      <c r="J376" s="953">
        <f t="shared" si="68"/>
        <v>0</v>
      </c>
      <c r="K376" s="953">
        <f t="shared" si="69"/>
        <v>-6.9999999999999999E-6</v>
      </c>
      <c r="L376" s="570" t="str">
        <f t="shared" si="70"/>
        <v>Modal 15</v>
      </c>
      <c r="M376" s="570">
        <f t="shared" si="72"/>
        <v>15</v>
      </c>
    </row>
    <row r="377" spans="1:13">
      <c r="A377" s="570" t="str">
        <f t="shared" si="71"/>
        <v>T2716</v>
      </c>
      <c r="C377" s="953" t="str">
        <f t="shared" si="61"/>
        <v>T27</v>
      </c>
      <c r="D377" s="953" t="str">
        <f t="shared" si="62"/>
        <v>D1</v>
      </c>
      <c r="E377" s="953">
        <f t="shared" si="63"/>
        <v>16</v>
      </c>
      <c r="F377" s="953">
        <f t="shared" si="64"/>
        <v>-3.6699999999999998E-4</v>
      </c>
      <c r="G377" s="953">
        <f t="shared" si="65"/>
        <v>-1.26E-4</v>
      </c>
      <c r="H377" s="953">
        <f t="shared" si="66"/>
        <v>0</v>
      </c>
      <c r="I377" s="953">
        <f t="shared" si="67"/>
        <v>0</v>
      </c>
      <c r="J377" s="953">
        <f t="shared" si="68"/>
        <v>0</v>
      </c>
      <c r="K377" s="953">
        <f t="shared" si="69"/>
        <v>2.2900000000000001E-4</v>
      </c>
      <c r="L377" s="570" t="str">
        <f t="shared" si="70"/>
        <v>Modal 16</v>
      </c>
      <c r="M377" s="570">
        <f t="shared" si="72"/>
        <v>16</v>
      </c>
    </row>
    <row r="378" spans="1:13">
      <c r="A378" s="570" t="str">
        <f t="shared" si="71"/>
        <v>T2717</v>
      </c>
      <c r="C378" s="953" t="str">
        <f t="shared" si="61"/>
        <v>T27</v>
      </c>
      <c r="D378" s="953" t="str">
        <f t="shared" si="62"/>
        <v>D1</v>
      </c>
      <c r="E378" s="953">
        <f t="shared" si="63"/>
        <v>17</v>
      </c>
      <c r="F378" s="953">
        <f t="shared" si="64"/>
        <v>8.9999999999999998E-4</v>
      </c>
      <c r="G378" s="953">
        <f t="shared" si="65"/>
        <v>5.5999999999999999E-5</v>
      </c>
      <c r="H378" s="953">
        <f t="shared" si="66"/>
        <v>0</v>
      </c>
      <c r="I378" s="953">
        <f t="shared" si="67"/>
        <v>0</v>
      </c>
      <c r="J378" s="953">
        <f t="shared" si="68"/>
        <v>0</v>
      </c>
      <c r="K378" s="953">
        <f t="shared" si="69"/>
        <v>-1.8E-5</v>
      </c>
      <c r="L378" s="570" t="str">
        <f t="shared" si="70"/>
        <v>Modal 17</v>
      </c>
      <c r="M378" s="570">
        <f t="shared" si="72"/>
        <v>17</v>
      </c>
    </row>
    <row r="379" spans="1:13">
      <c r="A379" s="570" t="str">
        <f t="shared" si="71"/>
        <v>T2718</v>
      </c>
      <c r="C379" s="953" t="str">
        <f t="shared" si="61"/>
        <v>T27</v>
      </c>
      <c r="D379" s="953" t="str">
        <f t="shared" si="62"/>
        <v>D1</v>
      </c>
      <c r="E379" s="953">
        <f t="shared" si="63"/>
        <v>18</v>
      </c>
      <c r="F379" s="953">
        <f t="shared" si="64"/>
        <v>4.5399999999999998E-4</v>
      </c>
      <c r="G379" s="953">
        <f t="shared" si="65"/>
        <v>-4.9670000000000001E-3</v>
      </c>
      <c r="H379" s="953">
        <f t="shared" si="66"/>
        <v>0</v>
      </c>
      <c r="I379" s="953">
        <f t="shared" si="67"/>
        <v>0</v>
      </c>
      <c r="J379" s="953">
        <f t="shared" si="68"/>
        <v>0</v>
      </c>
      <c r="K379" s="953">
        <f t="shared" si="69"/>
        <v>-1.7E-5</v>
      </c>
      <c r="L379" s="570" t="str">
        <f t="shared" si="70"/>
        <v>Modal 18</v>
      </c>
      <c r="M379" s="570">
        <f t="shared" si="72"/>
        <v>18</v>
      </c>
    </row>
    <row r="380" spans="1:13">
      <c r="A380" s="570" t="str">
        <f t="shared" si="71"/>
        <v>T2719</v>
      </c>
      <c r="C380" s="953" t="str">
        <f t="shared" si="61"/>
        <v>T27</v>
      </c>
      <c r="D380" s="953" t="str">
        <f t="shared" si="62"/>
        <v>D1</v>
      </c>
      <c r="E380" s="953">
        <f t="shared" si="63"/>
        <v>19</v>
      </c>
      <c r="F380" s="953">
        <f t="shared" si="64"/>
        <v>2.72E-4</v>
      </c>
      <c r="G380" s="953">
        <f t="shared" si="65"/>
        <v>-1.109E-3</v>
      </c>
      <c r="H380" s="953">
        <f t="shared" si="66"/>
        <v>0</v>
      </c>
      <c r="I380" s="953">
        <f t="shared" si="67"/>
        <v>0</v>
      </c>
      <c r="J380" s="953">
        <f t="shared" si="68"/>
        <v>0</v>
      </c>
      <c r="K380" s="953">
        <f t="shared" si="69"/>
        <v>6.7999999999999999E-5</v>
      </c>
      <c r="L380" s="570" t="str">
        <f t="shared" si="70"/>
        <v>Modal 19</v>
      </c>
      <c r="M380" s="570">
        <f t="shared" si="72"/>
        <v>19</v>
      </c>
    </row>
    <row r="381" spans="1:13">
      <c r="A381" s="570" t="str">
        <f t="shared" si="71"/>
        <v>T2720</v>
      </c>
      <c r="C381" s="953" t="str">
        <f t="shared" si="61"/>
        <v>T27</v>
      </c>
      <c r="D381" s="953" t="str">
        <f t="shared" si="62"/>
        <v>D1</v>
      </c>
      <c r="E381" s="953">
        <f t="shared" si="63"/>
        <v>20</v>
      </c>
      <c r="F381" s="953">
        <f t="shared" si="64"/>
        <v>-4.7949999999999998E-3</v>
      </c>
      <c r="G381" s="953">
        <f t="shared" si="65"/>
        <v>-3.3E-4</v>
      </c>
      <c r="H381" s="953">
        <f t="shared" si="66"/>
        <v>0</v>
      </c>
      <c r="I381" s="953">
        <f t="shared" si="67"/>
        <v>0</v>
      </c>
      <c r="J381" s="953">
        <f t="shared" si="68"/>
        <v>0</v>
      </c>
      <c r="K381" s="953">
        <f t="shared" si="69"/>
        <v>-3.8000000000000002E-5</v>
      </c>
      <c r="L381" s="570" t="str">
        <f t="shared" si="70"/>
        <v>Modal 20</v>
      </c>
      <c r="M381" s="570">
        <f t="shared" si="72"/>
        <v>20</v>
      </c>
    </row>
    <row r="382" spans="1:13">
      <c r="A382" s="570" t="str">
        <f t="shared" si="71"/>
        <v>T2721</v>
      </c>
      <c r="C382" s="953" t="str">
        <f t="shared" si="61"/>
        <v>T27</v>
      </c>
      <c r="D382" s="953" t="str">
        <f t="shared" si="62"/>
        <v>D1</v>
      </c>
      <c r="E382" s="953">
        <f t="shared" si="63"/>
        <v>21</v>
      </c>
      <c r="F382" s="953">
        <f t="shared" si="64"/>
        <v>-2.03E-4</v>
      </c>
      <c r="G382" s="953">
        <f t="shared" si="65"/>
        <v>4.8079999999999998E-3</v>
      </c>
      <c r="H382" s="953">
        <f t="shared" si="66"/>
        <v>0</v>
      </c>
      <c r="I382" s="953">
        <f t="shared" si="67"/>
        <v>0</v>
      </c>
      <c r="J382" s="953">
        <f t="shared" si="68"/>
        <v>0</v>
      </c>
      <c r="K382" s="953">
        <f t="shared" si="69"/>
        <v>-1.8E-5</v>
      </c>
      <c r="L382" s="570" t="str">
        <f t="shared" si="70"/>
        <v>Modal 21</v>
      </c>
      <c r="M382" s="570">
        <f t="shared" si="72"/>
        <v>21</v>
      </c>
    </row>
    <row r="383" spans="1:13">
      <c r="A383" s="570" t="str">
        <f t="shared" si="71"/>
        <v>T2722</v>
      </c>
      <c r="C383" s="953" t="str">
        <f t="shared" si="61"/>
        <v>T27</v>
      </c>
      <c r="D383" s="953" t="str">
        <f t="shared" si="62"/>
        <v>D1</v>
      </c>
      <c r="E383" s="953">
        <f t="shared" si="63"/>
        <v>22</v>
      </c>
      <c r="F383" s="953">
        <f t="shared" si="64"/>
        <v>-3.7100000000000002E-3</v>
      </c>
      <c r="G383" s="953">
        <f t="shared" si="65"/>
        <v>-5.9400000000000002E-4</v>
      </c>
      <c r="H383" s="953">
        <f t="shared" si="66"/>
        <v>0</v>
      </c>
      <c r="I383" s="953">
        <f t="shared" si="67"/>
        <v>0</v>
      </c>
      <c r="J383" s="953">
        <f t="shared" si="68"/>
        <v>0</v>
      </c>
      <c r="K383" s="953">
        <f t="shared" si="69"/>
        <v>-1.2999999999999999E-4</v>
      </c>
      <c r="L383" s="570" t="str">
        <f t="shared" si="70"/>
        <v>Modal 22</v>
      </c>
      <c r="M383" s="570">
        <f t="shared" si="72"/>
        <v>22</v>
      </c>
    </row>
    <row r="384" spans="1:13">
      <c r="A384" s="570" t="str">
        <f t="shared" si="71"/>
        <v>T2723</v>
      </c>
      <c r="C384" s="953" t="str">
        <f t="shared" si="61"/>
        <v>T27</v>
      </c>
      <c r="D384" s="953" t="str">
        <f t="shared" si="62"/>
        <v>D1</v>
      </c>
      <c r="E384" s="953">
        <f t="shared" si="63"/>
        <v>23</v>
      </c>
      <c r="F384" s="953">
        <f t="shared" si="64"/>
        <v>2.3110000000000001E-3</v>
      </c>
      <c r="G384" s="953">
        <f t="shared" si="65"/>
        <v>9.6599999999999995E-4</v>
      </c>
      <c r="H384" s="953">
        <f t="shared" si="66"/>
        <v>0</v>
      </c>
      <c r="I384" s="953">
        <f t="shared" si="67"/>
        <v>0</v>
      </c>
      <c r="J384" s="953">
        <f t="shared" si="68"/>
        <v>0</v>
      </c>
      <c r="K384" s="953">
        <f t="shared" si="69"/>
        <v>-6.8999999999999997E-5</v>
      </c>
      <c r="L384" s="570" t="str">
        <f t="shared" si="70"/>
        <v>Modal 23</v>
      </c>
      <c r="M384" s="570">
        <f t="shared" si="72"/>
        <v>23</v>
      </c>
    </row>
    <row r="385" spans="1:13">
      <c r="A385" s="570" t="str">
        <f t="shared" si="71"/>
        <v>T2724</v>
      </c>
      <c r="C385" s="953" t="str">
        <f t="shared" si="61"/>
        <v>T27</v>
      </c>
      <c r="D385" s="953" t="str">
        <f t="shared" si="62"/>
        <v>D1</v>
      </c>
      <c r="E385" s="953">
        <f t="shared" si="63"/>
        <v>24</v>
      </c>
      <c r="F385" s="953">
        <f t="shared" si="64"/>
        <v>-9.7400000000000004E-4</v>
      </c>
      <c r="G385" s="953">
        <f t="shared" si="65"/>
        <v>1.4159999999999999E-3</v>
      </c>
      <c r="H385" s="953">
        <f t="shared" si="66"/>
        <v>0</v>
      </c>
      <c r="I385" s="953">
        <f t="shared" si="67"/>
        <v>0</v>
      </c>
      <c r="J385" s="953">
        <f t="shared" si="68"/>
        <v>0</v>
      </c>
      <c r="K385" s="953">
        <f t="shared" si="69"/>
        <v>1.16E-4</v>
      </c>
      <c r="L385" s="570" t="str">
        <f t="shared" si="70"/>
        <v>Modal 24</v>
      </c>
      <c r="M385" s="570">
        <f t="shared" si="72"/>
        <v>24</v>
      </c>
    </row>
    <row r="386" spans="1:13">
      <c r="A386" s="570" t="str">
        <f t="shared" si="71"/>
        <v>T2725</v>
      </c>
      <c r="C386" s="953" t="str">
        <f t="shared" ref="C386:C449" si="73">IF(Etabs="Etabs 9.7.4",IF(INDEX(Mode_1,ROW($E386),COLUMN(A$1))&lt;&gt;"",INDEX(Mode_1,ROW($E386),COLUMN(A$1)),""),IF(Etabs="Etabs 2013 trở lên",IF(INDEX(Mode_2,ROW($E388),COLUMN(A$1))&lt;&gt;"",INDEX(Mode_2,ROW($E388),COLUMN(A$1)),""),""))</f>
        <v>T27</v>
      </c>
      <c r="D386" s="953" t="str">
        <f t="shared" ref="D386:D449" si="74">IF(Etabs="Etabs 9.7.4",IF(INDEX(Mode_1,ROW($E386),COLUMN(B$1))&lt;&gt;"",INDEX(Mode_1,ROW($E386),COLUMN(B$1)),""),IF(Etabs="Etabs 2013 trở lên",IF(INDEX(Mode_2,ROW($E388),COLUMN(B$1))&lt;&gt;"",INDEX(Mode_2,ROW($E388),COLUMN(B$1)),""),""))</f>
        <v>D1</v>
      </c>
      <c r="E386" s="953">
        <f t="shared" ref="E386:E449" si="75">IF(Etabs="Etabs 9.7.4",IF(INDEX(Mode_1,ROW($E386),COLUMN(C$1))&lt;&gt;"",INDEX(Mode_1,ROW($E386),COLUMN(C$1)),""),IF(Etabs="Etabs 2013 trở lên",$M386,""))</f>
        <v>25</v>
      </c>
      <c r="F386" s="953">
        <f t="shared" ref="F386:F449" si="76">IF(Etabs="Etabs 9.7.4",IF(INDEX(Mode_1,ROW($E386),COLUMN(D$1))&lt;&gt;"",INDEX(Mode_1,ROW($E386),COLUMN(D$1)),""),IF(Etabs="Etabs 2013 trở lên",IF(INDEX(Mode_2,ROW($E388),COLUMN(D$1))&lt;&gt;"",INDEX(Mode_2,ROW($E388),COLUMN(D$1)),""),""))</f>
        <v>2.307E-3</v>
      </c>
      <c r="G386" s="953">
        <f t="shared" ref="G386:G449" si="77">IF(Etabs="Etabs 9.7.4",IF(INDEX(Mode_1,ROW($E386),COLUMN(E$1))&lt;&gt;"",INDEX(Mode_1,ROW($E386),COLUMN(E$1)),""),IF(Etabs="Etabs 2013 trở lên",IF(INDEX(Mode_2,ROW($E388),COLUMN(E$1))&lt;&gt;"",INDEX(Mode_2,ROW($E388),COLUMN(E$1)),""),""))</f>
        <v>-6.2399999999999999E-4</v>
      </c>
      <c r="H386" s="953">
        <f t="shared" ref="H386:H449" si="78">IF(Etabs="Etabs 9.7.4",IF(INDEX(Mode_1,ROW($E386),COLUMN(F$1))&lt;&gt;"",INDEX(Mode_1,ROW($E386),COLUMN(F$1)),""),IF(Etabs="Etabs 2013 trở lên",0,""))</f>
        <v>0</v>
      </c>
      <c r="I386" s="953">
        <f t="shared" ref="I386:I449" si="79">IF(Etabs="Etabs 9.7.4",IF(INDEX(Mode_1,ROW($E386),COLUMN(G$1))&lt;&gt;"",INDEX(Mode_1,ROW($E386),COLUMN(G$1)),""),IF(Etabs="Etabs 2013 trở lên",0,""))</f>
        <v>0</v>
      </c>
      <c r="J386" s="953">
        <f t="shared" ref="J386:J449" si="80">IF(Etabs="Etabs 9.7.4",IF(INDEX(Mode_1,ROW($E386),COLUMN(H$1))&lt;&gt;"",INDEX(Mode_1,ROW($E386),COLUMN(H$1)),""),IF(Etabs="Etabs 2013 trở lên",0,""))</f>
        <v>0</v>
      </c>
      <c r="K386" s="953">
        <f t="shared" ref="K386:K449" si="81">IF(Etabs="Etabs 9.7.4",IF(INDEX(Mode_1,ROW($E386),COLUMN(I$1))&lt;&gt;"",INDEX(Mode_1,ROW($E386),COLUMN(I$1)),""),IF(Etabs="Etabs 2013 trở lên",IF(INDEX(Mode_2,ROW($E388),COLUMN(F$1))&lt;&gt;"",INDEX(Mode_2,ROW($E388),COLUMN(F$1)),""),""))</f>
        <v>-2.9E-5</v>
      </c>
      <c r="L386" s="570" t="str">
        <f t="shared" ref="L386:L449" si="82">IF(Etabs="Etabs 9.7.4",IF(INDEX(Mode_1,ROW($E386),COLUMN(C$1))&lt;&gt;"",INDEX(Mode_1,ROW($E386),COLUMN(C$1)),""),IF(Etabs="Etabs 2013 trở lên",IF(INDEX(Mode_2,ROW($E388),COLUMN(C$1))&lt;&gt;"",INDEX(Mode_2,ROW($E388),COLUMN(C$1)),""),""))</f>
        <v>Modal 25</v>
      </c>
      <c r="M386" s="570">
        <f t="shared" si="72"/>
        <v>25</v>
      </c>
    </row>
    <row r="387" spans="1:13">
      <c r="A387" s="570" t="str">
        <f t="shared" ref="A387:A450" si="83">C387&amp;E387</f>
        <v>T2726</v>
      </c>
      <c r="C387" s="953" t="str">
        <f t="shared" si="73"/>
        <v>T27</v>
      </c>
      <c r="D387" s="953" t="str">
        <f t="shared" si="74"/>
        <v>D1</v>
      </c>
      <c r="E387" s="953">
        <f t="shared" si="75"/>
        <v>26</v>
      </c>
      <c r="F387" s="953">
        <f t="shared" si="76"/>
        <v>1.472E-3</v>
      </c>
      <c r="G387" s="953">
        <f t="shared" si="77"/>
        <v>3.4099999999999999E-4</v>
      </c>
      <c r="H387" s="953">
        <f t="shared" si="78"/>
        <v>0</v>
      </c>
      <c r="I387" s="953">
        <f t="shared" si="79"/>
        <v>0</v>
      </c>
      <c r="J387" s="953">
        <f t="shared" si="80"/>
        <v>0</v>
      </c>
      <c r="K387" s="953">
        <f t="shared" si="81"/>
        <v>-5.0000000000000002E-5</v>
      </c>
      <c r="L387" s="570" t="str">
        <f t="shared" si="82"/>
        <v>Modal 26</v>
      </c>
      <c r="M387" s="570">
        <f t="shared" ref="M387:M450" si="84">IFERROR(VALUE(RIGHT(L387,LEN(L387)-6)),"")</f>
        <v>26</v>
      </c>
    </row>
    <row r="388" spans="1:13">
      <c r="A388" s="570" t="str">
        <f t="shared" si="83"/>
        <v>T2727</v>
      </c>
      <c r="C388" s="953" t="str">
        <f t="shared" si="73"/>
        <v>T27</v>
      </c>
      <c r="D388" s="953" t="str">
        <f t="shared" si="74"/>
        <v>D1</v>
      </c>
      <c r="E388" s="953">
        <f t="shared" si="75"/>
        <v>27</v>
      </c>
      <c r="F388" s="953">
        <f t="shared" si="76"/>
        <v>1.4009999999999999E-3</v>
      </c>
      <c r="G388" s="953">
        <f t="shared" si="77"/>
        <v>-7.8700000000000005E-4</v>
      </c>
      <c r="H388" s="953">
        <f t="shared" si="78"/>
        <v>0</v>
      </c>
      <c r="I388" s="953">
        <f t="shared" si="79"/>
        <v>0</v>
      </c>
      <c r="J388" s="953">
        <f t="shared" si="80"/>
        <v>0</v>
      </c>
      <c r="K388" s="953">
        <f t="shared" si="81"/>
        <v>-2.6999999999999999E-5</v>
      </c>
      <c r="L388" s="570" t="str">
        <f t="shared" si="82"/>
        <v>Modal 27</v>
      </c>
      <c r="M388" s="570">
        <f t="shared" si="84"/>
        <v>27</v>
      </c>
    </row>
    <row r="389" spans="1:13">
      <c r="A389" s="570" t="str">
        <f t="shared" si="83"/>
        <v>T2728</v>
      </c>
      <c r="C389" s="953" t="str">
        <f t="shared" si="73"/>
        <v>T27</v>
      </c>
      <c r="D389" s="953" t="str">
        <f t="shared" si="74"/>
        <v>D1</v>
      </c>
      <c r="E389" s="953">
        <f t="shared" si="75"/>
        <v>28</v>
      </c>
      <c r="F389" s="953">
        <f t="shared" si="76"/>
        <v>9.6000000000000002E-4</v>
      </c>
      <c r="G389" s="953">
        <f t="shared" si="77"/>
        <v>9.2400000000000002E-4</v>
      </c>
      <c r="H389" s="953">
        <f t="shared" si="78"/>
        <v>0</v>
      </c>
      <c r="I389" s="953">
        <f t="shared" si="79"/>
        <v>0</v>
      </c>
      <c r="J389" s="953">
        <f t="shared" si="80"/>
        <v>0</v>
      </c>
      <c r="K389" s="953">
        <f t="shared" si="81"/>
        <v>-3.1999999999999999E-5</v>
      </c>
      <c r="L389" s="570" t="str">
        <f t="shared" si="82"/>
        <v>Modal 28</v>
      </c>
      <c r="M389" s="570">
        <f t="shared" si="84"/>
        <v>28</v>
      </c>
    </row>
    <row r="390" spans="1:13">
      <c r="A390" s="570" t="str">
        <f t="shared" si="83"/>
        <v>T2729</v>
      </c>
      <c r="C390" s="953" t="str">
        <f t="shared" si="73"/>
        <v>T27</v>
      </c>
      <c r="D390" s="953" t="str">
        <f t="shared" si="74"/>
        <v>D1</v>
      </c>
      <c r="E390" s="953">
        <f t="shared" si="75"/>
        <v>29</v>
      </c>
      <c r="F390" s="953">
        <f t="shared" si="76"/>
        <v>-1.0380000000000001E-3</v>
      </c>
      <c r="G390" s="953">
        <f t="shared" si="77"/>
        <v>5.1500000000000005E-4</v>
      </c>
      <c r="H390" s="953">
        <f t="shared" si="78"/>
        <v>0</v>
      </c>
      <c r="I390" s="953">
        <f t="shared" si="79"/>
        <v>0</v>
      </c>
      <c r="J390" s="953">
        <f t="shared" si="80"/>
        <v>0</v>
      </c>
      <c r="K390" s="953">
        <f t="shared" si="81"/>
        <v>3.1000000000000001E-5</v>
      </c>
      <c r="L390" s="570" t="str">
        <f t="shared" si="82"/>
        <v>Modal 29</v>
      </c>
      <c r="M390" s="570">
        <f t="shared" si="84"/>
        <v>29</v>
      </c>
    </row>
    <row r="391" spans="1:13">
      <c r="A391" s="570" t="str">
        <f t="shared" si="83"/>
        <v>T2730</v>
      </c>
      <c r="C391" s="953" t="str">
        <f t="shared" si="73"/>
        <v>T27</v>
      </c>
      <c r="D391" s="953" t="str">
        <f t="shared" si="74"/>
        <v>D1</v>
      </c>
      <c r="E391" s="953">
        <f t="shared" si="75"/>
        <v>30</v>
      </c>
      <c r="F391" s="953">
        <f t="shared" si="76"/>
        <v>-5.0299999999999997E-4</v>
      </c>
      <c r="G391" s="953">
        <f t="shared" si="77"/>
        <v>-1.023E-3</v>
      </c>
      <c r="H391" s="953">
        <f t="shared" si="78"/>
        <v>0</v>
      </c>
      <c r="I391" s="953">
        <f t="shared" si="79"/>
        <v>0</v>
      </c>
      <c r="J391" s="953">
        <f t="shared" si="80"/>
        <v>0</v>
      </c>
      <c r="K391" s="953">
        <f t="shared" si="81"/>
        <v>2.1999999999999999E-5</v>
      </c>
      <c r="L391" s="570" t="str">
        <f t="shared" si="82"/>
        <v>Modal 30</v>
      </c>
      <c r="M391" s="570">
        <f t="shared" si="84"/>
        <v>30</v>
      </c>
    </row>
    <row r="392" spans="1:13">
      <c r="A392" s="570" t="str">
        <f t="shared" si="83"/>
        <v>T261</v>
      </c>
      <c r="C392" s="953" t="str">
        <f t="shared" si="73"/>
        <v>T26</v>
      </c>
      <c r="D392" s="953" t="str">
        <f t="shared" si="74"/>
        <v>D1</v>
      </c>
      <c r="E392" s="953">
        <f t="shared" si="75"/>
        <v>1</v>
      </c>
      <c r="F392" s="953">
        <f t="shared" si="76"/>
        <v>-8.6300000000000005E-4</v>
      </c>
      <c r="G392" s="953">
        <f t="shared" si="77"/>
        <v>4.4609999999999997E-3</v>
      </c>
      <c r="H392" s="953">
        <f t="shared" si="78"/>
        <v>0</v>
      </c>
      <c r="I392" s="953">
        <f t="shared" si="79"/>
        <v>0</v>
      </c>
      <c r="J392" s="953">
        <f t="shared" si="80"/>
        <v>0</v>
      </c>
      <c r="K392" s="953">
        <f t="shared" si="81"/>
        <v>3.8999999999999999E-5</v>
      </c>
      <c r="L392" s="570" t="str">
        <f t="shared" si="82"/>
        <v>Modal 1</v>
      </c>
      <c r="M392" s="570">
        <f t="shared" si="84"/>
        <v>1</v>
      </c>
    </row>
    <row r="393" spans="1:13">
      <c r="A393" s="570" t="str">
        <f t="shared" si="83"/>
        <v>T262</v>
      </c>
      <c r="C393" s="953" t="str">
        <f t="shared" si="73"/>
        <v>T26</v>
      </c>
      <c r="D393" s="953" t="str">
        <f t="shared" si="74"/>
        <v>D1</v>
      </c>
      <c r="E393" s="953">
        <f t="shared" si="75"/>
        <v>2</v>
      </c>
      <c r="F393" s="953">
        <f t="shared" si="76"/>
        <v>-6.7599999999999995E-4</v>
      </c>
      <c r="G393" s="953">
        <f t="shared" si="77"/>
        <v>-9.2900000000000003E-4</v>
      </c>
      <c r="H393" s="953">
        <f t="shared" si="78"/>
        <v>0</v>
      </c>
      <c r="I393" s="953">
        <f t="shared" si="79"/>
        <v>0</v>
      </c>
      <c r="J393" s="953">
        <f t="shared" si="80"/>
        <v>0</v>
      </c>
      <c r="K393" s="953">
        <f t="shared" si="81"/>
        <v>2.2900000000000001E-4</v>
      </c>
      <c r="L393" s="570" t="str">
        <f t="shared" si="82"/>
        <v>Modal 2</v>
      </c>
      <c r="M393" s="570">
        <f t="shared" si="84"/>
        <v>2</v>
      </c>
    </row>
    <row r="394" spans="1:13">
      <c r="A394" s="570" t="str">
        <f t="shared" si="83"/>
        <v>T263</v>
      </c>
      <c r="C394" s="953" t="str">
        <f t="shared" si="73"/>
        <v>T26</v>
      </c>
      <c r="D394" s="953" t="str">
        <f t="shared" si="74"/>
        <v>D1</v>
      </c>
      <c r="E394" s="953">
        <f t="shared" si="75"/>
        <v>3</v>
      </c>
      <c r="F394" s="953">
        <f t="shared" si="76"/>
        <v>4.5900000000000003E-3</v>
      </c>
      <c r="G394" s="953">
        <f t="shared" si="77"/>
        <v>7.6300000000000001E-4</v>
      </c>
      <c r="H394" s="953">
        <f t="shared" si="78"/>
        <v>0</v>
      </c>
      <c r="I394" s="953">
        <f t="shared" si="79"/>
        <v>0</v>
      </c>
      <c r="J394" s="953">
        <f t="shared" si="80"/>
        <v>0</v>
      </c>
      <c r="K394" s="953">
        <f t="shared" si="81"/>
        <v>4.0000000000000003E-5</v>
      </c>
      <c r="L394" s="570" t="str">
        <f t="shared" si="82"/>
        <v>Modal 3</v>
      </c>
      <c r="M394" s="570">
        <f t="shared" si="84"/>
        <v>3</v>
      </c>
    </row>
    <row r="395" spans="1:13">
      <c r="A395" s="570" t="str">
        <f t="shared" si="83"/>
        <v>T264</v>
      </c>
      <c r="C395" s="953" t="str">
        <f t="shared" si="73"/>
        <v>T26</v>
      </c>
      <c r="D395" s="953" t="str">
        <f t="shared" si="74"/>
        <v>D1</v>
      </c>
      <c r="E395" s="953">
        <f t="shared" si="75"/>
        <v>4</v>
      </c>
      <c r="F395" s="953">
        <f t="shared" si="76"/>
        <v>-2.7399999999999999E-4</v>
      </c>
      <c r="G395" s="953">
        <f t="shared" si="77"/>
        <v>1.8E-5</v>
      </c>
      <c r="H395" s="953">
        <f t="shared" si="78"/>
        <v>0</v>
      </c>
      <c r="I395" s="953">
        <f t="shared" si="79"/>
        <v>0</v>
      </c>
      <c r="J395" s="953">
        <f t="shared" si="80"/>
        <v>0</v>
      </c>
      <c r="K395" s="953">
        <f t="shared" si="81"/>
        <v>6.6000000000000005E-5</v>
      </c>
      <c r="L395" s="570" t="str">
        <f t="shared" si="82"/>
        <v>Modal 4</v>
      </c>
      <c r="M395" s="570">
        <f t="shared" si="84"/>
        <v>4</v>
      </c>
    </row>
    <row r="396" spans="1:13">
      <c r="A396" s="570" t="str">
        <f t="shared" si="83"/>
        <v>T265</v>
      </c>
      <c r="C396" s="953" t="str">
        <f t="shared" si="73"/>
        <v>T26</v>
      </c>
      <c r="D396" s="953" t="str">
        <f t="shared" si="74"/>
        <v>D1</v>
      </c>
      <c r="E396" s="953">
        <f t="shared" si="75"/>
        <v>5</v>
      </c>
      <c r="F396" s="953">
        <f t="shared" si="76"/>
        <v>3.3100000000000002E-4</v>
      </c>
      <c r="G396" s="953">
        <f t="shared" si="77"/>
        <v>-2.3189999999999999E-3</v>
      </c>
      <c r="H396" s="953">
        <f t="shared" si="78"/>
        <v>0</v>
      </c>
      <c r="I396" s="953">
        <f t="shared" si="79"/>
        <v>0</v>
      </c>
      <c r="J396" s="953">
        <f t="shared" si="80"/>
        <v>0</v>
      </c>
      <c r="K396" s="953">
        <f t="shared" si="81"/>
        <v>3.0000000000000001E-6</v>
      </c>
      <c r="L396" s="570" t="str">
        <f t="shared" si="82"/>
        <v>Modal 5</v>
      </c>
      <c r="M396" s="570">
        <f t="shared" si="84"/>
        <v>5</v>
      </c>
    </row>
    <row r="397" spans="1:13">
      <c r="A397" s="570" t="str">
        <f t="shared" si="83"/>
        <v>T266</v>
      </c>
      <c r="C397" s="953" t="str">
        <f t="shared" si="73"/>
        <v>T26</v>
      </c>
      <c r="D397" s="953" t="str">
        <f t="shared" si="74"/>
        <v>D1</v>
      </c>
      <c r="E397" s="953">
        <f t="shared" si="75"/>
        <v>6</v>
      </c>
      <c r="F397" s="953">
        <f t="shared" si="76"/>
        <v>-2.0040000000000001E-3</v>
      </c>
      <c r="G397" s="953">
        <f t="shared" si="77"/>
        <v>-2.04E-4</v>
      </c>
      <c r="H397" s="953">
        <f t="shared" si="78"/>
        <v>0</v>
      </c>
      <c r="I397" s="953">
        <f t="shared" si="79"/>
        <v>0</v>
      </c>
      <c r="J397" s="953">
        <f t="shared" si="80"/>
        <v>0</v>
      </c>
      <c r="K397" s="953">
        <f t="shared" si="81"/>
        <v>-5.0000000000000004E-6</v>
      </c>
      <c r="L397" s="570" t="str">
        <f t="shared" si="82"/>
        <v>Modal 6</v>
      </c>
      <c r="M397" s="570">
        <f t="shared" si="84"/>
        <v>6</v>
      </c>
    </row>
    <row r="398" spans="1:13">
      <c r="A398" s="570" t="str">
        <f t="shared" si="83"/>
        <v>T267</v>
      </c>
      <c r="C398" s="953" t="str">
        <f t="shared" si="73"/>
        <v>T26</v>
      </c>
      <c r="D398" s="953" t="str">
        <f t="shared" si="74"/>
        <v>D1</v>
      </c>
      <c r="E398" s="953">
        <f t="shared" si="75"/>
        <v>7</v>
      </c>
      <c r="F398" s="953">
        <f t="shared" si="76"/>
        <v>-5.9800000000000001E-4</v>
      </c>
      <c r="G398" s="953">
        <f t="shared" si="77"/>
        <v>-1.2E-5</v>
      </c>
      <c r="H398" s="953">
        <f t="shared" si="78"/>
        <v>0</v>
      </c>
      <c r="I398" s="953">
        <f t="shared" si="79"/>
        <v>0</v>
      </c>
      <c r="J398" s="953">
        <f t="shared" si="80"/>
        <v>0</v>
      </c>
      <c r="K398" s="953">
        <f t="shared" si="81"/>
        <v>2.6400000000000002E-4</v>
      </c>
      <c r="L398" s="570" t="str">
        <f t="shared" si="82"/>
        <v>Modal 7</v>
      </c>
      <c r="M398" s="570">
        <f t="shared" si="84"/>
        <v>7</v>
      </c>
    </row>
    <row r="399" spans="1:13">
      <c r="A399" s="570" t="str">
        <f t="shared" si="83"/>
        <v>T268</v>
      </c>
      <c r="C399" s="953" t="str">
        <f t="shared" si="73"/>
        <v>T26</v>
      </c>
      <c r="D399" s="953" t="str">
        <f t="shared" si="74"/>
        <v>D1</v>
      </c>
      <c r="E399" s="953">
        <f t="shared" si="75"/>
        <v>8</v>
      </c>
      <c r="F399" s="953">
        <f t="shared" si="76"/>
        <v>-5.2099999999999998E-4</v>
      </c>
      <c r="G399" s="953">
        <f t="shared" si="77"/>
        <v>5.3559999999999997E-3</v>
      </c>
      <c r="H399" s="953">
        <f t="shared" si="78"/>
        <v>0</v>
      </c>
      <c r="I399" s="953">
        <f t="shared" si="79"/>
        <v>0</v>
      </c>
      <c r="J399" s="953">
        <f t="shared" si="80"/>
        <v>0</v>
      </c>
      <c r="K399" s="953">
        <f t="shared" si="81"/>
        <v>-5.0000000000000004E-6</v>
      </c>
      <c r="L399" s="570" t="str">
        <f t="shared" si="82"/>
        <v>Modal 8</v>
      </c>
      <c r="M399" s="570">
        <f t="shared" si="84"/>
        <v>8</v>
      </c>
    </row>
    <row r="400" spans="1:13">
      <c r="A400" s="570" t="str">
        <f t="shared" si="83"/>
        <v>T269</v>
      </c>
      <c r="C400" s="953" t="str">
        <f t="shared" si="73"/>
        <v>T26</v>
      </c>
      <c r="D400" s="953" t="str">
        <f t="shared" si="74"/>
        <v>D1</v>
      </c>
      <c r="E400" s="953">
        <f t="shared" si="75"/>
        <v>9</v>
      </c>
      <c r="F400" s="953">
        <f t="shared" si="76"/>
        <v>-8.2100000000000001E-4</v>
      </c>
      <c r="G400" s="953">
        <f t="shared" si="77"/>
        <v>-3.4E-5</v>
      </c>
      <c r="H400" s="953">
        <f t="shared" si="78"/>
        <v>0</v>
      </c>
      <c r="I400" s="953">
        <f t="shared" si="79"/>
        <v>0</v>
      </c>
      <c r="J400" s="953">
        <f t="shared" si="80"/>
        <v>0</v>
      </c>
      <c r="K400" s="953">
        <f t="shared" si="81"/>
        <v>1.5100000000000001E-4</v>
      </c>
      <c r="L400" s="570" t="str">
        <f t="shared" si="82"/>
        <v>Modal 9</v>
      </c>
      <c r="M400" s="570">
        <f t="shared" si="84"/>
        <v>9</v>
      </c>
    </row>
    <row r="401" spans="1:13">
      <c r="A401" s="570" t="str">
        <f t="shared" si="83"/>
        <v>T2610</v>
      </c>
      <c r="C401" s="953" t="str">
        <f t="shared" si="73"/>
        <v>T26</v>
      </c>
      <c r="D401" s="953" t="str">
        <f t="shared" si="74"/>
        <v>D1</v>
      </c>
      <c r="E401" s="953">
        <f t="shared" si="75"/>
        <v>10</v>
      </c>
      <c r="F401" s="953">
        <f t="shared" si="76"/>
        <v>5.2649999999999997E-3</v>
      </c>
      <c r="G401" s="953">
        <f t="shared" si="77"/>
        <v>5.2800000000000004E-4</v>
      </c>
      <c r="H401" s="953">
        <f t="shared" si="78"/>
        <v>0</v>
      </c>
      <c r="I401" s="953">
        <f t="shared" si="79"/>
        <v>0</v>
      </c>
      <c r="J401" s="953">
        <f t="shared" si="80"/>
        <v>0</v>
      </c>
      <c r="K401" s="953">
        <f t="shared" si="81"/>
        <v>4.6E-5</v>
      </c>
      <c r="L401" s="570" t="str">
        <f t="shared" si="82"/>
        <v>Modal 10</v>
      </c>
      <c r="M401" s="570">
        <f t="shared" si="84"/>
        <v>10</v>
      </c>
    </row>
    <row r="402" spans="1:13">
      <c r="A402" s="570" t="str">
        <f t="shared" si="83"/>
        <v>T2611</v>
      </c>
      <c r="C402" s="953" t="str">
        <f t="shared" si="73"/>
        <v>T26</v>
      </c>
      <c r="D402" s="953" t="str">
        <f t="shared" si="74"/>
        <v>D1</v>
      </c>
      <c r="E402" s="953">
        <f t="shared" si="75"/>
        <v>11</v>
      </c>
      <c r="F402" s="953">
        <f t="shared" si="76"/>
        <v>-2.2000000000000001E-4</v>
      </c>
      <c r="G402" s="953">
        <f t="shared" si="77"/>
        <v>9.2900000000000003E-4</v>
      </c>
      <c r="H402" s="953">
        <f t="shared" si="78"/>
        <v>0</v>
      </c>
      <c r="I402" s="953">
        <f t="shared" si="79"/>
        <v>0</v>
      </c>
      <c r="J402" s="953">
        <f t="shared" si="80"/>
        <v>0</v>
      </c>
      <c r="K402" s="953">
        <f t="shared" si="81"/>
        <v>1.17E-4</v>
      </c>
      <c r="L402" s="570" t="str">
        <f t="shared" si="82"/>
        <v>Modal 11</v>
      </c>
      <c r="M402" s="570">
        <f t="shared" si="84"/>
        <v>11</v>
      </c>
    </row>
    <row r="403" spans="1:13">
      <c r="A403" s="570" t="str">
        <f t="shared" si="83"/>
        <v>T2612</v>
      </c>
      <c r="C403" s="953" t="str">
        <f t="shared" si="73"/>
        <v>T26</v>
      </c>
      <c r="D403" s="953" t="str">
        <f t="shared" si="74"/>
        <v>D1</v>
      </c>
      <c r="E403" s="953">
        <f t="shared" si="75"/>
        <v>12</v>
      </c>
      <c r="F403" s="953">
        <f t="shared" si="76"/>
        <v>1.74E-4</v>
      </c>
      <c r="G403" s="953">
        <f t="shared" si="77"/>
        <v>-2.4859999999999999E-3</v>
      </c>
      <c r="H403" s="953">
        <f t="shared" si="78"/>
        <v>0</v>
      </c>
      <c r="I403" s="953">
        <f t="shared" si="79"/>
        <v>0</v>
      </c>
      <c r="J403" s="953">
        <f t="shared" si="80"/>
        <v>0</v>
      </c>
      <c r="K403" s="953">
        <f t="shared" si="81"/>
        <v>4.6E-5</v>
      </c>
      <c r="L403" s="570" t="str">
        <f t="shared" si="82"/>
        <v>Modal 12</v>
      </c>
      <c r="M403" s="570">
        <f t="shared" si="84"/>
        <v>12</v>
      </c>
    </row>
    <row r="404" spans="1:13">
      <c r="A404" s="570" t="str">
        <f t="shared" si="83"/>
        <v>T2613</v>
      </c>
      <c r="C404" s="953" t="str">
        <f t="shared" si="73"/>
        <v>T26</v>
      </c>
      <c r="D404" s="953" t="str">
        <f t="shared" si="74"/>
        <v>D1</v>
      </c>
      <c r="E404" s="953">
        <f t="shared" si="75"/>
        <v>13</v>
      </c>
      <c r="F404" s="953">
        <f t="shared" si="76"/>
        <v>2.8170000000000001E-3</v>
      </c>
      <c r="G404" s="953">
        <f t="shared" si="77"/>
        <v>2.8499999999999999E-4</v>
      </c>
      <c r="H404" s="953">
        <f t="shared" si="78"/>
        <v>0</v>
      </c>
      <c r="I404" s="953">
        <f t="shared" si="79"/>
        <v>0</v>
      </c>
      <c r="J404" s="953">
        <f t="shared" si="80"/>
        <v>0</v>
      </c>
      <c r="K404" s="953">
        <f t="shared" si="81"/>
        <v>6.9999999999999999E-6</v>
      </c>
      <c r="L404" s="570" t="str">
        <f t="shared" si="82"/>
        <v>Modal 13</v>
      </c>
      <c r="M404" s="570">
        <f t="shared" si="84"/>
        <v>13</v>
      </c>
    </row>
    <row r="405" spans="1:13">
      <c r="A405" s="570" t="str">
        <f t="shared" si="83"/>
        <v>T2614</v>
      </c>
      <c r="C405" s="953" t="str">
        <f t="shared" si="73"/>
        <v>T26</v>
      </c>
      <c r="D405" s="953" t="str">
        <f t="shared" si="74"/>
        <v>D1</v>
      </c>
      <c r="E405" s="953">
        <f t="shared" si="75"/>
        <v>14</v>
      </c>
      <c r="F405" s="953">
        <f t="shared" si="76"/>
        <v>4.3399999999999998E-4</v>
      </c>
      <c r="G405" s="953">
        <f t="shared" si="77"/>
        <v>5.3000000000000001E-5</v>
      </c>
      <c r="H405" s="953">
        <f t="shared" si="78"/>
        <v>0</v>
      </c>
      <c r="I405" s="953">
        <f t="shared" si="79"/>
        <v>0</v>
      </c>
      <c r="J405" s="953">
        <f t="shared" si="80"/>
        <v>0</v>
      </c>
      <c r="K405" s="953">
        <f t="shared" si="81"/>
        <v>-2.6499999999999999E-4</v>
      </c>
      <c r="L405" s="570" t="str">
        <f t="shared" si="82"/>
        <v>Modal 14</v>
      </c>
      <c r="M405" s="570">
        <f t="shared" si="84"/>
        <v>14</v>
      </c>
    </row>
    <row r="406" spans="1:13">
      <c r="A406" s="570" t="str">
        <f t="shared" si="83"/>
        <v>T2615</v>
      </c>
      <c r="C406" s="953" t="str">
        <f t="shared" si="73"/>
        <v>T26</v>
      </c>
      <c r="D406" s="953" t="str">
        <f t="shared" si="74"/>
        <v>D1</v>
      </c>
      <c r="E406" s="953">
        <f t="shared" si="75"/>
        <v>15</v>
      </c>
      <c r="F406" s="953">
        <f t="shared" si="76"/>
        <v>3.0699999999999998E-4</v>
      </c>
      <c r="G406" s="953">
        <f t="shared" si="77"/>
        <v>-2.908E-3</v>
      </c>
      <c r="H406" s="953">
        <f t="shared" si="78"/>
        <v>0</v>
      </c>
      <c r="I406" s="953">
        <f t="shared" si="79"/>
        <v>0</v>
      </c>
      <c r="J406" s="953">
        <f t="shared" si="80"/>
        <v>0</v>
      </c>
      <c r="K406" s="953">
        <f t="shared" si="81"/>
        <v>-6.0000000000000002E-6</v>
      </c>
      <c r="L406" s="570" t="str">
        <f t="shared" si="82"/>
        <v>Modal 15</v>
      </c>
      <c r="M406" s="570">
        <f t="shared" si="84"/>
        <v>15</v>
      </c>
    </row>
    <row r="407" spans="1:13">
      <c r="A407" s="570" t="str">
        <f t="shared" si="83"/>
        <v>T2616</v>
      </c>
      <c r="C407" s="953" t="str">
        <f t="shared" si="73"/>
        <v>T26</v>
      </c>
      <c r="D407" s="953" t="str">
        <f t="shared" si="74"/>
        <v>D1</v>
      </c>
      <c r="E407" s="953">
        <f t="shared" si="75"/>
        <v>16</v>
      </c>
      <c r="F407" s="953">
        <f t="shared" si="76"/>
        <v>-6.3999999999999997E-5</v>
      </c>
      <c r="G407" s="953">
        <f t="shared" si="77"/>
        <v>-1.4999999999999999E-4</v>
      </c>
      <c r="H407" s="953">
        <f t="shared" si="78"/>
        <v>0</v>
      </c>
      <c r="I407" s="953">
        <f t="shared" si="79"/>
        <v>0</v>
      </c>
      <c r="J407" s="953">
        <f t="shared" si="80"/>
        <v>0</v>
      </c>
      <c r="K407" s="953">
        <f t="shared" si="81"/>
        <v>1.5100000000000001E-4</v>
      </c>
      <c r="L407" s="570" t="str">
        <f t="shared" si="82"/>
        <v>Modal 16</v>
      </c>
      <c r="M407" s="570">
        <f t="shared" si="84"/>
        <v>16</v>
      </c>
    </row>
    <row r="408" spans="1:13">
      <c r="A408" s="570" t="str">
        <f t="shared" si="83"/>
        <v>T2617</v>
      </c>
      <c r="C408" s="953" t="str">
        <f t="shared" si="73"/>
        <v>T26</v>
      </c>
      <c r="D408" s="953" t="str">
        <f t="shared" si="74"/>
        <v>D1</v>
      </c>
      <c r="E408" s="953">
        <f t="shared" si="75"/>
        <v>17</v>
      </c>
      <c r="F408" s="953">
        <f t="shared" si="76"/>
        <v>2.6909999999999998E-3</v>
      </c>
      <c r="G408" s="953">
        <f t="shared" si="77"/>
        <v>2.2599999999999999E-4</v>
      </c>
      <c r="H408" s="953">
        <f t="shared" si="78"/>
        <v>0</v>
      </c>
      <c r="I408" s="953">
        <f t="shared" si="79"/>
        <v>0</v>
      </c>
      <c r="J408" s="953">
        <f t="shared" si="80"/>
        <v>0</v>
      </c>
      <c r="K408" s="953">
        <f t="shared" si="81"/>
        <v>3.9999999999999998E-6</v>
      </c>
      <c r="L408" s="570" t="str">
        <f t="shared" si="82"/>
        <v>Modal 17</v>
      </c>
      <c r="M408" s="570">
        <f t="shared" si="84"/>
        <v>17</v>
      </c>
    </row>
    <row r="409" spans="1:13">
      <c r="A409" s="570" t="str">
        <f t="shared" si="83"/>
        <v>T2618</v>
      </c>
      <c r="C409" s="953" t="str">
        <f t="shared" si="73"/>
        <v>T26</v>
      </c>
      <c r="D409" s="953" t="str">
        <f t="shared" si="74"/>
        <v>D1</v>
      </c>
      <c r="E409" s="953">
        <f t="shared" si="75"/>
        <v>18</v>
      </c>
      <c r="F409" s="953">
        <f t="shared" si="76"/>
        <v>4.26E-4</v>
      </c>
      <c r="G409" s="953">
        <f t="shared" si="77"/>
        <v>-5.4580000000000002E-3</v>
      </c>
      <c r="H409" s="953">
        <f t="shared" si="78"/>
        <v>0</v>
      </c>
      <c r="I409" s="953">
        <f t="shared" si="79"/>
        <v>0</v>
      </c>
      <c r="J409" s="953">
        <f t="shared" si="80"/>
        <v>0</v>
      </c>
      <c r="K409" s="953">
        <f t="shared" si="81"/>
        <v>7.9999999999999996E-6</v>
      </c>
      <c r="L409" s="570" t="str">
        <f t="shared" si="82"/>
        <v>Modal 18</v>
      </c>
      <c r="M409" s="570">
        <f t="shared" si="84"/>
        <v>18</v>
      </c>
    </row>
    <row r="410" spans="1:13">
      <c r="A410" s="570" t="str">
        <f t="shared" si="83"/>
        <v>T2619</v>
      </c>
      <c r="C410" s="953" t="str">
        <f t="shared" si="73"/>
        <v>T26</v>
      </c>
      <c r="D410" s="953" t="str">
        <f t="shared" si="74"/>
        <v>D1</v>
      </c>
      <c r="E410" s="953">
        <f t="shared" si="75"/>
        <v>19</v>
      </c>
      <c r="F410" s="953">
        <f t="shared" si="76"/>
        <v>5.31E-4</v>
      </c>
      <c r="G410" s="953">
        <f t="shared" si="77"/>
        <v>-1.1640000000000001E-3</v>
      </c>
      <c r="H410" s="953">
        <f t="shared" si="78"/>
        <v>0</v>
      </c>
      <c r="I410" s="953">
        <f t="shared" si="79"/>
        <v>0</v>
      </c>
      <c r="J410" s="953">
        <f t="shared" si="80"/>
        <v>0</v>
      </c>
      <c r="K410" s="953">
        <f t="shared" si="81"/>
        <v>-7.1000000000000005E-5</v>
      </c>
      <c r="L410" s="570" t="str">
        <f t="shared" si="82"/>
        <v>Modal 19</v>
      </c>
      <c r="M410" s="570">
        <f t="shared" si="84"/>
        <v>19</v>
      </c>
    </row>
    <row r="411" spans="1:13">
      <c r="A411" s="570" t="str">
        <f t="shared" si="83"/>
        <v>T2620</v>
      </c>
      <c r="C411" s="953" t="str">
        <f t="shared" si="73"/>
        <v>T26</v>
      </c>
      <c r="D411" s="953" t="str">
        <f t="shared" si="74"/>
        <v>D1</v>
      </c>
      <c r="E411" s="953">
        <f t="shared" si="75"/>
        <v>20</v>
      </c>
      <c r="F411" s="953">
        <f t="shared" si="76"/>
        <v>-5.3480000000000003E-3</v>
      </c>
      <c r="G411" s="953">
        <f t="shared" si="77"/>
        <v>-4.3300000000000001E-4</v>
      </c>
      <c r="H411" s="953">
        <f t="shared" si="78"/>
        <v>0</v>
      </c>
      <c r="I411" s="953">
        <f t="shared" si="79"/>
        <v>0</v>
      </c>
      <c r="J411" s="953">
        <f t="shared" si="80"/>
        <v>0</v>
      </c>
      <c r="K411" s="953">
        <f t="shared" si="81"/>
        <v>-6.2000000000000003E-5</v>
      </c>
      <c r="L411" s="570" t="str">
        <f t="shared" si="82"/>
        <v>Modal 20</v>
      </c>
      <c r="M411" s="570">
        <f t="shared" si="84"/>
        <v>20</v>
      </c>
    </row>
    <row r="412" spans="1:13">
      <c r="A412" s="570" t="str">
        <f t="shared" si="83"/>
        <v>T2621</v>
      </c>
      <c r="C412" s="953" t="str">
        <f t="shared" si="73"/>
        <v>T26</v>
      </c>
      <c r="D412" s="953" t="str">
        <f t="shared" si="74"/>
        <v>D1</v>
      </c>
      <c r="E412" s="953">
        <f t="shared" si="75"/>
        <v>21</v>
      </c>
      <c r="F412" s="953">
        <f t="shared" si="76"/>
        <v>1.22E-4</v>
      </c>
      <c r="G412" s="953">
        <f t="shared" si="77"/>
        <v>2.9919999999999999E-3</v>
      </c>
      <c r="H412" s="953">
        <f t="shared" si="78"/>
        <v>0</v>
      </c>
      <c r="I412" s="953">
        <f t="shared" si="79"/>
        <v>0</v>
      </c>
      <c r="J412" s="953">
        <f t="shared" si="80"/>
        <v>0</v>
      </c>
      <c r="K412" s="953">
        <f t="shared" si="81"/>
        <v>-3.8999999999999999E-5</v>
      </c>
      <c r="L412" s="570" t="str">
        <f t="shared" si="82"/>
        <v>Modal 21</v>
      </c>
      <c r="M412" s="570">
        <f t="shared" si="84"/>
        <v>21</v>
      </c>
    </row>
    <row r="413" spans="1:13">
      <c r="A413" s="570" t="str">
        <f t="shared" si="83"/>
        <v>T2622</v>
      </c>
      <c r="C413" s="953" t="str">
        <f t="shared" si="73"/>
        <v>T26</v>
      </c>
      <c r="D413" s="953" t="str">
        <f t="shared" si="74"/>
        <v>D1</v>
      </c>
      <c r="E413" s="953">
        <f t="shared" si="75"/>
        <v>22</v>
      </c>
      <c r="F413" s="953">
        <f t="shared" si="76"/>
        <v>-1.6720000000000001E-3</v>
      </c>
      <c r="G413" s="953">
        <f t="shared" si="77"/>
        <v>-8.52E-4</v>
      </c>
      <c r="H413" s="953">
        <f t="shared" si="78"/>
        <v>0</v>
      </c>
      <c r="I413" s="953">
        <f t="shared" si="79"/>
        <v>0</v>
      </c>
      <c r="J413" s="953">
        <f t="shared" si="80"/>
        <v>0</v>
      </c>
      <c r="K413" s="953">
        <f t="shared" si="81"/>
        <v>-1.63E-4</v>
      </c>
      <c r="L413" s="570" t="str">
        <f t="shared" si="82"/>
        <v>Modal 22</v>
      </c>
      <c r="M413" s="570">
        <f t="shared" si="84"/>
        <v>22</v>
      </c>
    </row>
    <row r="414" spans="1:13">
      <c r="A414" s="570" t="str">
        <f t="shared" si="83"/>
        <v>T2623</v>
      </c>
      <c r="C414" s="953" t="str">
        <f t="shared" si="73"/>
        <v>T26</v>
      </c>
      <c r="D414" s="953" t="str">
        <f t="shared" si="74"/>
        <v>D1</v>
      </c>
      <c r="E414" s="953">
        <f t="shared" si="75"/>
        <v>23</v>
      </c>
      <c r="F414" s="953">
        <f t="shared" si="76"/>
        <v>2.7499999999999998E-3</v>
      </c>
      <c r="G414" s="953">
        <f t="shared" si="77"/>
        <v>-1.1000000000000001E-3</v>
      </c>
      <c r="H414" s="953">
        <f t="shared" si="78"/>
        <v>0</v>
      </c>
      <c r="I414" s="953">
        <f t="shared" si="79"/>
        <v>0</v>
      </c>
      <c r="J414" s="953">
        <f t="shared" si="80"/>
        <v>0</v>
      </c>
      <c r="K414" s="953">
        <f t="shared" si="81"/>
        <v>-1.02E-4</v>
      </c>
      <c r="L414" s="570" t="str">
        <f t="shared" si="82"/>
        <v>Modal 23</v>
      </c>
      <c r="M414" s="570">
        <f t="shared" si="84"/>
        <v>23</v>
      </c>
    </row>
    <row r="415" spans="1:13">
      <c r="A415" s="570" t="str">
        <f t="shared" si="83"/>
        <v>T2624</v>
      </c>
      <c r="C415" s="953" t="str">
        <f t="shared" si="73"/>
        <v>T26</v>
      </c>
      <c r="D415" s="953" t="str">
        <f t="shared" si="74"/>
        <v>D1</v>
      </c>
      <c r="E415" s="953">
        <f t="shared" si="75"/>
        <v>24</v>
      </c>
      <c r="F415" s="953">
        <f t="shared" si="76"/>
        <v>-2.464E-3</v>
      </c>
      <c r="G415" s="953">
        <f t="shared" si="77"/>
        <v>-2.72E-4</v>
      </c>
      <c r="H415" s="953">
        <f t="shared" si="78"/>
        <v>0</v>
      </c>
      <c r="I415" s="953">
        <f t="shared" si="79"/>
        <v>0</v>
      </c>
      <c r="J415" s="953">
        <f t="shared" si="80"/>
        <v>0</v>
      </c>
      <c r="K415" s="953">
        <f t="shared" si="81"/>
        <v>1.3300000000000001E-4</v>
      </c>
      <c r="L415" s="570" t="str">
        <f t="shared" si="82"/>
        <v>Modal 24</v>
      </c>
      <c r="M415" s="570">
        <f t="shared" si="84"/>
        <v>24</v>
      </c>
    </row>
    <row r="416" spans="1:13">
      <c r="A416" s="570" t="str">
        <f t="shared" si="83"/>
        <v>T2625</v>
      </c>
      <c r="C416" s="953" t="str">
        <f t="shared" si="73"/>
        <v>T26</v>
      </c>
      <c r="D416" s="953" t="str">
        <f t="shared" si="74"/>
        <v>D1</v>
      </c>
      <c r="E416" s="953">
        <f t="shared" si="75"/>
        <v>25</v>
      </c>
      <c r="F416" s="953">
        <f t="shared" si="76"/>
        <v>1.456E-3</v>
      </c>
      <c r="G416" s="953">
        <f t="shared" si="77"/>
        <v>-1.622E-3</v>
      </c>
      <c r="H416" s="953">
        <f t="shared" si="78"/>
        <v>0</v>
      </c>
      <c r="I416" s="953">
        <f t="shared" si="79"/>
        <v>0</v>
      </c>
      <c r="J416" s="953">
        <f t="shared" si="80"/>
        <v>0</v>
      </c>
      <c r="K416" s="953">
        <f t="shared" si="81"/>
        <v>-5.1E-5</v>
      </c>
      <c r="L416" s="570" t="str">
        <f t="shared" si="82"/>
        <v>Modal 25</v>
      </c>
      <c r="M416" s="570">
        <f t="shared" si="84"/>
        <v>25</v>
      </c>
    </row>
    <row r="417" spans="1:13">
      <c r="A417" s="570" t="str">
        <f t="shared" si="83"/>
        <v>T2626</v>
      </c>
      <c r="C417" s="953" t="str">
        <f t="shared" si="73"/>
        <v>T26</v>
      </c>
      <c r="D417" s="953" t="str">
        <f t="shared" si="74"/>
        <v>D1</v>
      </c>
      <c r="E417" s="953">
        <f t="shared" si="75"/>
        <v>26</v>
      </c>
      <c r="F417" s="953">
        <f t="shared" si="76"/>
        <v>1.6689999999999999E-3</v>
      </c>
      <c r="G417" s="953">
        <f t="shared" si="77"/>
        <v>2.0309999999999998E-3</v>
      </c>
      <c r="H417" s="953">
        <f t="shared" si="78"/>
        <v>0</v>
      </c>
      <c r="I417" s="953">
        <f t="shared" si="79"/>
        <v>0</v>
      </c>
      <c r="J417" s="953">
        <f t="shared" si="80"/>
        <v>0</v>
      </c>
      <c r="K417" s="953">
        <f t="shared" si="81"/>
        <v>-5.1E-5</v>
      </c>
      <c r="L417" s="570" t="str">
        <f t="shared" si="82"/>
        <v>Modal 26</v>
      </c>
      <c r="M417" s="570">
        <f t="shared" si="84"/>
        <v>26</v>
      </c>
    </row>
    <row r="418" spans="1:13">
      <c r="A418" s="570" t="str">
        <f t="shared" si="83"/>
        <v>T2627</v>
      </c>
      <c r="C418" s="953" t="str">
        <f t="shared" si="73"/>
        <v>T26</v>
      </c>
      <c r="D418" s="953" t="str">
        <f t="shared" si="74"/>
        <v>D1</v>
      </c>
      <c r="E418" s="953">
        <f t="shared" si="75"/>
        <v>27</v>
      </c>
      <c r="F418" s="953">
        <f t="shared" si="76"/>
        <v>4.9200000000000003E-4</v>
      </c>
      <c r="G418" s="953">
        <f t="shared" si="77"/>
        <v>-1.1100000000000001E-3</v>
      </c>
      <c r="H418" s="953">
        <f t="shared" si="78"/>
        <v>0</v>
      </c>
      <c r="I418" s="953">
        <f t="shared" si="79"/>
        <v>0</v>
      </c>
      <c r="J418" s="953">
        <f t="shared" si="80"/>
        <v>0</v>
      </c>
      <c r="K418" s="953">
        <f t="shared" si="81"/>
        <v>-4.6999999999999997E-5</v>
      </c>
      <c r="L418" s="570" t="str">
        <f t="shared" si="82"/>
        <v>Modal 27</v>
      </c>
      <c r="M418" s="570">
        <f t="shared" si="84"/>
        <v>27</v>
      </c>
    </row>
    <row r="419" spans="1:13">
      <c r="A419" s="570" t="str">
        <f t="shared" si="83"/>
        <v>T2628</v>
      </c>
      <c r="C419" s="953" t="str">
        <f t="shared" si="73"/>
        <v>T26</v>
      </c>
      <c r="D419" s="953" t="str">
        <f t="shared" si="74"/>
        <v>D1</v>
      </c>
      <c r="E419" s="953">
        <f t="shared" si="75"/>
        <v>28</v>
      </c>
      <c r="F419" s="953">
        <f t="shared" si="76"/>
        <v>8.3699999999999996E-4</v>
      </c>
      <c r="G419" s="953">
        <f t="shared" si="77"/>
        <v>2.026E-3</v>
      </c>
      <c r="H419" s="953">
        <f t="shared" si="78"/>
        <v>0</v>
      </c>
      <c r="I419" s="953">
        <f t="shared" si="79"/>
        <v>0</v>
      </c>
      <c r="J419" s="953">
        <f t="shared" si="80"/>
        <v>0</v>
      </c>
      <c r="K419" s="953">
        <f t="shared" si="81"/>
        <v>-3.0000000000000001E-5</v>
      </c>
      <c r="L419" s="570" t="str">
        <f t="shared" si="82"/>
        <v>Modal 28</v>
      </c>
      <c r="M419" s="570">
        <f t="shared" si="84"/>
        <v>28</v>
      </c>
    </row>
    <row r="420" spans="1:13">
      <c r="A420" s="570" t="str">
        <f t="shared" si="83"/>
        <v>T2629</v>
      </c>
      <c r="C420" s="953" t="str">
        <f t="shared" si="73"/>
        <v>T26</v>
      </c>
      <c r="D420" s="953" t="str">
        <f t="shared" si="74"/>
        <v>D1</v>
      </c>
      <c r="E420" s="953">
        <f t="shared" si="75"/>
        <v>29</v>
      </c>
      <c r="F420" s="953">
        <f t="shared" si="76"/>
        <v>-2.3599999999999999E-4</v>
      </c>
      <c r="G420" s="953">
        <f t="shared" si="77"/>
        <v>4.8299999999999998E-4</v>
      </c>
      <c r="H420" s="953">
        <f t="shared" si="78"/>
        <v>0</v>
      </c>
      <c r="I420" s="953">
        <f t="shared" si="79"/>
        <v>0</v>
      </c>
      <c r="J420" s="953">
        <f t="shared" si="80"/>
        <v>0</v>
      </c>
      <c r="K420" s="953">
        <f t="shared" si="81"/>
        <v>4.8999999999999998E-5</v>
      </c>
      <c r="L420" s="570" t="str">
        <f t="shared" si="82"/>
        <v>Modal 29</v>
      </c>
      <c r="M420" s="570">
        <f t="shared" si="84"/>
        <v>29</v>
      </c>
    </row>
    <row r="421" spans="1:13">
      <c r="A421" s="570" t="str">
        <f t="shared" si="83"/>
        <v>T2630</v>
      </c>
      <c r="C421" s="953" t="str">
        <f t="shared" si="73"/>
        <v>T26</v>
      </c>
      <c r="D421" s="953" t="str">
        <f t="shared" si="74"/>
        <v>D1</v>
      </c>
      <c r="E421" s="953">
        <f t="shared" si="75"/>
        <v>30</v>
      </c>
      <c r="F421" s="953">
        <f t="shared" si="76"/>
        <v>-4.4700000000000002E-4</v>
      </c>
      <c r="G421" s="953">
        <f t="shared" si="77"/>
        <v>-1.8060000000000001E-3</v>
      </c>
      <c r="H421" s="953">
        <f t="shared" si="78"/>
        <v>0</v>
      </c>
      <c r="I421" s="953">
        <f t="shared" si="79"/>
        <v>0</v>
      </c>
      <c r="J421" s="953">
        <f t="shared" si="80"/>
        <v>0</v>
      </c>
      <c r="K421" s="953">
        <f t="shared" si="81"/>
        <v>1.8E-5</v>
      </c>
      <c r="L421" s="570" t="str">
        <f t="shared" si="82"/>
        <v>Modal 30</v>
      </c>
      <c r="M421" s="570">
        <f t="shared" si="84"/>
        <v>30</v>
      </c>
    </row>
    <row r="422" spans="1:13">
      <c r="A422" s="570" t="str">
        <f t="shared" si="83"/>
        <v>T251</v>
      </c>
      <c r="C422" s="953" t="str">
        <f t="shared" si="73"/>
        <v>T25</v>
      </c>
      <c r="D422" s="953" t="str">
        <f t="shared" si="74"/>
        <v>D1</v>
      </c>
      <c r="E422" s="953">
        <f t="shared" si="75"/>
        <v>1</v>
      </c>
      <c r="F422" s="953">
        <f t="shared" si="76"/>
        <v>-8.2200000000000003E-4</v>
      </c>
      <c r="G422" s="953">
        <f t="shared" si="77"/>
        <v>4.2500000000000003E-3</v>
      </c>
      <c r="H422" s="953">
        <f t="shared" si="78"/>
        <v>0</v>
      </c>
      <c r="I422" s="953">
        <f t="shared" si="79"/>
        <v>0</v>
      </c>
      <c r="J422" s="953">
        <f t="shared" si="80"/>
        <v>0</v>
      </c>
      <c r="K422" s="953">
        <f t="shared" si="81"/>
        <v>3.8000000000000002E-5</v>
      </c>
      <c r="L422" s="570" t="str">
        <f t="shared" si="82"/>
        <v>Modal 1</v>
      </c>
      <c r="M422" s="570">
        <f t="shared" si="84"/>
        <v>1</v>
      </c>
    </row>
    <row r="423" spans="1:13">
      <c r="A423" s="570" t="str">
        <f t="shared" si="83"/>
        <v>T252</v>
      </c>
      <c r="C423" s="953" t="str">
        <f t="shared" si="73"/>
        <v>T25</v>
      </c>
      <c r="D423" s="953" t="str">
        <f t="shared" si="74"/>
        <v>D1</v>
      </c>
      <c r="E423" s="953">
        <f t="shared" si="75"/>
        <v>2</v>
      </c>
      <c r="F423" s="953">
        <f t="shared" si="76"/>
        <v>-6.5200000000000002E-4</v>
      </c>
      <c r="G423" s="953">
        <f t="shared" si="77"/>
        <v>-8.8599999999999996E-4</v>
      </c>
      <c r="H423" s="953">
        <f t="shared" si="78"/>
        <v>0</v>
      </c>
      <c r="I423" s="953">
        <f t="shared" si="79"/>
        <v>0</v>
      </c>
      <c r="J423" s="953">
        <f t="shared" si="80"/>
        <v>0</v>
      </c>
      <c r="K423" s="953">
        <f t="shared" si="81"/>
        <v>2.2100000000000001E-4</v>
      </c>
      <c r="L423" s="570" t="str">
        <f t="shared" si="82"/>
        <v>Modal 2</v>
      </c>
      <c r="M423" s="570">
        <f t="shared" si="84"/>
        <v>2</v>
      </c>
    </row>
    <row r="424" spans="1:13">
      <c r="A424" s="570" t="str">
        <f t="shared" si="83"/>
        <v>T253</v>
      </c>
      <c r="C424" s="953" t="str">
        <f t="shared" si="73"/>
        <v>T25</v>
      </c>
      <c r="D424" s="953" t="str">
        <f t="shared" si="74"/>
        <v>D1</v>
      </c>
      <c r="E424" s="953">
        <f t="shared" si="75"/>
        <v>3</v>
      </c>
      <c r="F424" s="953">
        <f t="shared" si="76"/>
        <v>4.398E-3</v>
      </c>
      <c r="G424" s="953">
        <f t="shared" si="77"/>
        <v>7.3499999999999998E-4</v>
      </c>
      <c r="H424" s="953">
        <f t="shared" si="78"/>
        <v>0</v>
      </c>
      <c r="I424" s="953">
        <f t="shared" si="79"/>
        <v>0</v>
      </c>
      <c r="J424" s="953">
        <f t="shared" si="80"/>
        <v>0</v>
      </c>
      <c r="K424" s="953">
        <f t="shared" si="81"/>
        <v>3.8000000000000002E-5</v>
      </c>
      <c r="L424" s="570" t="str">
        <f t="shared" si="82"/>
        <v>Modal 3</v>
      </c>
      <c r="M424" s="570">
        <f t="shared" si="84"/>
        <v>3</v>
      </c>
    </row>
    <row r="425" spans="1:13">
      <c r="A425" s="570" t="str">
        <f t="shared" si="83"/>
        <v>T254</v>
      </c>
      <c r="C425" s="953" t="str">
        <f t="shared" si="73"/>
        <v>T25</v>
      </c>
      <c r="D425" s="953" t="str">
        <f t="shared" si="74"/>
        <v>D1</v>
      </c>
      <c r="E425" s="953">
        <f t="shared" si="75"/>
        <v>4</v>
      </c>
      <c r="F425" s="953">
        <f t="shared" si="76"/>
        <v>-3.6699999999999998E-4</v>
      </c>
      <c r="G425" s="953">
        <f t="shared" si="77"/>
        <v>2.0999999999999999E-5</v>
      </c>
      <c r="H425" s="953">
        <f t="shared" si="78"/>
        <v>0</v>
      </c>
      <c r="I425" s="953">
        <f t="shared" si="79"/>
        <v>0</v>
      </c>
      <c r="J425" s="953">
        <f t="shared" si="80"/>
        <v>0</v>
      </c>
      <c r="K425" s="953">
        <f t="shared" si="81"/>
        <v>9.8999999999999994E-5</v>
      </c>
      <c r="L425" s="570" t="str">
        <f t="shared" si="82"/>
        <v>Modal 4</v>
      </c>
      <c r="M425" s="570">
        <f t="shared" si="84"/>
        <v>4</v>
      </c>
    </row>
    <row r="426" spans="1:13">
      <c r="A426" s="570" t="str">
        <f t="shared" si="83"/>
        <v>T255</v>
      </c>
      <c r="C426" s="953" t="str">
        <f t="shared" si="73"/>
        <v>T25</v>
      </c>
      <c r="D426" s="953" t="str">
        <f t="shared" si="74"/>
        <v>D1</v>
      </c>
      <c r="E426" s="953">
        <f t="shared" si="75"/>
        <v>5</v>
      </c>
      <c r="F426" s="953">
        <f t="shared" si="76"/>
        <v>4.0299999999999998E-4</v>
      </c>
      <c r="G426" s="953">
        <f t="shared" si="77"/>
        <v>-2.9359999999999998E-3</v>
      </c>
      <c r="H426" s="953">
        <f t="shared" si="78"/>
        <v>0</v>
      </c>
      <c r="I426" s="953">
        <f t="shared" si="79"/>
        <v>0</v>
      </c>
      <c r="J426" s="953">
        <f t="shared" si="80"/>
        <v>0</v>
      </c>
      <c r="K426" s="953">
        <f t="shared" si="81"/>
        <v>3.9999999999999998E-6</v>
      </c>
      <c r="L426" s="570" t="str">
        <f t="shared" si="82"/>
        <v>Modal 5</v>
      </c>
      <c r="M426" s="570">
        <f t="shared" si="84"/>
        <v>5</v>
      </c>
    </row>
    <row r="427" spans="1:13">
      <c r="A427" s="570" t="str">
        <f t="shared" si="83"/>
        <v>T256</v>
      </c>
      <c r="C427" s="953" t="str">
        <f t="shared" si="73"/>
        <v>T25</v>
      </c>
      <c r="D427" s="953" t="str">
        <f t="shared" si="74"/>
        <v>D1</v>
      </c>
      <c r="E427" s="953">
        <f t="shared" si="75"/>
        <v>6</v>
      </c>
      <c r="F427" s="953">
        <f t="shared" si="76"/>
        <v>-2.6319999999999998E-3</v>
      </c>
      <c r="G427" s="953">
        <f t="shared" si="77"/>
        <v>-2.8600000000000001E-4</v>
      </c>
      <c r="H427" s="953">
        <f t="shared" si="78"/>
        <v>0</v>
      </c>
      <c r="I427" s="953">
        <f t="shared" si="79"/>
        <v>0</v>
      </c>
      <c r="J427" s="953">
        <f t="shared" si="80"/>
        <v>0</v>
      </c>
      <c r="K427" s="953">
        <f t="shared" si="81"/>
        <v>-1.0000000000000001E-5</v>
      </c>
      <c r="L427" s="570" t="str">
        <f t="shared" si="82"/>
        <v>Modal 6</v>
      </c>
      <c r="M427" s="570">
        <f t="shared" si="84"/>
        <v>6</v>
      </c>
    </row>
    <row r="428" spans="1:13">
      <c r="A428" s="570" t="str">
        <f t="shared" si="83"/>
        <v>T257</v>
      </c>
      <c r="C428" s="953" t="str">
        <f t="shared" si="73"/>
        <v>T25</v>
      </c>
      <c r="D428" s="953" t="str">
        <f t="shared" si="74"/>
        <v>D1</v>
      </c>
      <c r="E428" s="953">
        <f t="shared" si="75"/>
        <v>7</v>
      </c>
      <c r="F428" s="953">
        <f t="shared" si="76"/>
        <v>-5.8600000000000004E-4</v>
      </c>
      <c r="G428" s="953">
        <f t="shared" si="77"/>
        <v>-1.0000000000000001E-5</v>
      </c>
      <c r="H428" s="953">
        <f t="shared" si="78"/>
        <v>0</v>
      </c>
      <c r="I428" s="953">
        <f t="shared" si="79"/>
        <v>0</v>
      </c>
      <c r="J428" s="953">
        <f t="shared" si="80"/>
        <v>0</v>
      </c>
      <c r="K428" s="953">
        <f t="shared" si="81"/>
        <v>2.6800000000000001E-4</v>
      </c>
      <c r="L428" s="570" t="str">
        <f t="shared" si="82"/>
        <v>Modal 7</v>
      </c>
      <c r="M428" s="570">
        <f t="shared" si="84"/>
        <v>7</v>
      </c>
    </row>
    <row r="429" spans="1:13">
      <c r="A429" s="570" t="str">
        <f t="shared" si="83"/>
        <v>T258</v>
      </c>
      <c r="C429" s="953" t="str">
        <f t="shared" si="73"/>
        <v>T25</v>
      </c>
      <c r="D429" s="953" t="str">
        <f t="shared" si="74"/>
        <v>D1</v>
      </c>
      <c r="E429" s="953">
        <f t="shared" si="75"/>
        <v>8</v>
      </c>
      <c r="F429" s="953">
        <f t="shared" si="76"/>
        <v>-5.1099999999999995E-4</v>
      </c>
      <c r="G429" s="953">
        <f t="shared" si="77"/>
        <v>5.287E-3</v>
      </c>
      <c r="H429" s="953">
        <f t="shared" si="78"/>
        <v>0</v>
      </c>
      <c r="I429" s="953">
        <f t="shared" si="79"/>
        <v>0</v>
      </c>
      <c r="J429" s="953">
        <f t="shared" si="80"/>
        <v>0</v>
      </c>
      <c r="K429" s="953">
        <f t="shared" si="81"/>
        <v>-3.9999999999999998E-6</v>
      </c>
      <c r="L429" s="570" t="str">
        <f t="shared" si="82"/>
        <v>Modal 8</v>
      </c>
      <c r="M429" s="570">
        <f t="shared" si="84"/>
        <v>8</v>
      </c>
    </row>
    <row r="430" spans="1:13">
      <c r="A430" s="570" t="str">
        <f t="shared" si="83"/>
        <v>T259</v>
      </c>
      <c r="C430" s="953" t="str">
        <f t="shared" si="73"/>
        <v>T25</v>
      </c>
      <c r="D430" s="953" t="str">
        <f t="shared" si="74"/>
        <v>D1</v>
      </c>
      <c r="E430" s="953">
        <f t="shared" si="75"/>
        <v>9</v>
      </c>
      <c r="F430" s="953">
        <f t="shared" si="76"/>
        <v>-6.7400000000000001E-4</v>
      </c>
      <c r="G430" s="953">
        <f t="shared" si="77"/>
        <v>-3.0000000000000001E-5</v>
      </c>
      <c r="H430" s="953">
        <f t="shared" si="78"/>
        <v>0</v>
      </c>
      <c r="I430" s="953">
        <f t="shared" si="79"/>
        <v>0</v>
      </c>
      <c r="J430" s="953">
        <f t="shared" si="80"/>
        <v>0</v>
      </c>
      <c r="K430" s="953">
        <f t="shared" si="81"/>
        <v>8.3999999999999995E-5</v>
      </c>
      <c r="L430" s="570" t="str">
        <f t="shared" si="82"/>
        <v>Modal 9</v>
      </c>
      <c r="M430" s="570">
        <f t="shared" si="84"/>
        <v>9</v>
      </c>
    </row>
    <row r="431" spans="1:13">
      <c r="A431" s="570" t="str">
        <f t="shared" si="83"/>
        <v>T2510</v>
      </c>
      <c r="C431" s="953" t="str">
        <f t="shared" si="73"/>
        <v>T25</v>
      </c>
      <c r="D431" s="953" t="str">
        <f t="shared" si="74"/>
        <v>D1</v>
      </c>
      <c r="E431" s="953">
        <f t="shared" si="75"/>
        <v>10</v>
      </c>
      <c r="F431" s="953">
        <f t="shared" si="76"/>
        <v>5.2509999999999996E-3</v>
      </c>
      <c r="G431" s="953">
        <f t="shared" si="77"/>
        <v>5.31E-4</v>
      </c>
      <c r="H431" s="953">
        <f t="shared" si="78"/>
        <v>0</v>
      </c>
      <c r="I431" s="953">
        <f t="shared" si="79"/>
        <v>0</v>
      </c>
      <c r="J431" s="953">
        <f t="shared" si="80"/>
        <v>0</v>
      </c>
      <c r="K431" s="953">
        <f t="shared" si="81"/>
        <v>3.8999999999999999E-5</v>
      </c>
      <c r="L431" s="570" t="str">
        <f t="shared" si="82"/>
        <v>Modal 10</v>
      </c>
      <c r="M431" s="570">
        <f t="shared" si="84"/>
        <v>10</v>
      </c>
    </row>
    <row r="432" spans="1:13">
      <c r="A432" s="570" t="str">
        <f t="shared" si="83"/>
        <v>T2511</v>
      </c>
      <c r="C432" s="953" t="str">
        <f t="shared" si="73"/>
        <v>T25</v>
      </c>
      <c r="D432" s="953" t="str">
        <f t="shared" si="74"/>
        <v>D1</v>
      </c>
      <c r="E432" s="953">
        <f t="shared" si="75"/>
        <v>11</v>
      </c>
      <c r="F432" s="953">
        <f t="shared" si="76"/>
        <v>-3.3700000000000001E-4</v>
      </c>
      <c r="G432" s="953">
        <f t="shared" si="77"/>
        <v>4.3199999999999998E-4</v>
      </c>
      <c r="H432" s="953">
        <f t="shared" si="78"/>
        <v>0</v>
      </c>
      <c r="I432" s="953">
        <f t="shared" si="79"/>
        <v>0</v>
      </c>
      <c r="J432" s="953">
        <f t="shared" si="80"/>
        <v>0</v>
      </c>
      <c r="K432" s="953">
        <f t="shared" si="81"/>
        <v>1.8799999999999999E-4</v>
      </c>
      <c r="L432" s="570" t="str">
        <f t="shared" si="82"/>
        <v>Modal 11</v>
      </c>
      <c r="M432" s="570">
        <f t="shared" si="84"/>
        <v>11</v>
      </c>
    </row>
    <row r="433" spans="1:13">
      <c r="A433" s="570" t="str">
        <f t="shared" si="83"/>
        <v>T2512</v>
      </c>
      <c r="C433" s="953" t="str">
        <f t="shared" si="73"/>
        <v>T25</v>
      </c>
      <c r="D433" s="953" t="str">
        <f t="shared" si="74"/>
        <v>D1</v>
      </c>
      <c r="E433" s="953">
        <f t="shared" si="75"/>
        <v>12</v>
      </c>
      <c r="F433" s="953">
        <f t="shared" si="76"/>
        <v>-1.7E-5</v>
      </c>
      <c r="G433" s="953">
        <f t="shared" si="77"/>
        <v>-1.163E-3</v>
      </c>
      <c r="H433" s="953">
        <f t="shared" si="78"/>
        <v>0</v>
      </c>
      <c r="I433" s="953">
        <f t="shared" si="79"/>
        <v>0</v>
      </c>
      <c r="J433" s="953">
        <f t="shared" si="80"/>
        <v>0</v>
      </c>
      <c r="K433" s="953">
        <f t="shared" si="81"/>
        <v>7.1000000000000005E-5</v>
      </c>
      <c r="L433" s="570" t="str">
        <f t="shared" si="82"/>
        <v>Modal 12</v>
      </c>
      <c r="M433" s="570">
        <f t="shared" si="84"/>
        <v>12</v>
      </c>
    </row>
    <row r="434" spans="1:13">
      <c r="A434" s="570" t="str">
        <f t="shared" si="83"/>
        <v>T2513</v>
      </c>
      <c r="C434" s="953" t="str">
        <f t="shared" si="73"/>
        <v>T25</v>
      </c>
      <c r="D434" s="953" t="str">
        <f t="shared" si="74"/>
        <v>D1</v>
      </c>
      <c r="E434" s="953">
        <f t="shared" si="75"/>
        <v>13</v>
      </c>
      <c r="F434" s="953">
        <f t="shared" si="76"/>
        <v>1.4450000000000001E-3</v>
      </c>
      <c r="G434" s="953">
        <f t="shared" si="77"/>
        <v>1.5699999999999999E-4</v>
      </c>
      <c r="H434" s="953">
        <f t="shared" si="78"/>
        <v>0</v>
      </c>
      <c r="I434" s="953">
        <f t="shared" si="79"/>
        <v>0</v>
      </c>
      <c r="J434" s="953">
        <f t="shared" si="80"/>
        <v>0</v>
      </c>
      <c r="K434" s="953">
        <f t="shared" si="81"/>
        <v>-3.0000000000000001E-6</v>
      </c>
      <c r="L434" s="570" t="str">
        <f t="shared" si="82"/>
        <v>Modal 13</v>
      </c>
      <c r="M434" s="570">
        <f t="shared" si="84"/>
        <v>13</v>
      </c>
    </row>
    <row r="435" spans="1:13">
      <c r="A435" s="570" t="str">
        <f t="shared" si="83"/>
        <v>T2514</v>
      </c>
      <c r="C435" s="953" t="str">
        <f t="shared" si="73"/>
        <v>T25</v>
      </c>
      <c r="D435" s="953" t="str">
        <f t="shared" si="74"/>
        <v>D1</v>
      </c>
      <c r="E435" s="953">
        <f t="shared" si="75"/>
        <v>14</v>
      </c>
      <c r="F435" s="953">
        <f t="shared" si="76"/>
        <v>4.5800000000000002E-4</v>
      </c>
      <c r="G435" s="953">
        <f t="shared" si="77"/>
        <v>9.1000000000000003E-5</v>
      </c>
      <c r="H435" s="953">
        <f t="shared" si="78"/>
        <v>0</v>
      </c>
      <c r="I435" s="953">
        <f t="shared" si="79"/>
        <v>0</v>
      </c>
      <c r="J435" s="953">
        <f t="shared" si="80"/>
        <v>0</v>
      </c>
      <c r="K435" s="953">
        <f t="shared" si="81"/>
        <v>-2.4399999999999999E-4</v>
      </c>
      <c r="L435" s="570" t="str">
        <f t="shared" si="82"/>
        <v>Modal 14</v>
      </c>
      <c r="M435" s="570">
        <f t="shared" si="84"/>
        <v>14</v>
      </c>
    </row>
    <row r="436" spans="1:13">
      <c r="A436" s="570" t="str">
        <f t="shared" si="83"/>
        <v>T2515</v>
      </c>
      <c r="C436" s="953" t="str">
        <f t="shared" si="73"/>
        <v>T25</v>
      </c>
      <c r="D436" s="953" t="str">
        <f t="shared" si="74"/>
        <v>D1</v>
      </c>
      <c r="E436" s="953">
        <f t="shared" si="75"/>
        <v>15</v>
      </c>
      <c r="F436" s="953">
        <f t="shared" si="76"/>
        <v>4.3899999999999999E-4</v>
      </c>
      <c r="G436" s="953">
        <f t="shared" si="77"/>
        <v>-4.3779999999999999E-3</v>
      </c>
      <c r="H436" s="953">
        <f t="shared" si="78"/>
        <v>0</v>
      </c>
      <c r="I436" s="953">
        <f t="shared" si="79"/>
        <v>0</v>
      </c>
      <c r="J436" s="953">
        <f t="shared" si="80"/>
        <v>0</v>
      </c>
      <c r="K436" s="953">
        <f t="shared" si="81"/>
        <v>-3.0000000000000001E-6</v>
      </c>
      <c r="L436" s="570" t="str">
        <f t="shared" si="82"/>
        <v>Modal 15</v>
      </c>
      <c r="M436" s="570">
        <f t="shared" si="84"/>
        <v>15</v>
      </c>
    </row>
    <row r="437" spans="1:13">
      <c r="A437" s="570" t="str">
        <f t="shared" si="83"/>
        <v>T2516</v>
      </c>
      <c r="C437" s="953" t="str">
        <f t="shared" si="73"/>
        <v>T25</v>
      </c>
      <c r="D437" s="953" t="str">
        <f t="shared" si="74"/>
        <v>D1</v>
      </c>
      <c r="E437" s="953">
        <f t="shared" si="75"/>
        <v>16</v>
      </c>
      <c r="F437" s="953">
        <f t="shared" si="76"/>
        <v>2.72E-4</v>
      </c>
      <c r="G437" s="953">
        <f t="shared" si="77"/>
        <v>-1.5300000000000001E-4</v>
      </c>
      <c r="H437" s="953">
        <f t="shared" si="78"/>
        <v>0</v>
      </c>
      <c r="I437" s="953">
        <f t="shared" si="79"/>
        <v>0</v>
      </c>
      <c r="J437" s="953">
        <f t="shared" si="80"/>
        <v>0</v>
      </c>
      <c r="K437" s="953">
        <f t="shared" si="81"/>
        <v>3.6000000000000001E-5</v>
      </c>
      <c r="L437" s="570" t="str">
        <f t="shared" si="82"/>
        <v>Modal 16</v>
      </c>
      <c r="M437" s="570">
        <f t="shared" si="84"/>
        <v>16</v>
      </c>
    </row>
    <row r="438" spans="1:13">
      <c r="A438" s="570" t="str">
        <f t="shared" si="83"/>
        <v>T2517</v>
      </c>
      <c r="C438" s="953" t="str">
        <f t="shared" si="73"/>
        <v>T25</v>
      </c>
      <c r="D438" s="953" t="str">
        <f t="shared" si="74"/>
        <v>D1</v>
      </c>
      <c r="E438" s="953">
        <f t="shared" si="75"/>
        <v>17</v>
      </c>
      <c r="F438" s="953">
        <f t="shared" si="76"/>
        <v>4.1590000000000004E-3</v>
      </c>
      <c r="G438" s="953">
        <f t="shared" si="77"/>
        <v>3.7199999999999999E-4</v>
      </c>
      <c r="H438" s="953">
        <f t="shared" si="78"/>
        <v>0</v>
      </c>
      <c r="I438" s="953">
        <f t="shared" si="79"/>
        <v>0</v>
      </c>
      <c r="J438" s="953">
        <f t="shared" si="80"/>
        <v>0</v>
      </c>
      <c r="K438" s="953">
        <f t="shared" si="81"/>
        <v>2.6999999999999999E-5</v>
      </c>
      <c r="L438" s="570" t="str">
        <f t="shared" si="82"/>
        <v>Modal 17</v>
      </c>
      <c r="M438" s="570">
        <f t="shared" si="84"/>
        <v>17</v>
      </c>
    </row>
    <row r="439" spans="1:13">
      <c r="A439" s="570" t="str">
        <f t="shared" si="83"/>
        <v>T2518</v>
      </c>
      <c r="C439" s="953" t="str">
        <f t="shared" si="73"/>
        <v>T25</v>
      </c>
      <c r="D439" s="953" t="str">
        <f t="shared" si="74"/>
        <v>D1</v>
      </c>
      <c r="E439" s="953">
        <f t="shared" si="75"/>
        <v>18</v>
      </c>
      <c r="F439" s="953">
        <f t="shared" si="76"/>
        <v>3.1799999999999998E-4</v>
      </c>
      <c r="G439" s="953">
        <f t="shared" si="77"/>
        <v>-4.9659999999999999E-3</v>
      </c>
      <c r="H439" s="953">
        <f t="shared" si="78"/>
        <v>0</v>
      </c>
      <c r="I439" s="953">
        <f t="shared" si="79"/>
        <v>0</v>
      </c>
      <c r="J439" s="953">
        <f t="shared" si="80"/>
        <v>0</v>
      </c>
      <c r="K439" s="953">
        <f t="shared" si="81"/>
        <v>3.1000000000000001E-5</v>
      </c>
      <c r="L439" s="570" t="str">
        <f t="shared" si="82"/>
        <v>Modal 18</v>
      </c>
      <c r="M439" s="570">
        <f t="shared" si="84"/>
        <v>18</v>
      </c>
    </row>
    <row r="440" spans="1:13">
      <c r="A440" s="570" t="str">
        <f t="shared" si="83"/>
        <v>T2519</v>
      </c>
      <c r="C440" s="953" t="str">
        <f t="shared" si="73"/>
        <v>T25</v>
      </c>
      <c r="D440" s="953" t="str">
        <f t="shared" si="74"/>
        <v>D1</v>
      </c>
      <c r="E440" s="953">
        <f t="shared" si="75"/>
        <v>19</v>
      </c>
      <c r="F440" s="953">
        <f t="shared" si="76"/>
        <v>6.9700000000000003E-4</v>
      </c>
      <c r="G440" s="953">
        <f t="shared" si="77"/>
        <v>-9.7400000000000004E-4</v>
      </c>
      <c r="H440" s="953">
        <f t="shared" si="78"/>
        <v>0</v>
      </c>
      <c r="I440" s="953">
        <f t="shared" si="79"/>
        <v>0</v>
      </c>
      <c r="J440" s="953">
        <f t="shared" si="80"/>
        <v>0</v>
      </c>
      <c r="K440" s="953">
        <f t="shared" si="81"/>
        <v>-1.8699999999999999E-4</v>
      </c>
      <c r="L440" s="570" t="str">
        <f t="shared" si="82"/>
        <v>Modal 19</v>
      </c>
      <c r="M440" s="570">
        <f t="shared" si="84"/>
        <v>19</v>
      </c>
    </row>
    <row r="441" spans="1:13">
      <c r="A441" s="570" t="str">
        <f t="shared" si="83"/>
        <v>T2520</v>
      </c>
      <c r="C441" s="953" t="str">
        <f t="shared" si="73"/>
        <v>T25</v>
      </c>
      <c r="D441" s="953" t="str">
        <f t="shared" si="74"/>
        <v>D1</v>
      </c>
      <c r="E441" s="953">
        <f t="shared" si="75"/>
        <v>20</v>
      </c>
      <c r="F441" s="953">
        <f t="shared" si="76"/>
        <v>-4.9519999999999998E-3</v>
      </c>
      <c r="G441" s="953">
        <f t="shared" si="77"/>
        <v>-4.6000000000000001E-4</v>
      </c>
      <c r="H441" s="953">
        <f t="shared" si="78"/>
        <v>0</v>
      </c>
      <c r="I441" s="953">
        <f t="shared" si="79"/>
        <v>0</v>
      </c>
      <c r="J441" s="953">
        <f t="shared" si="80"/>
        <v>0</v>
      </c>
      <c r="K441" s="953">
        <f t="shared" si="81"/>
        <v>-6.7999999999999999E-5</v>
      </c>
      <c r="L441" s="570" t="str">
        <f t="shared" si="82"/>
        <v>Modal 20</v>
      </c>
      <c r="M441" s="570">
        <f t="shared" si="84"/>
        <v>20</v>
      </c>
    </row>
    <row r="442" spans="1:13">
      <c r="A442" s="570" t="str">
        <f t="shared" si="83"/>
        <v>T2521</v>
      </c>
      <c r="C442" s="953" t="str">
        <f t="shared" si="73"/>
        <v>T25</v>
      </c>
      <c r="D442" s="953" t="str">
        <f t="shared" si="74"/>
        <v>D1</v>
      </c>
      <c r="E442" s="953">
        <f t="shared" si="75"/>
        <v>21</v>
      </c>
      <c r="F442" s="953">
        <f t="shared" si="76"/>
        <v>4.2999999999999999E-4</v>
      </c>
      <c r="G442" s="953">
        <f t="shared" si="77"/>
        <v>4.2200000000000001E-4</v>
      </c>
      <c r="H442" s="953">
        <f t="shared" si="78"/>
        <v>0</v>
      </c>
      <c r="I442" s="953">
        <f t="shared" si="79"/>
        <v>0</v>
      </c>
      <c r="J442" s="953">
        <f t="shared" si="80"/>
        <v>0</v>
      </c>
      <c r="K442" s="953">
        <f t="shared" si="81"/>
        <v>-4.5000000000000003E-5</v>
      </c>
      <c r="L442" s="570" t="str">
        <f t="shared" si="82"/>
        <v>Modal 21</v>
      </c>
      <c r="M442" s="570">
        <f t="shared" si="84"/>
        <v>21</v>
      </c>
    </row>
    <row r="443" spans="1:13">
      <c r="A443" s="570" t="str">
        <f t="shared" si="83"/>
        <v>T2522</v>
      </c>
      <c r="C443" s="953" t="str">
        <f t="shared" si="73"/>
        <v>T25</v>
      </c>
      <c r="D443" s="953" t="str">
        <f t="shared" si="74"/>
        <v>D1</v>
      </c>
      <c r="E443" s="953">
        <f t="shared" si="75"/>
        <v>22</v>
      </c>
      <c r="F443" s="953">
        <f t="shared" si="76"/>
        <v>7.54E-4</v>
      </c>
      <c r="G443" s="953">
        <f t="shared" si="77"/>
        <v>-8.6799999999999996E-4</v>
      </c>
      <c r="H443" s="953">
        <f t="shared" si="78"/>
        <v>0</v>
      </c>
      <c r="I443" s="953">
        <f t="shared" si="79"/>
        <v>0</v>
      </c>
      <c r="J443" s="953">
        <f t="shared" si="80"/>
        <v>0</v>
      </c>
      <c r="K443" s="953">
        <f t="shared" si="81"/>
        <v>-1.2799999999999999E-4</v>
      </c>
      <c r="L443" s="570" t="str">
        <f t="shared" si="82"/>
        <v>Modal 22</v>
      </c>
      <c r="M443" s="570">
        <f t="shared" si="84"/>
        <v>22</v>
      </c>
    </row>
    <row r="444" spans="1:13">
      <c r="A444" s="570" t="str">
        <f t="shared" si="83"/>
        <v>T2523</v>
      </c>
      <c r="C444" s="953" t="str">
        <f t="shared" si="73"/>
        <v>T25</v>
      </c>
      <c r="D444" s="953" t="str">
        <f t="shared" si="74"/>
        <v>D1</v>
      </c>
      <c r="E444" s="953">
        <f t="shared" si="75"/>
        <v>23</v>
      </c>
      <c r="F444" s="953">
        <f t="shared" si="76"/>
        <v>2.4680000000000001E-3</v>
      </c>
      <c r="G444" s="953">
        <f t="shared" si="77"/>
        <v>-2.862E-3</v>
      </c>
      <c r="H444" s="953">
        <f t="shared" si="78"/>
        <v>0</v>
      </c>
      <c r="I444" s="953">
        <f t="shared" si="79"/>
        <v>0</v>
      </c>
      <c r="J444" s="953">
        <f t="shared" si="80"/>
        <v>0</v>
      </c>
      <c r="K444" s="953">
        <f t="shared" si="81"/>
        <v>-9.1000000000000003E-5</v>
      </c>
      <c r="L444" s="570" t="str">
        <f t="shared" si="82"/>
        <v>Modal 23</v>
      </c>
      <c r="M444" s="570">
        <f t="shared" si="84"/>
        <v>23</v>
      </c>
    </row>
    <row r="445" spans="1:13">
      <c r="A445" s="570" t="str">
        <f t="shared" si="83"/>
        <v>T2524</v>
      </c>
      <c r="C445" s="953" t="str">
        <f t="shared" si="73"/>
        <v>T25</v>
      </c>
      <c r="D445" s="953" t="str">
        <f t="shared" si="74"/>
        <v>D1</v>
      </c>
      <c r="E445" s="953">
        <f t="shared" si="75"/>
        <v>24</v>
      </c>
      <c r="F445" s="953">
        <f t="shared" si="76"/>
        <v>-3.284E-3</v>
      </c>
      <c r="G445" s="953">
        <f t="shared" si="77"/>
        <v>-1.9480000000000001E-3</v>
      </c>
      <c r="H445" s="953">
        <f t="shared" si="78"/>
        <v>0</v>
      </c>
      <c r="I445" s="953">
        <f t="shared" si="79"/>
        <v>0</v>
      </c>
      <c r="J445" s="953">
        <f t="shared" si="80"/>
        <v>0</v>
      </c>
      <c r="K445" s="953">
        <f t="shared" si="81"/>
        <v>9.1000000000000003E-5</v>
      </c>
      <c r="L445" s="570" t="str">
        <f t="shared" si="82"/>
        <v>Modal 24</v>
      </c>
      <c r="M445" s="570">
        <f t="shared" si="84"/>
        <v>24</v>
      </c>
    </row>
    <row r="446" spans="1:13">
      <c r="A446" s="570" t="str">
        <f t="shared" si="83"/>
        <v>T2525</v>
      </c>
      <c r="C446" s="953" t="str">
        <f t="shared" si="73"/>
        <v>T25</v>
      </c>
      <c r="D446" s="953" t="str">
        <f t="shared" si="74"/>
        <v>D1</v>
      </c>
      <c r="E446" s="953">
        <f t="shared" si="75"/>
        <v>25</v>
      </c>
      <c r="F446" s="953">
        <f t="shared" si="76"/>
        <v>1.03E-4</v>
      </c>
      <c r="G446" s="953">
        <f t="shared" si="77"/>
        <v>-2.062E-3</v>
      </c>
      <c r="H446" s="953">
        <f t="shared" si="78"/>
        <v>0</v>
      </c>
      <c r="I446" s="953">
        <f t="shared" si="79"/>
        <v>0</v>
      </c>
      <c r="J446" s="953">
        <f t="shared" si="80"/>
        <v>0</v>
      </c>
      <c r="K446" s="953">
        <f t="shared" si="81"/>
        <v>-5.1999999999999997E-5</v>
      </c>
      <c r="L446" s="570" t="str">
        <f t="shared" si="82"/>
        <v>Modal 25</v>
      </c>
      <c r="M446" s="570">
        <f t="shared" si="84"/>
        <v>25</v>
      </c>
    </row>
    <row r="447" spans="1:13">
      <c r="A447" s="570" t="str">
        <f t="shared" si="83"/>
        <v>T2526</v>
      </c>
      <c r="C447" s="953" t="str">
        <f t="shared" si="73"/>
        <v>T25</v>
      </c>
      <c r="D447" s="953" t="str">
        <f t="shared" si="74"/>
        <v>D1</v>
      </c>
      <c r="E447" s="953">
        <f t="shared" si="75"/>
        <v>26</v>
      </c>
      <c r="F447" s="953">
        <f t="shared" si="76"/>
        <v>1.3140000000000001E-3</v>
      </c>
      <c r="G447" s="953">
        <f t="shared" si="77"/>
        <v>3.0500000000000002E-3</v>
      </c>
      <c r="H447" s="953">
        <f t="shared" si="78"/>
        <v>0</v>
      </c>
      <c r="I447" s="953">
        <f t="shared" si="79"/>
        <v>0</v>
      </c>
      <c r="J447" s="953">
        <f t="shared" si="80"/>
        <v>0</v>
      </c>
      <c r="K447" s="953">
        <f t="shared" si="81"/>
        <v>-2.9E-5</v>
      </c>
      <c r="L447" s="570" t="str">
        <f t="shared" si="82"/>
        <v>Modal 26</v>
      </c>
      <c r="M447" s="570">
        <f t="shared" si="84"/>
        <v>26</v>
      </c>
    </row>
    <row r="448" spans="1:13">
      <c r="A448" s="570" t="str">
        <f t="shared" si="83"/>
        <v>T2527</v>
      </c>
      <c r="C448" s="953" t="str">
        <f t="shared" si="73"/>
        <v>T25</v>
      </c>
      <c r="D448" s="953" t="str">
        <f t="shared" si="74"/>
        <v>D1</v>
      </c>
      <c r="E448" s="953">
        <f t="shared" si="75"/>
        <v>27</v>
      </c>
      <c r="F448" s="953">
        <f t="shared" si="76"/>
        <v>-6.4499999999999996E-4</v>
      </c>
      <c r="G448" s="953">
        <f t="shared" si="77"/>
        <v>-9.8200000000000002E-4</v>
      </c>
      <c r="H448" s="953">
        <f t="shared" si="78"/>
        <v>0</v>
      </c>
      <c r="I448" s="953">
        <f t="shared" si="79"/>
        <v>0</v>
      </c>
      <c r="J448" s="953">
        <f t="shared" si="80"/>
        <v>0</v>
      </c>
      <c r="K448" s="953">
        <f t="shared" si="81"/>
        <v>-4.8000000000000001E-5</v>
      </c>
      <c r="L448" s="570" t="str">
        <f t="shared" si="82"/>
        <v>Modal 27</v>
      </c>
      <c r="M448" s="570">
        <f t="shared" si="84"/>
        <v>27</v>
      </c>
    </row>
    <row r="449" spans="1:13">
      <c r="A449" s="570" t="str">
        <f t="shared" si="83"/>
        <v>T2528</v>
      </c>
      <c r="C449" s="953" t="str">
        <f t="shared" si="73"/>
        <v>T25</v>
      </c>
      <c r="D449" s="953" t="str">
        <f t="shared" si="74"/>
        <v>D1</v>
      </c>
      <c r="E449" s="953">
        <f t="shared" si="75"/>
        <v>28</v>
      </c>
      <c r="F449" s="953">
        <f t="shared" si="76"/>
        <v>3.8299999999999999E-4</v>
      </c>
      <c r="G449" s="953">
        <f t="shared" si="77"/>
        <v>2.3479999999999998E-3</v>
      </c>
      <c r="H449" s="953">
        <f t="shared" si="78"/>
        <v>0</v>
      </c>
      <c r="I449" s="953">
        <f t="shared" si="79"/>
        <v>0</v>
      </c>
      <c r="J449" s="953">
        <f t="shared" si="80"/>
        <v>0</v>
      </c>
      <c r="K449" s="953">
        <f t="shared" si="81"/>
        <v>-1.5999999999999999E-5</v>
      </c>
      <c r="L449" s="570" t="str">
        <f t="shared" si="82"/>
        <v>Modal 28</v>
      </c>
      <c r="M449" s="570">
        <f t="shared" si="84"/>
        <v>28</v>
      </c>
    </row>
    <row r="450" spans="1:13">
      <c r="A450" s="570" t="str">
        <f t="shared" si="83"/>
        <v>T2529</v>
      </c>
      <c r="C450" s="953" t="str">
        <f t="shared" ref="C450:C513" si="85">IF(Etabs="Etabs 9.7.4",IF(INDEX(Mode_1,ROW($E450),COLUMN(A$1))&lt;&gt;"",INDEX(Mode_1,ROW($E450),COLUMN(A$1)),""),IF(Etabs="Etabs 2013 trở lên",IF(INDEX(Mode_2,ROW($E452),COLUMN(A$1))&lt;&gt;"",INDEX(Mode_2,ROW($E452),COLUMN(A$1)),""),""))</f>
        <v>T25</v>
      </c>
      <c r="D450" s="953" t="str">
        <f t="shared" ref="D450:D513" si="86">IF(Etabs="Etabs 9.7.4",IF(INDEX(Mode_1,ROW($E450),COLUMN(B$1))&lt;&gt;"",INDEX(Mode_1,ROW($E450),COLUMN(B$1)),""),IF(Etabs="Etabs 2013 trở lên",IF(INDEX(Mode_2,ROW($E452),COLUMN(B$1))&lt;&gt;"",INDEX(Mode_2,ROW($E452),COLUMN(B$1)),""),""))</f>
        <v>D1</v>
      </c>
      <c r="E450" s="953">
        <f t="shared" ref="E450:E513" si="87">IF(Etabs="Etabs 9.7.4",IF(INDEX(Mode_1,ROW($E450),COLUMN(C$1))&lt;&gt;"",INDEX(Mode_1,ROW($E450),COLUMN(C$1)),""),IF(Etabs="Etabs 2013 trở lên",$M450,""))</f>
        <v>29</v>
      </c>
      <c r="F450" s="953">
        <f t="shared" ref="F450:F513" si="88">IF(Etabs="Etabs 9.7.4",IF(INDEX(Mode_1,ROW($E450),COLUMN(D$1))&lt;&gt;"",INDEX(Mode_1,ROW($E450),COLUMN(D$1)),""),IF(Etabs="Etabs 2013 trở lên",IF(INDEX(Mode_2,ROW($E452),COLUMN(D$1))&lt;&gt;"",INDEX(Mode_2,ROW($E452),COLUMN(D$1)),""),""))</f>
        <v>6.8800000000000003E-4</v>
      </c>
      <c r="G450" s="953">
        <f t="shared" ref="G450:G513" si="89">IF(Etabs="Etabs 9.7.4",IF(INDEX(Mode_1,ROW($E450),COLUMN(E$1))&lt;&gt;"",INDEX(Mode_1,ROW($E450),COLUMN(E$1)),""),IF(Etabs="Etabs 2013 trở lên",IF(INDEX(Mode_2,ROW($E452),COLUMN(E$1))&lt;&gt;"",INDEX(Mode_2,ROW($E452),COLUMN(E$1)),""),""))</f>
        <v>2.24E-4</v>
      </c>
      <c r="H450" s="953">
        <f t="shared" ref="H450:H513" si="90">IF(Etabs="Etabs 9.7.4",IF(INDEX(Mode_1,ROW($E450),COLUMN(F$1))&lt;&gt;"",INDEX(Mode_1,ROW($E450),COLUMN(F$1)),""),IF(Etabs="Etabs 2013 trở lên",0,""))</f>
        <v>0</v>
      </c>
      <c r="I450" s="953">
        <f t="shared" ref="I450:I513" si="91">IF(Etabs="Etabs 9.7.4",IF(INDEX(Mode_1,ROW($E450),COLUMN(G$1))&lt;&gt;"",INDEX(Mode_1,ROW($E450),COLUMN(G$1)),""),IF(Etabs="Etabs 2013 trở lên",0,""))</f>
        <v>0</v>
      </c>
      <c r="J450" s="953">
        <f t="shared" ref="J450:J513" si="92">IF(Etabs="Etabs 9.7.4",IF(INDEX(Mode_1,ROW($E450),COLUMN(H$1))&lt;&gt;"",INDEX(Mode_1,ROW($E450),COLUMN(H$1)),""),IF(Etabs="Etabs 2013 trở lên",0,""))</f>
        <v>0</v>
      </c>
      <c r="K450" s="953">
        <f t="shared" ref="K450:K513" si="93">IF(Etabs="Etabs 9.7.4",IF(INDEX(Mode_1,ROW($E450),COLUMN(I$1))&lt;&gt;"",INDEX(Mode_1,ROW($E450),COLUMN(I$1)),""),IF(Etabs="Etabs 2013 trở lên",IF(INDEX(Mode_2,ROW($E452),COLUMN(F$1))&lt;&gt;"",INDEX(Mode_2,ROW($E452),COLUMN(F$1)),""),""))</f>
        <v>4.8000000000000001E-5</v>
      </c>
      <c r="L450" s="570" t="str">
        <f t="shared" ref="L450:L513" si="94">IF(Etabs="Etabs 9.7.4",IF(INDEX(Mode_1,ROW($E450),COLUMN(C$1))&lt;&gt;"",INDEX(Mode_1,ROW($E450),COLUMN(C$1)),""),IF(Etabs="Etabs 2013 trở lên",IF(INDEX(Mode_2,ROW($E452),COLUMN(C$1))&lt;&gt;"",INDEX(Mode_2,ROW($E452),COLUMN(C$1)),""),""))</f>
        <v>Modal 29</v>
      </c>
      <c r="M450" s="570">
        <f t="shared" si="84"/>
        <v>29</v>
      </c>
    </row>
    <row r="451" spans="1:13">
      <c r="A451" s="570" t="str">
        <f t="shared" ref="A451:A514" si="95">C451&amp;E451</f>
        <v>T2530</v>
      </c>
      <c r="C451" s="953" t="str">
        <f t="shared" si="85"/>
        <v>T25</v>
      </c>
      <c r="D451" s="953" t="str">
        <f t="shared" si="86"/>
        <v>D1</v>
      </c>
      <c r="E451" s="953">
        <f t="shared" si="87"/>
        <v>30</v>
      </c>
      <c r="F451" s="953">
        <f t="shared" si="88"/>
        <v>-2.0000000000000001E-4</v>
      </c>
      <c r="G451" s="953">
        <f t="shared" si="89"/>
        <v>-1.8389999999999999E-3</v>
      </c>
      <c r="H451" s="953">
        <f t="shared" si="90"/>
        <v>0</v>
      </c>
      <c r="I451" s="953">
        <f t="shared" si="91"/>
        <v>0</v>
      </c>
      <c r="J451" s="953">
        <f t="shared" si="92"/>
        <v>0</v>
      </c>
      <c r="K451" s="953">
        <f t="shared" si="93"/>
        <v>6.0000000000000002E-6</v>
      </c>
      <c r="L451" s="570" t="str">
        <f t="shared" si="94"/>
        <v>Modal 30</v>
      </c>
      <c r="M451" s="570">
        <f t="shared" ref="M451:M514" si="96">IFERROR(VALUE(RIGHT(L451,LEN(L451)-6)),"")</f>
        <v>30</v>
      </c>
    </row>
    <row r="452" spans="1:13">
      <c r="A452" s="570" t="str">
        <f t="shared" si="95"/>
        <v>T241</v>
      </c>
      <c r="C452" s="953" t="str">
        <f t="shared" si="85"/>
        <v>T24</v>
      </c>
      <c r="D452" s="953" t="str">
        <f t="shared" si="86"/>
        <v>D1</v>
      </c>
      <c r="E452" s="953">
        <f t="shared" si="87"/>
        <v>1</v>
      </c>
      <c r="F452" s="953">
        <f t="shared" si="88"/>
        <v>-7.7999999999999999E-4</v>
      </c>
      <c r="G452" s="953">
        <f t="shared" si="89"/>
        <v>4.0390000000000001E-3</v>
      </c>
      <c r="H452" s="953">
        <f t="shared" si="90"/>
        <v>0</v>
      </c>
      <c r="I452" s="953">
        <f t="shared" si="91"/>
        <v>0</v>
      </c>
      <c r="J452" s="953">
        <f t="shared" si="92"/>
        <v>0</v>
      </c>
      <c r="K452" s="953">
        <f t="shared" si="93"/>
        <v>3.6999999999999998E-5</v>
      </c>
      <c r="L452" s="570" t="str">
        <f t="shared" si="94"/>
        <v>Modal 1</v>
      </c>
      <c r="M452" s="570">
        <f t="shared" si="96"/>
        <v>1</v>
      </c>
    </row>
    <row r="453" spans="1:13">
      <c r="A453" s="570" t="str">
        <f t="shared" si="95"/>
        <v>T242</v>
      </c>
      <c r="C453" s="953" t="str">
        <f t="shared" si="85"/>
        <v>T24</v>
      </c>
      <c r="D453" s="953" t="str">
        <f t="shared" si="86"/>
        <v>D1</v>
      </c>
      <c r="E453" s="953">
        <f t="shared" si="87"/>
        <v>2</v>
      </c>
      <c r="F453" s="953">
        <f t="shared" si="88"/>
        <v>-6.2699999999999995E-4</v>
      </c>
      <c r="G453" s="953">
        <f t="shared" si="89"/>
        <v>-8.43E-4</v>
      </c>
      <c r="H453" s="953">
        <f t="shared" si="90"/>
        <v>0</v>
      </c>
      <c r="I453" s="953">
        <f t="shared" si="91"/>
        <v>0</v>
      </c>
      <c r="J453" s="953">
        <f t="shared" si="92"/>
        <v>0</v>
      </c>
      <c r="K453" s="953">
        <f t="shared" si="93"/>
        <v>2.13E-4</v>
      </c>
      <c r="L453" s="570" t="str">
        <f t="shared" si="94"/>
        <v>Modal 2</v>
      </c>
      <c r="M453" s="570">
        <f t="shared" si="96"/>
        <v>2</v>
      </c>
    </row>
    <row r="454" spans="1:13">
      <c r="A454" s="570" t="str">
        <f t="shared" si="95"/>
        <v>T243</v>
      </c>
      <c r="C454" s="953" t="str">
        <f t="shared" si="85"/>
        <v>T24</v>
      </c>
      <c r="D454" s="953" t="str">
        <f t="shared" si="86"/>
        <v>D1</v>
      </c>
      <c r="E454" s="953">
        <f t="shared" si="87"/>
        <v>3</v>
      </c>
      <c r="F454" s="953">
        <f t="shared" si="88"/>
        <v>4.2030000000000001E-3</v>
      </c>
      <c r="G454" s="953">
        <f t="shared" si="89"/>
        <v>7.0699999999999995E-4</v>
      </c>
      <c r="H454" s="953">
        <f t="shared" si="90"/>
        <v>0</v>
      </c>
      <c r="I454" s="953">
        <f t="shared" si="91"/>
        <v>0</v>
      </c>
      <c r="J454" s="953">
        <f t="shared" si="92"/>
        <v>0</v>
      </c>
      <c r="K454" s="953">
        <f t="shared" si="93"/>
        <v>3.6999999999999998E-5</v>
      </c>
      <c r="L454" s="570" t="str">
        <f t="shared" si="94"/>
        <v>Modal 3</v>
      </c>
      <c r="M454" s="570">
        <f t="shared" si="96"/>
        <v>3</v>
      </c>
    </row>
    <row r="455" spans="1:13">
      <c r="A455" s="570" t="str">
        <f t="shared" si="95"/>
        <v>T244</v>
      </c>
      <c r="C455" s="953" t="str">
        <f t="shared" si="85"/>
        <v>T24</v>
      </c>
      <c r="D455" s="953" t="str">
        <f t="shared" si="86"/>
        <v>D1</v>
      </c>
      <c r="E455" s="953">
        <f t="shared" si="87"/>
        <v>4</v>
      </c>
      <c r="F455" s="953">
        <f t="shared" si="88"/>
        <v>-4.5399999999999998E-4</v>
      </c>
      <c r="G455" s="953">
        <f t="shared" si="89"/>
        <v>2.3E-5</v>
      </c>
      <c r="H455" s="953">
        <f t="shared" si="90"/>
        <v>0</v>
      </c>
      <c r="I455" s="953">
        <f t="shared" si="91"/>
        <v>0</v>
      </c>
      <c r="J455" s="953">
        <f t="shared" si="92"/>
        <v>0</v>
      </c>
      <c r="K455" s="953">
        <f t="shared" si="93"/>
        <v>1.2999999999999999E-4</v>
      </c>
      <c r="L455" s="570" t="str">
        <f t="shared" si="94"/>
        <v>Modal 4</v>
      </c>
      <c r="M455" s="570">
        <f t="shared" si="96"/>
        <v>4</v>
      </c>
    </row>
    <row r="456" spans="1:13">
      <c r="A456" s="570" t="str">
        <f t="shared" si="95"/>
        <v>T245</v>
      </c>
      <c r="C456" s="953" t="str">
        <f t="shared" si="85"/>
        <v>T24</v>
      </c>
      <c r="D456" s="953" t="str">
        <f t="shared" si="86"/>
        <v>D1</v>
      </c>
      <c r="E456" s="953">
        <f t="shared" si="87"/>
        <v>5</v>
      </c>
      <c r="F456" s="953">
        <f t="shared" si="88"/>
        <v>4.6900000000000002E-4</v>
      </c>
      <c r="G456" s="953">
        <f t="shared" si="89"/>
        <v>-3.5040000000000002E-3</v>
      </c>
      <c r="H456" s="953">
        <f t="shared" si="90"/>
        <v>0</v>
      </c>
      <c r="I456" s="953">
        <f t="shared" si="91"/>
        <v>0</v>
      </c>
      <c r="J456" s="953">
        <f t="shared" si="92"/>
        <v>0</v>
      </c>
      <c r="K456" s="953">
        <f t="shared" si="93"/>
        <v>3.9999999999999998E-6</v>
      </c>
      <c r="L456" s="570" t="str">
        <f t="shared" si="94"/>
        <v>Modal 5</v>
      </c>
      <c r="M456" s="570">
        <f t="shared" si="96"/>
        <v>5</v>
      </c>
    </row>
    <row r="457" spans="1:13">
      <c r="A457" s="570" t="str">
        <f t="shared" si="95"/>
        <v>T246</v>
      </c>
      <c r="C457" s="953" t="str">
        <f t="shared" si="85"/>
        <v>T24</v>
      </c>
      <c r="D457" s="953" t="str">
        <f t="shared" si="86"/>
        <v>D1</v>
      </c>
      <c r="E457" s="953">
        <f t="shared" si="87"/>
        <v>6</v>
      </c>
      <c r="F457" s="953">
        <f t="shared" si="88"/>
        <v>-3.2160000000000001E-3</v>
      </c>
      <c r="G457" s="953">
        <f t="shared" si="89"/>
        <v>-3.6299999999999999E-4</v>
      </c>
      <c r="H457" s="953">
        <f t="shared" si="90"/>
        <v>0</v>
      </c>
      <c r="I457" s="953">
        <f t="shared" si="91"/>
        <v>0</v>
      </c>
      <c r="J457" s="953">
        <f t="shared" si="92"/>
        <v>0</v>
      </c>
      <c r="K457" s="953">
        <f t="shared" si="93"/>
        <v>-1.4E-5</v>
      </c>
      <c r="L457" s="570" t="str">
        <f t="shared" si="94"/>
        <v>Modal 6</v>
      </c>
      <c r="M457" s="570">
        <f t="shared" si="96"/>
        <v>6</v>
      </c>
    </row>
    <row r="458" spans="1:13">
      <c r="A458" s="570" t="str">
        <f t="shared" si="95"/>
        <v>T247</v>
      </c>
      <c r="C458" s="953" t="str">
        <f t="shared" si="85"/>
        <v>T24</v>
      </c>
      <c r="D458" s="953" t="str">
        <f t="shared" si="86"/>
        <v>D1</v>
      </c>
      <c r="E458" s="953">
        <f t="shared" si="87"/>
        <v>7</v>
      </c>
      <c r="F458" s="953">
        <f t="shared" si="88"/>
        <v>-5.4799999999999998E-4</v>
      </c>
      <c r="G458" s="953">
        <f t="shared" si="89"/>
        <v>-6.9999999999999999E-6</v>
      </c>
      <c r="H458" s="953">
        <f t="shared" si="90"/>
        <v>0</v>
      </c>
      <c r="I458" s="953">
        <f t="shared" si="91"/>
        <v>0</v>
      </c>
      <c r="J458" s="953">
        <f t="shared" si="92"/>
        <v>0</v>
      </c>
      <c r="K458" s="953">
        <f t="shared" si="93"/>
        <v>2.61E-4</v>
      </c>
      <c r="L458" s="570" t="str">
        <f t="shared" si="94"/>
        <v>Modal 7</v>
      </c>
      <c r="M458" s="570">
        <f t="shared" si="96"/>
        <v>7</v>
      </c>
    </row>
    <row r="459" spans="1:13">
      <c r="A459" s="570" t="str">
        <f t="shared" si="95"/>
        <v>T248</v>
      </c>
      <c r="C459" s="953" t="str">
        <f t="shared" si="85"/>
        <v>T24</v>
      </c>
      <c r="D459" s="953" t="str">
        <f t="shared" si="86"/>
        <v>D1</v>
      </c>
      <c r="E459" s="953">
        <f t="shared" si="87"/>
        <v>8</v>
      </c>
      <c r="F459" s="953">
        <f t="shared" si="88"/>
        <v>-4.7800000000000002E-4</v>
      </c>
      <c r="G459" s="953">
        <f t="shared" si="89"/>
        <v>4.9979999999999998E-3</v>
      </c>
      <c r="H459" s="953">
        <f t="shared" si="90"/>
        <v>0</v>
      </c>
      <c r="I459" s="953">
        <f t="shared" si="91"/>
        <v>0</v>
      </c>
      <c r="J459" s="953">
        <f t="shared" si="92"/>
        <v>0</v>
      </c>
      <c r="K459" s="953">
        <f t="shared" si="93"/>
        <v>-3.9999999999999998E-6</v>
      </c>
      <c r="L459" s="570" t="str">
        <f t="shared" si="94"/>
        <v>Modal 8</v>
      </c>
      <c r="M459" s="570">
        <f t="shared" si="96"/>
        <v>8</v>
      </c>
    </row>
    <row r="460" spans="1:13">
      <c r="A460" s="570" t="str">
        <f t="shared" si="95"/>
        <v>T249</v>
      </c>
      <c r="C460" s="953" t="str">
        <f t="shared" si="85"/>
        <v>T24</v>
      </c>
      <c r="D460" s="953" t="str">
        <f t="shared" si="86"/>
        <v>D1</v>
      </c>
      <c r="E460" s="953">
        <f t="shared" si="87"/>
        <v>9</v>
      </c>
      <c r="F460" s="953">
        <f t="shared" si="88"/>
        <v>-4.9299999999999995E-4</v>
      </c>
      <c r="G460" s="953">
        <f t="shared" si="89"/>
        <v>-2.5000000000000001E-5</v>
      </c>
      <c r="H460" s="953">
        <f t="shared" si="90"/>
        <v>0</v>
      </c>
      <c r="I460" s="953">
        <f t="shared" si="91"/>
        <v>0</v>
      </c>
      <c r="J460" s="953">
        <f t="shared" si="92"/>
        <v>0</v>
      </c>
      <c r="K460" s="953">
        <f t="shared" si="93"/>
        <v>1.1E-5</v>
      </c>
      <c r="L460" s="570" t="str">
        <f t="shared" si="94"/>
        <v>Modal 9</v>
      </c>
      <c r="M460" s="570">
        <f t="shared" si="96"/>
        <v>9</v>
      </c>
    </row>
    <row r="461" spans="1:13">
      <c r="A461" s="570" t="str">
        <f t="shared" si="95"/>
        <v>T2410</v>
      </c>
      <c r="C461" s="953" t="str">
        <f t="shared" si="85"/>
        <v>T24</v>
      </c>
      <c r="D461" s="953" t="str">
        <f t="shared" si="86"/>
        <v>D1</v>
      </c>
      <c r="E461" s="953">
        <f t="shared" si="87"/>
        <v>10</v>
      </c>
      <c r="F461" s="953">
        <f t="shared" si="88"/>
        <v>5.0210000000000003E-3</v>
      </c>
      <c r="G461" s="953">
        <f t="shared" si="89"/>
        <v>5.1199999999999998E-4</v>
      </c>
      <c r="H461" s="953">
        <f t="shared" si="90"/>
        <v>0</v>
      </c>
      <c r="I461" s="953">
        <f t="shared" si="91"/>
        <v>0</v>
      </c>
      <c r="J461" s="953">
        <f t="shared" si="92"/>
        <v>0</v>
      </c>
      <c r="K461" s="953">
        <f t="shared" si="93"/>
        <v>3.0000000000000001E-5</v>
      </c>
      <c r="L461" s="570" t="str">
        <f t="shared" si="94"/>
        <v>Modal 10</v>
      </c>
      <c r="M461" s="570">
        <f t="shared" si="96"/>
        <v>10</v>
      </c>
    </row>
    <row r="462" spans="1:13">
      <c r="A462" s="570" t="str">
        <f t="shared" si="95"/>
        <v>T2411</v>
      </c>
      <c r="C462" s="953" t="str">
        <f t="shared" si="85"/>
        <v>T24</v>
      </c>
      <c r="D462" s="953" t="str">
        <f t="shared" si="86"/>
        <v>D1</v>
      </c>
      <c r="E462" s="953">
        <f t="shared" si="87"/>
        <v>11</v>
      </c>
      <c r="F462" s="953">
        <f t="shared" si="88"/>
        <v>-4.1100000000000002E-4</v>
      </c>
      <c r="G462" s="953">
        <f t="shared" si="89"/>
        <v>-1E-4</v>
      </c>
      <c r="H462" s="953">
        <f t="shared" si="90"/>
        <v>0</v>
      </c>
      <c r="I462" s="953">
        <f t="shared" si="91"/>
        <v>0</v>
      </c>
      <c r="J462" s="953">
        <f t="shared" si="92"/>
        <v>0</v>
      </c>
      <c r="K462" s="953">
        <f t="shared" si="93"/>
        <v>2.3499999999999999E-4</v>
      </c>
      <c r="L462" s="570" t="str">
        <f t="shared" si="94"/>
        <v>Modal 11</v>
      </c>
      <c r="M462" s="570">
        <f t="shared" si="96"/>
        <v>11</v>
      </c>
    </row>
    <row r="463" spans="1:13">
      <c r="A463" s="570" t="str">
        <f t="shared" si="95"/>
        <v>T2412</v>
      </c>
      <c r="C463" s="953" t="str">
        <f t="shared" si="85"/>
        <v>T24</v>
      </c>
      <c r="D463" s="953" t="str">
        <f t="shared" si="86"/>
        <v>D1</v>
      </c>
      <c r="E463" s="953">
        <f t="shared" si="87"/>
        <v>12</v>
      </c>
      <c r="F463" s="953">
        <f t="shared" si="88"/>
        <v>-2.0100000000000001E-4</v>
      </c>
      <c r="G463" s="953">
        <f t="shared" si="89"/>
        <v>2.5700000000000001E-4</v>
      </c>
      <c r="H463" s="953">
        <f t="shared" si="90"/>
        <v>0</v>
      </c>
      <c r="I463" s="953">
        <f t="shared" si="91"/>
        <v>0</v>
      </c>
      <c r="J463" s="953">
        <f t="shared" si="92"/>
        <v>0</v>
      </c>
      <c r="K463" s="953">
        <f t="shared" si="93"/>
        <v>8.7999999999999998E-5</v>
      </c>
      <c r="L463" s="570" t="str">
        <f t="shared" si="94"/>
        <v>Modal 12</v>
      </c>
      <c r="M463" s="570">
        <f t="shared" si="96"/>
        <v>12</v>
      </c>
    </row>
    <row r="464" spans="1:13">
      <c r="A464" s="570" t="str">
        <f t="shared" si="95"/>
        <v>T2413</v>
      </c>
      <c r="C464" s="953" t="str">
        <f t="shared" si="85"/>
        <v>T24</v>
      </c>
      <c r="D464" s="953" t="str">
        <f t="shared" si="86"/>
        <v>D1</v>
      </c>
      <c r="E464" s="953">
        <f t="shared" si="87"/>
        <v>13</v>
      </c>
      <c r="F464" s="953">
        <f t="shared" si="88"/>
        <v>-4.5000000000000003E-5</v>
      </c>
      <c r="G464" s="953">
        <f t="shared" si="89"/>
        <v>1.5999999999999999E-5</v>
      </c>
      <c r="H464" s="953">
        <f t="shared" si="90"/>
        <v>0</v>
      </c>
      <c r="I464" s="953">
        <f t="shared" si="91"/>
        <v>0</v>
      </c>
      <c r="J464" s="953">
        <f t="shared" si="92"/>
        <v>0</v>
      </c>
      <c r="K464" s="953">
        <f t="shared" si="93"/>
        <v>-1.2999999999999999E-5</v>
      </c>
      <c r="L464" s="570" t="str">
        <f t="shared" si="94"/>
        <v>Modal 13</v>
      </c>
      <c r="M464" s="570">
        <f t="shared" si="96"/>
        <v>13</v>
      </c>
    </row>
    <row r="465" spans="1:13">
      <c r="A465" s="570" t="str">
        <f t="shared" si="95"/>
        <v>T2414</v>
      </c>
      <c r="C465" s="953" t="str">
        <f t="shared" si="85"/>
        <v>T24</v>
      </c>
      <c r="D465" s="953" t="str">
        <f t="shared" si="86"/>
        <v>D1</v>
      </c>
      <c r="E465" s="953">
        <f t="shared" si="87"/>
        <v>14</v>
      </c>
      <c r="F465" s="953">
        <f t="shared" si="88"/>
        <v>4.08E-4</v>
      </c>
      <c r="G465" s="953">
        <f t="shared" si="89"/>
        <v>1.16E-4</v>
      </c>
      <c r="H465" s="953">
        <f t="shared" si="90"/>
        <v>0</v>
      </c>
      <c r="I465" s="953">
        <f t="shared" si="91"/>
        <v>0</v>
      </c>
      <c r="J465" s="953">
        <f t="shared" si="92"/>
        <v>0</v>
      </c>
      <c r="K465" s="953">
        <f t="shared" si="93"/>
        <v>-1.7899999999999999E-4</v>
      </c>
      <c r="L465" s="570" t="str">
        <f t="shared" si="94"/>
        <v>Modal 14</v>
      </c>
      <c r="M465" s="570">
        <f t="shared" si="96"/>
        <v>14</v>
      </c>
    </row>
    <row r="466" spans="1:13">
      <c r="A466" s="570" t="str">
        <f t="shared" si="95"/>
        <v>T2415</v>
      </c>
      <c r="C466" s="953" t="str">
        <f t="shared" si="85"/>
        <v>T24</v>
      </c>
      <c r="D466" s="953" t="str">
        <f t="shared" si="86"/>
        <v>D1</v>
      </c>
      <c r="E466" s="953">
        <f t="shared" si="87"/>
        <v>15</v>
      </c>
      <c r="F466" s="953">
        <f t="shared" si="88"/>
        <v>5.1699999999999999E-4</v>
      </c>
      <c r="G466" s="953">
        <f t="shared" si="89"/>
        <v>-5.3160000000000004E-3</v>
      </c>
      <c r="H466" s="953">
        <f t="shared" si="90"/>
        <v>0</v>
      </c>
      <c r="I466" s="953">
        <f t="shared" si="91"/>
        <v>0</v>
      </c>
      <c r="J466" s="953">
        <f t="shared" si="92"/>
        <v>0</v>
      </c>
      <c r="K466" s="953">
        <f t="shared" si="93"/>
        <v>9.9999999999999995E-7</v>
      </c>
      <c r="L466" s="570" t="str">
        <f t="shared" si="94"/>
        <v>Modal 15</v>
      </c>
      <c r="M466" s="570">
        <f t="shared" si="96"/>
        <v>15</v>
      </c>
    </row>
    <row r="467" spans="1:13">
      <c r="A467" s="570" t="str">
        <f t="shared" si="95"/>
        <v>T2416</v>
      </c>
      <c r="C467" s="953" t="str">
        <f t="shared" si="85"/>
        <v>T24</v>
      </c>
      <c r="D467" s="953" t="str">
        <f t="shared" si="86"/>
        <v>D1</v>
      </c>
      <c r="E467" s="953">
        <f t="shared" si="87"/>
        <v>16</v>
      </c>
      <c r="F467" s="953">
        <f t="shared" si="88"/>
        <v>5.8100000000000003E-4</v>
      </c>
      <c r="G467" s="953">
        <f t="shared" si="89"/>
        <v>-1.35E-4</v>
      </c>
      <c r="H467" s="953">
        <f t="shared" si="90"/>
        <v>0</v>
      </c>
      <c r="I467" s="953">
        <f t="shared" si="91"/>
        <v>0</v>
      </c>
      <c r="J467" s="953">
        <f t="shared" si="92"/>
        <v>0</v>
      </c>
      <c r="K467" s="953">
        <f t="shared" si="93"/>
        <v>-8.8999999999999995E-5</v>
      </c>
      <c r="L467" s="570" t="str">
        <f t="shared" si="94"/>
        <v>Modal 16</v>
      </c>
      <c r="M467" s="570">
        <f t="shared" si="96"/>
        <v>16</v>
      </c>
    </row>
    <row r="468" spans="1:13">
      <c r="A468" s="570" t="str">
        <f t="shared" si="95"/>
        <v>T2417</v>
      </c>
      <c r="C468" s="953" t="str">
        <f t="shared" si="85"/>
        <v>T24</v>
      </c>
      <c r="D468" s="953" t="str">
        <f t="shared" si="86"/>
        <v>D1</v>
      </c>
      <c r="E468" s="953">
        <f t="shared" si="87"/>
        <v>17</v>
      </c>
      <c r="F468" s="953">
        <f t="shared" si="88"/>
        <v>5.1260000000000003E-3</v>
      </c>
      <c r="G468" s="953">
        <f t="shared" si="89"/>
        <v>4.7399999999999997E-4</v>
      </c>
      <c r="H468" s="953">
        <f t="shared" si="90"/>
        <v>0</v>
      </c>
      <c r="I468" s="953">
        <f t="shared" si="91"/>
        <v>0</v>
      </c>
      <c r="J468" s="953">
        <f t="shared" si="92"/>
        <v>0</v>
      </c>
      <c r="K468" s="953">
        <f t="shared" si="93"/>
        <v>4.6E-5</v>
      </c>
      <c r="L468" s="570" t="str">
        <f t="shared" si="94"/>
        <v>Modal 17</v>
      </c>
      <c r="M468" s="570">
        <f t="shared" si="96"/>
        <v>17</v>
      </c>
    </row>
    <row r="469" spans="1:13">
      <c r="A469" s="570" t="str">
        <f t="shared" si="95"/>
        <v>T2418</v>
      </c>
      <c r="C469" s="953" t="str">
        <f t="shared" si="85"/>
        <v>T24</v>
      </c>
      <c r="D469" s="953" t="str">
        <f t="shared" si="86"/>
        <v>D1</v>
      </c>
      <c r="E469" s="953">
        <f t="shared" si="87"/>
        <v>18</v>
      </c>
      <c r="F469" s="953">
        <f t="shared" si="88"/>
        <v>1.5200000000000001E-4</v>
      </c>
      <c r="G469" s="953">
        <f t="shared" si="89"/>
        <v>-3.5769999999999999E-3</v>
      </c>
      <c r="H469" s="953">
        <f t="shared" si="90"/>
        <v>0</v>
      </c>
      <c r="I469" s="953">
        <f t="shared" si="91"/>
        <v>0</v>
      </c>
      <c r="J469" s="953">
        <f t="shared" si="92"/>
        <v>0</v>
      </c>
      <c r="K469" s="953">
        <f t="shared" si="93"/>
        <v>4.5000000000000003E-5</v>
      </c>
      <c r="L469" s="570" t="str">
        <f t="shared" si="94"/>
        <v>Modal 18</v>
      </c>
      <c r="M469" s="570">
        <f t="shared" si="96"/>
        <v>18</v>
      </c>
    </row>
    <row r="470" spans="1:13">
      <c r="A470" s="570" t="str">
        <f t="shared" si="95"/>
        <v>T2419</v>
      </c>
      <c r="C470" s="953" t="str">
        <f t="shared" si="85"/>
        <v>T24</v>
      </c>
      <c r="D470" s="953" t="str">
        <f t="shared" si="86"/>
        <v>D1</v>
      </c>
      <c r="E470" s="953">
        <f t="shared" si="87"/>
        <v>19</v>
      </c>
      <c r="F470" s="953">
        <f t="shared" si="88"/>
        <v>7.3399999999999995E-4</v>
      </c>
      <c r="G470" s="953">
        <f t="shared" si="89"/>
        <v>-5.8E-4</v>
      </c>
      <c r="H470" s="953">
        <f t="shared" si="90"/>
        <v>0</v>
      </c>
      <c r="I470" s="953">
        <f t="shared" si="91"/>
        <v>0</v>
      </c>
      <c r="J470" s="953">
        <f t="shared" si="92"/>
        <v>0</v>
      </c>
      <c r="K470" s="953">
        <f t="shared" si="93"/>
        <v>-2.42E-4</v>
      </c>
      <c r="L470" s="570" t="str">
        <f t="shared" si="94"/>
        <v>Modal 19</v>
      </c>
      <c r="M470" s="570">
        <f t="shared" si="96"/>
        <v>19</v>
      </c>
    </row>
    <row r="471" spans="1:13">
      <c r="A471" s="570" t="str">
        <f t="shared" si="95"/>
        <v>T2420</v>
      </c>
      <c r="C471" s="953" t="str">
        <f t="shared" si="85"/>
        <v>T24</v>
      </c>
      <c r="D471" s="953" t="str">
        <f t="shared" si="86"/>
        <v>D1</v>
      </c>
      <c r="E471" s="953">
        <f t="shared" si="87"/>
        <v>20</v>
      </c>
      <c r="F471" s="953">
        <f t="shared" si="88"/>
        <v>-3.679E-3</v>
      </c>
      <c r="G471" s="953">
        <f t="shared" si="89"/>
        <v>-4.0099999999999999E-4</v>
      </c>
      <c r="H471" s="953">
        <f t="shared" si="90"/>
        <v>0</v>
      </c>
      <c r="I471" s="953">
        <f t="shared" si="91"/>
        <v>0</v>
      </c>
      <c r="J471" s="953">
        <f t="shared" si="92"/>
        <v>0</v>
      </c>
      <c r="K471" s="953">
        <f t="shared" si="93"/>
        <v>-5.1999999999999997E-5</v>
      </c>
      <c r="L471" s="570" t="str">
        <f t="shared" si="94"/>
        <v>Modal 20</v>
      </c>
      <c r="M471" s="570">
        <f t="shared" si="96"/>
        <v>20</v>
      </c>
    </row>
    <row r="472" spans="1:13">
      <c r="A472" s="570" t="str">
        <f t="shared" si="95"/>
        <v>T2421</v>
      </c>
      <c r="C472" s="953" t="str">
        <f t="shared" si="85"/>
        <v>T24</v>
      </c>
      <c r="D472" s="953" t="str">
        <f t="shared" si="86"/>
        <v>D1</v>
      </c>
      <c r="E472" s="953">
        <f t="shared" si="87"/>
        <v>21</v>
      </c>
      <c r="F472" s="953">
        <f t="shared" si="88"/>
        <v>6.3400000000000001E-4</v>
      </c>
      <c r="G472" s="953">
        <f t="shared" si="89"/>
        <v>-2.2569999999999999E-3</v>
      </c>
      <c r="H472" s="953">
        <f t="shared" si="90"/>
        <v>0</v>
      </c>
      <c r="I472" s="953">
        <f t="shared" si="91"/>
        <v>0</v>
      </c>
      <c r="J472" s="953">
        <f t="shared" si="92"/>
        <v>0</v>
      </c>
      <c r="K472" s="953">
        <f t="shared" si="93"/>
        <v>-3.4E-5</v>
      </c>
      <c r="L472" s="570" t="str">
        <f t="shared" si="94"/>
        <v>Modal 21</v>
      </c>
      <c r="M472" s="570">
        <f t="shared" si="96"/>
        <v>21</v>
      </c>
    </row>
    <row r="473" spans="1:13">
      <c r="A473" s="570" t="str">
        <f t="shared" si="95"/>
        <v>T2422</v>
      </c>
      <c r="C473" s="953" t="str">
        <f t="shared" si="85"/>
        <v>T24</v>
      </c>
      <c r="D473" s="953" t="str">
        <f t="shared" si="86"/>
        <v>D1</v>
      </c>
      <c r="E473" s="953">
        <f t="shared" si="87"/>
        <v>22</v>
      </c>
      <c r="F473" s="953">
        <f t="shared" si="88"/>
        <v>2.9199999999999999E-3</v>
      </c>
      <c r="G473" s="953">
        <f t="shared" si="89"/>
        <v>-5.9699999999999998E-4</v>
      </c>
      <c r="H473" s="953">
        <f t="shared" si="90"/>
        <v>0</v>
      </c>
      <c r="I473" s="953">
        <f t="shared" si="91"/>
        <v>0</v>
      </c>
      <c r="J473" s="953">
        <f t="shared" si="92"/>
        <v>0</v>
      </c>
      <c r="K473" s="953">
        <f t="shared" si="93"/>
        <v>-4.1E-5</v>
      </c>
      <c r="L473" s="570" t="str">
        <f t="shared" si="94"/>
        <v>Modal 22</v>
      </c>
      <c r="M473" s="570">
        <f t="shared" si="96"/>
        <v>22</v>
      </c>
    </row>
    <row r="474" spans="1:13">
      <c r="A474" s="570" t="str">
        <f t="shared" si="95"/>
        <v>T2423</v>
      </c>
      <c r="C474" s="953" t="str">
        <f t="shared" si="85"/>
        <v>T24</v>
      </c>
      <c r="D474" s="953" t="str">
        <f t="shared" si="86"/>
        <v>D1</v>
      </c>
      <c r="E474" s="953">
        <f t="shared" si="87"/>
        <v>23</v>
      </c>
      <c r="F474" s="953">
        <f t="shared" si="88"/>
        <v>1.4419999999999999E-3</v>
      </c>
      <c r="G474" s="953">
        <f t="shared" si="89"/>
        <v>-3.725E-3</v>
      </c>
      <c r="H474" s="953">
        <f t="shared" si="90"/>
        <v>0</v>
      </c>
      <c r="I474" s="953">
        <f t="shared" si="91"/>
        <v>0</v>
      </c>
      <c r="J474" s="953">
        <f t="shared" si="92"/>
        <v>0</v>
      </c>
      <c r="K474" s="953">
        <f t="shared" si="93"/>
        <v>-4.3000000000000002E-5</v>
      </c>
      <c r="L474" s="570" t="str">
        <f t="shared" si="94"/>
        <v>Modal 23</v>
      </c>
      <c r="M474" s="570">
        <f t="shared" si="96"/>
        <v>23</v>
      </c>
    </row>
    <row r="475" spans="1:13">
      <c r="A475" s="570" t="str">
        <f t="shared" si="95"/>
        <v>T2424</v>
      </c>
      <c r="C475" s="953" t="str">
        <f t="shared" si="85"/>
        <v>T24</v>
      </c>
      <c r="D475" s="953" t="str">
        <f t="shared" si="86"/>
        <v>D1</v>
      </c>
      <c r="E475" s="953">
        <f t="shared" si="87"/>
        <v>24</v>
      </c>
      <c r="F475" s="953">
        <f t="shared" si="88"/>
        <v>-3.0860000000000002E-3</v>
      </c>
      <c r="G475" s="953">
        <f t="shared" si="89"/>
        <v>-3.088E-3</v>
      </c>
      <c r="H475" s="953">
        <f t="shared" si="90"/>
        <v>0</v>
      </c>
      <c r="I475" s="953">
        <f t="shared" si="91"/>
        <v>0</v>
      </c>
      <c r="J475" s="953">
        <f t="shared" si="92"/>
        <v>0</v>
      </c>
      <c r="K475" s="953">
        <f t="shared" si="93"/>
        <v>1.2E-5</v>
      </c>
      <c r="L475" s="570" t="str">
        <f t="shared" si="94"/>
        <v>Modal 24</v>
      </c>
      <c r="M475" s="570">
        <f t="shared" si="96"/>
        <v>24</v>
      </c>
    </row>
    <row r="476" spans="1:13">
      <c r="A476" s="570" t="str">
        <f t="shared" si="95"/>
        <v>T2425</v>
      </c>
      <c r="C476" s="953" t="str">
        <f t="shared" si="85"/>
        <v>T24</v>
      </c>
      <c r="D476" s="953" t="str">
        <f t="shared" si="86"/>
        <v>D1</v>
      </c>
      <c r="E476" s="953">
        <f t="shared" si="87"/>
        <v>25</v>
      </c>
      <c r="F476" s="953">
        <f t="shared" si="88"/>
        <v>-1.405E-3</v>
      </c>
      <c r="G476" s="953">
        <f t="shared" si="89"/>
        <v>-1.717E-3</v>
      </c>
      <c r="H476" s="953">
        <f t="shared" si="90"/>
        <v>0</v>
      </c>
      <c r="I476" s="953">
        <f t="shared" si="91"/>
        <v>0</v>
      </c>
      <c r="J476" s="953">
        <f t="shared" si="92"/>
        <v>0</v>
      </c>
      <c r="K476" s="953">
        <f t="shared" si="93"/>
        <v>-3.4E-5</v>
      </c>
      <c r="L476" s="570" t="str">
        <f t="shared" si="94"/>
        <v>Modal 25</v>
      </c>
      <c r="M476" s="570">
        <f t="shared" si="96"/>
        <v>25</v>
      </c>
    </row>
    <row r="477" spans="1:13">
      <c r="A477" s="570" t="str">
        <f t="shared" si="95"/>
        <v>T2426</v>
      </c>
      <c r="C477" s="953" t="str">
        <f t="shared" si="85"/>
        <v>T24</v>
      </c>
      <c r="D477" s="953" t="str">
        <f t="shared" si="86"/>
        <v>D1</v>
      </c>
      <c r="E477" s="953">
        <f t="shared" si="87"/>
        <v>26</v>
      </c>
      <c r="F477" s="953">
        <f t="shared" si="88"/>
        <v>4.37E-4</v>
      </c>
      <c r="G477" s="953">
        <f t="shared" si="89"/>
        <v>2.9719999999999998E-3</v>
      </c>
      <c r="H477" s="953">
        <f t="shared" si="90"/>
        <v>0</v>
      </c>
      <c r="I477" s="953">
        <f t="shared" si="91"/>
        <v>0</v>
      </c>
      <c r="J477" s="953">
        <f t="shared" si="92"/>
        <v>0</v>
      </c>
      <c r="K477" s="953">
        <f t="shared" si="93"/>
        <v>1.9999999999999999E-6</v>
      </c>
      <c r="L477" s="570" t="str">
        <f t="shared" si="94"/>
        <v>Modal 26</v>
      </c>
      <c r="M477" s="570">
        <f t="shared" si="96"/>
        <v>26</v>
      </c>
    </row>
    <row r="478" spans="1:13">
      <c r="A478" s="570" t="str">
        <f t="shared" si="95"/>
        <v>T2427</v>
      </c>
      <c r="C478" s="953" t="str">
        <f t="shared" si="85"/>
        <v>T24</v>
      </c>
      <c r="D478" s="953" t="str">
        <f t="shared" si="86"/>
        <v>D1</v>
      </c>
      <c r="E478" s="953">
        <f t="shared" si="87"/>
        <v>27</v>
      </c>
      <c r="F478" s="953">
        <f t="shared" si="88"/>
        <v>-1.6590000000000001E-3</v>
      </c>
      <c r="G478" s="953">
        <f t="shared" si="89"/>
        <v>-3.9500000000000001E-4</v>
      </c>
      <c r="H478" s="953">
        <f t="shared" si="90"/>
        <v>0</v>
      </c>
      <c r="I478" s="953">
        <f t="shared" si="91"/>
        <v>0</v>
      </c>
      <c r="J478" s="953">
        <f t="shared" si="92"/>
        <v>0</v>
      </c>
      <c r="K478" s="953">
        <f t="shared" si="93"/>
        <v>-3.1000000000000001E-5</v>
      </c>
      <c r="L478" s="570" t="str">
        <f t="shared" si="94"/>
        <v>Modal 27</v>
      </c>
      <c r="M478" s="570">
        <f t="shared" si="96"/>
        <v>27</v>
      </c>
    </row>
    <row r="479" spans="1:13">
      <c r="A479" s="570" t="str">
        <f t="shared" si="95"/>
        <v>T2428</v>
      </c>
      <c r="C479" s="953" t="str">
        <f t="shared" si="85"/>
        <v>T24</v>
      </c>
      <c r="D479" s="953" t="str">
        <f t="shared" si="86"/>
        <v>D1</v>
      </c>
      <c r="E479" s="953">
        <f t="shared" si="87"/>
        <v>28</v>
      </c>
      <c r="F479" s="953">
        <f t="shared" si="88"/>
        <v>-2.9300000000000002E-4</v>
      </c>
      <c r="G479" s="953">
        <f t="shared" si="89"/>
        <v>1.702E-3</v>
      </c>
      <c r="H479" s="953">
        <f t="shared" si="90"/>
        <v>0</v>
      </c>
      <c r="I479" s="953">
        <f t="shared" si="91"/>
        <v>0</v>
      </c>
      <c r="J479" s="953">
        <f t="shared" si="92"/>
        <v>0</v>
      </c>
      <c r="K479" s="953">
        <f t="shared" si="93"/>
        <v>1.9999999999999999E-6</v>
      </c>
      <c r="L479" s="570" t="str">
        <f t="shared" si="94"/>
        <v>Modal 28</v>
      </c>
      <c r="M479" s="570">
        <f t="shared" si="96"/>
        <v>28</v>
      </c>
    </row>
    <row r="480" spans="1:13">
      <c r="A480" s="570" t="str">
        <f t="shared" si="95"/>
        <v>T2429</v>
      </c>
      <c r="C480" s="953" t="str">
        <f t="shared" si="85"/>
        <v>T24</v>
      </c>
      <c r="D480" s="953" t="str">
        <f t="shared" si="86"/>
        <v>D1</v>
      </c>
      <c r="E480" s="953">
        <f t="shared" si="87"/>
        <v>29</v>
      </c>
      <c r="F480" s="953">
        <f t="shared" si="88"/>
        <v>1.4239999999999999E-3</v>
      </c>
      <c r="G480" s="953">
        <f t="shared" si="89"/>
        <v>-1.9000000000000001E-4</v>
      </c>
      <c r="H480" s="953">
        <f t="shared" si="90"/>
        <v>0</v>
      </c>
      <c r="I480" s="953">
        <f t="shared" si="91"/>
        <v>0</v>
      </c>
      <c r="J480" s="953">
        <f t="shared" si="92"/>
        <v>0</v>
      </c>
      <c r="K480" s="953">
        <f t="shared" si="93"/>
        <v>2.9E-5</v>
      </c>
      <c r="L480" s="570" t="str">
        <f t="shared" si="94"/>
        <v>Modal 29</v>
      </c>
      <c r="M480" s="570">
        <f t="shared" si="96"/>
        <v>29</v>
      </c>
    </row>
    <row r="481" spans="1:13">
      <c r="A481" s="570" t="str">
        <f t="shared" si="95"/>
        <v>T2430</v>
      </c>
      <c r="C481" s="953" t="str">
        <f t="shared" si="85"/>
        <v>T24</v>
      </c>
      <c r="D481" s="953" t="str">
        <f t="shared" si="86"/>
        <v>D1</v>
      </c>
      <c r="E481" s="953">
        <f t="shared" si="87"/>
        <v>30</v>
      </c>
      <c r="F481" s="953">
        <f t="shared" si="88"/>
        <v>1.6799999999999999E-4</v>
      </c>
      <c r="G481" s="953">
        <f t="shared" si="89"/>
        <v>-1.0610000000000001E-3</v>
      </c>
      <c r="H481" s="953">
        <f t="shared" si="90"/>
        <v>0</v>
      </c>
      <c r="I481" s="953">
        <f t="shared" si="91"/>
        <v>0</v>
      </c>
      <c r="J481" s="953">
        <f t="shared" si="92"/>
        <v>0</v>
      </c>
      <c r="K481" s="953">
        <f t="shared" si="93"/>
        <v>-6.0000000000000002E-6</v>
      </c>
      <c r="L481" s="570" t="str">
        <f t="shared" si="94"/>
        <v>Modal 30</v>
      </c>
      <c r="M481" s="570">
        <f t="shared" si="96"/>
        <v>30</v>
      </c>
    </row>
    <row r="482" spans="1:13">
      <c r="A482" s="570" t="str">
        <f t="shared" si="95"/>
        <v>T231</v>
      </c>
      <c r="C482" s="953" t="str">
        <f t="shared" si="85"/>
        <v>T23</v>
      </c>
      <c r="D482" s="953" t="str">
        <f t="shared" si="86"/>
        <v>D1</v>
      </c>
      <c r="E482" s="953">
        <f t="shared" si="87"/>
        <v>1</v>
      </c>
      <c r="F482" s="953">
        <f t="shared" si="88"/>
        <v>-7.3899999999999997E-4</v>
      </c>
      <c r="G482" s="953">
        <f t="shared" si="89"/>
        <v>3.826E-3</v>
      </c>
      <c r="H482" s="953">
        <f t="shared" si="90"/>
        <v>0</v>
      </c>
      <c r="I482" s="953">
        <f t="shared" si="91"/>
        <v>0</v>
      </c>
      <c r="J482" s="953">
        <f t="shared" si="92"/>
        <v>0</v>
      </c>
      <c r="K482" s="953">
        <f t="shared" si="93"/>
        <v>3.4999999999999997E-5</v>
      </c>
      <c r="L482" s="570" t="str">
        <f t="shared" si="94"/>
        <v>Modal 1</v>
      </c>
      <c r="M482" s="570">
        <f t="shared" si="96"/>
        <v>1</v>
      </c>
    </row>
    <row r="483" spans="1:13">
      <c r="A483" s="570" t="str">
        <f t="shared" si="95"/>
        <v>T232</v>
      </c>
      <c r="C483" s="953" t="str">
        <f t="shared" si="85"/>
        <v>T23</v>
      </c>
      <c r="D483" s="953" t="str">
        <f t="shared" si="86"/>
        <v>D1</v>
      </c>
      <c r="E483" s="953">
        <f t="shared" si="87"/>
        <v>2</v>
      </c>
      <c r="F483" s="953">
        <f t="shared" si="88"/>
        <v>-6.0099999999999997E-4</v>
      </c>
      <c r="G483" s="953">
        <f t="shared" si="89"/>
        <v>-7.9900000000000001E-4</v>
      </c>
      <c r="H483" s="953">
        <f t="shared" si="90"/>
        <v>0</v>
      </c>
      <c r="I483" s="953">
        <f t="shared" si="91"/>
        <v>0</v>
      </c>
      <c r="J483" s="953">
        <f t="shared" si="92"/>
        <v>0</v>
      </c>
      <c r="K483" s="953">
        <f t="shared" si="93"/>
        <v>2.04E-4</v>
      </c>
      <c r="L483" s="570" t="str">
        <f t="shared" si="94"/>
        <v>Modal 2</v>
      </c>
      <c r="M483" s="570">
        <f t="shared" si="96"/>
        <v>2</v>
      </c>
    </row>
    <row r="484" spans="1:13">
      <c r="A484" s="570" t="str">
        <f t="shared" si="95"/>
        <v>T233</v>
      </c>
      <c r="C484" s="953" t="str">
        <f t="shared" si="85"/>
        <v>T23</v>
      </c>
      <c r="D484" s="953" t="str">
        <f t="shared" si="86"/>
        <v>D1</v>
      </c>
      <c r="E484" s="953">
        <f t="shared" si="87"/>
        <v>3</v>
      </c>
      <c r="F484" s="953">
        <f t="shared" si="88"/>
        <v>4.0039999999999997E-3</v>
      </c>
      <c r="G484" s="953">
        <f t="shared" si="89"/>
        <v>6.7699999999999998E-4</v>
      </c>
      <c r="H484" s="953">
        <f t="shared" si="90"/>
        <v>0</v>
      </c>
      <c r="I484" s="953">
        <f t="shared" si="91"/>
        <v>0</v>
      </c>
      <c r="J484" s="953">
        <f t="shared" si="92"/>
        <v>0</v>
      </c>
      <c r="K484" s="953">
        <f t="shared" si="93"/>
        <v>3.6000000000000001E-5</v>
      </c>
      <c r="L484" s="570" t="str">
        <f t="shared" si="94"/>
        <v>Modal 3</v>
      </c>
      <c r="M484" s="570">
        <f t="shared" si="96"/>
        <v>3</v>
      </c>
    </row>
    <row r="485" spans="1:13">
      <c r="A485" s="570" t="str">
        <f t="shared" si="95"/>
        <v>T234</v>
      </c>
      <c r="C485" s="953" t="str">
        <f t="shared" si="85"/>
        <v>T23</v>
      </c>
      <c r="D485" s="953" t="str">
        <f t="shared" si="86"/>
        <v>D1</v>
      </c>
      <c r="E485" s="953">
        <f t="shared" si="87"/>
        <v>4</v>
      </c>
      <c r="F485" s="953">
        <f t="shared" si="88"/>
        <v>-5.3499999999999999E-4</v>
      </c>
      <c r="G485" s="953">
        <f t="shared" si="89"/>
        <v>2.5000000000000001E-5</v>
      </c>
      <c r="H485" s="953">
        <f t="shared" si="90"/>
        <v>0</v>
      </c>
      <c r="I485" s="953">
        <f t="shared" si="91"/>
        <v>0</v>
      </c>
      <c r="J485" s="953">
        <f t="shared" si="92"/>
        <v>0</v>
      </c>
      <c r="K485" s="953">
        <f t="shared" si="93"/>
        <v>1.5899999999999999E-4</v>
      </c>
      <c r="L485" s="570" t="str">
        <f t="shared" si="94"/>
        <v>Modal 4</v>
      </c>
      <c r="M485" s="570">
        <f t="shared" si="96"/>
        <v>4</v>
      </c>
    </row>
    <row r="486" spans="1:13">
      <c r="A486" s="570" t="str">
        <f t="shared" si="95"/>
        <v>T235</v>
      </c>
      <c r="C486" s="953" t="str">
        <f t="shared" si="85"/>
        <v>T23</v>
      </c>
      <c r="D486" s="953" t="str">
        <f t="shared" si="86"/>
        <v>D1</v>
      </c>
      <c r="E486" s="953">
        <f t="shared" si="87"/>
        <v>5</v>
      </c>
      <c r="F486" s="953">
        <f t="shared" si="88"/>
        <v>5.2800000000000004E-4</v>
      </c>
      <c r="G486" s="953">
        <f t="shared" si="89"/>
        <v>-4.0179999999999999E-3</v>
      </c>
      <c r="H486" s="953">
        <f t="shared" si="90"/>
        <v>0</v>
      </c>
      <c r="I486" s="953">
        <f t="shared" si="91"/>
        <v>0</v>
      </c>
      <c r="J486" s="953">
        <f t="shared" si="92"/>
        <v>0</v>
      </c>
      <c r="K486" s="953">
        <f t="shared" si="93"/>
        <v>5.0000000000000004E-6</v>
      </c>
      <c r="L486" s="570" t="str">
        <f t="shared" si="94"/>
        <v>Modal 5</v>
      </c>
      <c r="M486" s="570">
        <f t="shared" si="96"/>
        <v>5</v>
      </c>
    </row>
    <row r="487" spans="1:13">
      <c r="A487" s="570" t="str">
        <f t="shared" si="95"/>
        <v>T236</v>
      </c>
      <c r="C487" s="953" t="str">
        <f t="shared" si="85"/>
        <v>T23</v>
      </c>
      <c r="D487" s="953" t="str">
        <f t="shared" si="86"/>
        <v>D1</v>
      </c>
      <c r="E487" s="953">
        <f t="shared" si="87"/>
        <v>6</v>
      </c>
      <c r="F487" s="953">
        <f t="shared" si="88"/>
        <v>-3.7469999999999999E-3</v>
      </c>
      <c r="G487" s="953">
        <f t="shared" si="89"/>
        <v>-4.3399999999999998E-4</v>
      </c>
      <c r="H487" s="953">
        <f t="shared" si="90"/>
        <v>0</v>
      </c>
      <c r="I487" s="953">
        <f t="shared" si="91"/>
        <v>0</v>
      </c>
      <c r="J487" s="953">
        <f t="shared" si="92"/>
        <v>0</v>
      </c>
      <c r="K487" s="953">
        <f t="shared" si="93"/>
        <v>-1.8E-5</v>
      </c>
      <c r="L487" s="570" t="str">
        <f t="shared" si="94"/>
        <v>Modal 6</v>
      </c>
      <c r="M487" s="570">
        <f t="shared" si="96"/>
        <v>6</v>
      </c>
    </row>
    <row r="488" spans="1:13">
      <c r="A488" s="570" t="str">
        <f t="shared" si="95"/>
        <v>T237</v>
      </c>
      <c r="C488" s="953" t="str">
        <f t="shared" si="85"/>
        <v>T23</v>
      </c>
      <c r="D488" s="953" t="str">
        <f t="shared" si="86"/>
        <v>D1</v>
      </c>
      <c r="E488" s="953">
        <f t="shared" si="87"/>
        <v>7</v>
      </c>
      <c r="F488" s="953">
        <f t="shared" si="88"/>
        <v>-4.84E-4</v>
      </c>
      <c r="G488" s="953">
        <f t="shared" si="89"/>
        <v>-3.0000000000000001E-6</v>
      </c>
      <c r="H488" s="953">
        <f t="shared" si="90"/>
        <v>0</v>
      </c>
      <c r="I488" s="953">
        <f t="shared" si="91"/>
        <v>0</v>
      </c>
      <c r="J488" s="953">
        <f t="shared" si="92"/>
        <v>0</v>
      </c>
      <c r="K488" s="953">
        <f t="shared" si="93"/>
        <v>2.43E-4</v>
      </c>
      <c r="L488" s="570" t="str">
        <f t="shared" si="94"/>
        <v>Modal 7</v>
      </c>
      <c r="M488" s="570">
        <f t="shared" si="96"/>
        <v>7</v>
      </c>
    </row>
    <row r="489" spans="1:13">
      <c r="A489" s="570" t="str">
        <f t="shared" si="95"/>
        <v>T238</v>
      </c>
      <c r="C489" s="953" t="str">
        <f t="shared" si="85"/>
        <v>T23</v>
      </c>
      <c r="D489" s="953" t="str">
        <f t="shared" si="86"/>
        <v>D1</v>
      </c>
      <c r="E489" s="953">
        <f t="shared" si="87"/>
        <v>8</v>
      </c>
      <c r="F489" s="953">
        <f t="shared" si="88"/>
        <v>-4.26E-4</v>
      </c>
      <c r="G489" s="953">
        <f t="shared" si="89"/>
        <v>4.5030000000000001E-3</v>
      </c>
      <c r="H489" s="953">
        <f t="shared" si="90"/>
        <v>0</v>
      </c>
      <c r="I489" s="953">
        <f t="shared" si="91"/>
        <v>0</v>
      </c>
      <c r="J489" s="953">
        <f t="shared" si="92"/>
        <v>0</v>
      </c>
      <c r="K489" s="953">
        <f t="shared" si="93"/>
        <v>-3.0000000000000001E-6</v>
      </c>
      <c r="L489" s="570" t="str">
        <f t="shared" si="94"/>
        <v>Modal 8</v>
      </c>
      <c r="M489" s="570">
        <f t="shared" si="96"/>
        <v>8</v>
      </c>
    </row>
    <row r="490" spans="1:13">
      <c r="A490" s="570" t="str">
        <f t="shared" si="95"/>
        <v>T239</v>
      </c>
      <c r="C490" s="953" t="str">
        <f t="shared" si="85"/>
        <v>T23</v>
      </c>
      <c r="D490" s="953" t="str">
        <f t="shared" si="86"/>
        <v>D1</v>
      </c>
      <c r="E490" s="953">
        <f t="shared" si="87"/>
        <v>9</v>
      </c>
      <c r="F490" s="953">
        <f t="shared" si="88"/>
        <v>-2.9100000000000003E-4</v>
      </c>
      <c r="G490" s="953">
        <f t="shared" si="89"/>
        <v>-1.9000000000000001E-5</v>
      </c>
      <c r="H490" s="953">
        <f t="shared" si="90"/>
        <v>0</v>
      </c>
      <c r="I490" s="953">
        <f t="shared" si="91"/>
        <v>0</v>
      </c>
      <c r="J490" s="953">
        <f t="shared" si="92"/>
        <v>0</v>
      </c>
      <c r="K490" s="953">
        <f t="shared" si="93"/>
        <v>-6.3999999999999997E-5</v>
      </c>
      <c r="L490" s="570" t="str">
        <f t="shared" si="94"/>
        <v>Modal 9</v>
      </c>
      <c r="M490" s="570">
        <f t="shared" si="96"/>
        <v>9</v>
      </c>
    </row>
    <row r="491" spans="1:13">
      <c r="A491" s="570" t="str">
        <f t="shared" si="95"/>
        <v>T2310</v>
      </c>
      <c r="C491" s="953" t="str">
        <f t="shared" si="85"/>
        <v>T23</v>
      </c>
      <c r="D491" s="953" t="str">
        <f t="shared" si="86"/>
        <v>D1</v>
      </c>
      <c r="E491" s="953">
        <f t="shared" si="87"/>
        <v>10</v>
      </c>
      <c r="F491" s="953">
        <f t="shared" si="88"/>
        <v>4.5830000000000003E-3</v>
      </c>
      <c r="G491" s="953">
        <f t="shared" si="89"/>
        <v>4.7100000000000001E-4</v>
      </c>
      <c r="H491" s="953">
        <f t="shared" si="90"/>
        <v>0</v>
      </c>
      <c r="I491" s="953">
        <f t="shared" si="91"/>
        <v>0</v>
      </c>
      <c r="J491" s="953">
        <f t="shared" si="92"/>
        <v>0</v>
      </c>
      <c r="K491" s="953">
        <f t="shared" si="93"/>
        <v>2.0000000000000002E-5</v>
      </c>
      <c r="L491" s="570" t="str">
        <f t="shared" si="94"/>
        <v>Modal 10</v>
      </c>
      <c r="M491" s="570">
        <f t="shared" si="96"/>
        <v>10</v>
      </c>
    </row>
    <row r="492" spans="1:13">
      <c r="A492" s="570" t="str">
        <f t="shared" si="95"/>
        <v>T2311</v>
      </c>
      <c r="C492" s="953" t="str">
        <f t="shared" si="85"/>
        <v>T23</v>
      </c>
      <c r="D492" s="953" t="str">
        <f t="shared" si="86"/>
        <v>D1</v>
      </c>
      <c r="E492" s="953">
        <f t="shared" si="87"/>
        <v>11</v>
      </c>
      <c r="F492" s="953">
        <f t="shared" si="88"/>
        <v>-4.3199999999999998E-4</v>
      </c>
      <c r="G492" s="953">
        <f t="shared" si="89"/>
        <v>-6.2600000000000004E-4</v>
      </c>
      <c r="H492" s="953">
        <f t="shared" si="90"/>
        <v>0</v>
      </c>
      <c r="I492" s="953">
        <f t="shared" si="91"/>
        <v>0</v>
      </c>
      <c r="J492" s="953">
        <f t="shared" si="92"/>
        <v>0</v>
      </c>
      <c r="K492" s="953">
        <f t="shared" si="93"/>
        <v>2.5300000000000002E-4</v>
      </c>
      <c r="L492" s="570" t="str">
        <f t="shared" si="94"/>
        <v>Modal 11</v>
      </c>
      <c r="M492" s="570">
        <f t="shared" si="96"/>
        <v>11</v>
      </c>
    </row>
    <row r="493" spans="1:13">
      <c r="A493" s="570" t="str">
        <f t="shared" si="95"/>
        <v>T2312</v>
      </c>
      <c r="C493" s="953" t="str">
        <f t="shared" si="85"/>
        <v>T23</v>
      </c>
      <c r="D493" s="953" t="str">
        <f t="shared" si="86"/>
        <v>D1</v>
      </c>
      <c r="E493" s="953">
        <f t="shared" si="87"/>
        <v>12</v>
      </c>
      <c r="F493" s="953">
        <f t="shared" si="88"/>
        <v>-3.6400000000000001E-4</v>
      </c>
      <c r="G493" s="953">
        <f t="shared" si="89"/>
        <v>1.665E-3</v>
      </c>
      <c r="H493" s="953">
        <f t="shared" si="90"/>
        <v>0</v>
      </c>
      <c r="I493" s="953">
        <f t="shared" si="91"/>
        <v>0</v>
      </c>
      <c r="J493" s="953">
        <f t="shared" si="92"/>
        <v>0</v>
      </c>
      <c r="K493" s="953">
        <f t="shared" si="93"/>
        <v>9.2999999999999997E-5</v>
      </c>
      <c r="L493" s="570" t="str">
        <f t="shared" si="94"/>
        <v>Modal 12</v>
      </c>
      <c r="M493" s="570">
        <f t="shared" si="96"/>
        <v>12</v>
      </c>
    </row>
    <row r="494" spans="1:13">
      <c r="A494" s="570" t="str">
        <f t="shared" si="95"/>
        <v>T2313</v>
      </c>
      <c r="C494" s="953" t="str">
        <f t="shared" si="85"/>
        <v>T23</v>
      </c>
      <c r="D494" s="953" t="str">
        <f t="shared" si="86"/>
        <v>D1</v>
      </c>
      <c r="E494" s="953">
        <f t="shared" si="87"/>
        <v>13</v>
      </c>
      <c r="F494" s="953">
        <f t="shared" si="88"/>
        <v>-1.5410000000000001E-3</v>
      </c>
      <c r="G494" s="953">
        <f t="shared" si="89"/>
        <v>-1.27E-4</v>
      </c>
      <c r="H494" s="953">
        <f t="shared" si="90"/>
        <v>0</v>
      </c>
      <c r="I494" s="953">
        <f t="shared" si="91"/>
        <v>0</v>
      </c>
      <c r="J494" s="953">
        <f t="shared" si="92"/>
        <v>0</v>
      </c>
      <c r="K494" s="953">
        <f t="shared" si="93"/>
        <v>-2.0000000000000002E-5</v>
      </c>
      <c r="L494" s="570" t="str">
        <f t="shared" si="94"/>
        <v>Modal 13</v>
      </c>
      <c r="M494" s="570">
        <f t="shared" si="96"/>
        <v>13</v>
      </c>
    </row>
    <row r="495" spans="1:13">
      <c r="A495" s="570" t="str">
        <f t="shared" si="95"/>
        <v>T2314</v>
      </c>
      <c r="C495" s="953" t="str">
        <f t="shared" si="85"/>
        <v>T23</v>
      </c>
      <c r="D495" s="953" t="str">
        <f t="shared" si="86"/>
        <v>D1</v>
      </c>
      <c r="E495" s="953">
        <f t="shared" si="87"/>
        <v>14</v>
      </c>
      <c r="F495" s="953">
        <f t="shared" si="88"/>
        <v>2.9700000000000001E-4</v>
      </c>
      <c r="G495" s="953">
        <f t="shared" si="89"/>
        <v>1.2899999999999999E-4</v>
      </c>
      <c r="H495" s="953">
        <f t="shared" si="90"/>
        <v>0</v>
      </c>
      <c r="I495" s="953">
        <f t="shared" si="91"/>
        <v>0</v>
      </c>
      <c r="J495" s="953">
        <f t="shared" si="92"/>
        <v>0</v>
      </c>
      <c r="K495" s="953">
        <f t="shared" si="93"/>
        <v>-8.1000000000000004E-5</v>
      </c>
      <c r="L495" s="570" t="str">
        <f t="shared" si="94"/>
        <v>Modal 14</v>
      </c>
      <c r="M495" s="570">
        <f t="shared" si="96"/>
        <v>14</v>
      </c>
    </row>
    <row r="496" spans="1:13">
      <c r="A496" s="570" t="str">
        <f t="shared" si="95"/>
        <v>T2315</v>
      </c>
      <c r="C496" s="953" t="str">
        <f t="shared" si="85"/>
        <v>T23</v>
      </c>
      <c r="D496" s="953" t="str">
        <f t="shared" si="86"/>
        <v>D1</v>
      </c>
      <c r="E496" s="953">
        <f t="shared" si="87"/>
        <v>15</v>
      </c>
      <c r="F496" s="953">
        <f t="shared" si="88"/>
        <v>5.3200000000000003E-4</v>
      </c>
      <c r="G496" s="953">
        <f t="shared" si="89"/>
        <v>-5.6039999999999996E-3</v>
      </c>
      <c r="H496" s="953">
        <f t="shared" si="90"/>
        <v>0</v>
      </c>
      <c r="I496" s="953">
        <f t="shared" si="91"/>
        <v>0</v>
      </c>
      <c r="J496" s="953">
        <f t="shared" si="92"/>
        <v>0</v>
      </c>
      <c r="K496" s="953">
        <f t="shared" si="93"/>
        <v>3.9999999999999998E-6</v>
      </c>
      <c r="L496" s="570" t="str">
        <f t="shared" si="94"/>
        <v>Modal 15</v>
      </c>
      <c r="M496" s="570">
        <f t="shared" si="96"/>
        <v>15</v>
      </c>
    </row>
    <row r="497" spans="1:13">
      <c r="A497" s="570" t="str">
        <f t="shared" si="95"/>
        <v>T2316</v>
      </c>
      <c r="C497" s="953" t="str">
        <f t="shared" si="85"/>
        <v>T23</v>
      </c>
      <c r="D497" s="953" t="str">
        <f t="shared" si="86"/>
        <v>D1</v>
      </c>
      <c r="E497" s="953">
        <f t="shared" si="87"/>
        <v>16</v>
      </c>
      <c r="F497" s="953">
        <f t="shared" si="88"/>
        <v>8.0500000000000005E-4</v>
      </c>
      <c r="G497" s="953">
        <f t="shared" si="89"/>
        <v>-9.7999999999999997E-5</v>
      </c>
      <c r="H497" s="953">
        <f t="shared" si="90"/>
        <v>0</v>
      </c>
      <c r="I497" s="953">
        <f t="shared" si="91"/>
        <v>0</v>
      </c>
      <c r="J497" s="953">
        <f t="shared" si="92"/>
        <v>0</v>
      </c>
      <c r="K497" s="953">
        <f t="shared" si="93"/>
        <v>-1.9100000000000001E-4</v>
      </c>
      <c r="L497" s="570" t="str">
        <f t="shared" si="94"/>
        <v>Modal 16</v>
      </c>
      <c r="M497" s="570">
        <f t="shared" si="96"/>
        <v>16</v>
      </c>
    </row>
    <row r="498" spans="1:13">
      <c r="A498" s="570" t="str">
        <f t="shared" si="95"/>
        <v>T2317</v>
      </c>
      <c r="C498" s="953" t="str">
        <f t="shared" si="85"/>
        <v>T23</v>
      </c>
      <c r="D498" s="953" t="str">
        <f t="shared" si="86"/>
        <v>D1</v>
      </c>
      <c r="E498" s="953">
        <f t="shared" si="87"/>
        <v>17</v>
      </c>
      <c r="F498" s="953">
        <f t="shared" si="88"/>
        <v>5.4739999999999997E-3</v>
      </c>
      <c r="G498" s="953">
        <f t="shared" si="89"/>
        <v>5.1999999999999995E-4</v>
      </c>
      <c r="H498" s="953">
        <f t="shared" si="90"/>
        <v>0</v>
      </c>
      <c r="I498" s="953">
        <f t="shared" si="91"/>
        <v>0</v>
      </c>
      <c r="J498" s="953">
        <f t="shared" si="92"/>
        <v>0</v>
      </c>
      <c r="K498" s="953">
        <f t="shared" si="93"/>
        <v>5.5000000000000002E-5</v>
      </c>
      <c r="L498" s="570" t="str">
        <f t="shared" si="94"/>
        <v>Modal 17</v>
      </c>
      <c r="M498" s="570">
        <f t="shared" si="96"/>
        <v>17</v>
      </c>
    </row>
    <row r="499" spans="1:13">
      <c r="A499" s="570" t="str">
        <f t="shared" si="95"/>
        <v>T2318</v>
      </c>
      <c r="C499" s="953" t="str">
        <f t="shared" si="85"/>
        <v>T23</v>
      </c>
      <c r="D499" s="953" t="str">
        <f t="shared" si="86"/>
        <v>D1</v>
      </c>
      <c r="E499" s="953">
        <f t="shared" si="87"/>
        <v>18</v>
      </c>
      <c r="F499" s="953">
        <f t="shared" si="88"/>
        <v>-4.0000000000000003E-5</v>
      </c>
      <c r="G499" s="953">
        <f t="shared" si="89"/>
        <v>-1.544E-3</v>
      </c>
      <c r="H499" s="953">
        <f t="shared" si="90"/>
        <v>0</v>
      </c>
      <c r="I499" s="953">
        <f t="shared" si="91"/>
        <v>0</v>
      </c>
      <c r="J499" s="953">
        <f t="shared" si="92"/>
        <v>0</v>
      </c>
      <c r="K499" s="953">
        <f t="shared" si="93"/>
        <v>4.5000000000000003E-5</v>
      </c>
      <c r="L499" s="570" t="str">
        <f t="shared" si="94"/>
        <v>Modal 18</v>
      </c>
      <c r="M499" s="570">
        <f t="shared" si="96"/>
        <v>18</v>
      </c>
    </row>
    <row r="500" spans="1:13">
      <c r="A500" s="570" t="str">
        <f t="shared" si="95"/>
        <v>T2319</v>
      </c>
      <c r="C500" s="953" t="str">
        <f t="shared" si="85"/>
        <v>T23</v>
      </c>
      <c r="D500" s="953" t="str">
        <f t="shared" si="86"/>
        <v>D1</v>
      </c>
      <c r="E500" s="953">
        <f t="shared" si="87"/>
        <v>19</v>
      </c>
      <c r="F500" s="953">
        <f t="shared" si="88"/>
        <v>6.29E-4</v>
      </c>
      <c r="G500" s="953">
        <f t="shared" si="89"/>
        <v>-7.2999999999999999E-5</v>
      </c>
      <c r="H500" s="953">
        <f t="shared" si="90"/>
        <v>0</v>
      </c>
      <c r="I500" s="953">
        <f t="shared" si="91"/>
        <v>0</v>
      </c>
      <c r="J500" s="953">
        <f t="shared" si="92"/>
        <v>0</v>
      </c>
      <c r="K500" s="953">
        <f t="shared" si="93"/>
        <v>-2.2000000000000001E-4</v>
      </c>
      <c r="L500" s="570" t="str">
        <f t="shared" si="94"/>
        <v>Modal 19</v>
      </c>
      <c r="M500" s="570">
        <f t="shared" si="96"/>
        <v>19</v>
      </c>
    </row>
    <row r="501" spans="1:13">
      <c r="A501" s="570" t="str">
        <f t="shared" si="95"/>
        <v>T2320</v>
      </c>
      <c r="C501" s="953" t="str">
        <f t="shared" si="85"/>
        <v>T23</v>
      </c>
      <c r="D501" s="953" t="str">
        <f t="shared" si="86"/>
        <v>D1</v>
      </c>
      <c r="E501" s="953">
        <f t="shared" si="87"/>
        <v>20</v>
      </c>
      <c r="F501" s="953">
        <f t="shared" si="88"/>
        <v>-1.758E-3</v>
      </c>
      <c r="G501" s="953">
        <f t="shared" si="89"/>
        <v>-2.6499999999999999E-4</v>
      </c>
      <c r="H501" s="953">
        <f t="shared" si="90"/>
        <v>0</v>
      </c>
      <c r="I501" s="953">
        <f t="shared" si="91"/>
        <v>0</v>
      </c>
      <c r="J501" s="953">
        <f t="shared" si="92"/>
        <v>0</v>
      </c>
      <c r="K501" s="953">
        <f t="shared" si="93"/>
        <v>-1.9000000000000001E-5</v>
      </c>
      <c r="L501" s="570" t="str">
        <f t="shared" si="94"/>
        <v>Modal 20</v>
      </c>
      <c r="M501" s="570">
        <f t="shared" si="96"/>
        <v>20</v>
      </c>
    </row>
    <row r="502" spans="1:13">
      <c r="A502" s="570" t="str">
        <f t="shared" si="95"/>
        <v>T2321</v>
      </c>
      <c r="C502" s="953" t="str">
        <f t="shared" si="85"/>
        <v>T23</v>
      </c>
      <c r="D502" s="953" t="str">
        <f t="shared" si="86"/>
        <v>D1</v>
      </c>
      <c r="E502" s="953">
        <f t="shared" si="87"/>
        <v>21</v>
      </c>
      <c r="F502" s="953">
        <f t="shared" si="88"/>
        <v>6.7500000000000004E-4</v>
      </c>
      <c r="G502" s="953">
        <f t="shared" si="89"/>
        <v>-4.3699999999999998E-3</v>
      </c>
      <c r="H502" s="953">
        <f t="shared" si="90"/>
        <v>0</v>
      </c>
      <c r="I502" s="953">
        <f t="shared" si="91"/>
        <v>0</v>
      </c>
      <c r="J502" s="953">
        <f t="shared" si="92"/>
        <v>0</v>
      </c>
      <c r="K502" s="953">
        <f t="shared" si="93"/>
        <v>-1.0000000000000001E-5</v>
      </c>
      <c r="L502" s="570" t="str">
        <f t="shared" si="94"/>
        <v>Modal 21</v>
      </c>
      <c r="M502" s="570">
        <f t="shared" si="96"/>
        <v>21</v>
      </c>
    </row>
    <row r="503" spans="1:13">
      <c r="A503" s="570" t="str">
        <f t="shared" si="95"/>
        <v>T2322</v>
      </c>
      <c r="C503" s="953" t="str">
        <f t="shared" si="85"/>
        <v>T23</v>
      </c>
      <c r="D503" s="953" t="str">
        <f t="shared" si="86"/>
        <v>D1</v>
      </c>
      <c r="E503" s="953">
        <f t="shared" si="87"/>
        <v>22</v>
      </c>
      <c r="F503" s="953">
        <f t="shared" si="88"/>
        <v>4.2640000000000004E-3</v>
      </c>
      <c r="G503" s="953">
        <f t="shared" si="89"/>
        <v>-8.6000000000000003E-5</v>
      </c>
      <c r="H503" s="953">
        <f t="shared" si="90"/>
        <v>0</v>
      </c>
      <c r="I503" s="953">
        <f t="shared" si="91"/>
        <v>0</v>
      </c>
      <c r="J503" s="953">
        <f t="shared" si="92"/>
        <v>0</v>
      </c>
      <c r="K503" s="953">
        <f t="shared" si="93"/>
        <v>6.3E-5</v>
      </c>
      <c r="L503" s="570" t="str">
        <f t="shared" si="94"/>
        <v>Modal 22</v>
      </c>
      <c r="M503" s="570">
        <f t="shared" si="96"/>
        <v>22</v>
      </c>
    </row>
    <row r="504" spans="1:13">
      <c r="A504" s="570" t="str">
        <f t="shared" si="95"/>
        <v>T2323</v>
      </c>
      <c r="C504" s="953" t="str">
        <f t="shared" si="85"/>
        <v>T23</v>
      </c>
      <c r="D504" s="953" t="str">
        <f t="shared" si="86"/>
        <v>D1</v>
      </c>
      <c r="E504" s="953">
        <f t="shared" si="87"/>
        <v>23</v>
      </c>
      <c r="F504" s="953">
        <f t="shared" si="88"/>
        <v>-1.2400000000000001E-4</v>
      </c>
      <c r="G504" s="953">
        <f t="shared" si="89"/>
        <v>-3.3630000000000001E-3</v>
      </c>
      <c r="H504" s="953">
        <f t="shared" si="90"/>
        <v>0</v>
      </c>
      <c r="I504" s="953">
        <f t="shared" si="91"/>
        <v>0</v>
      </c>
      <c r="J504" s="953">
        <f t="shared" si="92"/>
        <v>0</v>
      </c>
      <c r="K504" s="953">
        <f t="shared" si="93"/>
        <v>2.0999999999999999E-5</v>
      </c>
      <c r="L504" s="570" t="str">
        <f t="shared" si="94"/>
        <v>Modal 23</v>
      </c>
      <c r="M504" s="570">
        <f t="shared" si="96"/>
        <v>23</v>
      </c>
    </row>
    <row r="505" spans="1:13">
      <c r="A505" s="570" t="str">
        <f t="shared" si="95"/>
        <v>T2324</v>
      </c>
      <c r="C505" s="953" t="str">
        <f t="shared" si="85"/>
        <v>T23</v>
      </c>
      <c r="D505" s="953" t="str">
        <f t="shared" si="86"/>
        <v>D1</v>
      </c>
      <c r="E505" s="953">
        <f t="shared" si="87"/>
        <v>24</v>
      </c>
      <c r="F505" s="953">
        <f t="shared" si="88"/>
        <v>-1.8389999999999999E-3</v>
      </c>
      <c r="G505" s="953">
        <f t="shared" si="89"/>
        <v>-3.3029999999999999E-3</v>
      </c>
      <c r="H505" s="953">
        <f t="shared" si="90"/>
        <v>0</v>
      </c>
      <c r="I505" s="953">
        <f t="shared" si="91"/>
        <v>0</v>
      </c>
      <c r="J505" s="953">
        <f t="shared" si="92"/>
        <v>0</v>
      </c>
      <c r="K505" s="953">
        <f t="shared" si="93"/>
        <v>-6.8999999999999997E-5</v>
      </c>
      <c r="L505" s="570" t="str">
        <f t="shared" si="94"/>
        <v>Modal 24</v>
      </c>
      <c r="M505" s="570">
        <f t="shared" si="96"/>
        <v>24</v>
      </c>
    </row>
    <row r="506" spans="1:13">
      <c r="A506" s="570" t="str">
        <f t="shared" si="95"/>
        <v>T2325</v>
      </c>
      <c r="C506" s="953" t="str">
        <f t="shared" si="85"/>
        <v>T23</v>
      </c>
      <c r="D506" s="953" t="str">
        <f t="shared" si="86"/>
        <v>D1</v>
      </c>
      <c r="E506" s="953">
        <f t="shared" si="87"/>
        <v>25</v>
      </c>
      <c r="F506" s="953">
        <f t="shared" si="88"/>
        <v>-2.6250000000000002E-3</v>
      </c>
      <c r="G506" s="953">
        <f t="shared" si="89"/>
        <v>-6.4599999999999998E-4</v>
      </c>
      <c r="H506" s="953">
        <f t="shared" si="90"/>
        <v>0</v>
      </c>
      <c r="I506" s="953">
        <f t="shared" si="91"/>
        <v>0</v>
      </c>
      <c r="J506" s="953">
        <f t="shared" si="92"/>
        <v>0</v>
      </c>
      <c r="K506" s="953">
        <f t="shared" si="93"/>
        <v>-3.0000000000000001E-6</v>
      </c>
      <c r="L506" s="570" t="str">
        <f t="shared" si="94"/>
        <v>Modal 25</v>
      </c>
      <c r="M506" s="570">
        <f t="shared" si="96"/>
        <v>25</v>
      </c>
    </row>
    <row r="507" spans="1:13">
      <c r="A507" s="570" t="str">
        <f t="shared" si="95"/>
        <v>T2326</v>
      </c>
      <c r="C507" s="953" t="str">
        <f t="shared" si="85"/>
        <v>T23</v>
      </c>
      <c r="D507" s="953" t="str">
        <f t="shared" si="86"/>
        <v>D1</v>
      </c>
      <c r="E507" s="953">
        <f t="shared" si="87"/>
        <v>26</v>
      </c>
      <c r="F507" s="953">
        <f t="shared" si="88"/>
        <v>-7.36E-4</v>
      </c>
      <c r="G507" s="953">
        <f t="shared" si="89"/>
        <v>1.751E-3</v>
      </c>
      <c r="H507" s="953">
        <f t="shared" si="90"/>
        <v>0</v>
      </c>
      <c r="I507" s="953">
        <f t="shared" si="91"/>
        <v>0</v>
      </c>
      <c r="J507" s="953">
        <f t="shared" si="92"/>
        <v>0</v>
      </c>
      <c r="K507" s="953">
        <f t="shared" si="93"/>
        <v>2.8E-5</v>
      </c>
      <c r="L507" s="570" t="str">
        <f t="shared" si="94"/>
        <v>Modal 26</v>
      </c>
      <c r="M507" s="570">
        <f t="shared" si="96"/>
        <v>26</v>
      </c>
    </row>
    <row r="508" spans="1:13">
      <c r="A508" s="570" t="str">
        <f t="shared" si="95"/>
        <v>T2327</v>
      </c>
      <c r="C508" s="953" t="str">
        <f t="shared" si="85"/>
        <v>T23</v>
      </c>
      <c r="D508" s="953" t="str">
        <f t="shared" si="86"/>
        <v>D1</v>
      </c>
      <c r="E508" s="953">
        <f t="shared" si="87"/>
        <v>27</v>
      </c>
      <c r="F508" s="953">
        <f t="shared" si="88"/>
        <v>-2.1930000000000001E-3</v>
      </c>
      <c r="G508" s="953">
        <f t="shared" si="89"/>
        <v>4.6099999999999998E-4</v>
      </c>
      <c r="H508" s="953">
        <f t="shared" si="90"/>
        <v>0</v>
      </c>
      <c r="I508" s="953">
        <f t="shared" si="91"/>
        <v>0</v>
      </c>
      <c r="J508" s="953">
        <f t="shared" si="92"/>
        <v>0</v>
      </c>
      <c r="K508" s="953">
        <f t="shared" si="93"/>
        <v>-1.9999999999999999E-6</v>
      </c>
      <c r="L508" s="570" t="str">
        <f t="shared" si="94"/>
        <v>Modal 27</v>
      </c>
      <c r="M508" s="570">
        <f t="shared" si="96"/>
        <v>27</v>
      </c>
    </row>
    <row r="509" spans="1:13">
      <c r="A509" s="570" t="str">
        <f t="shared" si="95"/>
        <v>T2328</v>
      </c>
      <c r="C509" s="953" t="str">
        <f t="shared" si="85"/>
        <v>T23</v>
      </c>
      <c r="D509" s="953" t="str">
        <f t="shared" si="86"/>
        <v>D1</v>
      </c>
      <c r="E509" s="953">
        <f t="shared" si="87"/>
        <v>28</v>
      </c>
      <c r="F509" s="953">
        <f t="shared" si="88"/>
        <v>-9.6699999999999998E-4</v>
      </c>
      <c r="G509" s="953">
        <f t="shared" si="89"/>
        <v>2.8699999999999998E-4</v>
      </c>
      <c r="H509" s="953">
        <f t="shared" si="90"/>
        <v>0</v>
      </c>
      <c r="I509" s="953">
        <f t="shared" si="91"/>
        <v>0</v>
      </c>
      <c r="J509" s="953">
        <f t="shared" si="92"/>
        <v>0</v>
      </c>
      <c r="K509" s="953">
        <f t="shared" si="93"/>
        <v>1.5E-5</v>
      </c>
      <c r="L509" s="570" t="str">
        <f t="shared" si="94"/>
        <v>Modal 28</v>
      </c>
      <c r="M509" s="570">
        <f t="shared" si="96"/>
        <v>28</v>
      </c>
    </row>
    <row r="510" spans="1:13">
      <c r="A510" s="570" t="str">
        <f t="shared" si="95"/>
        <v>T2329</v>
      </c>
      <c r="C510" s="953" t="str">
        <f t="shared" si="85"/>
        <v>T23</v>
      </c>
      <c r="D510" s="953" t="str">
        <f t="shared" si="86"/>
        <v>D1</v>
      </c>
      <c r="E510" s="953">
        <f t="shared" si="87"/>
        <v>29</v>
      </c>
      <c r="F510" s="953">
        <f t="shared" si="88"/>
        <v>1.689E-3</v>
      </c>
      <c r="G510" s="953">
        <f t="shared" si="89"/>
        <v>-6.02E-4</v>
      </c>
      <c r="H510" s="953">
        <f t="shared" si="90"/>
        <v>0</v>
      </c>
      <c r="I510" s="953">
        <f t="shared" si="91"/>
        <v>0</v>
      </c>
      <c r="J510" s="953">
        <f t="shared" si="92"/>
        <v>0</v>
      </c>
      <c r="K510" s="953">
        <f t="shared" si="93"/>
        <v>-9.9999999999999995E-7</v>
      </c>
      <c r="L510" s="570" t="str">
        <f t="shared" si="94"/>
        <v>Modal 29</v>
      </c>
      <c r="M510" s="570">
        <f t="shared" si="96"/>
        <v>29</v>
      </c>
    </row>
    <row r="511" spans="1:13">
      <c r="A511" s="570" t="str">
        <f t="shared" si="95"/>
        <v>T2330</v>
      </c>
      <c r="C511" s="953" t="str">
        <f t="shared" si="85"/>
        <v>T23</v>
      </c>
      <c r="D511" s="953" t="str">
        <f t="shared" si="86"/>
        <v>D1</v>
      </c>
      <c r="E511" s="953">
        <f t="shared" si="87"/>
        <v>30</v>
      </c>
      <c r="F511" s="953">
        <f t="shared" si="88"/>
        <v>5.2099999999999998E-4</v>
      </c>
      <c r="G511" s="953">
        <f t="shared" si="89"/>
        <v>2.3599999999999999E-4</v>
      </c>
      <c r="H511" s="953">
        <f t="shared" si="90"/>
        <v>0</v>
      </c>
      <c r="I511" s="953">
        <f t="shared" si="91"/>
        <v>0</v>
      </c>
      <c r="J511" s="953">
        <f t="shared" si="92"/>
        <v>0</v>
      </c>
      <c r="K511" s="953">
        <f t="shared" si="93"/>
        <v>-1.2E-5</v>
      </c>
      <c r="L511" s="570" t="str">
        <f t="shared" si="94"/>
        <v>Modal 30</v>
      </c>
      <c r="M511" s="570">
        <f t="shared" si="96"/>
        <v>30</v>
      </c>
    </row>
    <row r="512" spans="1:13">
      <c r="A512" s="570" t="str">
        <f t="shared" si="95"/>
        <v>T221</v>
      </c>
      <c r="C512" s="953" t="str">
        <f t="shared" si="85"/>
        <v>T22</v>
      </c>
      <c r="D512" s="953" t="str">
        <f t="shared" si="86"/>
        <v>D1</v>
      </c>
      <c r="E512" s="953">
        <f t="shared" si="87"/>
        <v>1</v>
      </c>
      <c r="F512" s="953">
        <f t="shared" si="88"/>
        <v>-6.9700000000000003E-4</v>
      </c>
      <c r="G512" s="953">
        <f t="shared" si="89"/>
        <v>3.6120000000000002E-3</v>
      </c>
      <c r="H512" s="953">
        <f t="shared" si="90"/>
        <v>0</v>
      </c>
      <c r="I512" s="953">
        <f t="shared" si="91"/>
        <v>0</v>
      </c>
      <c r="J512" s="953">
        <f t="shared" si="92"/>
        <v>0</v>
      </c>
      <c r="K512" s="953">
        <f t="shared" si="93"/>
        <v>3.4E-5</v>
      </c>
      <c r="L512" s="570" t="str">
        <f t="shared" si="94"/>
        <v>Modal 1</v>
      </c>
      <c r="M512" s="570">
        <f t="shared" si="96"/>
        <v>1</v>
      </c>
    </row>
    <row r="513" spans="1:13">
      <c r="A513" s="570" t="str">
        <f t="shared" si="95"/>
        <v>T222</v>
      </c>
      <c r="C513" s="953" t="str">
        <f t="shared" si="85"/>
        <v>T22</v>
      </c>
      <c r="D513" s="953" t="str">
        <f t="shared" si="86"/>
        <v>D1</v>
      </c>
      <c r="E513" s="953">
        <f t="shared" si="87"/>
        <v>2</v>
      </c>
      <c r="F513" s="953">
        <f t="shared" si="88"/>
        <v>-5.7399999999999997E-4</v>
      </c>
      <c r="G513" s="953">
        <f t="shared" si="89"/>
        <v>-7.5500000000000003E-4</v>
      </c>
      <c r="H513" s="953">
        <f t="shared" si="90"/>
        <v>0</v>
      </c>
      <c r="I513" s="953">
        <f t="shared" si="91"/>
        <v>0</v>
      </c>
      <c r="J513" s="953">
        <f t="shared" si="92"/>
        <v>0</v>
      </c>
      <c r="K513" s="953">
        <f t="shared" si="93"/>
        <v>1.9599999999999999E-4</v>
      </c>
      <c r="L513" s="570" t="str">
        <f t="shared" si="94"/>
        <v>Modal 2</v>
      </c>
      <c r="M513" s="570">
        <f t="shared" si="96"/>
        <v>2</v>
      </c>
    </row>
    <row r="514" spans="1:13">
      <c r="A514" s="570" t="str">
        <f t="shared" si="95"/>
        <v>T223</v>
      </c>
      <c r="C514" s="953" t="str">
        <f t="shared" ref="C514:C577" si="97">IF(Etabs="Etabs 9.7.4",IF(INDEX(Mode_1,ROW($E514),COLUMN(A$1))&lt;&gt;"",INDEX(Mode_1,ROW($E514),COLUMN(A$1)),""),IF(Etabs="Etabs 2013 trở lên",IF(INDEX(Mode_2,ROW($E516),COLUMN(A$1))&lt;&gt;"",INDEX(Mode_2,ROW($E516),COLUMN(A$1)),""),""))</f>
        <v>T22</v>
      </c>
      <c r="D514" s="953" t="str">
        <f t="shared" ref="D514:D577" si="98">IF(Etabs="Etabs 9.7.4",IF(INDEX(Mode_1,ROW($E514),COLUMN(B$1))&lt;&gt;"",INDEX(Mode_1,ROW($E514),COLUMN(B$1)),""),IF(Etabs="Etabs 2013 trở lên",IF(INDEX(Mode_2,ROW($E516),COLUMN(B$1))&lt;&gt;"",INDEX(Mode_2,ROW($E516),COLUMN(B$1)),""),""))</f>
        <v>D1</v>
      </c>
      <c r="E514" s="953">
        <f t="shared" ref="E514:E577" si="99">IF(Etabs="Etabs 9.7.4",IF(INDEX(Mode_1,ROW($E514),COLUMN(C$1))&lt;&gt;"",INDEX(Mode_1,ROW($E514),COLUMN(C$1)),""),IF(Etabs="Etabs 2013 trở lên",$M514,""))</f>
        <v>3</v>
      </c>
      <c r="F514" s="953">
        <f t="shared" ref="F514:F577" si="100">IF(Etabs="Etabs 9.7.4",IF(INDEX(Mode_1,ROW($E514),COLUMN(D$1))&lt;&gt;"",INDEX(Mode_1,ROW($E514),COLUMN(D$1)),""),IF(Etabs="Etabs 2013 trở lên",IF(INDEX(Mode_2,ROW($E516),COLUMN(D$1))&lt;&gt;"",INDEX(Mode_2,ROW($E516),COLUMN(D$1)),""),""))</f>
        <v>3.8019999999999998E-3</v>
      </c>
      <c r="G514" s="953">
        <f t="shared" ref="G514:G577" si="101">IF(Etabs="Etabs 9.7.4",IF(INDEX(Mode_1,ROW($E514),COLUMN(E$1))&lt;&gt;"",INDEX(Mode_1,ROW($E514),COLUMN(E$1)),""),IF(Etabs="Etabs 2013 trở lên",IF(INDEX(Mode_2,ROW($E516),COLUMN(E$1))&lt;&gt;"",INDEX(Mode_2,ROW($E516),COLUMN(E$1)),""),""))</f>
        <v>6.4700000000000001E-4</v>
      </c>
      <c r="H514" s="953">
        <f t="shared" ref="H514:H577" si="102">IF(Etabs="Etabs 9.7.4",IF(INDEX(Mode_1,ROW($E514),COLUMN(F$1))&lt;&gt;"",INDEX(Mode_1,ROW($E514),COLUMN(F$1)),""),IF(Etabs="Etabs 2013 trở lên",0,""))</f>
        <v>0</v>
      </c>
      <c r="I514" s="953">
        <f t="shared" ref="I514:I577" si="103">IF(Etabs="Etabs 9.7.4",IF(INDEX(Mode_1,ROW($E514),COLUMN(G$1))&lt;&gt;"",INDEX(Mode_1,ROW($E514),COLUMN(G$1)),""),IF(Etabs="Etabs 2013 trở lên",0,""))</f>
        <v>0</v>
      </c>
      <c r="J514" s="953">
        <f t="shared" ref="J514:J577" si="104">IF(Etabs="Etabs 9.7.4",IF(INDEX(Mode_1,ROW($E514),COLUMN(H$1))&lt;&gt;"",INDEX(Mode_1,ROW($E514),COLUMN(H$1)),""),IF(Etabs="Etabs 2013 trở lên",0,""))</f>
        <v>0</v>
      </c>
      <c r="K514" s="953">
        <f t="shared" ref="K514:K577" si="105">IF(Etabs="Etabs 9.7.4",IF(INDEX(Mode_1,ROW($E514),COLUMN(I$1))&lt;&gt;"",INDEX(Mode_1,ROW($E514),COLUMN(I$1)),""),IF(Etabs="Etabs 2013 trở lên",IF(INDEX(Mode_2,ROW($E516),COLUMN(F$1))&lt;&gt;"",INDEX(Mode_2,ROW($E516),COLUMN(F$1)),""),""))</f>
        <v>3.4E-5</v>
      </c>
      <c r="L514" s="570" t="str">
        <f t="shared" ref="L514:L577" si="106">IF(Etabs="Etabs 9.7.4",IF(INDEX(Mode_1,ROW($E514),COLUMN(C$1))&lt;&gt;"",INDEX(Mode_1,ROW($E514),COLUMN(C$1)),""),IF(Etabs="Etabs 2013 trở lên",IF(INDEX(Mode_2,ROW($E516),COLUMN(C$1))&lt;&gt;"",INDEX(Mode_2,ROW($E516),COLUMN(C$1)),""),""))</f>
        <v>Modal 3</v>
      </c>
      <c r="M514" s="570">
        <f t="shared" si="96"/>
        <v>3</v>
      </c>
    </row>
    <row r="515" spans="1:13">
      <c r="A515" s="570" t="str">
        <f t="shared" ref="A515:A542" si="107">C515&amp;E515</f>
        <v>T224</v>
      </c>
      <c r="C515" s="953" t="str">
        <f t="shared" si="97"/>
        <v>T22</v>
      </c>
      <c r="D515" s="953" t="str">
        <f t="shared" si="98"/>
        <v>D1</v>
      </c>
      <c r="E515" s="953">
        <f t="shared" si="99"/>
        <v>4</v>
      </c>
      <c r="F515" s="953">
        <f t="shared" si="100"/>
        <v>-6.0800000000000003E-4</v>
      </c>
      <c r="G515" s="953">
        <f t="shared" si="101"/>
        <v>2.5999999999999998E-5</v>
      </c>
      <c r="H515" s="953">
        <f t="shared" si="102"/>
        <v>0</v>
      </c>
      <c r="I515" s="953">
        <f t="shared" si="103"/>
        <v>0</v>
      </c>
      <c r="J515" s="953">
        <f t="shared" si="104"/>
        <v>0</v>
      </c>
      <c r="K515" s="953">
        <f t="shared" si="105"/>
        <v>1.85E-4</v>
      </c>
      <c r="L515" s="570" t="str">
        <f t="shared" si="106"/>
        <v>Modal 4</v>
      </c>
      <c r="M515" s="570">
        <f t="shared" ref="M515:M578" si="108">IFERROR(VALUE(RIGHT(L515,LEN(L515)-6)),"")</f>
        <v>4</v>
      </c>
    </row>
    <row r="516" spans="1:13">
      <c r="A516" s="570" t="str">
        <f t="shared" si="107"/>
        <v>T225</v>
      </c>
      <c r="C516" s="953" t="str">
        <f t="shared" si="97"/>
        <v>T22</v>
      </c>
      <c r="D516" s="953" t="str">
        <f t="shared" si="98"/>
        <v>D1</v>
      </c>
      <c r="E516" s="953">
        <f t="shared" si="99"/>
        <v>5</v>
      </c>
      <c r="F516" s="953">
        <f t="shared" si="100"/>
        <v>5.8E-4</v>
      </c>
      <c r="G516" s="953">
        <f t="shared" si="101"/>
        <v>-4.47E-3</v>
      </c>
      <c r="H516" s="953">
        <f t="shared" si="102"/>
        <v>0</v>
      </c>
      <c r="I516" s="953">
        <f t="shared" si="103"/>
        <v>0</v>
      </c>
      <c r="J516" s="953">
        <f t="shared" si="104"/>
        <v>0</v>
      </c>
      <c r="K516" s="953">
        <f t="shared" si="105"/>
        <v>6.0000000000000002E-6</v>
      </c>
      <c r="L516" s="570" t="str">
        <f t="shared" si="106"/>
        <v>Modal 5</v>
      </c>
      <c r="M516" s="570">
        <f t="shared" si="108"/>
        <v>5</v>
      </c>
    </row>
    <row r="517" spans="1:13">
      <c r="A517" s="570" t="str">
        <f t="shared" si="107"/>
        <v>T226</v>
      </c>
      <c r="C517" s="953" t="str">
        <f t="shared" si="97"/>
        <v>T22</v>
      </c>
      <c r="D517" s="953" t="str">
        <f t="shared" si="98"/>
        <v>D1</v>
      </c>
      <c r="E517" s="953">
        <f t="shared" si="99"/>
        <v>6</v>
      </c>
      <c r="F517" s="953">
        <f t="shared" si="100"/>
        <v>-4.2209999999999999E-3</v>
      </c>
      <c r="G517" s="953">
        <f t="shared" si="101"/>
        <v>-4.9899999999999999E-4</v>
      </c>
      <c r="H517" s="953">
        <f t="shared" si="102"/>
        <v>0</v>
      </c>
      <c r="I517" s="953">
        <f t="shared" si="103"/>
        <v>0</v>
      </c>
      <c r="J517" s="953">
        <f t="shared" si="104"/>
        <v>0</v>
      </c>
      <c r="K517" s="953">
        <f t="shared" si="105"/>
        <v>-2.1999999999999999E-5</v>
      </c>
      <c r="L517" s="570" t="str">
        <f t="shared" si="106"/>
        <v>Modal 6</v>
      </c>
      <c r="M517" s="570">
        <f t="shared" si="108"/>
        <v>6</v>
      </c>
    </row>
    <row r="518" spans="1:13">
      <c r="A518" s="570" t="str">
        <f t="shared" si="107"/>
        <v>T227</v>
      </c>
      <c r="C518" s="953" t="str">
        <f t="shared" si="97"/>
        <v>T22</v>
      </c>
      <c r="D518" s="953" t="str">
        <f t="shared" si="98"/>
        <v>D1</v>
      </c>
      <c r="E518" s="953">
        <f t="shared" si="99"/>
        <v>7</v>
      </c>
      <c r="F518" s="953">
        <f t="shared" si="100"/>
        <v>-3.9800000000000002E-4</v>
      </c>
      <c r="G518" s="953">
        <f t="shared" si="101"/>
        <v>9.9999999999999995E-7</v>
      </c>
      <c r="H518" s="953">
        <f t="shared" si="102"/>
        <v>0</v>
      </c>
      <c r="I518" s="953">
        <f t="shared" si="103"/>
        <v>0</v>
      </c>
      <c r="J518" s="953">
        <f t="shared" si="104"/>
        <v>0</v>
      </c>
      <c r="K518" s="953">
        <f t="shared" si="105"/>
        <v>2.1499999999999999E-4</v>
      </c>
      <c r="L518" s="570" t="str">
        <f t="shared" si="106"/>
        <v>Modal 7</v>
      </c>
      <c r="M518" s="570">
        <f t="shared" si="108"/>
        <v>7</v>
      </c>
    </row>
    <row r="519" spans="1:13">
      <c r="A519" s="570" t="str">
        <f t="shared" si="107"/>
        <v>T228</v>
      </c>
      <c r="C519" s="953" t="str">
        <f t="shared" si="97"/>
        <v>T22</v>
      </c>
      <c r="D519" s="953" t="str">
        <f t="shared" si="98"/>
        <v>D1</v>
      </c>
      <c r="E519" s="953">
        <f t="shared" si="99"/>
        <v>8</v>
      </c>
      <c r="F519" s="953">
        <f t="shared" si="100"/>
        <v>-3.5599999999999998E-4</v>
      </c>
      <c r="G519" s="953">
        <f t="shared" si="101"/>
        <v>3.8210000000000002E-3</v>
      </c>
      <c r="H519" s="953">
        <f t="shared" si="102"/>
        <v>0</v>
      </c>
      <c r="I519" s="953">
        <f t="shared" si="103"/>
        <v>0</v>
      </c>
      <c r="J519" s="953">
        <f t="shared" si="104"/>
        <v>0</v>
      </c>
      <c r="K519" s="953">
        <f t="shared" si="105"/>
        <v>-1.9999999999999999E-6</v>
      </c>
      <c r="L519" s="570" t="str">
        <f t="shared" si="106"/>
        <v>Modal 8</v>
      </c>
      <c r="M519" s="570">
        <f t="shared" si="108"/>
        <v>8</v>
      </c>
    </row>
    <row r="520" spans="1:13">
      <c r="A520" s="570" t="str">
        <f t="shared" si="107"/>
        <v>T229</v>
      </c>
      <c r="C520" s="953" t="str">
        <f t="shared" si="97"/>
        <v>T22</v>
      </c>
      <c r="D520" s="953" t="str">
        <f t="shared" si="98"/>
        <v>D1</v>
      </c>
      <c r="E520" s="953">
        <f t="shared" si="99"/>
        <v>9</v>
      </c>
      <c r="F520" s="953">
        <f t="shared" si="100"/>
        <v>-8.2999999999999998E-5</v>
      </c>
      <c r="G520" s="953">
        <f t="shared" si="101"/>
        <v>-1.2999999999999999E-5</v>
      </c>
      <c r="H520" s="953">
        <f t="shared" si="102"/>
        <v>0</v>
      </c>
      <c r="I520" s="953">
        <f t="shared" si="103"/>
        <v>0</v>
      </c>
      <c r="J520" s="953">
        <f t="shared" si="104"/>
        <v>0</v>
      </c>
      <c r="K520" s="953">
        <f t="shared" si="105"/>
        <v>-1.34E-4</v>
      </c>
      <c r="L520" s="570" t="str">
        <f t="shared" si="106"/>
        <v>Modal 9</v>
      </c>
      <c r="M520" s="570">
        <f t="shared" si="108"/>
        <v>9</v>
      </c>
    </row>
    <row r="521" spans="1:13">
      <c r="A521" s="570" t="str">
        <f t="shared" si="107"/>
        <v>T2210</v>
      </c>
      <c r="C521" s="953" t="str">
        <f t="shared" si="97"/>
        <v>T22</v>
      </c>
      <c r="D521" s="953" t="str">
        <f t="shared" si="98"/>
        <v>D1</v>
      </c>
      <c r="E521" s="953">
        <f t="shared" si="99"/>
        <v>10</v>
      </c>
      <c r="F521" s="953">
        <f t="shared" si="100"/>
        <v>3.9560000000000003E-3</v>
      </c>
      <c r="G521" s="953">
        <f t="shared" si="101"/>
        <v>4.1100000000000002E-4</v>
      </c>
      <c r="H521" s="953">
        <f t="shared" si="102"/>
        <v>0</v>
      </c>
      <c r="I521" s="953">
        <f t="shared" si="103"/>
        <v>0</v>
      </c>
      <c r="J521" s="953">
        <f t="shared" si="104"/>
        <v>0</v>
      </c>
      <c r="K521" s="953">
        <f t="shared" si="105"/>
        <v>9.0000000000000002E-6</v>
      </c>
      <c r="L521" s="570" t="str">
        <f t="shared" si="106"/>
        <v>Modal 10</v>
      </c>
      <c r="M521" s="570">
        <f t="shared" si="108"/>
        <v>10</v>
      </c>
    </row>
    <row r="522" spans="1:13">
      <c r="A522" s="570" t="str">
        <f t="shared" si="107"/>
        <v>T2211</v>
      </c>
      <c r="C522" s="953" t="str">
        <f t="shared" si="97"/>
        <v>T22</v>
      </c>
      <c r="D522" s="953" t="str">
        <f t="shared" si="98"/>
        <v>D1</v>
      </c>
      <c r="E522" s="953">
        <f t="shared" si="99"/>
        <v>11</v>
      </c>
      <c r="F522" s="953">
        <f t="shared" si="100"/>
        <v>-3.97E-4</v>
      </c>
      <c r="G522" s="953">
        <f t="shared" si="101"/>
        <v>-1.106E-3</v>
      </c>
      <c r="H522" s="953">
        <f t="shared" si="102"/>
        <v>0</v>
      </c>
      <c r="I522" s="953">
        <f t="shared" si="103"/>
        <v>0</v>
      </c>
      <c r="J522" s="953">
        <f t="shared" si="104"/>
        <v>0</v>
      </c>
      <c r="K522" s="953">
        <f t="shared" si="105"/>
        <v>2.3900000000000001E-4</v>
      </c>
      <c r="L522" s="570" t="str">
        <f t="shared" si="106"/>
        <v>Modal 11</v>
      </c>
      <c r="M522" s="570">
        <f t="shared" si="108"/>
        <v>11</v>
      </c>
    </row>
    <row r="523" spans="1:13">
      <c r="A523" s="570" t="str">
        <f t="shared" si="107"/>
        <v>T2212</v>
      </c>
      <c r="C523" s="953" t="str">
        <f t="shared" si="97"/>
        <v>T22</v>
      </c>
      <c r="D523" s="953" t="str">
        <f t="shared" si="98"/>
        <v>D1</v>
      </c>
      <c r="E523" s="953">
        <f t="shared" si="99"/>
        <v>12</v>
      </c>
      <c r="F523" s="953">
        <f t="shared" si="100"/>
        <v>-4.9100000000000001E-4</v>
      </c>
      <c r="G523" s="953">
        <f t="shared" si="101"/>
        <v>2.9550000000000002E-3</v>
      </c>
      <c r="H523" s="953">
        <f t="shared" si="102"/>
        <v>0</v>
      </c>
      <c r="I523" s="953">
        <f t="shared" si="103"/>
        <v>0</v>
      </c>
      <c r="J523" s="953">
        <f t="shared" si="104"/>
        <v>0</v>
      </c>
      <c r="K523" s="953">
        <f t="shared" si="105"/>
        <v>8.6000000000000003E-5</v>
      </c>
      <c r="L523" s="570" t="str">
        <f t="shared" si="106"/>
        <v>Modal 12</v>
      </c>
      <c r="M523" s="570">
        <f t="shared" si="108"/>
        <v>12</v>
      </c>
    </row>
    <row r="524" spans="1:13">
      <c r="A524" s="570" t="str">
        <f t="shared" si="107"/>
        <v>T2213</v>
      </c>
      <c r="C524" s="953" t="str">
        <f t="shared" si="97"/>
        <v>T22</v>
      </c>
      <c r="D524" s="953" t="str">
        <f t="shared" si="98"/>
        <v>D1</v>
      </c>
      <c r="E524" s="953">
        <f t="shared" si="99"/>
        <v>13</v>
      </c>
      <c r="F524" s="953">
        <f t="shared" si="100"/>
        <v>-2.928E-3</v>
      </c>
      <c r="G524" s="953">
        <f t="shared" si="101"/>
        <v>-2.61E-4</v>
      </c>
      <c r="H524" s="953">
        <f t="shared" si="102"/>
        <v>0</v>
      </c>
      <c r="I524" s="953">
        <f t="shared" si="103"/>
        <v>0</v>
      </c>
      <c r="J524" s="953">
        <f t="shared" si="104"/>
        <v>0</v>
      </c>
      <c r="K524" s="953">
        <f t="shared" si="105"/>
        <v>-2.4000000000000001E-5</v>
      </c>
      <c r="L524" s="570" t="str">
        <f t="shared" si="106"/>
        <v>Modal 13</v>
      </c>
      <c r="M524" s="570">
        <f t="shared" si="108"/>
        <v>13</v>
      </c>
    </row>
    <row r="525" spans="1:13">
      <c r="A525" s="570" t="str">
        <f t="shared" si="107"/>
        <v>T2214</v>
      </c>
      <c r="C525" s="953" t="str">
        <f t="shared" si="97"/>
        <v>T22</v>
      </c>
      <c r="D525" s="953" t="str">
        <f t="shared" si="98"/>
        <v>D1</v>
      </c>
      <c r="E525" s="953">
        <f t="shared" si="99"/>
        <v>14</v>
      </c>
      <c r="F525" s="953">
        <f t="shared" si="100"/>
        <v>1.4899999999999999E-4</v>
      </c>
      <c r="G525" s="953">
        <f t="shared" si="101"/>
        <v>1.27E-4</v>
      </c>
      <c r="H525" s="953">
        <f t="shared" si="102"/>
        <v>0</v>
      </c>
      <c r="I525" s="953">
        <f t="shared" si="103"/>
        <v>0</v>
      </c>
      <c r="J525" s="953">
        <f t="shared" si="104"/>
        <v>0</v>
      </c>
      <c r="K525" s="953">
        <f t="shared" si="105"/>
        <v>3.1999999999999999E-5</v>
      </c>
      <c r="L525" s="570" t="str">
        <f t="shared" si="106"/>
        <v>Modal 14</v>
      </c>
      <c r="M525" s="570">
        <f t="shared" si="108"/>
        <v>14</v>
      </c>
    </row>
    <row r="526" spans="1:13">
      <c r="A526" s="570" t="str">
        <f t="shared" si="107"/>
        <v>T2215</v>
      </c>
      <c r="C526" s="953" t="str">
        <f t="shared" si="97"/>
        <v>T22</v>
      </c>
      <c r="D526" s="953" t="str">
        <f t="shared" si="98"/>
        <v>D1</v>
      </c>
      <c r="E526" s="953">
        <f t="shared" si="99"/>
        <v>15</v>
      </c>
      <c r="F526" s="953">
        <f t="shared" si="100"/>
        <v>4.8099999999999998E-4</v>
      </c>
      <c r="G526" s="953">
        <f t="shared" si="101"/>
        <v>-5.2069999999999998E-3</v>
      </c>
      <c r="H526" s="953">
        <f t="shared" si="102"/>
        <v>0</v>
      </c>
      <c r="I526" s="953">
        <f t="shared" si="103"/>
        <v>0</v>
      </c>
      <c r="J526" s="953">
        <f t="shared" si="104"/>
        <v>0</v>
      </c>
      <c r="K526" s="953">
        <f t="shared" si="105"/>
        <v>6.9999999999999999E-6</v>
      </c>
      <c r="L526" s="570" t="str">
        <f t="shared" si="106"/>
        <v>Modal 15</v>
      </c>
      <c r="M526" s="570">
        <f t="shared" si="108"/>
        <v>15</v>
      </c>
    </row>
    <row r="527" spans="1:13">
      <c r="A527" s="570" t="str">
        <f t="shared" si="107"/>
        <v>T2216</v>
      </c>
      <c r="C527" s="953" t="str">
        <f t="shared" si="97"/>
        <v>T22</v>
      </c>
      <c r="D527" s="953" t="str">
        <f t="shared" si="98"/>
        <v>D1</v>
      </c>
      <c r="E527" s="953">
        <f t="shared" si="99"/>
        <v>16</v>
      </c>
      <c r="F527" s="953">
        <f t="shared" si="100"/>
        <v>9.0200000000000002E-4</v>
      </c>
      <c r="G527" s="953">
        <f t="shared" si="101"/>
        <v>-4.3999999999999999E-5</v>
      </c>
      <c r="H527" s="953">
        <f t="shared" si="102"/>
        <v>0</v>
      </c>
      <c r="I527" s="953">
        <f t="shared" si="103"/>
        <v>0</v>
      </c>
      <c r="J527" s="953">
        <f t="shared" si="104"/>
        <v>0</v>
      </c>
      <c r="K527" s="953">
        <f t="shared" si="105"/>
        <v>-2.4499999999999999E-4</v>
      </c>
      <c r="L527" s="570" t="str">
        <f t="shared" si="106"/>
        <v>Modal 16</v>
      </c>
      <c r="M527" s="570">
        <f t="shared" si="108"/>
        <v>16</v>
      </c>
    </row>
    <row r="528" spans="1:13">
      <c r="A528" s="570" t="str">
        <f t="shared" si="107"/>
        <v>T2217</v>
      </c>
      <c r="C528" s="953" t="str">
        <f t="shared" si="97"/>
        <v>T22</v>
      </c>
      <c r="D528" s="953" t="str">
        <f t="shared" si="98"/>
        <v>D1</v>
      </c>
      <c r="E528" s="953">
        <f t="shared" si="99"/>
        <v>17</v>
      </c>
      <c r="F528" s="953">
        <f t="shared" si="100"/>
        <v>5.1599999999999997E-3</v>
      </c>
      <c r="G528" s="953">
        <f t="shared" si="101"/>
        <v>5.0299999999999997E-4</v>
      </c>
      <c r="H528" s="953">
        <f t="shared" si="102"/>
        <v>0</v>
      </c>
      <c r="I528" s="953">
        <f t="shared" si="103"/>
        <v>0</v>
      </c>
      <c r="J528" s="953">
        <f t="shared" si="104"/>
        <v>0</v>
      </c>
      <c r="K528" s="953">
        <f t="shared" si="105"/>
        <v>5.3999999999999998E-5</v>
      </c>
      <c r="L528" s="570" t="str">
        <f t="shared" si="106"/>
        <v>Modal 17</v>
      </c>
      <c r="M528" s="570">
        <f t="shared" si="108"/>
        <v>17</v>
      </c>
    </row>
    <row r="529" spans="1:13">
      <c r="A529" s="570" t="str">
        <f t="shared" si="107"/>
        <v>T2218</v>
      </c>
      <c r="C529" s="953" t="str">
        <f t="shared" si="97"/>
        <v>T22</v>
      </c>
      <c r="D529" s="953" t="str">
        <f t="shared" si="98"/>
        <v>D1</v>
      </c>
      <c r="E529" s="953">
        <f t="shared" si="99"/>
        <v>18</v>
      </c>
      <c r="F529" s="953">
        <f t="shared" si="100"/>
        <v>-2.23E-4</v>
      </c>
      <c r="G529" s="953">
        <f t="shared" si="101"/>
        <v>7.6499999999999995E-4</v>
      </c>
      <c r="H529" s="953">
        <f t="shared" si="102"/>
        <v>0</v>
      </c>
      <c r="I529" s="953">
        <f t="shared" si="103"/>
        <v>0</v>
      </c>
      <c r="J529" s="953">
        <f t="shared" si="104"/>
        <v>0</v>
      </c>
      <c r="K529" s="953">
        <f t="shared" si="105"/>
        <v>3.1000000000000001E-5</v>
      </c>
      <c r="L529" s="570" t="str">
        <f t="shared" si="106"/>
        <v>Modal 18</v>
      </c>
      <c r="M529" s="570">
        <f t="shared" si="108"/>
        <v>18</v>
      </c>
    </row>
    <row r="530" spans="1:13">
      <c r="A530" s="570" t="str">
        <f t="shared" si="107"/>
        <v>T2219</v>
      </c>
      <c r="C530" s="953" t="str">
        <f t="shared" si="97"/>
        <v>T22</v>
      </c>
      <c r="D530" s="953" t="str">
        <f t="shared" si="98"/>
        <v>D1</v>
      </c>
      <c r="E530" s="953">
        <f t="shared" si="99"/>
        <v>19</v>
      </c>
      <c r="F530" s="953">
        <f t="shared" si="100"/>
        <v>4.0400000000000001E-4</v>
      </c>
      <c r="G530" s="953">
        <f t="shared" si="101"/>
        <v>4.3399999999999998E-4</v>
      </c>
      <c r="H530" s="953">
        <f t="shared" si="102"/>
        <v>0</v>
      </c>
      <c r="I530" s="953">
        <f t="shared" si="103"/>
        <v>0</v>
      </c>
      <c r="J530" s="953">
        <f t="shared" si="104"/>
        <v>0</v>
      </c>
      <c r="K530" s="953">
        <f t="shared" si="105"/>
        <v>-1.2899999999999999E-4</v>
      </c>
      <c r="L530" s="570" t="str">
        <f t="shared" si="106"/>
        <v>Modal 19</v>
      </c>
      <c r="M530" s="570">
        <f t="shared" si="108"/>
        <v>19</v>
      </c>
    </row>
    <row r="531" spans="1:13">
      <c r="A531" s="570" t="str">
        <f t="shared" si="107"/>
        <v>T2220</v>
      </c>
      <c r="C531" s="953" t="str">
        <f t="shared" si="97"/>
        <v>T22</v>
      </c>
      <c r="D531" s="953" t="str">
        <f t="shared" si="98"/>
        <v>D1</v>
      </c>
      <c r="E531" s="953">
        <f t="shared" si="99"/>
        <v>20</v>
      </c>
      <c r="F531" s="953">
        <f t="shared" si="100"/>
        <v>4.6799999999999999E-4</v>
      </c>
      <c r="G531" s="953">
        <f t="shared" si="101"/>
        <v>-7.7000000000000001E-5</v>
      </c>
      <c r="H531" s="953">
        <f t="shared" si="102"/>
        <v>0</v>
      </c>
      <c r="I531" s="953">
        <f t="shared" si="103"/>
        <v>0</v>
      </c>
      <c r="J531" s="953">
        <f t="shared" si="104"/>
        <v>0</v>
      </c>
      <c r="K531" s="953">
        <f t="shared" si="105"/>
        <v>2.0000000000000002E-5</v>
      </c>
      <c r="L531" s="570" t="str">
        <f t="shared" si="106"/>
        <v>Modal 20</v>
      </c>
      <c r="M531" s="570">
        <f t="shared" si="108"/>
        <v>20</v>
      </c>
    </row>
    <row r="532" spans="1:13">
      <c r="A532" s="570" t="str">
        <f t="shared" si="107"/>
        <v>T2221</v>
      </c>
      <c r="C532" s="953" t="str">
        <f t="shared" si="97"/>
        <v>T22</v>
      </c>
      <c r="D532" s="953" t="str">
        <f t="shared" si="98"/>
        <v>D1</v>
      </c>
      <c r="E532" s="953">
        <f t="shared" si="99"/>
        <v>21</v>
      </c>
      <c r="F532" s="953">
        <f t="shared" si="100"/>
        <v>5.3700000000000004E-4</v>
      </c>
      <c r="G532" s="953">
        <f t="shared" si="101"/>
        <v>-5.3759999999999997E-3</v>
      </c>
      <c r="H532" s="953">
        <f t="shared" si="102"/>
        <v>0</v>
      </c>
      <c r="I532" s="953">
        <f t="shared" si="103"/>
        <v>0</v>
      </c>
      <c r="J532" s="953">
        <f t="shared" si="104"/>
        <v>0</v>
      </c>
      <c r="K532" s="953">
        <f t="shared" si="105"/>
        <v>1.9000000000000001E-5</v>
      </c>
      <c r="L532" s="570" t="str">
        <f t="shared" si="106"/>
        <v>Modal 21</v>
      </c>
      <c r="M532" s="570">
        <f t="shared" si="108"/>
        <v>21</v>
      </c>
    </row>
    <row r="533" spans="1:13">
      <c r="A533" s="570" t="str">
        <f t="shared" si="107"/>
        <v>T2222</v>
      </c>
      <c r="C533" s="953" t="str">
        <f t="shared" si="97"/>
        <v>T22</v>
      </c>
      <c r="D533" s="953" t="str">
        <f t="shared" si="98"/>
        <v>D1</v>
      </c>
      <c r="E533" s="953">
        <f t="shared" si="99"/>
        <v>22</v>
      </c>
      <c r="F533" s="953">
        <f t="shared" si="100"/>
        <v>4.463E-3</v>
      </c>
      <c r="G533" s="953">
        <f t="shared" si="101"/>
        <v>5.2700000000000002E-4</v>
      </c>
      <c r="H533" s="953">
        <f t="shared" si="102"/>
        <v>0</v>
      </c>
      <c r="I533" s="953">
        <f t="shared" si="103"/>
        <v>0</v>
      </c>
      <c r="J533" s="953">
        <f t="shared" si="104"/>
        <v>0</v>
      </c>
      <c r="K533" s="953">
        <f t="shared" si="105"/>
        <v>1.3999999999999999E-4</v>
      </c>
      <c r="L533" s="570" t="str">
        <f t="shared" si="106"/>
        <v>Modal 22</v>
      </c>
      <c r="M533" s="570">
        <f t="shared" si="108"/>
        <v>22</v>
      </c>
    </row>
    <row r="534" spans="1:13">
      <c r="A534" s="570" t="str">
        <f t="shared" si="107"/>
        <v>T2223</v>
      </c>
      <c r="C534" s="953" t="str">
        <f t="shared" si="97"/>
        <v>T22</v>
      </c>
      <c r="D534" s="953" t="str">
        <f t="shared" si="98"/>
        <v>D1</v>
      </c>
      <c r="E534" s="953">
        <f t="shared" si="99"/>
        <v>23</v>
      </c>
      <c r="F534" s="953">
        <f t="shared" si="100"/>
        <v>-1.8270000000000001E-3</v>
      </c>
      <c r="G534" s="953">
        <f t="shared" si="101"/>
        <v>-1.8469999999999999E-3</v>
      </c>
      <c r="H534" s="953">
        <f t="shared" si="102"/>
        <v>0</v>
      </c>
      <c r="I534" s="953">
        <f t="shared" si="103"/>
        <v>0</v>
      </c>
      <c r="J534" s="953">
        <f t="shared" si="104"/>
        <v>0</v>
      </c>
      <c r="K534" s="953">
        <f t="shared" si="105"/>
        <v>7.3999999999999996E-5</v>
      </c>
      <c r="L534" s="570" t="str">
        <f t="shared" si="106"/>
        <v>Modal 23</v>
      </c>
      <c r="M534" s="570">
        <f t="shared" si="108"/>
        <v>23</v>
      </c>
    </row>
    <row r="535" spans="1:13">
      <c r="A535" s="570" t="str">
        <f t="shared" si="107"/>
        <v>T2224</v>
      </c>
      <c r="C535" s="953" t="str">
        <f t="shared" si="97"/>
        <v>T22</v>
      </c>
      <c r="D535" s="953" t="str">
        <f t="shared" si="98"/>
        <v>D1</v>
      </c>
      <c r="E535" s="953">
        <f t="shared" si="99"/>
        <v>24</v>
      </c>
      <c r="F535" s="953">
        <f t="shared" si="100"/>
        <v>1.34E-4</v>
      </c>
      <c r="G535" s="953">
        <f t="shared" si="101"/>
        <v>-2.4719999999999998E-3</v>
      </c>
      <c r="H535" s="953">
        <f t="shared" si="102"/>
        <v>0</v>
      </c>
      <c r="I535" s="953">
        <f t="shared" si="103"/>
        <v>0</v>
      </c>
      <c r="J535" s="953">
        <f t="shared" si="104"/>
        <v>0</v>
      </c>
      <c r="K535" s="953">
        <f t="shared" si="105"/>
        <v>-1.13E-4</v>
      </c>
      <c r="L535" s="570" t="str">
        <f t="shared" si="106"/>
        <v>Modal 24</v>
      </c>
      <c r="M535" s="570">
        <f t="shared" si="108"/>
        <v>24</v>
      </c>
    </row>
    <row r="536" spans="1:13">
      <c r="A536" s="570" t="str">
        <f t="shared" si="107"/>
        <v>T2225</v>
      </c>
      <c r="C536" s="953" t="str">
        <f t="shared" si="97"/>
        <v>T22</v>
      </c>
      <c r="D536" s="953" t="str">
        <f t="shared" si="98"/>
        <v>D1</v>
      </c>
      <c r="E536" s="953">
        <f t="shared" si="99"/>
        <v>25</v>
      </c>
      <c r="F536" s="953">
        <f t="shared" si="100"/>
        <v>-3.143E-3</v>
      </c>
      <c r="G536" s="953">
        <f t="shared" si="101"/>
        <v>7.9799999999999999E-4</v>
      </c>
      <c r="H536" s="953">
        <f t="shared" si="102"/>
        <v>0</v>
      </c>
      <c r="I536" s="953">
        <f t="shared" si="103"/>
        <v>0</v>
      </c>
      <c r="J536" s="953">
        <f t="shared" si="104"/>
        <v>0</v>
      </c>
      <c r="K536" s="953">
        <f t="shared" si="105"/>
        <v>2.8E-5</v>
      </c>
      <c r="L536" s="570" t="str">
        <f t="shared" si="106"/>
        <v>Modal 25</v>
      </c>
      <c r="M536" s="570">
        <f t="shared" si="108"/>
        <v>25</v>
      </c>
    </row>
    <row r="537" spans="1:13">
      <c r="A537" s="570" t="str">
        <f t="shared" si="107"/>
        <v>T2226</v>
      </c>
      <c r="C537" s="953" t="str">
        <f t="shared" si="97"/>
        <v>T22</v>
      </c>
      <c r="D537" s="953" t="str">
        <f t="shared" si="98"/>
        <v>D1</v>
      </c>
      <c r="E537" s="953">
        <f t="shared" si="99"/>
        <v>26</v>
      </c>
      <c r="F537" s="953">
        <f t="shared" si="100"/>
        <v>-1.825E-3</v>
      </c>
      <c r="G537" s="953">
        <f t="shared" si="101"/>
        <v>-2.2900000000000001E-4</v>
      </c>
      <c r="H537" s="953">
        <f t="shared" si="102"/>
        <v>0</v>
      </c>
      <c r="I537" s="953">
        <f t="shared" si="103"/>
        <v>0</v>
      </c>
      <c r="J537" s="953">
        <f t="shared" si="104"/>
        <v>0</v>
      </c>
      <c r="K537" s="953">
        <f t="shared" si="105"/>
        <v>3.6000000000000001E-5</v>
      </c>
      <c r="L537" s="570" t="str">
        <f t="shared" si="106"/>
        <v>Modal 26</v>
      </c>
      <c r="M537" s="570">
        <f t="shared" si="108"/>
        <v>26</v>
      </c>
    </row>
    <row r="538" spans="1:13">
      <c r="A538" s="570" t="str">
        <f t="shared" si="107"/>
        <v>T2227</v>
      </c>
      <c r="C538" s="953" t="str">
        <f t="shared" si="97"/>
        <v>T22</v>
      </c>
      <c r="D538" s="953" t="str">
        <f t="shared" si="98"/>
        <v>D1</v>
      </c>
      <c r="E538" s="953">
        <f t="shared" si="99"/>
        <v>27</v>
      </c>
      <c r="F538" s="953">
        <f t="shared" si="100"/>
        <v>-2.0040000000000001E-3</v>
      </c>
      <c r="G538" s="953">
        <f t="shared" si="101"/>
        <v>1.243E-3</v>
      </c>
      <c r="H538" s="953">
        <f t="shared" si="102"/>
        <v>0</v>
      </c>
      <c r="I538" s="953">
        <f t="shared" si="103"/>
        <v>0</v>
      </c>
      <c r="J538" s="953">
        <f t="shared" si="104"/>
        <v>0</v>
      </c>
      <c r="K538" s="953">
        <f t="shared" si="105"/>
        <v>2.6999999999999999E-5</v>
      </c>
      <c r="L538" s="570" t="str">
        <f t="shared" si="106"/>
        <v>Modal 27</v>
      </c>
      <c r="M538" s="570">
        <f t="shared" si="108"/>
        <v>27</v>
      </c>
    </row>
    <row r="539" spans="1:13">
      <c r="A539" s="570" t="str">
        <f t="shared" si="107"/>
        <v>T2228</v>
      </c>
      <c r="C539" s="953" t="str">
        <f t="shared" si="97"/>
        <v>T22</v>
      </c>
      <c r="D539" s="953" t="str">
        <f t="shared" si="98"/>
        <v>D1</v>
      </c>
      <c r="E539" s="953">
        <f t="shared" si="99"/>
        <v>28</v>
      </c>
      <c r="F539" s="953">
        <f t="shared" si="100"/>
        <v>-1.371E-3</v>
      </c>
      <c r="G539" s="953">
        <f t="shared" si="101"/>
        <v>-1.3519999999999999E-3</v>
      </c>
      <c r="H539" s="953">
        <f t="shared" si="102"/>
        <v>0</v>
      </c>
      <c r="I539" s="953">
        <f t="shared" si="103"/>
        <v>0</v>
      </c>
      <c r="J539" s="953">
        <f t="shared" si="104"/>
        <v>0</v>
      </c>
      <c r="K539" s="953">
        <f t="shared" si="105"/>
        <v>1.8E-5</v>
      </c>
      <c r="L539" s="570" t="str">
        <f t="shared" si="106"/>
        <v>Modal 28</v>
      </c>
      <c r="M539" s="570">
        <f t="shared" si="108"/>
        <v>28</v>
      </c>
    </row>
    <row r="540" spans="1:13">
      <c r="A540" s="570" t="str">
        <f t="shared" si="107"/>
        <v>T2229</v>
      </c>
      <c r="C540" s="953" t="str">
        <f t="shared" si="97"/>
        <v>T22</v>
      </c>
      <c r="D540" s="953" t="str">
        <f t="shared" si="98"/>
        <v>D1</v>
      </c>
      <c r="E540" s="953">
        <f t="shared" si="99"/>
        <v>29</v>
      </c>
      <c r="F540" s="953">
        <f t="shared" si="100"/>
        <v>1.335E-3</v>
      </c>
      <c r="G540" s="953">
        <f t="shared" si="101"/>
        <v>-8.2299999999999995E-4</v>
      </c>
      <c r="H540" s="953">
        <f t="shared" si="102"/>
        <v>0</v>
      </c>
      <c r="I540" s="953">
        <f t="shared" si="103"/>
        <v>0</v>
      </c>
      <c r="J540" s="953">
        <f t="shared" si="104"/>
        <v>0</v>
      </c>
      <c r="K540" s="953">
        <f t="shared" si="105"/>
        <v>-3.0000000000000001E-5</v>
      </c>
      <c r="L540" s="570" t="str">
        <f t="shared" si="106"/>
        <v>Modal 29</v>
      </c>
      <c r="M540" s="570">
        <f t="shared" si="108"/>
        <v>29</v>
      </c>
    </row>
    <row r="541" spans="1:13">
      <c r="A541" s="570" t="str">
        <f t="shared" si="107"/>
        <v>T2230</v>
      </c>
      <c r="C541" s="953" t="str">
        <f t="shared" si="97"/>
        <v>T22</v>
      </c>
      <c r="D541" s="953" t="str">
        <f t="shared" si="98"/>
        <v>D1</v>
      </c>
      <c r="E541" s="953">
        <f t="shared" si="99"/>
        <v>30</v>
      </c>
      <c r="F541" s="953">
        <f t="shared" si="100"/>
        <v>7.0200000000000004E-4</v>
      </c>
      <c r="G541" s="953">
        <f t="shared" si="101"/>
        <v>1.498E-3</v>
      </c>
      <c r="H541" s="953">
        <f t="shared" si="102"/>
        <v>0</v>
      </c>
      <c r="I541" s="953">
        <f t="shared" si="103"/>
        <v>0</v>
      </c>
      <c r="J541" s="953">
        <f t="shared" si="104"/>
        <v>0</v>
      </c>
      <c r="K541" s="953">
        <f t="shared" si="105"/>
        <v>-1.0000000000000001E-5</v>
      </c>
      <c r="L541" s="570" t="str">
        <f t="shared" si="106"/>
        <v>Modal 30</v>
      </c>
      <c r="M541" s="570">
        <f t="shared" si="108"/>
        <v>30</v>
      </c>
    </row>
    <row r="542" spans="1:13">
      <c r="A542" s="570" t="str">
        <f t="shared" si="107"/>
        <v>T211</v>
      </c>
      <c r="C542" s="953" t="str">
        <f t="shared" si="97"/>
        <v>T21</v>
      </c>
      <c r="D542" s="953" t="str">
        <f t="shared" si="98"/>
        <v>D1</v>
      </c>
      <c r="E542" s="953">
        <f t="shared" si="99"/>
        <v>1</v>
      </c>
      <c r="F542" s="953">
        <f t="shared" si="100"/>
        <v>-6.5499999999999998E-4</v>
      </c>
      <c r="G542" s="953">
        <f t="shared" si="101"/>
        <v>3.398E-3</v>
      </c>
      <c r="H542" s="953">
        <f t="shared" si="102"/>
        <v>0</v>
      </c>
      <c r="I542" s="953">
        <f t="shared" si="103"/>
        <v>0</v>
      </c>
      <c r="J542" s="953">
        <f t="shared" si="104"/>
        <v>0</v>
      </c>
      <c r="K542" s="953">
        <f t="shared" si="105"/>
        <v>3.1999999999999999E-5</v>
      </c>
      <c r="L542" s="570" t="str">
        <f t="shared" si="106"/>
        <v>Modal 1</v>
      </c>
      <c r="M542" s="570">
        <f t="shared" si="108"/>
        <v>1</v>
      </c>
    </row>
    <row r="543" spans="1:13">
      <c r="A543" s="570" t="str">
        <f t="shared" ref="A543:A577" si="109">C543&amp;E543</f>
        <v>T212</v>
      </c>
      <c r="C543" s="953" t="str">
        <f t="shared" si="97"/>
        <v>T21</v>
      </c>
      <c r="D543" s="953" t="str">
        <f t="shared" si="98"/>
        <v>D1</v>
      </c>
      <c r="E543" s="953">
        <f t="shared" si="99"/>
        <v>2</v>
      </c>
      <c r="F543" s="953">
        <f t="shared" si="100"/>
        <v>-5.4699999999999996E-4</v>
      </c>
      <c r="G543" s="953">
        <f t="shared" si="101"/>
        <v>-7.1199999999999996E-4</v>
      </c>
      <c r="H543" s="953">
        <f t="shared" si="102"/>
        <v>0</v>
      </c>
      <c r="I543" s="953">
        <f t="shared" si="103"/>
        <v>0</v>
      </c>
      <c r="J543" s="953">
        <f t="shared" si="104"/>
        <v>0</v>
      </c>
      <c r="K543" s="953">
        <f t="shared" si="105"/>
        <v>1.8699999999999999E-4</v>
      </c>
      <c r="L543" s="570" t="str">
        <f t="shared" si="106"/>
        <v>Modal 2</v>
      </c>
      <c r="M543" s="570">
        <f t="shared" si="108"/>
        <v>2</v>
      </c>
    </row>
    <row r="544" spans="1:13">
      <c r="A544" s="570" t="str">
        <f t="shared" si="109"/>
        <v>T213</v>
      </c>
      <c r="C544" s="953" t="str">
        <f t="shared" si="97"/>
        <v>T21</v>
      </c>
      <c r="D544" s="953" t="str">
        <f t="shared" si="98"/>
        <v>D1</v>
      </c>
      <c r="E544" s="953">
        <f t="shared" si="99"/>
        <v>3</v>
      </c>
      <c r="F544" s="953">
        <f t="shared" si="100"/>
        <v>3.5980000000000001E-3</v>
      </c>
      <c r="G544" s="953">
        <f t="shared" si="101"/>
        <v>6.1499999999999999E-4</v>
      </c>
      <c r="H544" s="953">
        <f t="shared" si="102"/>
        <v>0</v>
      </c>
      <c r="I544" s="953">
        <f t="shared" si="103"/>
        <v>0</v>
      </c>
      <c r="J544" s="953">
        <f t="shared" si="104"/>
        <v>0</v>
      </c>
      <c r="K544" s="953">
        <f t="shared" si="105"/>
        <v>3.3000000000000003E-5</v>
      </c>
      <c r="L544" s="570" t="str">
        <f t="shared" si="106"/>
        <v>Modal 3</v>
      </c>
      <c r="M544" s="570">
        <f t="shared" si="108"/>
        <v>3</v>
      </c>
    </row>
    <row r="545" spans="1:13">
      <c r="A545" s="570" t="str">
        <f t="shared" si="109"/>
        <v>T214</v>
      </c>
      <c r="C545" s="953" t="str">
        <f t="shared" si="97"/>
        <v>T21</v>
      </c>
      <c r="D545" s="953" t="str">
        <f t="shared" si="98"/>
        <v>D1</v>
      </c>
      <c r="E545" s="953">
        <f t="shared" si="99"/>
        <v>4</v>
      </c>
      <c r="F545" s="953">
        <f t="shared" si="100"/>
        <v>-6.7199999999999996E-4</v>
      </c>
      <c r="G545" s="953">
        <f t="shared" si="101"/>
        <v>2.8E-5</v>
      </c>
      <c r="H545" s="953">
        <f t="shared" si="102"/>
        <v>0</v>
      </c>
      <c r="I545" s="953">
        <f t="shared" si="103"/>
        <v>0</v>
      </c>
      <c r="J545" s="953">
        <f t="shared" si="104"/>
        <v>0</v>
      </c>
      <c r="K545" s="953">
        <f t="shared" si="105"/>
        <v>2.0900000000000001E-4</v>
      </c>
      <c r="L545" s="570" t="str">
        <f t="shared" si="106"/>
        <v>Modal 4</v>
      </c>
      <c r="M545" s="570">
        <f t="shared" si="108"/>
        <v>4</v>
      </c>
    </row>
    <row r="546" spans="1:13">
      <c r="A546" s="570" t="str">
        <f t="shared" si="109"/>
        <v>T215</v>
      </c>
      <c r="C546" s="953" t="str">
        <f t="shared" si="97"/>
        <v>T21</v>
      </c>
      <c r="D546" s="953" t="str">
        <f t="shared" si="98"/>
        <v>D1</v>
      </c>
      <c r="E546" s="953">
        <f t="shared" si="99"/>
        <v>5</v>
      </c>
      <c r="F546" s="953">
        <f t="shared" si="100"/>
        <v>6.2299999999999996E-4</v>
      </c>
      <c r="G546" s="953">
        <f t="shared" si="101"/>
        <v>-4.8570000000000002E-3</v>
      </c>
      <c r="H546" s="953">
        <f t="shared" si="102"/>
        <v>0</v>
      </c>
      <c r="I546" s="953">
        <f t="shared" si="103"/>
        <v>0</v>
      </c>
      <c r="J546" s="953">
        <f t="shared" si="104"/>
        <v>0</v>
      </c>
      <c r="K546" s="953">
        <f t="shared" si="105"/>
        <v>6.9999999999999999E-6</v>
      </c>
      <c r="L546" s="570" t="str">
        <f t="shared" si="106"/>
        <v>Modal 5</v>
      </c>
      <c r="M546" s="570">
        <f t="shared" si="108"/>
        <v>5</v>
      </c>
    </row>
    <row r="547" spans="1:13">
      <c r="A547" s="570" t="str">
        <f t="shared" si="109"/>
        <v>T216</v>
      </c>
      <c r="C547" s="953" t="str">
        <f t="shared" si="97"/>
        <v>T21</v>
      </c>
      <c r="D547" s="953" t="str">
        <f t="shared" si="98"/>
        <v>D1</v>
      </c>
      <c r="E547" s="953">
        <f t="shared" si="99"/>
        <v>6</v>
      </c>
      <c r="F547" s="953">
        <f t="shared" si="100"/>
        <v>-4.6299999999999996E-3</v>
      </c>
      <c r="G547" s="953">
        <f t="shared" si="101"/>
        <v>-5.5599999999999996E-4</v>
      </c>
      <c r="H547" s="953">
        <f t="shared" si="102"/>
        <v>0</v>
      </c>
      <c r="I547" s="953">
        <f t="shared" si="103"/>
        <v>0</v>
      </c>
      <c r="J547" s="953">
        <f t="shared" si="104"/>
        <v>0</v>
      </c>
      <c r="K547" s="953">
        <f t="shared" si="105"/>
        <v>-2.5999999999999998E-5</v>
      </c>
      <c r="L547" s="570" t="str">
        <f t="shared" si="106"/>
        <v>Modal 6</v>
      </c>
      <c r="M547" s="570">
        <f t="shared" si="108"/>
        <v>6</v>
      </c>
    </row>
    <row r="548" spans="1:13">
      <c r="A548" s="570" t="str">
        <f t="shared" si="109"/>
        <v>T217</v>
      </c>
      <c r="C548" s="953" t="str">
        <f t="shared" si="97"/>
        <v>T21</v>
      </c>
      <c r="D548" s="953" t="str">
        <f t="shared" si="98"/>
        <v>D1</v>
      </c>
      <c r="E548" s="953">
        <f t="shared" si="99"/>
        <v>7</v>
      </c>
      <c r="F548" s="953">
        <f t="shared" si="100"/>
        <v>-2.92E-4</v>
      </c>
      <c r="G548" s="953">
        <f t="shared" si="101"/>
        <v>6.0000000000000002E-6</v>
      </c>
      <c r="H548" s="953">
        <f t="shared" si="102"/>
        <v>0</v>
      </c>
      <c r="I548" s="953">
        <f t="shared" si="103"/>
        <v>0</v>
      </c>
      <c r="J548" s="953">
        <f t="shared" si="104"/>
        <v>0</v>
      </c>
      <c r="K548" s="953">
        <f t="shared" si="105"/>
        <v>1.7799999999999999E-4</v>
      </c>
      <c r="L548" s="570" t="str">
        <f t="shared" si="106"/>
        <v>Modal 7</v>
      </c>
      <c r="M548" s="570">
        <f t="shared" si="108"/>
        <v>7</v>
      </c>
    </row>
    <row r="549" spans="1:13">
      <c r="A549" s="570" t="str">
        <f t="shared" si="109"/>
        <v>T218</v>
      </c>
      <c r="C549" s="953" t="str">
        <f t="shared" si="97"/>
        <v>T21</v>
      </c>
      <c r="D549" s="953" t="str">
        <f t="shared" si="98"/>
        <v>D1</v>
      </c>
      <c r="E549" s="953">
        <f t="shared" si="99"/>
        <v>8</v>
      </c>
      <c r="F549" s="953">
        <f t="shared" si="100"/>
        <v>-2.7099999999999997E-4</v>
      </c>
      <c r="G549" s="953">
        <f t="shared" si="101"/>
        <v>2.9789999999999999E-3</v>
      </c>
      <c r="H549" s="953">
        <f t="shared" si="102"/>
        <v>0</v>
      </c>
      <c r="I549" s="953">
        <f t="shared" si="103"/>
        <v>0</v>
      </c>
      <c r="J549" s="953">
        <f t="shared" si="104"/>
        <v>0</v>
      </c>
      <c r="K549" s="953">
        <f t="shared" si="105"/>
        <v>-9.9999999999999995E-7</v>
      </c>
      <c r="L549" s="570" t="str">
        <f t="shared" si="106"/>
        <v>Modal 8</v>
      </c>
      <c r="M549" s="570">
        <f t="shared" si="108"/>
        <v>8</v>
      </c>
    </row>
    <row r="550" spans="1:13">
      <c r="A550" s="570" t="str">
        <f t="shared" si="109"/>
        <v>T219</v>
      </c>
      <c r="C550" s="953" t="str">
        <f t="shared" si="97"/>
        <v>T21</v>
      </c>
      <c r="D550" s="953" t="str">
        <f t="shared" si="98"/>
        <v>D1</v>
      </c>
      <c r="E550" s="953">
        <f t="shared" si="99"/>
        <v>9</v>
      </c>
      <c r="F550" s="953">
        <f t="shared" si="100"/>
        <v>1.18E-4</v>
      </c>
      <c r="G550" s="953">
        <f t="shared" si="101"/>
        <v>-6.9999999999999999E-6</v>
      </c>
      <c r="H550" s="953">
        <f t="shared" si="102"/>
        <v>0</v>
      </c>
      <c r="I550" s="953">
        <f t="shared" si="103"/>
        <v>0</v>
      </c>
      <c r="J550" s="953">
        <f t="shared" si="104"/>
        <v>0</v>
      </c>
      <c r="K550" s="953">
        <f t="shared" si="105"/>
        <v>-1.94E-4</v>
      </c>
      <c r="L550" s="570" t="str">
        <f t="shared" si="106"/>
        <v>Modal 9</v>
      </c>
      <c r="M550" s="570">
        <f t="shared" si="108"/>
        <v>9</v>
      </c>
    </row>
    <row r="551" spans="1:13">
      <c r="A551" s="570" t="str">
        <f t="shared" si="109"/>
        <v>T2110</v>
      </c>
      <c r="C551" s="953" t="str">
        <f t="shared" si="97"/>
        <v>T21</v>
      </c>
      <c r="D551" s="953" t="str">
        <f t="shared" si="98"/>
        <v>D1</v>
      </c>
      <c r="E551" s="953">
        <f t="shared" si="99"/>
        <v>10</v>
      </c>
      <c r="F551" s="953">
        <f t="shared" si="100"/>
        <v>3.1640000000000001E-3</v>
      </c>
      <c r="G551" s="953">
        <f t="shared" si="101"/>
        <v>3.3399999999999999E-4</v>
      </c>
      <c r="H551" s="953">
        <f t="shared" si="102"/>
        <v>0</v>
      </c>
      <c r="I551" s="953">
        <f t="shared" si="103"/>
        <v>0</v>
      </c>
      <c r="J551" s="953">
        <f t="shared" si="104"/>
        <v>0</v>
      </c>
      <c r="K551" s="953">
        <f t="shared" si="105"/>
        <v>-9.9999999999999995E-7</v>
      </c>
      <c r="L551" s="570" t="str">
        <f t="shared" si="106"/>
        <v>Modal 10</v>
      </c>
      <c r="M551" s="570">
        <f t="shared" si="108"/>
        <v>10</v>
      </c>
    </row>
    <row r="552" spans="1:13">
      <c r="A552" s="570" t="str">
        <f t="shared" si="109"/>
        <v>T2111</v>
      </c>
      <c r="C552" s="953" t="str">
        <f t="shared" si="97"/>
        <v>T21</v>
      </c>
      <c r="D552" s="953" t="str">
        <f t="shared" si="98"/>
        <v>D1</v>
      </c>
      <c r="E552" s="953">
        <f t="shared" si="99"/>
        <v>11</v>
      </c>
      <c r="F552" s="953">
        <f t="shared" si="100"/>
        <v>-3.1199999999999999E-4</v>
      </c>
      <c r="G552" s="953">
        <f t="shared" si="101"/>
        <v>-1.503E-3</v>
      </c>
      <c r="H552" s="953">
        <f t="shared" si="102"/>
        <v>0</v>
      </c>
      <c r="I552" s="953">
        <f t="shared" si="103"/>
        <v>0</v>
      </c>
      <c r="J552" s="953">
        <f t="shared" si="104"/>
        <v>0</v>
      </c>
      <c r="K552" s="953">
        <f t="shared" si="105"/>
        <v>1.95E-4</v>
      </c>
      <c r="L552" s="570" t="str">
        <f t="shared" si="106"/>
        <v>Modal 11</v>
      </c>
      <c r="M552" s="570">
        <f t="shared" si="108"/>
        <v>11</v>
      </c>
    </row>
    <row r="553" spans="1:13">
      <c r="A553" s="570" t="str">
        <f t="shared" si="109"/>
        <v>T2112</v>
      </c>
      <c r="C553" s="953" t="str">
        <f t="shared" si="97"/>
        <v>T21</v>
      </c>
      <c r="D553" s="953" t="str">
        <f t="shared" si="98"/>
        <v>D1</v>
      </c>
      <c r="E553" s="953">
        <f t="shared" si="99"/>
        <v>12</v>
      </c>
      <c r="F553" s="953">
        <f t="shared" si="100"/>
        <v>-5.7499999999999999E-4</v>
      </c>
      <c r="G553" s="953">
        <f t="shared" si="101"/>
        <v>4.0260000000000001E-3</v>
      </c>
      <c r="H553" s="953">
        <f t="shared" si="102"/>
        <v>0</v>
      </c>
      <c r="I553" s="953">
        <f t="shared" si="103"/>
        <v>0</v>
      </c>
      <c r="J553" s="953">
        <f t="shared" si="104"/>
        <v>0</v>
      </c>
      <c r="K553" s="953">
        <f t="shared" si="105"/>
        <v>6.8999999999999997E-5</v>
      </c>
      <c r="L553" s="570" t="str">
        <f t="shared" si="106"/>
        <v>Modal 12</v>
      </c>
      <c r="M553" s="570">
        <f t="shared" si="108"/>
        <v>12</v>
      </c>
    </row>
    <row r="554" spans="1:13">
      <c r="A554" s="570" t="str">
        <f t="shared" si="109"/>
        <v>T2113</v>
      </c>
      <c r="C554" s="953" t="str">
        <f t="shared" si="97"/>
        <v>T21</v>
      </c>
      <c r="D554" s="953" t="str">
        <f t="shared" si="98"/>
        <v>D1</v>
      </c>
      <c r="E554" s="953">
        <f t="shared" si="99"/>
        <v>13</v>
      </c>
      <c r="F554" s="953">
        <f t="shared" si="100"/>
        <v>-4.1009999999999996E-3</v>
      </c>
      <c r="G554" s="953">
        <f t="shared" si="101"/>
        <v>-3.77E-4</v>
      </c>
      <c r="H554" s="953">
        <f t="shared" si="102"/>
        <v>0</v>
      </c>
      <c r="I554" s="953">
        <f t="shared" si="103"/>
        <v>0</v>
      </c>
      <c r="J554" s="953">
        <f t="shared" si="104"/>
        <v>0</v>
      </c>
      <c r="K554" s="953">
        <f t="shared" si="105"/>
        <v>-2.5999999999999998E-5</v>
      </c>
      <c r="L554" s="570" t="str">
        <f t="shared" si="106"/>
        <v>Modal 13</v>
      </c>
      <c r="M554" s="570">
        <f t="shared" si="108"/>
        <v>13</v>
      </c>
    </row>
    <row r="555" spans="1:13">
      <c r="A555" s="570" t="str">
        <f t="shared" si="109"/>
        <v>T2114</v>
      </c>
      <c r="C555" s="953" t="str">
        <f t="shared" si="97"/>
        <v>T21</v>
      </c>
      <c r="D555" s="953" t="str">
        <f t="shared" si="98"/>
        <v>D1</v>
      </c>
      <c r="E555" s="953">
        <f t="shared" si="99"/>
        <v>14</v>
      </c>
      <c r="F555" s="953">
        <f t="shared" si="100"/>
        <v>-6.9999999999999999E-6</v>
      </c>
      <c r="G555" s="953">
        <f t="shared" si="101"/>
        <v>1.12E-4</v>
      </c>
      <c r="H555" s="953">
        <f t="shared" si="102"/>
        <v>0</v>
      </c>
      <c r="I555" s="953">
        <f t="shared" si="103"/>
        <v>0</v>
      </c>
      <c r="J555" s="953">
        <f t="shared" si="104"/>
        <v>0</v>
      </c>
      <c r="K555" s="953">
        <f t="shared" si="105"/>
        <v>1.3899999999999999E-4</v>
      </c>
      <c r="L555" s="570" t="str">
        <f t="shared" si="106"/>
        <v>Modal 14</v>
      </c>
      <c r="M555" s="570">
        <f t="shared" si="108"/>
        <v>14</v>
      </c>
    </row>
    <row r="556" spans="1:13">
      <c r="A556" s="570" t="str">
        <f t="shared" si="109"/>
        <v>T2115</v>
      </c>
      <c r="C556" s="953" t="str">
        <f t="shared" si="97"/>
        <v>T21</v>
      </c>
      <c r="D556" s="953" t="str">
        <f t="shared" si="98"/>
        <v>D1</v>
      </c>
      <c r="E556" s="953">
        <f t="shared" si="99"/>
        <v>15</v>
      </c>
      <c r="F556" s="953">
        <f t="shared" si="100"/>
        <v>3.7100000000000002E-4</v>
      </c>
      <c r="G556" s="953">
        <f t="shared" si="101"/>
        <v>-4.1710000000000002E-3</v>
      </c>
      <c r="H556" s="953">
        <f t="shared" si="102"/>
        <v>0</v>
      </c>
      <c r="I556" s="953">
        <f t="shared" si="103"/>
        <v>0</v>
      </c>
      <c r="J556" s="953">
        <f t="shared" si="104"/>
        <v>0</v>
      </c>
      <c r="K556" s="953">
        <f t="shared" si="105"/>
        <v>9.0000000000000002E-6</v>
      </c>
      <c r="L556" s="570" t="str">
        <f t="shared" si="106"/>
        <v>Modal 15</v>
      </c>
      <c r="M556" s="570">
        <f t="shared" si="108"/>
        <v>15</v>
      </c>
    </row>
    <row r="557" spans="1:13">
      <c r="A557" s="570" t="str">
        <f t="shared" si="109"/>
        <v>T2116</v>
      </c>
      <c r="C557" s="953" t="str">
        <f t="shared" si="97"/>
        <v>T21</v>
      </c>
      <c r="D557" s="953" t="str">
        <f t="shared" si="98"/>
        <v>D1</v>
      </c>
      <c r="E557" s="953">
        <f t="shared" si="99"/>
        <v>16</v>
      </c>
      <c r="F557" s="953">
        <f t="shared" si="100"/>
        <v>8.5300000000000003E-4</v>
      </c>
      <c r="G557" s="953">
        <f t="shared" si="101"/>
        <v>1.8E-5</v>
      </c>
      <c r="H557" s="953">
        <f t="shared" si="102"/>
        <v>0</v>
      </c>
      <c r="I557" s="953">
        <f t="shared" si="103"/>
        <v>0</v>
      </c>
      <c r="J557" s="953">
        <f t="shared" si="104"/>
        <v>0</v>
      </c>
      <c r="K557" s="953">
        <f t="shared" si="105"/>
        <v>-2.3800000000000001E-4</v>
      </c>
      <c r="L557" s="570" t="str">
        <f t="shared" si="106"/>
        <v>Modal 16</v>
      </c>
      <c r="M557" s="570">
        <f t="shared" si="108"/>
        <v>16</v>
      </c>
    </row>
    <row r="558" spans="1:13">
      <c r="A558" s="570" t="str">
        <f t="shared" si="109"/>
        <v>T2117</v>
      </c>
      <c r="C558" s="953" t="str">
        <f t="shared" si="97"/>
        <v>T21</v>
      </c>
      <c r="D558" s="953" t="str">
        <f t="shared" si="98"/>
        <v>D1</v>
      </c>
      <c r="E558" s="953">
        <f t="shared" si="99"/>
        <v>17</v>
      </c>
      <c r="F558" s="953">
        <f t="shared" si="100"/>
        <v>4.2230000000000002E-3</v>
      </c>
      <c r="G558" s="953">
        <f t="shared" si="101"/>
        <v>4.2400000000000001E-4</v>
      </c>
      <c r="H558" s="953">
        <f t="shared" si="102"/>
        <v>0</v>
      </c>
      <c r="I558" s="953">
        <f t="shared" si="103"/>
        <v>0</v>
      </c>
      <c r="J558" s="953">
        <f t="shared" si="104"/>
        <v>0</v>
      </c>
      <c r="K558" s="953">
        <f t="shared" si="105"/>
        <v>4.1E-5</v>
      </c>
      <c r="L558" s="570" t="str">
        <f t="shared" si="106"/>
        <v>Modal 17</v>
      </c>
      <c r="M558" s="570">
        <f t="shared" si="108"/>
        <v>17</v>
      </c>
    </row>
    <row r="559" spans="1:13">
      <c r="A559" s="570" t="str">
        <f t="shared" si="109"/>
        <v>T2118</v>
      </c>
      <c r="C559" s="953" t="str">
        <f t="shared" si="97"/>
        <v>T21</v>
      </c>
      <c r="D559" s="953" t="str">
        <f t="shared" si="98"/>
        <v>D1</v>
      </c>
      <c r="E559" s="953">
        <f t="shared" si="99"/>
        <v>18</v>
      </c>
      <c r="F559" s="953">
        <f t="shared" si="100"/>
        <v>-3.6499999999999998E-4</v>
      </c>
      <c r="G559" s="953">
        <f t="shared" si="101"/>
        <v>2.9320000000000001E-3</v>
      </c>
      <c r="H559" s="953">
        <f t="shared" si="102"/>
        <v>0</v>
      </c>
      <c r="I559" s="953">
        <f t="shared" si="103"/>
        <v>0</v>
      </c>
      <c r="J559" s="953">
        <f t="shared" si="104"/>
        <v>0</v>
      </c>
      <c r="K559" s="953">
        <f t="shared" si="105"/>
        <v>7.9999999999999996E-6</v>
      </c>
      <c r="L559" s="570" t="str">
        <f t="shared" si="106"/>
        <v>Modal 18</v>
      </c>
      <c r="M559" s="570">
        <f t="shared" si="108"/>
        <v>18</v>
      </c>
    </row>
    <row r="560" spans="1:13">
      <c r="A560" s="570" t="str">
        <f t="shared" si="109"/>
        <v>T2119</v>
      </c>
      <c r="C560" s="953" t="str">
        <f t="shared" si="97"/>
        <v>T21</v>
      </c>
      <c r="D560" s="953" t="str">
        <f t="shared" si="98"/>
        <v>D1</v>
      </c>
      <c r="E560" s="953">
        <f t="shared" si="99"/>
        <v>19</v>
      </c>
      <c r="F560" s="953">
        <f t="shared" si="100"/>
        <v>1.03E-4</v>
      </c>
      <c r="G560" s="953">
        <f t="shared" si="101"/>
        <v>8.3000000000000001E-4</v>
      </c>
      <c r="H560" s="953">
        <f t="shared" si="102"/>
        <v>0</v>
      </c>
      <c r="I560" s="953">
        <f t="shared" si="103"/>
        <v>0</v>
      </c>
      <c r="J560" s="953">
        <f t="shared" si="104"/>
        <v>0</v>
      </c>
      <c r="K560" s="953">
        <f t="shared" si="105"/>
        <v>3.9999999999999998E-6</v>
      </c>
      <c r="L560" s="570" t="str">
        <f t="shared" si="106"/>
        <v>Modal 19</v>
      </c>
      <c r="M560" s="570">
        <f t="shared" si="108"/>
        <v>19</v>
      </c>
    </row>
    <row r="561" spans="1:13">
      <c r="A561" s="570" t="str">
        <f t="shared" si="109"/>
        <v>T2120</v>
      </c>
      <c r="C561" s="953" t="str">
        <f t="shared" si="97"/>
        <v>T21</v>
      </c>
      <c r="D561" s="953" t="str">
        <f t="shared" si="98"/>
        <v>D1</v>
      </c>
      <c r="E561" s="953">
        <f t="shared" si="99"/>
        <v>20</v>
      </c>
      <c r="F561" s="953">
        <f t="shared" si="100"/>
        <v>2.6059999999999998E-3</v>
      </c>
      <c r="G561" s="953">
        <f t="shared" si="101"/>
        <v>1.2799999999999999E-4</v>
      </c>
      <c r="H561" s="953">
        <f t="shared" si="102"/>
        <v>0</v>
      </c>
      <c r="I561" s="953">
        <f t="shared" si="103"/>
        <v>0</v>
      </c>
      <c r="J561" s="953">
        <f t="shared" si="104"/>
        <v>0</v>
      </c>
      <c r="K561" s="953">
        <f t="shared" si="105"/>
        <v>5.1999999999999997E-5</v>
      </c>
      <c r="L561" s="570" t="str">
        <f t="shared" si="106"/>
        <v>Modal 20</v>
      </c>
      <c r="M561" s="570">
        <f t="shared" si="108"/>
        <v>20</v>
      </c>
    </row>
    <row r="562" spans="1:13">
      <c r="A562" s="570" t="str">
        <f t="shared" si="109"/>
        <v>T2121</v>
      </c>
      <c r="C562" s="953" t="str">
        <f t="shared" si="97"/>
        <v>T21</v>
      </c>
      <c r="D562" s="953" t="str">
        <f t="shared" si="98"/>
        <v>D1</v>
      </c>
      <c r="E562" s="953">
        <f t="shared" si="99"/>
        <v>21</v>
      </c>
      <c r="F562" s="953">
        <f t="shared" si="100"/>
        <v>2.5500000000000002E-4</v>
      </c>
      <c r="G562" s="953">
        <f t="shared" si="101"/>
        <v>-5.0200000000000002E-3</v>
      </c>
      <c r="H562" s="953">
        <f t="shared" si="102"/>
        <v>0</v>
      </c>
      <c r="I562" s="953">
        <f t="shared" si="103"/>
        <v>0</v>
      </c>
      <c r="J562" s="953">
        <f t="shared" si="104"/>
        <v>0</v>
      </c>
      <c r="K562" s="953">
        <f t="shared" si="105"/>
        <v>4.1E-5</v>
      </c>
      <c r="L562" s="570" t="str">
        <f t="shared" si="106"/>
        <v>Modal 21</v>
      </c>
      <c r="M562" s="570">
        <f t="shared" si="108"/>
        <v>21</v>
      </c>
    </row>
    <row r="563" spans="1:13">
      <c r="A563" s="570" t="str">
        <f t="shared" si="109"/>
        <v>T2122</v>
      </c>
      <c r="C563" s="953" t="str">
        <f t="shared" si="97"/>
        <v>T21</v>
      </c>
      <c r="D563" s="953" t="str">
        <f t="shared" si="98"/>
        <v>D1</v>
      </c>
      <c r="E563" s="953">
        <f t="shared" si="99"/>
        <v>22</v>
      </c>
      <c r="F563" s="953">
        <f t="shared" si="100"/>
        <v>3.5130000000000001E-3</v>
      </c>
      <c r="G563" s="953">
        <f t="shared" si="101"/>
        <v>1.0480000000000001E-3</v>
      </c>
      <c r="H563" s="953">
        <f t="shared" si="102"/>
        <v>0</v>
      </c>
      <c r="I563" s="953">
        <f t="shared" si="103"/>
        <v>0</v>
      </c>
      <c r="J563" s="953">
        <f t="shared" si="104"/>
        <v>0</v>
      </c>
      <c r="K563" s="953">
        <f t="shared" si="105"/>
        <v>1.5899999999999999E-4</v>
      </c>
      <c r="L563" s="570" t="str">
        <f t="shared" si="106"/>
        <v>Modal 22</v>
      </c>
      <c r="M563" s="570">
        <f t="shared" si="108"/>
        <v>22</v>
      </c>
    </row>
    <row r="564" spans="1:13">
      <c r="A564" s="570" t="str">
        <f t="shared" si="109"/>
        <v>T2123</v>
      </c>
      <c r="C564" s="953" t="str">
        <f t="shared" si="97"/>
        <v>T21</v>
      </c>
      <c r="D564" s="953" t="str">
        <f t="shared" si="98"/>
        <v>D1</v>
      </c>
      <c r="E564" s="953">
        <f t="shared" si="99"/>
        <v>23</v>
      </c>
      <c r="F564" s="953">
        <f t="shared" si="100"/>
        <v>-3.163E-3</v>
      </c>
      <c r="G564" s="953">
        <f t="shared" si="101"/>
        <v>3.5399999999999999E-4</v>
      </c>
      <c r="H564" s="953">
        <f t="shared" si="102"/>
        <v>0</v>
      </c>
      <c r="I564" s="953">
        <f t="shared" si="103"/>
        <v>0</v>
      </c>
      <c r="J564" s="953">
        <f t="shared" si="104"/>
        <v>0</v>
      </c>
      <c r="K564" s="953">
        <f t="shared" si="105"/>
        <v>9.5000000000000005E-5</v>
      </c>
      <c r="L564" s="570" t="str">
        <f t="shared" si="106"/>
        <v>Modal 23</v>
      </c>
      <c r="M564" s="570">
        <f t="shared" si="108"/>
        <v>23</v>
      </c>
    </row>
    <row r="565" spans="1:13">
      <c r="A565" s="570" t="str">
        <f t="shared" si="109"/>
        <v>T2124</v>
      </c>
      <c r="C565" s="953" t="str">
        <f t="shared" si="97"/>
        <v>T21</v>
      </c>
      <c r="D565" s="953" t="str">
        <f t="shared" si="98"/>
        <v>D1</v>
      </c>
      <c r="E565" s="953">
        <f t="shared" si="99"/>
        <v>24</v>
      </c>
      <c r="F565" s="953">
        <f t="shared" si="100"/>
        <v>2.2230000000000001E-3</v>
      </c>
      <c r="G565" s="953">
        <f t="shared" si="101"/>
        <v>-8.0199999999999998E-4</v>
      </c>
      <c r="H565" s="953">
        <f t="shared" si="102"/>
        <v>0</v>
      </c>
      <c r="I565" s="953">
        <f t="shared" si="103"/>
        <v>0</v>
      </c>
      <c r="J565" s="953">
        <f t="shared" si="104"/>
        <v>0</v>
      </c>
      <c r="K565" s="953">
        <f t="shared" si="105"/>
        <v>-1.06E-4</v>
      </c>
      <c r="L565" s="570" t="str">
        <f t="shared" si="106"/>
        <v>Modal 24</v>
      </c>
      <c r="M565" s="570">
        <f t="shared" si="108"/>
        <v>24</v>
      </c>
    </row>
    <row r="566" spans="1:13">
      <c r="A566" s="570" t="str">
        <f t="shared" si="109"/>
        <v>T2125</v>
      </c>
      <c r="C566" s="953" t="str">
        <f t="shared" si="97"/>
        <v>T21</v>
      </c>
      <c r="D566" s="953" t="str">
        <f t="shared" si="98"/>
        <v>D1</v>
      </c>
      <c r="E566" s="953">
        <f t="shared" si="99"/>
        <v>25</v>
      </c>
      <c r="F566" s="953">
        <f t="shared" si="100"/>
        <v>-2.709E-3</v>
      </c>
      <c r="G566" s="953">
        <f t="shared" si="101"/>
        <v>2.0690000000000001E-3</v>
      </c>
      <c r="H566" s="953">
        <f t="shared" si="102"/>
        <v>0</v>
      </c>
      <c r="I566" s="953">
        <f t="shared" si="103"/>
        <v>0</v>
      </c>
      <c r="J566" s="953">
        <f t="shared" si="104"/>
        <v>0</v>
      </c>
      <c r="K566" s="953">
        <f t="shared" si="105"/>
        <v>4.6999999999999997E-5</v>
      </c>
      <c r="L566" s="570" t="str">
        <f t="shared" si="106"/>
        <v>Modal 25</v>
      </c>
      <c r="M566" s="570">
        <f t="shared" si="108"/>
        <v>25</v>
      </c>
    </row>
    <row r="567" spans="1:13">
      <c r="A567" s="570" t="str">
        <f t="shared" si="109"/>
        <v>T2126</v>
      </c>
      <c r="C567" s="953" t="str">
        <f t="shared" si="97"/>
        <v>T21</v>
      </c>
      <c r="D567" s="953" t="str">
        <f t="shared" si="98"/>
        <v>D1</v>
      </c>
      <c r="E567" s="953">
        <f t="shared" si="99"/>
        <v>26</v>
      </c>
      <c r="F567" s="953">
        <f t="shared" si="100"/>
        <v>-2.4120000000000001E-3</v>
      </c>
      <c r="G567" s="953">
        <f t="shared" si="101"/>
        <v>-2.2539999999999999E-3</v>
      </c>
      <c r="H567" s="953">
        <f t="shared" si="102"/>
        <v>0</v>
      </c>
      <c r="I567" s="953">
        <f t="shared" si="103"/>
        <v>0</v>
      </c>
      <c r="J567" s="953">
        <f t="shared" si="104"/>
        <v>0</v>
      </c>
      <c r="K567" s="953">
        <f t="shared" si="105"/>
        <v>2.6999999999999999E-5</v>
      </c>
      <c r="L567" s="570" t="str">
        <f t="shared" si="106"/>
        <v>Modal 26</v>
      </c>
      <c r="M567" s="570">
        <f t="shared" si="108"/>
        <v>26</v>
      </c>
    </row>
    <row r="568" spans="1:13">
      <c r="A568" s="570" t="str">
        <f t="shared" si="109"/>
        <v>T2127</v>
      </c>
      <c r="C568" s="953" t="str">
        <f t="shared" si="97"/>
        <v>T21</v>
      </c>
      <c r="D568" s="953" t="str">
        <f t="shared" si="98"/>
        <v>D1</v>
      </c>
      <c r="E568" s="953">
        <f t="shared" si="99"/>
        <v>27</v>
      </c>
      <c r="F568" s="953">
        <f t="shared" si="100"/>
        <v>-1.0690000000000001E-3</v>
      </c>
      <c r="G568" s="953">
        <f t="shared" si="101"/>
        <v>1.5839999999999999E-3</v>
      </c>
      <c r="H568" s="953">
        <f t="shared" si="102"/>
        <v>0</v>
      </c>
      <c r="I568" s="953">
        <f t="shared" si="103"/>
        <v>0</v>
      </c>
      <c r="J568" s="953">
        <f t="shared" si="104"/>
        <v>0</v>
      </c>
      <c r="K568" s="953">
        <f t="shared" si="105"/>
        <v>4.5000000000000003E-5</v>
      </c>
      <c r="L568" s="570" t="str">
        <f t="shared" si="106"/>
        <v>Modal 27</v>
      </c>
      <c r="M568" s="570">
        <f t="shared" si="108"/>
        <v>27</v>
      </c>
    </row>
    <row r="569" spans="1:13">
      <c r="A569" s="570" t="str">
        <f t="shared" si="109"/>
        <v>T2128</v>
      </c>
      <c r="C569" s="953" t="str">
        <f t="shared" si="97"/>
        <v>T21</v>
      </c>
      <c r="D569" s="953" t="str">
        <f t="shared" si="98"/>
        <v>D1</v>
      </c>
      <c r="E569" s="953">
        <f t="shared" si="99"/>
        <v>28</v>
      </c>
      <c r="F569" s="953">
        <f t="shared" si="100"/>
        <v>-1.291E-3</v>
      </c>
      <c r="G569" s="953">
        <f t="shared" si="101"/>
        <v>-2.5140000000000002E-3</v>
      </c>
      <c r="H569" s="953">
        <f t="shared" si="102"/>
        <v>0</v>
      </c>
      <c r="I569" s="953">
        <f t="shared" si="103"/>
        <v>0</v>
      </c>
      <c r="J569" s="953">
        <f t="shared" si="104"/>
        <v>0</v>
      </c>
      <c r="K569" s="953">
        <f t="shared" si="105"/>
        <v>1.2999999999999999E-5</v>
      </c>
      <c r="L569" s="570" t="str">
        <f t="shared" si="106"/>
        <v>Modal 28</v>
      </c>
      <c r="M569" s="570">
        <f t="shared" si="108"/>
        <v>28</v>
      </c>
    </row>
    <row r="570" spans="1:13">
      <c r="A570" s="570" t="str">
        <f t="shared" si="109"/>
        <v>T2129</v>
      </c>
      <c r="C570" s="953" t="str">
        <f t="shared" si="97"/>
        <v>T21</v>
      </c>
      <c r="D570" s="953" t="str">
        <f t="shared" si="98"/>
        <v>D1</v>
      </c>
      <c r="E570" s="953">
        <f t="shared" si="99"/>
        <v>29</v>
      </c>
      <c r="F570" s="953">
        <f t="shared" si="100"/>
        <v>4.3199999999999998E-4</v>
      </c>
      <c r="G570" s="953">
        <f t="shared" si="101"/>
        <v>-7.0899999999999999E-4</v>
      </c>
      <c r="H570" s="953">
        <f t="shared" si="102"/>
        <v>0</v>
      </c>
      <c r="I570" s="953">
        <f t="shared" si="103"/>
        <v>0</v>
      </c>
      <c r="J570" s="953">
        <f t="shared" si="104"/>
        <v>0</v>
      </c>
      <c r="K570" s="953">
        <f t="shared" si="105"/>
        <v>-4.6999999999999997E-5</v>
      </c>
      <c r="L570" s="570" t="str">
        <f t="shared" si="106"/>
        <v>Modal 29</v>
      </c>
      <c r="M570" s="570">
        <f t="shared" si="108"/>
        <v>29</v>
      </c>
    </row>
    <row r="571" spans="1:13">
      <c r="A571" s="570" t="str">
        <f t="shared" si="109"/>
        <v>T2130</v>
      </c>
      <c r="C571" s="953" t="str">
        <f t="shared" si="97"/>
        <v>T21</v>
      </c>
      <c r="D571" s="953" t="str">
        <f t="shared" si="98"/>
        <v>D1</v>
      </c>
      <c r="E571" s="953">
        <f t="shared" si="99"/>
        <v>30</v>
      </c>
      <c r="F571" s="953">
        <f t="shared" si="100"/>
        <v>5.9900000000000003E-4</v>
      </c>
      <c r="G571" s="953">
        <f t="shared" si="101"/>
        <v>2.1310000000000001E-3</v>
      </c>
      <c r="H571" s="953">
        <f t="shared" si="102"/>
        <v>0</v>
      </c>
      <c r="I571" s="953">
        <f t="shared" si="103"/>
        <v>0</v>
      </c>
      <c r="J571" s="953">
        <f t="shared" si="104"/>
        <v>0</v>
      </c>
      <c r="K571" s="953">
        <f t="shared" si="105"/>
        <v>-5.0000000000000004E-6</v>
      </c>
      <c r="L571" s="570" t="str">
        <f t="shared" si="106"/>
        <v>Modal 30</v>
      </c>
      <c r="M571" s="570">
        <f t="shared" si="108"/>
        <v>30</v>
      </c>
    </row>
    <row r="572" spans="1:13">
      <c r="A572" s="570" t="str">
        <f t="shared" si="109"/>
        <v>T201</v>
      </c>
      <c r="C572" s="953" t="str">
        <f t="shared" si="97"/>
        <v>T20</v>
      </c>
      <c r="D572" s="953" t="str">
        <f t="shared" si="98"/>
        <v>D1</v>
      </c>
      <c r="E572" s="953">
        <f t="shared" si="99"/>
        <v>1</v>
      </c>
      <c r="F572" s="953">
        <f t="shared" si="100"/>
        <v>-6.1399999999999996E-4</v>
      </c>
      <c r="G572" s="953">
        <f t="shared" si="101"/>
        <v>3.1840000000000002E-3</v>
      </c>
      <c r="H572" s="953">
        <f t="shared" si="102"/>
        <v>0</v>
      </c>
      <c r="I572" s="953">
        <f t="shared" si="103"/>
        <v>0</v>
      </c>
      <c r="J572" s="953">
        <f t="shared" si="104"/>
        <v>0</v>
      </c>
      <c r="K572" s="953">
        <f t="shared" si="105"/>
        <v>3.1000000000000001E-5</v>
      </c>
      <c r="L572" s="570" t="str">
        <f t="shared" si="106"/>
        <v>Modal 1</v>
      </c>
      <c r="M572" s="570">
        <f t="shared" si="108"/>
        <v>1</v>
      </c>
    </row>
    <row r="573" spans="1:13">
      <c r="A573" s="570" t="str">
        <f t="shared" si="109"/>
        <v>T202</v>
      </c>
      <c r="C573" s="953" t="str">
        <f t="shared" si="97"/>
        <v>T20</v>
      </c>
      <c r="D573" s="953" t="str">
        <f t="shared" si="98"/>
        <v>D1</v>
      </c>
      <c r="E573" s="953">
        <f t="shared" si="99"/>
        <v>2</v>
      </c>
      <c r="F573" s="953">
        <f t="shared" si="100"/>
        <v>-5.1900000000000004E-4</v>
      </c>
      <c r="G573" s="953">
        <f t="shared" si="101"/>
        <v>-6.6699999999999995E-4</v>
      </c>
      <c r="H573" s="953">
        <f t="shared" si="102"/>
        <v>0</v>
      </c>
      <c r="I573" s="953">
        <f t="shared" si="103"/>
        <v>0</v>
      </c>
      <c r="J573" s="953">
        <f t="shared" si="104"/>
        <v>0</v>
      </c>
      <c r="K573" s="953">
        <f t="shared" si="105"/>
        <v>1.7799999999999999E-4</v>
      </c>
      <c r="L573" s="570" t="str">
        <f t="shared" si="106"/>
        <v>Modal 2</v>
      </c>
      <c r="M573" s="570">
        <f t="shared" si="108"/>
        <v>2</v>
      </c>
    </row>
    <row r="574" spans="1:13">
      <c r="A574" s="570" t="str">
        <f t="shared" si="109"/>
        <v>T203</v>
      </c>
      <c r="C574" s="953" t="str">
        <f t="shared" si="97"/>
        <v>T20</v>
      </c>
      <c r="D574" s="953" t="str">
        <f t="shared" si="98"/>
        <v>D1</v>
      </c>
      <c r="E574" s="953">
        <f t="shared" si="99"/>
        <v>3</v>
      </c>
      <c r="F574" s="953">
        <f t="shared" si="100"/>
        <v>3.3909999999999999E-3</v>
      </c>
      <c r="G574" s="953">
        <f t="shared" si="101"/>
        <v>5.8299999999999997E-4</v>
      </c>
      <c r="H574" s="953">
        <f t="shared" si="102"/>
        <v>0</v>
      </c>
      <c r="I574" s="953">
        <f t="shared" si="103"/>
        <v>0</v>
      </c>
      <c r="J574" s="953">
        <f t="shared" si="104"/>
        <v>0</v>
      </c>
      <c r="K574" s="953">
        <f t="shared" si="105"/>
        <v>3.1000000000000001E-5</v>
      </c>
      <c r="L574" s="570" t="str">
        <f t="shared" si="106"/>
        <v>Modal 3</v>
      </c>
      <c r="M574" s="570">
        <f t="shared" si="108"/>
        <v>3</v>
      </c>
    </row>
    <row r="575" spans="1:13">
      <c r="A575" s="570" t="str">
        <f t="shared" si="109"/>
        <v>T204</v>
      </c>
      <c r="C575" s="953" t="str">
        <f t="shared" si="97"/>
        <v>T20</v>
      </c>
      <c r="D575" s="953" t="str">
        <f t="shared" si="98"/>
        <v>D1</v>
      </c>
      <c r="E575" s="953">
        <f t="shared" si="99"/>
        <v>4</v>
      </c>
      <c r="F575" s="953">
        <f t="shared" si="100"/>
        <v>-7.2599999999999997E-4</v>
      </c>
      <c r="G575" s="953">
        <f t="shared" si="101"/>
        <v>2.9E-5</v>
      </c>
      <c r="H575" s="953">
        <f t="shared" si="102"/>
        <v>0</v>
      </c>
      <c r="I575" s="953">
        <f t="shared" si="103"/>
        <v>0</v>
      </c>
      <c r="J575" s="953">
        <f t="shared" si="104"/>
        <v>0</v>
      </c>
      <c r="K575" s="953">
        <f t="shared" si="105"/>
        <v>2.2900000000000001E-4</v>
      </c>
      <c r="L575" s="570" t="str">
        <f t="shared" si="106"/>
        <v>Modal 4</v>
      </c>
      <c r="M575" s="570">
        <f t="shared" si="108"/>
        <v>4</v>
      </c>
    </row>
    <row r="576" spans="1:13">
      <c r="A576" s="570" t="str">
        <f t="shared" si="109"/>
        <v>T205</v>
      </c>
      <c r="C576" s="953" t="str">
        <f t="shared" si="97"/>
        <v>T20</v>
      </c>
      <c r="D576" s="953" t="str">
        <f t="shared" si="98"/>
        <v>D1</v>
      </c>
      <c r="E576" s="953">
        <f t="shared" si="99"/>
        <v>5</v>
      </c>
      <c r="F576" s="953">
        <f t="shared" si="100"/>
        <v>6.5799999999999995E-4</v>
      </c>
      <c r="G576" s="953">
        <f t="shared" si="101"/>
        <v>-5.1729999999999996E-3</v>
      </c>
      <c r="H576" s="953">
        <f t="shared" si="102"/>
        <v>0</v>
      </c>
      <c r="I576" s="953">
        <f t="shared" si="103"/>
        <v>0</v>
      </c>
      <c r="J576" s="953">
        <f t="shared" si="104"/>
        <v>0</v>
      </c>
      <c r="K576" s="953">
        <f t="shared" si="105"/>
        <v>6.9999999999999999E-6</v>
      </c>
      <c r="L576" s="570" t="str">
        <f t="shared" si="106"/>
        <v>Modal 5</v>
      </c>
      <c r="M576" s="570">
        <f t="shared" si="108"/>
        <v>5</v>
      </c>
    </row>
    <row r="577" spans="1:13">
      <c r="A577" s="570" t="str">
        <f t="shared" si="109"/>
        <v>T206</v>
      </c>
      <c r="C577" s="953" t="str">
        <f t="shared" si="97"/>
        <v>T20</v>
      </c>
      <c r="D577" s="953" t="str">
        <f t="shared" si="98"/>
        <v>D1</v>
      </c>
      <c r="E577" s="953">
        <f t="shared" si="99"/>
        <v>6</v>
      </c>
      <c r="F577" s="953">
        <f t="shared" si="100"/>
        <v>-4.9709999999999997E-3</v>
      </c>
      <c r="G577" s="953">
        <f t="shared" si="101"/>
        <v>-6.0400000000000004E-4</v>
      </c>
      <c r="H577" s="953">
        <f t="shared" si="102"/>
        <v>0</v>
      </c>
      <c r="I577" s="953">
        <f t="shared" si="103"/>
        <v>0</v>
      </c>
      <c r="J577" s="953">
        <f t="shared" si="104"/>
        <v>0</v>
      </c>
      <c r="K577" s="953">
        <f t="shared" si="105"/>
        <v>-2.9E-5</v>
      </c>
      <c r="L577" s="570" t="str">
        <f t="shared" si="106"/>
        <v>Modal 6</v>
      </c>
      <c r="M577" s="570">
        <f t="shared" si="108"/>
        <v>6</v>
      </c>
    </row>
    <row r="578" spans="1:13">
      <c r="A578" s="570" t="str">
        <f t="shared" ref="A578:A641" si="110">C578&amp;E578</f>
        <v>T207</v>
      </c>
      <c r="C578" s="953" t="str">
        <f t="shared" ref="C578:C641" si="111">IF(Etabs="Etabs 9.7.4",IF(INDEX(Mode_1,ROW($E578),COLUMN(A$1))&lt;&gt;"",INDEX(Mode_1,ROW($E578),COLUMN(A$1)),""),IF(Etabs="Etabs 2013 trở lên",IF(INDEX(Mode_2,ROW($E580),COLUMN(A$1))&lt;&gt;"",INDEX(Mode_2,ROW($E580),COLUMN(A$1)),""),""))</f>
        <v>T20</v>
      </c>
      <c r="D578" s="953" t="str">
        <f t="shared" ref="D578:D641" si="112">IF(Etabs="Etabs 9.7.4",IF(INDEX(Mode_1,ROW($E578),COLUMN(B$1))&lt;&gt;"",INDEX(Mode_1,ROW($E578),COLUMN(B$1)),""),IF(Etabs="Etabs 2013 trở lên",IF(INDEX(Mode_2,ROW($E580),COLUMN(B$1))&lt;&gt;"",INDEX(Mode_2,ROW($E580),COLUMN(B$1)),""),""))</f>
        <v>D1</v>
      </c>
      <c r="E578" s="953">
        <f t="shared" ref="E578:E641" si="113">IF(Etabs="Etabs 9.7.4",IF(INDEX(Mode_1,ROW($E578),COLUMN(C$1))&lt;&gt;"",INDEX(Mode_1,ROW($E578),COLUMN(C$1)),""),IF(Etabs="Etabs 2013 trở lên",$M578,""))</f>
        <v>7</v>
      </c>
      <c r="F578" s="953">
        <f t="shared" ref="F578:F641" si="114">IF(Etabs="Etabs 9.7.4",IF(INDEX(Mode_1,ROW($E578),COLUMN(D$1))&lt;&gt;"",INDEX(Mode_1,ROW($E578),COLUMN(D$1)),""),IF(Etabs="Etabs 2013 trở lên",IF(INDEX(Mode_2,ROW($E580),COLUMN(D$1))&lt;&gt;"",INDEX(Mode_2,ROW($E580),COLUMN(D$1)),""),""))</f>
        <v>-1.7100000000000001E-4</v>
      </c>
      <c r="G578" s="953">
        <f t="shared" ref="G578:G641" si="115">IF(Etabs="Etabs 9.7.4",IF(INDEX(Mode_1,ROW($E578),COLUMN(E$1))&lt;&gt;"",INDEX(Mode_1,ROW($E578),COLUMN(E$1)),""),IF(Etabs="Etabs 2013 trở lên",IF(INDEX(Mode_2,ROW($E580),COLUMN(E$1))&lt;&gt;"",INDEX(Mode_2,ROW($E580),COLUMN(E$1)),""),""))</f>
        <v>1.1E-5</v>
      </c>
      <c r="H578" s="953">
        <f t="shared" ref="H578:H641" si="116">IF(Etabs="Etabs 9.7.4",IF(INDEX(Mode_1,ROW($E578),COLUMN(F$1))&lt;&gt;"",INDEX(Mode_1,ROW($E578),COLUMN(F$1)),""),IF(Etabs="Etabs 2013 trở lên",0,""))</f>
        <v>0</v>
      </c>
      <c r="I578" s="953">
        <f t="shared" ref="I578:I641" si="117">IF(Etabs="Etabs 9.7.4",IF(INDEX(Mode_1,ROW($E578),COLUMN(G$1))&lt;&gt;"",INDEX(Mode_1,ROW($E578),COLUMN(G$1)),""),IF(Etabs="Etabs 2013 trở lên",0,""))</f>
        <v>0</v>
      </c>
      <c r="J578" s="953">
        <f t="shared" ref="J578:J641" si="118">IF(Etabs="Etabs 9.7.4",IF(INDEX(Mode_1,ROW($E578),COLUMN(H$1))&lt;&gt;"",INDEX(Mode_1,ROW($E578),COLUMN(H$1)),""),IF(Etabs="Etabs 2013 trở lên",0,""))</f>
        <v>0</v>
      </c>
      <c r="K578" s="953">
        <f t="shared" ref="K578:K641" si="119">IF(Etabs="Etabs 9.7.4",IF(INDEX(Mode_1,ROW($E578),COLUMN(I$1))&lt;&gt;"",INDEX(Mode_1,ROW($E578),COLUMN(I$1)),""),IF(Etabs="Etabs 2013 trở lên",IF(INDEX(Mode_2,ROW($E580),COLUMN(F$1))&lt;&gt;"",INDEX(Mode_2,ROW($E580),COLUMN(F$1)),""),""))</f>
        <v>1.34E-4</v>
      </c>
      <c r="L578" s="570" t="str">
        <f t="shared" ref="L578:L641" si="120">IF(Etabs="Etabs 9.7.4",IF(INDEX(Mode_1,ROW($E578),COLUMN(C$1))&lt;&gt;"",INDEX(Mode_1,ROW($E578),COLUMN(C$1)),""),IF(Etabs="Etabs 2013 trở lên",IF(INDEX(Mode_2,ROW($E580),COLUMN(C$1))&lt;&gt;"",INDEX(Mode_2,ROW($E580),COLUMN(C$1)),""),""))</f>
        <v>Modal 7</v>
      </c>
      <c r="M578" s="570">
        <f t="shared" si="108"/>
        <v>7</v>
      </c>
    </row>
    <row r="579" spans="1:13">
      <c r="A579" s="570" t="str">
        <f t="shared" si="110"/>
        <v>T208</v>
      </c>
      <c r="C579" s="953" t="str">
        <f t="shared" si="111"/>
        <v>T20</v>
      </c>
      <c r="D579" s="953" t="str">
        <f t="shared" si="112"/>
        <v>D1</v>
      </c>
      <c r="E579" s="953">
        <f t="shared" si="113"/>
        <v>8</v>
      </c>
      <c r="F579" s="953">
        <f t="shared" si="114"/>
        <v>-1.73E-4</v>
      </c>
      <c r="G579" s="953">
        <f t="shared" si="115"/>
        <v>2.0119999999999999E-3</v>
      </c>
      <c r="H579" s="953">
        <f t="shared" si="116"/>
        <v>0</v>
      </c>
      <c r="I579" s="953">
        <f t="shared" si="117"/>
        <v>0</v>
      </c>
      <c r="J579" s="953">
        <f t="shared" si="118"/>
        <v>0</v>
      </c>
      <c r="K579" s="953">
        <f t="shared" si="119"/>
        <v>-4.7459999999999997E-7</v>
      </c>
      <c r="L579" s="570" t="str">
        <f t="shared" si="120"/>
        <v>Modal 8</v>
      </c>
      <c r="M579" s="570">
        <f t="shared" ref="M579:M642" si="121">IFERROR(VALUE(RIGHT(L579,LEN(L579)-6)),"")</f>
        <v>8</v>
      </c>
    </row>
    <row r="580" spans="1:13">
      <c r="A580" s="570" t="str">
        <f t="shared" si="110"/>
        <v>T209</v>
      </c>
      <c r="C580" s="953" t="str">
        <f t="shared" si="111"/>
        <v>T20</v>
      </c>
      <c r="D580" s="953" t="str">
        <f t="shared" si="112"/>
        <v>D1</v>
      </c>
      <c r="E580" s="953">
        <f t="shared" si="113"/>
        <v>9</v>
      </c>
      <c r="F580" s="953">
        <f t="shared" si="114"/>
        <v>2.9799999999999998E-4</v>
      </c>
      <c r="G580" s="953">
        <f t="shared" si="115"/>
        <v>-1.9999999999999999E-6</v>
      </c>
      <c r="H580" s="953">
        <f t="shared" si="116"/>
        <v>0</v>
      </c>
      <c r="I580" s="953">
        <f t="shared" si="117"/>
        <v>0</v>
      </c>
      <c r="J580" s="953">
        <f t="shared" si="118"/>
        <v>0</v>
      </c>
      <c r="K580" s="953">
        <f t="shared" si="119"/>
        <v>-2.3800000000000001E-4</v>
      </c>
      <c r="L580" s="570" t="str">
        <f t="shared" si="120"/>
        <v>Modal 9</v>
      </c>
      <c r="M580" s="570">
        <f t="shared" si="121"/>
        <v>9</v>
      </c>
    </row>
    <row r="581" spans="1:13">
      <c r="A581" s="570" t="str">
        <f t="shared" si="110"/>
        <v>T2010</v>
      </c>
      <c r="C581" s="953" t="str">
        <f t="shared" si="111"/>
        <v>T20</v>
      </c>
      <c r="D581" s="953" t="str">
        <f t="shared" si="112"/>
        <v>D1</v>
      </c>
      <c r="E581" s="953">
        <f t="shared" si="113"/>
        <v>10</v>
      </c>
      <c r="F581" s="953">
        <f t="shared" si="114"/>
        <v>2.2390000000000001E-3</v>
      </c>
      <c r="G581" s="953">
        <f t="shared" si="115"/>
        <v>2.43E-4</v>
      </c>
      <c r="H581" s="953">
        <f t="shared" si="116"/>
        <v>0</v>
      </c>
      <c r="I581" s="953">
        <f t="shared" si="117"/>
        <v>0</v>
      </c>
      <c r="J581" s="953">
        <f t="shared" si="118"/>
        <v>0</v>
      </c>
      <c r="K581" s="953">
        <f t="shared" si="119"/>
        <v>-1.1E-5</v>
      </c>
      <c r="L581" s="570" t="str">
        <f t="shared" si="120"/>
        <v>Modal 10</v>
      </c>
      <c r="M581" s="570">
        <f t="shared" si="121"/>
        <v>10</v>
      </c>
    </row>
    <row r="582" spans="1:13">
      <c r="A582" s="570" t="str">
        <f t="shared" si="110"/>
        <v>T2011</v>
      </c>
      <c r="C582" s="953" t="str">
        <f t="shared" si="111"/>
        <v>T20</v>
      </c>
      <c r="D582" s="953" t="str">
        <f t="shared" si="112"/>
        <v>D1</v>
      </c>
      <c r="E582" s="953">
        <f t="shared" si="113"/>
        <v>11</v>
      </c>
      <c r="F582" s="953">
        <f t="shared" si="114"/>
        <v>-1.8799999999999999E-4</v>
      </c>
      <c r="G582" s="953">
        <f t="shared" si="115"/>
        <v>-1.789E-3</v>
      </c>
      <c r="H582" s="953">
        <f t="shared" si="116"/>
        <v>0</v>
      </c>
      <c r="I582" s="953">
        <f t="shared" si="117"/>
        <v>0</v>
      </c>
      <c r="J582" s="953">
        <f t="shared" si="118"/>
        <v>0</v>
      </c>
      <c r="K582" s="953">
        <f t="shared" si="119"/>
        <v>1.27E-4</v>
      </c>
      <c r="L582" s="570" t="str">
        <f t="shared" si="120"/>
        <v>Modal 11</v>
      </c>
      <c r="M582" s="570">
        <f t="shared" si="121"/>
        <v>11</v>
      </c>
    </row>
    <row r="583" spans="1:13">
      <c r="A583" s="570" t="str">
        <f t="shared" si="110"/>
        <v>T2012</v>
      </c>
      <c r="C583" s="953" t="str">
        <f t="shared" si="111"/>
        <v>T20</v>
      </c>
      <c r="D583" s="953" t="str">
        <f t="shared" si="112"/>
        <v>D1</v>
      </c>
      <c r="E583" s="953">
        <f t="shared" si="113"/>
        <v>12</v>
      </c>
      <c r="F583" s="953">
        <f t="shared" si="114"/>
        <v>-6.0999999999999997E-4</v>
      </c>
      <c r="G583" s="953">
        <f t="shared" si="115"/>
        <v>4.7980000000000002E-3</v>
      </c>
      <c r="H583" s="953">
        <f t="shared" si="116"/>
        <v>0</v>
      </c>
      <c r="I583" s="953">
        <f t="shared" si="117"/>
        <v>0</v>
      </c>
      <c r="J583" s="953">
        <f t="shared" si="118"/>
        <v>0</v>
      </c>
      <c r="K583" s="953">
        <f t="shared" si="119"/>
        <v>4.3000000000000002E-5</v>
      </c>
      <c r="L583" s="570" t="str">
        <f t="shared" si="120"/>
        <v>Modal 12</v>
      </c>
      <c r="M583" s="570">
        <f t="shared" si="121"/>
        <v>12</v>
      </c>
    </row>
    <row r="584" spans="1:13">
      <c r="A584" s="570" t="str">
        <f t="shared" si="110"/>
        <v>T2013</v>
      </c>
      <c r="C584" s="953" t="str">
        <f t="shared" si="111"/>
        <v>T20</v>
      </c>
      <c r="D584" s="953" t="str">
        <f t="shared" si="112"/>
        <v>D1</v>
      </c>
      <c r="E584" s="953">
        <f t="shared" si="113"/>
        <v>13</v>
      </c>
      <c r="F584" s="953">
        <f t="shared" si="114"/>
        <v>-4.9680000000000002E-3</v>
      </c>
      <c r="G584" s="953">
        <f t="shared" si="115"/>
        <v>-4.6500000000000003E-4</v>
      </c>
      <c r="H584" s="953">
        <f t="shared" si="116"/>
        <v>0</v>
      </c>
      <c r="I584" s="953">
        <f t="shared" si="117"/>
        <v>0</v>
      </c>
      <c r="J584" s="953">
        <f t="shared" si="118"/>
        <v>0</v>
      </c>
      <c r="K584" s="953">
        <f t="shared" si="119"/>
        <v>-2.5999999999999998E-5</v>
      </c>
      <c r="L584" s="570" t="str">
        <f t="shared" si="120"/>
        <v>Modal 13</v>
      </c>
      <c r="M584" s="570">
        <f t="shared" si="121"/>
        <v>13</v>
      </c>
    </row>
    <row r="585" spans="1:13">
      <c r="A585" s="570" t="str">
        <f t="shared" si="110"/>
        <v>T2014</v>
      </c>
      <c r="C585" s="953" t="str">
        <f t="shared" si="111"/>
        <v>T20</v>
      </c>
      <c r="D585" s="953" t="str">
        <f t="shared" si="112"/>
        <v>D1</v>
      </c>
      <c r="E585" s="953">
        <f t="shared" si="113"/>
        <v>14</v>
      </c>
      <c r="F585" s="953">
        <f t="shared" si="114"/>
        <v>-1.4200000000000001E-4</v>
      </c>
      <c r="G585" s="953">
        <f t="shared" si="115"/>
        <v>8.7000000000000001E-5</v>
      </c>
      <c r="H585" s="953">
        <f t="shared" si="116"/>
        <v>0</v>
      </c>
      <c r="I585" s="953">
        <f t="shared" si="117"/>
        <v>0</v>
      </c>
      <c r="J585" s="953">
        <f t="shared" si="118"/>
        <v>0</v>
      </c>
      <c r="K585" s="953">
        <f t="shared" si="119"/>
        <v>2.2100000000000001E-4</v>
      </c>
      <c r="L585" s="570" t="str">
        <f t="shared" si="120"/>
        <v>Modal 14</v>
      </c>
      <c r="M585" s="570">
        <f t="shared" si="121"/>
        <v>14</v>
      </c>
    </row>
    <row r="586" spans="1:13">
      <c r="A586" s="570" t="str">
        <f t="shared" si="110"/>
        <v>T2015</v>
      </c>
      <c r="C586" s="953" t="str">
        <f t="shared" si="111"/>
        <v>T20</v>
      </c>
      <c r="D586" s="953" t="str">
        <f t="shared" si="112"/>
        <v>D1</v>
      </c>
      <c r="E586" s="953">
        <f t="shared" si="113"/>
        <v>15</v>
      </c>
      <c r="F586" s="953">
        <f t="shared" si="114"/>
        <v>2.1699999999999999E-4</v>
      </c>
      <c r="G586" s="953">
        <f t="shared" si="115"/>
        <v>-2.6259999999999999E-3</v>
      </c>
      <c r="H586" s="953">
        <f t="shared" si="116"/>
        <v>0</v>
      </c>
      <c r="I586" s="953">
        <f t="shared" si="117"/>
        <v>0</v>
      </c>
      <c r="J586" s="953">
        <f t="shared" si="118"/>
        <v>0</v>
      </c>
      <c r="K586" s="953">
        <f t="shared" si="119"/>
        <v>9.0000000000000002E-6</v>
      </c>
      <c r="L586" s="570" t="str">
        <f t="shared" si="120"/>
        <v>Modal 15</v>
      </c>
      <c r="M586" s="570">
        <f t="shared" si="121"/>
        <v>15</v>
      </c>
    </row>
    <row r="587" spans="1:13">
      <c r="A587" s="570" t="str">
        <f t="shared" si="110"/>
        <v>T2016</v>
      </c>
      <c r="C587" s="953" t="str">
        <f t="shared" si="111"/>
        <v>T20</v>
      </c>
      <c r="D587" s="953" t="str">
        <f t="shared" si="112"/>
        <v>D1</v>
      </c>
      <c r="E587" s="953">
        <f t="shared" si="113"/>
        <v>16</v>
      </c>
      <c r="F587" s="953">
        <f t="shared" si="114"/>
        <v>6.6600000000000003E-4</v>
      </c>
      <c r="G587" s="953">
        <f t="shared" si="115"/>
        <v>8.1000000000000004E-5</v>
      </c>
      <c r="H587" s="953">
        <f t="shared" si="116"/>
        <v>0</v>
      </c>
      <c r="I587" s="953">
        <f t="shared" si="117"/>
        <v>0</v>
      </c>
      <c r="J587" s="953">
        <f t="shared" si="118"/>
        <v>0</v>
      </c>
      <c r="K587" s="953">
        <f t="shared" si="119"/>
        <v>-1.7200000000000001E-4</v>
      </c>
      <c r="L587" s="570" t="str">
        <f t="shared" si="120"/>
        <v>Modal 16</v>
      </c>
      <c r="M587" s="570">
        <f t="shared" si="121"/>
        <v>16</v>
      </c>
    </row>
    <row r="588" spans="1:13">
      <c r="A588" s="570" t="str">
        <f t="shared" si="110"/>
        <v>T2017</v>
      </c>
      <c r="C588" s="953" t="str">
        <f t="shared" si="111"/>
        <v>T20</v>
      </c>
      <c r="D588" s="953" t="str">
        <f t="shared" si="112"/>
        <v>D1</v>
      </c>
      <c r="E588" s="953">
        <f t="shared" si="113"/>
        <v>17</v>
      </c>
      <c r="F588" s="953">
        <f t="shared" si="114"/>
        <v>2.774E-3</v>
      </c>
      <c r="G588" s="953">
        <f t="shared" si="115"/>
        <v>2.92E-4</v>
      </c>
      <c r="H588" s="953">
        <f t="shared" si="116"/>
        <v>0</v>
      </c>
      <c r="I588" s="953">
        <f t="shared" si="117"/>
        <v>0</v>
      </c>
      <c r="J588" s="953">
        <f t="shared" si="118"/>
        <v>0</v>
      </c>
      <c r="K588" s="953">
        <f t="shared" si="119"/>
        <v>2.0000000000000002E-5</v>
      </c>
      <c r="L588" s="570" t="str">
        <f t="shared" si="120"/>
        <v>Modal 17</v>
      </c>
      <c r="M588" s="570">
        <f t="shared" si="121"/>
        <v>17</v>
      </c>
    </row>
    <row r="589" spans="1:13">
      <c r="A589" s="570" t="str">
        <f t="shared" si="110"/>
        <v>T2018</v>
      </c>
      <c r="C589" s="953" t="str">
        <f t="shared" si="111"/>
        <v>T20</v>
      </c>
      <c r="D589" s="953" t="str">
        <f t="shared" si="112"/>
        <v>D1</v>
      </c>
      <c r="E589" s="953">
        <f t="shared" si="113"/>
        <v>18</v>
      </c>
      <c r="F589" s="953">
        <f t="shared" si="114"/>
        <v>-4.4099999999999999E-4</v>
      </c>
      <c r="G589" s="953">
        <f t="shared" si="115"/>
        <v>4.5630000000000002E-3</v>
      </c>
      <c r="H589" s="953">
        <f t="shared" si="116"/>
        <v>0</v>
      </c>
      <c r="I589" s="953">
        <f t="shared" si="117"/>
        <v>0</v>
      </c>
      <c r="J589" s="953">
        <f t="shared" si="118"/>
        <v>0</v>
      </c>
      <c r="K589" s="953">
        <f t="shared" si="119"/>
        <v>-1.8E-5</v>
      </c>
      <c r="L589" s="570" t="str">
        <f t="shared" si="120"/>
        <v>Modal 18</v>
      </c>
      <c r="M589" s="570">
        <f t="shared" si="121"/>
        <v>18</v>
      </c>
    </row>
    <row r="590" spans="1:13">
      <c r="A590" s="570" t="str">
        <f t="shared" si="110"/>
        <v>T2019</v>
      </c>
      <c r="C590" s="953" t="str">
        <f t="shared" si="111"/>
        <v>T20</v>
      </c>
      <c r="D590" s="953" t="str">
        <f t="shared" si="112"/>
        <v>D1</v>
      </c>
      <c r="E590" s="953">
        <f t="shared" si="113"/>
        <v>19</v>
      </c>
      <c r="F590" s="953">
        <f t="shared" si="114"/>
        <v>-2.12E-4</v>
      </c>
      <c r="G590" s="953">
        <f t="shared" si="115"/>
        <v>1.0399999999999999E-3</v>
      </c>
      <c r="H590" s="953">
        <f t="shared" si="116"/>
        <v>0</v>
      </c>
      <c r="I590" s="953">
        <f t="shared" si="117"/>
        <v>0</v>
      </c>
      <c r="J590" s="953">
        <f t="shared" si="118"/>
        <v>0</v>
      </c>
      <c r="K590" s="953">
        <f t="shared" si="119"/>
        <v>1.34E-4</v>
      </c>
      <c r="L590" s="570" t="str">
        <f t="shared" si="120"/>
        <v>Modal 19</v>
      </c>
      <c r="M590" s="570">
        <f t="shared" si="121"/>
        <v>19</v>
      </c>
    </row>
    <row r="591" spans="1:13">
      <c r="A591" s="570" t="str">
        <f t="shared" si="110"/>
        <v>T2020</v>
      </c>
      <c r="C591" s="953" t="str">
        <f t="shared" si="111"/>
        <v>T20</v>
      </c>
      <c r="D591" s="953" t="str">
        <f t="shared" si="112"/>
        <v>D1</v>
      </c>
      <c r="E591" s="953">
        <f t="shared" si="113"/>
        <v>20</v>
      </c>
      <c r="F591" s="953">
        <f t="shared" si="114"/>
        <v>4.2770000000000004E-3</v>
      </c>
      <c r="G591" s="953">
        <f t="shared" si="115"/>
        <v>3.1300000000000002E-4</v>
      </c>
      <c r="H591" s="953">
        <f t="shared" si="116"/>
        <v>0</v>
      </c>
      <c r="I591" s="953">
        <f t="shared" si="117"/>
        <v>0</v>
      </c>
      <c r="J591" s="953">
        <f t="shared" si="118"/>
        <v>0</v>
      </c>
      <c r="K591" s="953">
        <f t="shared" si="119"/>
        <v>6.6000000000000005E-5</v>
      </c>
      <c r="L591" s="570" t="str">
        <f t="shared" si="120"/>
        <v>Modal 20</v>
      </c>
      <c r="M591" s="570">
        <f t="shared" si="121"/>
        <v>20</v>
      </c>
    </row>
    <row r="592" spans="1:13">
      <c r="A592" s="570" t="str">
        <f t="shared" si="110"/>
        <v>T2021</v>
      </c>
      <c r="C592" s="953" t="str">
        <f t="shared" si="111"/>
        <v>T20</v>
      </c>
      <c r="D592" s="953" t="str">
        <f t="shared" si="112"/>
        <v>D1</v>
      </c>
      <c r="E592" s="953">
        <f t="shared" si="113"/>
        <v>21</v>
      </c>
      <c r="F592" s="953">
        <f t="shared" si="114"/>
        <v>-9.6000000000000002E-5</v>
      </c>
      <c r="G592" s="953">
        <f t="shared" si="115"/>
        <v>-3.3899999999999998E-3</v>
      </c>
      <c r="H592" s="953">
        <f t="shared" si="116"/>
        <v>0</v>
      </c>
      <c r="I592" s="953">
        <f t="shared" si="117"/>
        <v>0</v>
      </c>
      <c r="J592" s="953">
        <f t="shared" si="118"/>
        <v>0</v>
      </c>
      <c r="K592" s="953">
        <f t="shared" si="119"/>
        <v>4.8000000000000001E-5</v>
      </c>
      <c r="L592" s="570" t="str">
        <f t="shared" si="120"/>
        <v>Modal 21</v>
      </c>
      <c r="M592" s="570">
        <f t="shared" si="121"/>
        <v>21</v>
      </c>
    </row>
    <row r="593" spans="1:13">
      <c r="A593" s="570" t="str">
        <f t="shared" si="110"/>
        <v>T2022</v>
      </c>
      <c r="C593" s="953" t="str">
        <f t="shared" si="111"/>
        <v>T20</v>
      </c>
      <c r="D593" s="953" t="str">
        <f t="shared" si="112"/>
        <v>D1</v>
      </c>
      <c r="E593" s="953">
        <f t="shared" si="113"/>
        <v>22</v>
      </c>
      <c r="F593" s="953">
        <f t="shared" si="114"/>
        <v>1.7160000000000001E-3</v>
      </c>
      <c r="G593" s="953">
        <f t="shared" si="115"/>
        <v>1.291E-3</v>
      </c>
      <c r="H593" s="953">
        <f t="shared" si="116"/>
        <v>0</v>
      </c>
      <c r="I593" s="953">
        <f t="shared" si="117"/>
        <v>0</v>
      </c>
      <c r="J593" s="953">
        <f t="shared" si="118"/>
        <v>0</v>
      </c>
      <c r="K593" s="953">
        <f t="shared" si="119"/>
        <v>1.13E-4</v>
      </c>
      <c r="L593" s="570" t="str">
        <f t="shared" si="120"/>
        <v>Modal 22</v>
      </c>
      <c r="M593" s="570">
        <f t="shared" si="121"/>
        <v>22</v>
      </c>
    </row>
    <row r="594" spans="1:13">
      <c r="A594" s="570" t="str">
        <f t="shared" si="110"/>
        <v>T2023</v>
      </c>
      <c r="C594" s="953" t="str">
        <f t="shared" si="111"/>
        <v>T20</v>
      </c>
      <c r="D594" s="953" t="str">
        <f t="shared" si="112"/>
        <v>D1</v>
      </c>
      <c r="E594" s="953">
        <f t="shared" si="113"/>
        <v>23</v>
      </c>
      <c r="F594" s="953">
        <f t="shared" si="114"/>
        <v>-3.6830000000000001E-3</v>
      </c>
      <c r="G594" s="953">
        <f t="shared" si="115"/>
        <v>2.5119999999999999E-3</v>
      </c>
      <c r="H594" s="953">
        <f t="shared" si="116"/>
        <v>0</v>
      </c>
      <c r="I594" s="953">
        <f t="shared" si="117"/>
        <v>0</v>
      </c>
      <c r="J594" s="953">
        <f t="shared" si="118"/>
        <v>0</v>
      </c>
      <c r="K594" s="953">
        <f t="shared" si="119"/>
        <v>7.6000000000000004E-5</v>
      </c>
      <c r="L594" s="570" t="str">
        <f t="shared" si="120"/>
        <v>Modal 23</v>
      </c>
      <c r="M594" s="570">
        <f t="shared" si="121"/>
        <v>23</v>
      </c>
    </row>
    <row r="595" spans="1:13">
      <c r="A595" s="570" t="str">
        <f t="shared" si="110"/>
        <v>T2024</v>
      </c>
      <c r="C595" s="953" t="str">
        <f t="shared" si="111"/>
        <v>T20</v>
      </c>
      <c r="D595" s="953" t="str">
        <f t="shared" si="112"/>
        <v>D1</v>
      </c>
      <c r="E595" s="953">
        <f t="shared" si="113"/>
        <v>24</v>
      </c>
      <c r="F595" s="953">
        <f t="shared" si="114"/>
        <v>3.728E-3</v>
      </c>
      <c r="G595" s="953">
        <f t="shared" si="115"/>
        <v>1.2149999999999999E-3</v>
      </c>
      <c r="H595" s="953">
        <f t="shared" si="116"/>
        <v>0</v>
      </c>
      <c r="I595" s="953">
        <f t="shared" si="117"/>
        <v>0</v>
      </c>
      <c r="J595" s="953">
        <f t="shared" si="118"/>
        <v>0</v>
      </c>
      <c r="K595" s="953">
        <f t="shared" si="119"/>
        <v>-5.3000000000000001E-5</v>
      </c>
      <c r="L595" s="570" t="str">
        <f t="shared" si="120"/>
        <v>Modal 24</v>
      </c>
      <c r="M595" s="570">
        <f t="shared" si="121"/>
        <v>24</v>
      </c>
    </row>
    <row r="596" spans="1:13">
      <c r="A596" s="570" t="str">
        <f t="shared" si="110"/>
        <v>T2025</v>
      </c>
      <c r="C596" s="953" t="str">
        <f t="shared" si="111"/>
        <v>T20</v>
      </c>
      <c r="D596" s="953" t="str">
        <f t="shared" si="112"/>
        <v>D1</v>
      </c>
      <c r="E596" s="953">
        <f t="shared" si="113"/>
        <v>25</v>
      </c>
      <c r="F596" s="953">
        <f t="shared" si="114"/>
        <v>-1.346E-3</v>
      </c>
      <c r="G596" s="953">
        <f t="shared" si="115"/>
        <v>2.6229999999999999E-3</v>
      </c>
      <c r="H596" s="953">
        <f t="shared" si="116"/>
        <v>0</v>
      </c>
      <c r="I596" s="953">
        <f t="shared" si="117"/>
        <v>0</v>
      </c>
      <c r="J596" s="953">
        <f t="shared" si="118"/>
        <v>0</v>
      </c>
      <c r="K596" s="953">
        <f t="shared" si="119"/>
        <v>4.6999999999999997E-5</v>
      </c>
      <c r="L596" s="570" t="str">
        <f t="shared" si="120"/>
        <v>Modal 25</v>
      </c>
      <c r="M596" s="570">
        <f t="shared" si="121"/>
        <v>25</v>
      </c>
    </row>
    <row r="597" spans="1:13">
      <c r="A597" s="570" t="str">
        <f t="shared" si="110"/>
        <v>T2026</v>
      </c>
      <c r="C597" s="953" t="str">
        <f t="shared" si="111"/>
        <v>T20</v>
      </c>
      <c r="D597" s="953" t="str">
        <f t="shared" si="112"/>
        <v>D1</v>
      </c>
      <c r="E597" s="953">
        <f t="shared" si="113"/>
        <v>26</v>
      </c>
      <c r="F597" s="953">
        <f t="shared" si="114"/>
        <v>-2.1949999999999999E-3</v>
      </c>
      <c r="G597" s="953">
        <f t="shared" si="115"/>
        <v>-3.5230000000000001E-3</v>
      </c>
      <c r="H597" s="953">
        <f t="shared" si="116"/>
        <v>0</v>
      </c>
      <c r="I597" s="953">
        <f t="shared" si="117"/>
        <v>0</v>
      </c>
      <c r="J597" s="953">
        <f t="shared" si="118"/>
        <v>0</v>
      </c>
      <c r="K597" s="953">
        <f t="shared" si="119"/>
        <v>7.9999999999999996E-6</v>
      </c>
      <c r="L597" s="570" t="str">
        <f t="shared" si="120"/>
        <v>Modal 26</v>
      </c>
      <c r="M597" s="570">
        <f t="shared" si="121"/>
        <v>26</v>
      </c>
    </row>
    <row r="598" spans="1:13">
      <c r="A598" s="570" t="str">
        <f t="shared" si="110"/>
        <v>T2027</v>
      </c>
      <c r="C598" s="953" t="str">
        <f t="shared" si="111"/>
        <v>T20</v>
      </c>
      <c r="D598" s="953" t="str">
        <f t="shared" si="112"/>
        <v>D1</v>
      </c>
      <c r="E598" s="953">
        <f t="shared" si="113"/>
        <v>27</v>
      </c>
      <c r="F598" s="953">
        <f t="shared" si="114"/>
        <v>3.6600000000000001E-4</v>
      </c>
      <c r="G598" s="953">
        <f t="shared" si="115"/>
        <v>1.2520000000000001E-3</v>
      </c>
      <c r="H598" s="953">
        <f t="shared" si="116"/>
        <v>0</v>
      </c>
      <c r="I598" s="953">
        <f t="shared" si="117"/>
        <v>0</v>
      </c>
      <c r="J598" s="953">
        <f t="shared" si="118"/>
        <v>0</v>
      </c>
      <c r="K598" s="953">
        <f t="shared" si="119"/>
        <v>4.6999999999999997E-5</v>
      </c>
      <c r="L598" s="570" t="str">
        <f t="shared" si="120"/>
        <v>Modal 27</v>
      </c>
      <c r="M598" s="570">
        <f t="shared" si="121"/>
        <v>27</v>
      </c>
    </row>
    <row r="599" spans="1:13">
      <c r="A599" s="570" t="str">
        <f t="shared" si="110"/>
        <v>T2028</v>
      </c>
      <c r="C599" s="953" t="str">
        <f t="shared" si="111"/>
        <v>T20</v>
      </c>
      <c r="D599" s="953" t="str">
        <f t="shared" si="112"/>
        <v>D1</v>
      </c>
      <c r="E599" s="953">
        <f t="shared" si="113"/>
        <v>28</v>
      </c>
      <c r="F599" s="953">
        <f t="shared" si="114"/>
        <v>-6.6699999999999995E-4</v>
      </c>
      <c r="G599" s="953">
        <f t="shared" si="115"/>
        <v>-2.6280000000000001E-3</v>
      </c>
      <c r="H599" s="953">
        <f t="shared" si="116"/>
        <v>0</v>
      </c>
      <c r="I599" s="953">
        <f t="shared" si="117"/>
        <v>0</v>
      </c>
      <c r="J599" s="953">
        <f t="shared" si="118"/>
        <v>0</v>
      </c>
      <c r="K599" s="953">
        <f t="shared" si="119"/>
        <v>6.9999999999999999E-6</v>
      </c>
      <c r="L599" s="570" t="str">
        <f t="shared" si="120"/>
        <v>Modal 28</v>
      </c>
      <c r="M599" s="570">
        <f t="shared" si="121"/>
        <v>28</v>
      </c>
    </row>
    <row r="600" spans="1:13">
      <c r="A600" s="570" t="str">
        <f t="shared" si="110"/>
        <v>T2029</v>
      </c>
      <c r="C600" s="953" t="str">
        <f t="shared" si="111"/>
        <v>T20</v>
      </c>
      <c r="D600" s="953" t="str">
        <f t="shared" si="112"/>
        <v>D1</v>
      </c>
      <c r="E600" s="953">
        <f t="shared" si="113"/>
        <v>29</v>
      </c>
      <c r="F600" s="953">
        <f t="shared" si="114"/>
        <v>-7.2199999999999999E-4</v>
      </c>
      <c r="G600" s="953">
        <f t="shared" si="115"/>
        <v>-2.4699999999999999E-4</v>
      </c>
      <c r="H600" s="953">
        <f t="shared" si="116"/>
        <v>0</v>
      </c>
      <c r="I600" s="953">
        <f t="shared" si="117"/>
        <v>0</v>
      </c>
      <c r="J600" s="953">
        <f t="shared" si="118"/>
        <v>0</v>
      </c>
      <c r="K600" s="953">
        <f t="shared" si="119"/>
        <v>-4.6999999999999997E-5</v>
      </c>
      <c r="L600" s="570" t="str">
        <f t="shared" si="120"/>
        <v>Modal 29</v>
      </c>
      <c r="M600" s="570">
        <f t="shared" si="121"/>
        <v>29</v>
      </c>
    </row>
    <row r="601" spans="1:13">
      <c r="A601" s="570" t="str">
        <f t="shared" si="110"/>
        <v>T2030</v>
      </c>
      <c r="C601" s="953" t="str">
        <f t="shared" si="111"/>
        <v>T20</v>
      </c>
      <c r="D601" s="953" t="str">
        <f t="shared" si="112"/>
        <v>D1</v>
      </c>
      <c r="E601" s="953">
        <f t="shared" si="113"/>
        <v>30</v>
      </c>
      <c r="F601" s="953">
        <f t="shared" si="114"/>
        <v>2.0900000000000001E-4</v>
      </c>
      <c r="G601" s="953">
        <f t="shared" si="115"/>
        <v>1.7700000000000001E-3</v>
      </c>
      <c r="H601" s="953">
        <f t="shared" si="116"/>
        <v>0</v>
      </c>
      <c r="I601" s="953">
        <f t="shared" si="117"/>
        <v>0</v>
      </c>
      <c r="J601" s="953">
        <f t="shared" si="118"/>
        <v>0</v>
      </c>
      <c r="K601" s="953">
        <f t="shared" si="119"/>
        <v>-9.9999999999999995E-7</v>
      </c>
      <c r="L601" s="570" t="str">
        <f t="shared" si="120"/>
        <v>Modal 30</v>
      </c>
      <c r="M601" s="570">
        <f t="shared" si="121"/>
        <v>30</v>
      </c>
    </row>
    <row r="602" spans="1:13">
      <c r="A602" s="570" t="str">
        <f t="shared" si="110"/>
        <v>T191</v>
      </c>
      <c r="C602" s="953" t="str">
        <f t="shared" si="111"/>
        <v>T19</v>
      </c>
      <c r="D602" s="953" t="str">
        <f t="shared" si="112"/>
        <v>D1</v>
      </c>
      <c r="E602" s="953">
        <f t="shared" si="113"/>
        <v>1</v>
      </c>
      <c r="F602" s="953">
        <f t="shared" si="114"/>
        <v>-5.7200000000000003E-4</v>
      </c>
      <c r="G602" s="953">
        <f t="shared" si="115"/>
        <v>2.9710000000000001E-3</v>
      </c>
      <c r="H602" s="953">
        <f t="shared" si="116"/>
        <v>0</v>
      </c>
      <c r="I602" s="953">
        <f t="shared" si="117"/>
        <v>0</v>
      </c>
      <c r="J602" s="953">
        <f t="shared" si="118"/>
        <v>0</v>
      </c>
      <c r="K602" s="953">
        <f t="shared" si="119"/>
        <v>2.9E-5</v>
      </c>
      <c r="L602" s="570" t="str">
        <f t="shared" si="120"/>
        <v>Modal 1</v>
      </c>
      <c r="M602" s="570">
        <f t="shared" si="121"/>
        <v>1</v>
      </c>
    </row>
    <row r="603" spans="1:13">
      <c r="A603" s="570" t="str">
        <f t="shared" si="110"/>
        <v>T192</v>
      </c>
      <c r="C603" s="953" t="str">
        <f t="shared" si="111"/>
        <v>T19</v>
      </c>
      <c r="D603" s="953" t="str">
        <f t="shared" si="112"/>
        <v>D1</v>
      </c>
      <c r="E603" s="953">
        <f t="shared" si="113"/>
        <v>2</v>
      </c>
      <c r="F603" s="953">
        <f t="shared" si="114"/>
        <v>-4.8999999999999998E-4</v>
      </c>
      <c r="G603" s="953">
        <f t="shared" si="115"/>
        <v>-6.2399999999999999E-4</v>
      </c>
      <c r="H603" s="953">
        <f t="shared" si="116"/>
        <v>0</v>
      </c>
      <c r="I603" s="953">
        <f t="shared" si="117"/>
        <v>0</v>
      </c>
      <c r="J603" s="953">
        <f t="shared" si="118"/>
        <v>0</v>
      </c>
      <c r="K603" s="953">
        <f t="shared" si="119"/>
        <v>1.6799999999999999E-4</v>
      </c>
      <c r="L603" s="570" t="str">
        <f t="shared" si="120"/>
        <v>Modal 2</v>
      </c>
      <c r="M603" s="570">
        <f t="shared" si="121"/>
        <v>2</v>
      </c>
    </row>
    <row r="604" spans="1:13">
      <c r="A604" s="570" t="str">
        <f t="shared" si="110"/>
        <v>T193</v>
      </c>
      <c r="C604" s="953" t="str">
        <f t="shared" si="111"/>
        <v>T19</v>
      </c>
      <c r="D604" s="953" t="str">
        <f t="shared" si="112"/>
        <v>D1</v>
      </c>
      <c r="E604" s="953">
        <f t="shared" si="113"/>
        <v>3</v>
      </c>
      <c r="F604" s="953">
        <f t="shared" si="114"/>
        <v>3.1830000000000001E-3</v>
      </c>
      <c r="G604" s="953">
        <f t="shared" si="115"/>
        <v>5.5000000000000003E-4</v>
      </c>
      <c r="H604" s="953">
        <f t="shared" si="116"/>
        <v>0</v>
      </c>
      <c r="I604" s="953">
        <f t="shared" si="117"/>
        <v>0</v>
      </c>
      <c r="J604" s="953">
        <f t="shared" si="118"/>
        <v>0</v>
      </c>
      <c r="K604" s="953">
        <f t="shared" si="119"/>
        <v>3.0000000000000001E-5</v>
      </c>
      <c r="L604" s="570" t="str">
        <f t="shared" si="120"/>
        <v>Modal 3</v>
      </c>
      <c r="M604" s="570">
        <f t="shared" si="121"/>
        <v>3</v>
      </c>
    </row>
    <row r="605" spans="1:13">
      <c r="A605" s="570" t="str">
        <f t="shared" si="110"/>
        <v>T194</v>
      </c>
      <c r="C605" s="953" t="str">
        <f t="shared" si="111"/>
        <v>T19</v>
      </c>
      <c r="D605" s="953" t="str">
        <f t="shared" si="112"/>
        <v>D1</v>
      </c>
      <c r="E605" s="953">
        <f t="shared" si="113"/>
        <v>4</v>
      </c>
      <c r="F605" s="953">
        <f t="shared" si="114"/>
        <v>-7.6900000000000004E-4</v>
      </c>
      <c r="G605" s="953">
        <f t="shared" si="115"/>
        <v>2.9E-5</v>
      </c>
      <c r="H605" s="953">
        <f t="shared" si="116"/>
        <v>0</v>
      </c>
      <c r="I605" s="953">
        <f t="shared" si="117"/>
        <v>0</v>
      </c>
      <c r="J605" s="953">
        <f t="shared" si="118"/>
        <v>0</v>
      </c>
      <c r="K605" s="953">
        <f t="shared" si="119"/>
        <v>2.4600000000000002E-4</v>
      </c>
      <c r="L605" s="570" t="str">
        <f t="shared" si="120"/>
        <v>Modal 4</v>
      </c>
      <c r="M605" s="570">
        <f t="shared" si="121"/>
        <v>4</v>
      </c>
    </row>
    <row r="606" spans="1:13">
      <c r="A606" s="570" t="str">
        <f t="shared" si="110"/>
        <v>T195</v>
      </c>
      <c r="C606" s="953" t="str">
        <f t="shared" si="111"/>
        <v>T19</v>
      </c>
      <c r="D606" s="953" t="str">
        <f t="shared" si="112"/>
        <v>D1</v>
      </c>
      <c r="E606" s="953">
        <f t="shared" si="113"/>
        <v>5</v>
      </c>
      <c r="F606" s="953">
        <f t="shared" si="114"/>
        <v>6.8400000000000004E-4</v>
      </c>
      <c r="G606" s="953">
        <f t="shared" si="115"/>
        <v>-5.4169999999999999E-3</v>
      </c>
      <c r="H606" s="953">
        <f t="shared" si="116"/>
        <v>0</v>
      </c>
      <c r="I606" s="953">
        <f t="shared" si="117"/>
        <v>0</v>
      </c>
      <c r="J606" s="953">
        <f t="shared" si="118"/>
        <v>0</v>
      </c>
      <c r="K606" s="953">
        <f t="shared" si="119"/>
        <v>7.9999999999999996E-6</v>
      </c>
      <c r="L606" s="570" t="str">
        <f t="shared" si="120"/>
        <v>Modal 5</v>
      </c>
      <c r="M606" s="570">
        <f t="shared" si="121"/>
        <v>5</v>
      </c>
    </row>
    <row r="607" spans="1:13">
      <c r="A607" s="570" t="str">
        <f t="shared" si="110"/>
        <v>T196</v>
      </c>
      <c r="C607" s="953" t="str">
        <f t="shared" si="111"/>
        <v>T19</v>
      </c>
      <c r="D607" s="953" t="str">
        <f t="shared" si="112"/>
        <v>D1</v>
      </c>
      <c r="E607" s="953">
        <f t="shared" si="113"/>
        <v>6</v>
      </c>
      <c r="F607" s="953">
        <f t="shared" si="114"/>
        <v>-5.2389999999999997E-3</v>
      </c>
      <c r="G607" s="953">
        <f t="shared" si="115"/>
        <v>-6.4400000000000004E-4</v>
      </c>
      <c r="H607" s="953">
        <f t="shared" si="116"/>
        <v>0</v>
      </c>
      <c r="I607" s="953">
        <f t="shared" si="117"/>
        <v>0</v>
      </c>
      <c r="J607" s="953">
        <f t="shared" si="118"/>
        <v>0</v>
      </c>
      <c r="K607" s="953">
        <f t="shared" si="119"/>
        <v>-3.1999999999999999E-5</v>
      </c>
      <c r="L607" s="570" t="str">
        <f t="shared" si="120"/>
        <v>Modal 6</v>
      </c>
      <c r="M607" s="570">
        <f t="shared" si="121"/>
        <v>6</v>
      </c>
    </row>
    <row r="608" spans="1:13">
      <c r="A608" s="570" t="str">
        <f t="shared" si="110"/>
        <v>T197</v>
      </c>
      <c r="C608" s="953" t="str">
        <f t="shared" si="111"/>
        <v>T19</v>
      </c>
      <c r="D608" s="953" t="str">
        <f t="shared" si="112"/>
        <v>D1</v>
      </c>
      <c r="E608" s="953">
        <f t="shared" si="113"/>
        <v>7</v>
      </c>
      <c r="F608" s="953">
        <f t="shared" si="114"/>
        <v>-3.8000000000000002E-5</v>
      </c>
      <c r="G608" s="953">
        <f t="shared" si="115"/>
        <v>1.5999999999999999E-5</v>
      </c>
      <c r="H608" s="953">
        <f t="shared" si="116"/>
        <v>0</v>
      </c>
      <c r="I608" s="953">
        <f t="shared" si="117"/>
        <v>0</v>
      </c>
      <c r="J608" s="953">
        <f t="shared" si="118"/>
        <v>0</v>
      </c>
      <c r="K608" s="953">
        <f t="shared" si="119"/>
        <v>8.3999999999999995E-5</v>
      </c>
      <c r="L608" s="570" t="str">
        <f t="shared" si="120"/>
        <v>Modal 7</v>
      </c>
      <c r="M608" s="570">
        <f t="shared" si="121"/>
        <v>7</v>
      </c>
    </row>
    <row r="609" spans="1:13">
      <c r="A609" s="570" t="str">
        <f t="shared" si="110"/>
        <v>T198</v>
      </c>
      <c r="C609" s="953" t="str">
        <f t="shared" si="111"/>
        <v>T19</v>
      </c>
      <c r="D609" s="953" t="str">
        <f t="shared" si="112"/>
        <v>D1</v>
      </c>
      <c r="E609" s="953">
        <f t="shared" si="113"/>
        <v>8</v>
      </c>
      <c r="F609" s="953">
        <f t="shared" si="114"/>
        <v>-6.7999999999999999E-5</v>
      </c>
      <c r="G609" s="953">
        <f t="shared" si="115"/>
        <v>9.5799999999999998E-4</v>
      </c>
      <c r="H609" s="953">
        <f t="shared" si="116"/>
        <v>0</v>
      </c>
      <c r="I609" s="953">
        <f t="shared" si="117"/>
        <v>0</v>
      </c>
      <c r="J609" s="953">
        <f t="shared" si="118"/>
        <v>0</v>
      </c>
      <c r="K609" s="953">
        <f t="shared" si="119"/>
        <v>9.9999999999999995E-7</v>
      </c>
      <c r="L609" s="570" t="str">
        <f t="shared" si="120"/>
        <v>Modal 8</v>
      </c>
      <c r="M609" s="570">
        <f t="shared" si="121"/>
        <v>8</v>
      </c>
    </row>
    <row r="610" spans="1:13">
      <c r="A610" s="570" t="str">
        <f t="shared" si="110"/>
        <v>T199</v>
      </c>
      <c r="C610" s="953" t="str">
        <f t="shared" si="111"/>
        <v>T19</v>
      </c>
      <c r="D610" s="953" t="str">
        <f t="shared" si="112"/>
        <v>D1</v>
      </c>
      <c r="E610" s="953">
        <f t="shared" si="113"/>
        <v>9</v>
      </c>
      <c r="F610" s="953">
        <f t="shared" si="114"/>
        <v>4.4700000000000002E-4</v>
      </c>
      <c r="G610" s="953">
        <f t="shared" si="115"/>
        <v>1.9999999999999999E-6</v>
      </c>
      <c r="H610" s="953">
        <f t="shared" si="116"/>
        <v>0</v>
      </c>
      <c r="I610" s="953">
        <f t="shared" si="117"/>
        <v>0</v>
      </c>
      <c r="J610" s="953">
        <f t="shared" si="118"/>
        <v>0</v>
      </c>
      <c r="K610" s="953">
        <f t="shared" si="119"/>
        <v>-2.6499999999999999E-4</v>
      </c>
      <c r="L610" s="570" t="str">
        <f t="shared" si="120"/>
        <v>Modal 9</v>
      </c>
      <c r="M610" s="570">
        <f t="shared" si="121"/>
        <v>9</v>
      </c>
    </row>
    <row r="611" spans="1:13">
      <c r="A611" s="570" t="str">
        <f t="shared" si="110"/>
        <v>T1910</v>
      </c>
      <c r="C611" s="953" t="str">
        <f t="shared" si="111"/>
        <v>T19</v>
      </c>
      <c r="D611" s="953" t="str">
        <f t="shared" si="112"/>
        <v>D1</v>
      </c>
      <c r="E611" s="953">
        <f t="shared" si="113"/>
        <v>10</v>
      </c>
      <c r="F611" s="953">
        <f t="shared" si="114"/>
        <v>1.2149999999999999E-3</v>
      </c>
      <c r="G611" s="953">
        <f t="shared" si="115"/>
        <v>1.4200000000000001E-4</v>
      </c>
      <c r="H611" s="953">
        <f t="shared" si="116"/>
        <v>0</v>
      </c>
      <c r="I611" s="953">
        <f t="shared" si="117"/>
        <v>0</v>
      </c>
      <c r="J611" s="953">
        <f t="shared" si="118"/>
        <v>0</v>
      </c>
      <c r="K611" s="953">
        <f t="shared" si="119"/>
        <v>-1.9000000000000001E-5</v>
      </c>
      <c r="L611" s="570" t="str">
        <f t="shared" si="120"/>
        <v>Modal 10</v>
      </c>
      <c r="M611" s="570">
        <f t="shared" si="121"/>
        <v>10</v>
      </c>
    </row>
    <row r="612" spans="1:13">
      <c r="A612" s="570" t="str">
        <f t="shared" si="110"/>
        <v>T1911</v>
      </c>
      <c r="C612" s="953" t="str">
        <f t="shared" si="111"/>
        <v>T19</v>
      </c>
      <c r="D612" s="953" t="str">
        <f t="shared" si="112"/>
        <v>D1</v>
      </c>
      <c r="E612" s="953">
        <f t="shared" si="113"/>
        <v>11</v>
      </c>
      <c r="F612" s="953">
        <f t="shared" si="114"/>
        <v>-3.8999999999999999E-5</v>
      </c>
      <c r="G612" s="953">
        <f t="shared" si="115"/>
        <v>-1.9400000000000001E-3</v>
      </c>
      <c r="H612" s="953">
        <f t="shared" si="116"/>
        <v>0</v>
      </c>
      <c r="I612" s="953">
        <f t="shared" si="117"/>
        <v>0</v>
      </c>
      <c r="J612" s="953">
        <f t="shared" si="118"/>
        <v>0</v>
      </c>
      <c r="K612" s="953">
        <f t="shared" si="119"/>
        <v>4.1999999999999998E-5</v>
      </c>
      <c r="L612" s="570" t="str">
        <f t="shared" si="120"/>
        <v>Modal 11</v>
      </c>
      <c r="M612" s="570">
        <f t="shared" si="121"/>
        <v>11</v>
      </c>
    </row>
    <row r="613" spans="1:13">
      <c r="A613" s="570" t="str">
        <f t="shared" si="110"/>
        <v>T1912</v>
      </c>
      <c r="C613" s="953" t="str">
        <f t="shared" si="111"/>
        <v>T19</v>
      </c>
      <c r="D613" s="953" t="str">
        <f t="shared" si="112"/>
        <v>D1</v>
      </c>
      <c r="E613" s="953">
        <f t="shared" si="113"/>
        <v>12</v>
      </c>
      <c r="F613" s="953">
        <f t="shared" si="114"/>
        <v>-5.9599999999999996E-4</v>
      </c>
      <c r="G613" s="953">
        <f t="shared" si="115"/>
        <v>5.2100000000000002E-3</v>
      </c>
      <c r="H613" s="953">
        <f t="shared" si="116"/>
        <v>0</v>
      </c>
      <c r="I613" s="953">
        <f t="shared" si="117"/>
        <v>0</v>
      </c>
      <c r="J613" s="953">
        <f t="shared" si="118"/>
        <v>0</v>
      </c>
      <c r="K613" s="953">
        <f t="shared" si="119"/>
        <v>1.1E-5</v>
      </c>
      <c r="L613" s="570" t="str">
        <f t="shared" si="120"/>
        <v>Modal 12</v>
      </c>
      <c r="M613" s="570">
        <f t="shared" si="121"/>
        <v>12</v>
      </c>
    </row>
    <row r="614" spans="1:13">
      <c r="A614" s="570" t="str">
        <f t="shared" si="110"/>
        <v>T1913</v>
      </c>
      <c r="C614" s="953" t="str">
        <f t="shared" si="111"/>
        <v>T19</v>
      </c>
      <c r="D614" s="953" t="str">
        <f t="shared" si="112"/>
        <v>D1</v>
      </c>
      <c r="E614" s="953">
        <f t="shared" si="113"/>
        <v>13</v>
      </c>
      <c r="F614" s="953">
        <f t="shared" si="114"/>
        <v>-5.4640000000000001E-3</v>
      </c>
      <c r="G614" s="953">
        <f t="shared" si="115"/>
        <v>-5.1800000000000001E-4</v>
      </c>
      <c r="H614" s="953">
        <f t="shared" si="116"/>
        <v>0</v>
      </c>
      <c r="I614" s="953">
        <f t="shared" si="117"/>
        <v>0</v>
      </c>
      <c r="J614" s="953">
        <f t="shared" si="118"/>
        <v>0</v>
      </c>
      <c r="K614" s="953">
        <f t="shared" si="119"/>
        <v>-2.3E-5</v>
      </c>
      <c r="L614" s="570" t="str">
        <f t="shared" si="120"/>
        <v>Modal 13</v>
      </c>
      <c r="M614" s="570">
        <f t="shared" si="121"/>
        <v>13</v>
      </c>
    </row>
    <row r="615" spans="1:13">
      <c r="A615" s="570" t="str">
        <f t="shared" si="110"/>
        <v>T1914</v>
      </c>
      <c r="C615" s="953" t="str">
        <f t="shared" si="111"/>
        <v>T19</v>
      </c>
      <c r="D615" s="953" t="str">
        <f t="shared" si="112"/>
        <v>D1</v>
      </c>
      <c r="E615" s="953">
        <f t="shared" si="113"/>
        <v>14</v>
      </c>
      <c r="F615" s="953">
        <f t="shared" si="114"/>
        <v>-2.31E-4</v>
      </c>
      <c r="G615" s="953">
        <f t="shared" si="115"/>
        <v>5.5000000000000002E-5</v>
      </c>
      <c r="H615" s="953">
        <f t="shared" si="116"/>
        <v>0</v>
      </c>
      <c r="I615" s="953">
        <f t="shared" si="117"/>
        <v>0</v>
      </c>
      <c r="J615" s="953">
        <f t="shared" si="118"/>
        <v>0</v>
      </c>
      <c r="K615" s="953">
        <f t="shared" si="119"/>
        <v>2.61E-4</v>
      </c>
      <c r="L615" s="570" t="str">
        <f t="shared" si="120"/>
        <v>Modal 14</v>
      </c>
      <c r="M615" s="570">
        <f t="shared" si="121"/>
        <v>14</v>
      </c>
    </row>
    <row r="616" spans="1:13">
      <c r="A616" s="570" t="str">
        <f t="shared" si="110"/>
        <v>T1915</v>
      </c>
      <c r="C616" s="953" t="str">
        <f t="shared" si="111"/>
        <v>T19</v>
      </c>
      <c r="D616" s="953" t="str">
        <f t="shared" si="112"/>
        <v>D1</v>
      </c>
      <c r="E616" s="953">
        <f t="shared" si="113"/>
        <v>15</v>
      </c>
      <c r="F616" s="953">
        <f t="shared" si="114"/>
        <v>3.6000000000000001E-5</v>
      </c>
      <c r="G616" s="953">
        <f t="shared" si="115"/>
        <v>-7.6099999999999996E-4</v>
      </c>
      <c r="H616" s="953">
        <f t="shared" si="116"/>
        <v>0</v>
      </c>
      <c r="I616" s="953">
        <f t="shared" si="117"/>
        <v>0</v>
      </c>
      <c r="J616" s="953">
        <f t="shared" si="118"/>
        <v>0</v>
      </c>
      <c r="K616" s="953">
        <f t="shared" si="119"/>
        <v>6.9999999999999999E-6</v>
      </c>
      <c r="L616" s="570" t="str">
        <f t="shared" si="120"/>
        <v>Modal 15</v>
      </c>
      <c r="M616" s="570">
        <f t="shared" si="121"/>
        <v>15</v>
      </c>
    </row>
    <row r="617" spans="1:13">
      <c r="A617" s="570" t="str">
        <f t="shared" si="110"/>
        <v>T1916</v>
      </c>
      <c r="C617" s="953" t="str">
        <f t="shared" si="111"/>
        <v>T19</v>
      </c>
      <c r="D617" s="953" t="str">
        <f t="shared" si="112"/>
        <v>D1</v>
      </c>
      <c r="E617" s="953">
        <f t="shared" si="113"/>
        <v>16</v>
      </c>
      <c r="F617" s="953">
        <f t="shared" si="114"/>
        <v>3.7500000000000001E-4</v>
      </c>
      <c r="G617" s="953">
        <f t="shared" si="115"/>
        <v>1.3300000000000001E-4</v>
      </c>
      <c r="H617" s="953">
        <f t="shared" si="116"/>
        <v>0</v>
      </c>
      <c r="I617" s="953">
        <f t="shared" si="117"/>
        <v>0</v>
      </c>
      <c r="J617" s="953">
        <f t="shared" si="118"/>
        <v>0</v>
      </c>
      <c r="K617" s="953">
        <f t="shared" si="119"/>
        <v>-6.2000000000000003E-5</v>
      </c>
      <c r="L617" s="570" t="str">
        <f t="shared" si="120"/>
        <v>Modal 16</v>
      </c>
      <c r="M617" s="570">
        <f t="shared" si="121"/>
        <v>16</v>
      </c>
    </row>
    <row r="618" spans="1:13">
      <c r="A618" s="570" t="str">
        <f t="shared" si="110"/>
        <v>T1917</v>
      </c>
      <c r="C618" s="953" t="str">
        <f t="shared" si="111"/>
        <v>T19</v>
      </c>
      <c r="D618" s="953" t="str">
        <f t="shared" si="112"/>
        <v>D1</v>
      </c>
      <c r="E618" s="953">
        <f t="shared" si="113"/>
        <v>17</v>
      </c>
      <c r="F618" s="953">
        <f t="shared" si="114"/>
        <v>9.8900000000000008E-4</v>
      </c>
      <c r="G618" s="953">
        <f t="shared" si="115"/>
        <v>1.2400000000000001E-4</v>
      </c>
      <c r="H618" s="953">
        <f t="shared" si="116"/>
        <v>0</v>
      </c>
      <c r="I618" s="953">
        <f t="shared" si="117"/>
        <v>0</v>
      </c>
      <c r="J618" s="953">
        <f t="shared" si="118"/>
        <v>0</v>
      </c>
      <c r="K618" s="953">
        <f t="shared" si="119"/>
        <v>-5.0000000000000004E-6</v>
      </c>
      <c r="L618" s="570" t="str">
        <f t="shared" si="120"/>
        <v>Modal 17</v>
      </c>
      <c r="M618" s="570">
        <f t="shared" si="121"/>
        <v>17</v>
      </c>
    </row>
    <row r="619" spans="1:13">
      <c r="A619" s="570" t="str">
        <f t="shared" si="110"/>
        <v>T1918</v>
      </c>
      <c r="C619" s="953" t="str">
        <f t="shared" si="111"/>
        <v>T19</v>
      </c>
      <c r="D619" s="953" t="str">
        <f t="shared" si="112"/>
        <v>D1</v>
      </c>
      <c r="E619" s="953">
        <f t="shared" si="113"/>
        <v>18</v>
      </c>
      <c r="F619" s="953">
        <f t="shared" si="114"/>
        <v>-4.4000000000000002E-4</v>
      </c>
      <c r="G619" s="953">
        <f t="shared" si="115"/>
        <v>5.3619999999999996E-3</v>
      </c>
      <c r="H619" s="953">
        <f t="shared" si="116"/>
        <v>0</v>
      </c>
      <c r="I619" s="953">
        <f t="shared" si="117"/>
        <v>0</v>
      </c>
      <c r="J619" s="953">
        <f t="shared" si="118"/>
        <v>0</v>
      </c>
      <c r="K619" s="953">
        <f t="shared" si="119"/>
        <v>-3.8999999999999999E-5</v>
      </c>
      <c r="L619" s="570" t="str">
        <f t="shared" si="120"/>
        <v>Modal 18</v>
      </c>
      <c r="M619" s="570">
        <f t="shared" si="121"/>
        <v>18</v>
      </c>
    </row>
    <row r="620" spans="1:13">
      <c r="A620" s="570" t="str">
        <f t="shared" si="110"/>
        <v>T1919</v>
      </c>
      <c r="C620" s="953" t="str">
        <f t="shared" si="111"/>
        <v>T19</v>
      </c>
      <c r="D620" s="953" t="str">
        <f t="shared" si="112"/>
        <v>D1</v>
      </c>
      <c r="E620" s="953">
        <f t="shared" si="113"/>
        <v>19</v>
      </c>
      <c r="F620" s="953">
        <f t="shared" si="114"/>
        <v>-4.7600000000000002E-4</v>
      </c>
      <c r="G620" s="953">
        <f t="shared" si="115"/>
        <v>1.0369999999999999E-3</v>
      </c>
      <c r="H620" s="953">
        <f t="shared" si="116"/>
        <v>0</v>
      </c>
      <c r="I620" s="953">
        <f t="shared" si="117"/>
        <v>0</v>
      </c>
      <c r="J620" s="953">
        <f t="shared" si="118"/>
        <v>0</v>
      </c>
      <c r="K620" s="953">
        <f t="shared" si="119"/>
        <v>2.2100000000000001E-4</v>
      </c>
      <c r="L620" s="570" t="str">
        <f t="shared" si="120"/>
        <v>Modal 19</v>
      </c>
      <c r="M620" s="570">
        <f t="shared" si="121"/>
        <v>19</v>
      </c>
    </row>
    <row r="621" spans="1:13">
      <c r="A621" s="570" t="str">
        <f t="shared" si="110"/>
        <v>T1920</v>
      </c>
      <c r="C621" s="953" t="str">
        <f t="shared" si="111"/>
        <v>T19</v>
      </c>
      <c r="D621" s="953" t="str">
        <f t="shared" si="112"/>
        <v>D1</v>
      </c>
      <c r="E621" s="953">
        <f t="shared" si="113"/>
        <v>20</v>
      </c>
      <c r="F621" s="953">
        <f t="shared" si="114"/>
        <v>5.1850000000000004E-3</v>
      </c>
      <c r="G621" s="953">
        <f t="shared" si="115"/>
        <v>4.44E-4</v>
      </c>
      <c r="H621" s="953">
        <f t="shared" si="116"/>
        <v>0</v>
      </c>
      <c r="I621" s="953">
        <f t="shared" si="117"/>
        <v>0</v>
      </c>
      <c r="J621" s="953">
        <f t="shared" si="118"/>
        <v>0</v>
      </c>
      <c r="K621" s="953">
        <f t="shared" si="119"/>
        <v>5.8999999999999998E-5</v>
      </c>
      <c r="L621" s="570" t="str">
        <f t="shared" si="120"/>
        <v>Modal 20</v>
      </c>
      <c r="M621" s="570">
        <f t="shared" si="121"/>
        <v>20</v>
      </c>
    </row>
    <row r="622" spans="1:13">
      <c r="A622" s="570" t="str">
        <f t="shared" si="110"/>
        <v>T1921</v>
      </c>
      <c r="C622" s="953" t="str">
        <f t="shared" si="111"/>
        <v>T19</v>
      </c>
      <c r="D622" s="953" t="str">
        <f t="shared" si="112"/>
        <v>D1</v>
      </c>
      <c r="E622" s="953">
        <f t="shared" si="113"/>
        <v>21</v>
      </c>
      <c r="F622" s="953">
        <f t="shared" si="114"/>
        <v>-4.2400000000000001E-4</v>
      </c>
      <c r="G622" s="953">
        <f t="shared" si="115"/>
        <v>-9.0600000000000001E-4</v>
      </c>
      <c r="H622" s="953">
        <f t="shared" si="116"/>
        <v>0</v>
      </c>
      <c r="I622" s="953">
        <f t="shared" si="117"/>
        <v>0</v>
      </c>
      <c r="J622" s="953">
        <f t="shared" si="118"/>
        <v>0</v>
      </c>
      <c r="K622" s="953">
        <f t="shared" si="119"/>
        <v>3.6999999999999998E-5</v>
      </c>
      <c r="L622" s="570" t="str">
        <f t="shared" si="120"/>
        <v>Modal 21</v>
      </c>
      <c r="M622" s="570">
        <f t="shared" si="121"/>
        <v>21</v>
      </c>
    </row>
    <row r="623" spans="1:13">
      <c r="A623" s="570" t="str">
        <f t="shared" si="110"/>
        <v>T1922</v>
      </c>
      <c r="C623" s="953" t="str">
        <f t="shared" si="111"/>
        <v>T19</v>
      </c>
      <c r="D623" s="953" t="str">
        <f t="shared" si="112"/>
        <v>D1</v>
      </c>
      <c r="E623" s="953">
        <f t="shared" si="113"/>
        <v>22</v>
      </c>
      <c r="F623" s="953">
        <f t="shared" si="114"/>
        <v>-4.1800000000000002E-4</v>
      </c>
      <c r="G623" s="953">
        <f t="shared" si="115"/>
        <v>1.139E-3</v>
      </c>
      <c r="H623" s="953">
        <f t="shared" si="116"/>
        <v>0</v>
      </c>
      <c r="I623" s="953">
        <f t="shared" si="117"/>
        <v>0</v>
      </c>
      <c r="J623" s="953">
        <f t="shared" si="118"/>
        <v>0</v>
      </c>
      <c r="K623" s="953">
        <f t="shared" si="119"/>
        <v>2.3E-5</v>
      </c>
      <c r="L623" s="570" t="str">
        <f t="shared" si="120"/>
        <v>Modal 22</v>
      </c>
      <c r="M623" s="570">
        <f t="shared" si="121"/>
        <v>22</v>
      </c>
    </row>
    <row r="624" spans="1:13">
      <c r="A624" s="570" t="str">
        <f t="shared" si="110"/>
        <v>T1923</v>
      </c>
      <c r="C624" s="953" t="str">
        <f t="shared" si="111"/>
        <v>T19</v>
      </c>
      <c r="D624" s="953" t="str">
        <f t="shared" si="112"/>
        <v>D1</v>
      </c>
      <c r="E624" s="953">
        <f t="shared" si="113"/>
        <v>23</v>
      </c>
      <c r="F624" s="953">
        <f t="shared" si="114"/>
        <v>-3.143E-3</v>
      </c>
      <c r="G624" s="953">
        <f t="shared" si="115"/>
        <v>3.8739999999999998E-3</v>
      </c>
      <c r="H624" s="953">
        <f t="shared" si="116"/>
        <v>0</v>
      </c>
      <c r="I624" s="953">
        <f t="shared" si="117"/>
        <v>0</v>
      </c>
      <c r="J624" s="953">
        <f t="shared" si="118"/>
        <v>0</v>
      </c>
      <c r="K624" s="953">
        <f t="shared" si="119"/>
        <v>2.5999999999999998E-5</v>
      </c>
      <c r="L624" s="570" t="str">
        <f t="shared" si="120"/>
        <v>Modal 23</v>
      </c>
      <c r="M624" s="570">
        <f t="shared" si="121"/>
        <v>23</v>
      </c>
    </row>
    <row r="625" spans="1:13">
      <c r="A625" s="570" t="str">
        <f t="shared" si="110"/>
        <v>T1924</v>
      </c>
      <c r="C625" s="953" t="str">
        <f t="shared" si="111"/>
        <v>T19</v>
      </c>
      <c r="D625" s="953" t="str">
        <f t="shared" si="112"/>
        <v>D1</v>
      </c>
      <c r="E625" s="953">
        <f t="shared" si="113"/>
        <v>24</v>
      </c>
      <c r="F625" s="953">
        <f t="shared" si="114"/>
        <v>4.0870000000000004E-3</v>
      </c>
      <c r="G625" s="953">
        <f t="shared" si="115"/>
        <v>2.9369999999999999E-3</v>
      </c>
      <c r="H625" s="953">
        <f t="shared" si="116"/>
        <v>0</v>
      </c>
      <c r="I625" s="953">
        <f t="shared" si="117"/>
        <v>0</v>
      </c>
      <c r="J625" s="953">
        <f t="shared" si="118"/>
        <v>0</v>
      </c>
      <c r="K625" s="953">
        <f t="shared" si="119"/>
        <v>1.8E-5</v>
      </c>
      <c r="L625" s="570" t="str">
        <f t="shared" si="120"/>
        <v>Modal 24</v>
      </c>
      <c r="M625" s="570">
        <f t="shared" si="121"/>
        <v>24</v>
      </c>
    </row>
    <row r="626" spans="1:13">
      <c r="A626" s="570" t="str">
        <f t="shared" si="110"/>
        <v>T1925</v>
      </c>
      <c r="C626" s="953" t="str">
        <f t="shared" si="111"/>
        <v>T19</v>
      </c>
      <c r="D626" s="953" t="str">
        <f t="shared" si="112"/>
        <v>D1</v>
      </c>
      <c r="E626" s="953">
        <f t="shared" si="113"/>
        <v>25</v>
      </c>
      <c r="F626" s="953">
        <f t="shared" si="114"/>
        <v>6.0700000000000001E-4</v>
      </c>
      <c r="G626" s="953">
        <f t="shared" si="115"/>
        <v>2.1410000000000001E-3</v>
      </c>
      <c r="H626" s="953">
        <f t="shared" si="116"/>
        <v>0</v>
      </c>
      <c r="I626" s="953">
        <f t="shared" si="117"/>
        <v>0</v>
      </c>
      <c r="J626" s="953">
        <f t="shared" si="118"/>
        <v>0</v>
      </c>
      <c r="K626" s="953">
        <f t="shared" si="119"/>
        <v>3.0000000000000001E-5</v>
      </c>
      <c r="L626" s="570" t="str">
        <f t="shared" si="120"/>
        <v>Modal 25</v>
      </c>
      <c r="M626" s="570">
        <f t="shared" si="121"/>
        <v>25</v>
      </c>
    </row>
    <row r="627" spans="1:13">
      <c r="A627" s="570" t="str">
        <f t="shared" si="110"/>
        <v>T1926</v>
      </c>
      <c r="C627" s="953" t="str">
        <f t="shared" si="111"/>
        <v>T19</v>
      </c>
      <c r="D627" s="953" t="str">
        <f t="shared" si="112"/>
        <v>D1</v>
      </c>
      <c r="E627" s="953">
        <f t="shared" si="113"/>
        <v>26</v>
      </c>
      <c r="F627" s="953">
        <f t="shared" si="114"/>
        <v>-1.127E-3</v>
      </c>
      <c r="G627" s="953">
        <f t="shared" si="115"/>
        <v>-3.4589999999999998E-3</v>
      </c>
      <c r="H627" s="953">
        <f t="shared" si="116"/>
        <v>0</v>
      </c>
      <c r="I627" s="953">
        <f t="shared" si="117"/>
        <v>0</v>
      </c>
      <c r="J627" s="953">
        <f t="shared" si="118"/>
        <v>0</v>
      </c>
      <c r="K627" s="953">
        <f t="shared" si="119"/>
        <v>-6.9999999999999999E-6</v>
      </c>
      <c r="L627" s="570" t="str">
        <f t="shared" si="120"/>
        <v>Modal 26</v>
      </c>
      <c r="M627" s="570">
        <f t="shared" si="121"/>
        <v>26</v>
      </c>
    </row>
    <row r="628" spans="1:13">
      <c r="A628" s="570" t="str">
        <f t="shared" si="110"/>
        <v>T1927</v>
      </c>
      <c r="C628" s="953" t="str">
        <f t="shared" si="111"/>
        <v>T19</v>
      </c>
      <c r="D628" s="953" t="str">
        <f t="shared" si="112"/>
        <v>D1</v>
      </c>
      <c r="E628" s="953">
        <f t="shared" si="113"/>
        <v>27</v>
      </c>
      <c r="F628" s="953">
        <f t="shared" si="114"/>
        <v>1.8240000000000001E-3</v>
      </c>
      <c r="G628" s="953">
        <f t="shared" si="115"/>
        <v>2.81E-4</v>
      </c>
      <c r="H628" s="953">
        <f t="shared" si="116"/>
        <v>0</v>
      </c>
      <c r="I628" s="953">
        <f t="shared" si="117"/>
        <v>0</v>
      </c>
      <c r="J628" s="953">
        <f t="shared" si="118"/>
        <v>0</v>
      </c>
      <c r="K628" s="953">
        <f t="shared" si="119"/>
        <v>3.0000000000000001E-5</v>
      </c>
      <c r="L628" s="570" t="str">
        <f t="shared" si="120"/>
        <v>Modal 27</v>
      </c>
      <c r="M628" s="570">
        <f t="shared" si="121"/>
        <v>27</v>
      </c>
    </row>
    <row r="629" spans="1:13">
      <c r="A629" s="570" t="str">
        <f t="shared" si="110"/>
        <v>T1928</v>
      </c>
      <c r="C629" s="953" t="str">
        <f t="shared" si="111"/>
        <v>T19</v>
      </c>
      <c r="D629" s="953" t="str">
        <f t="shared" si="112"/>
        <v>D1</v>
      </c>
      <c r="E629" s="953">
        <f t="shared" si="113"/>
        <v>28</v>
      </c>
      <c r="F629" s="953">
        <f t="shared" si="114"/>
        <v>3.4000000000000002E-4</v>
      </c>
      <c r="G629" s="953">
        <f t="shared" si="115"/>
        <v>-1.526E-3</v>
      </c>
      <c r="H629" s="953">
        <f t="shared" si="116"/>
        <v>0</v>
      </c>
      <c r="I629" s="953">
        <f t="shared" si="117"/>
        <v>0</v>
      </c>
      <c r="J629" s="953">
        <f t="shared" si="118"/>
        <v>0</v>
      </c>
      <c r="K629" s="953">
        <f t="shared" si="119"/>
        <v>3.0000000000000001E-6</v>
      </c>
      <c r="L629" s="570" t="str">
        <f t="shared" si="120"/>
        <v>Modal 28</v>
      </c>
      <c r="M629" s="570">
        <f t="shared" si="121"/>
        <v>28</v>
      </c>
    </row>
    <row r="630" spans="1:13">
      <c r="A630" s="570" t="str">
        <f t="shared" si="110"/>
        <v>T1929</v>
      </c>
      <c r="C630" s="953" t="str">
        <f t="shared" si="111"/>
        <v>T19</v>
      </c>
      <c r="D630" s="953" t="str">
        <f t="shared" si="112"/>
        <v>D1</v>
      </c>
      <c r="E630" s="953">
        <f t="shared" si="113"/>
        <v>29</v>
      </c>
      <c r="F630" s="953">
        <f t="shared" si="114"/>
        <v>-1.6750000000000001E-3</v>
      </c>
      <c r="G630" s="953">
        <f t="shared" si="115"/>
        <v>4.1199999999999999E-4</v>
      </c>
      <c r="H630" s="953">
        <f t="shared" si="116"/>
        <v>0</v>
      </c>
      <c r="I630" s="953">
        <f t="shared" si="117"/>
        <v>0</v>
      </c>
      <c r="J630" s="953">
        <f t="shared" si="118"/>
        <v>0</v>
      </c>
      <c r="K630" s="953">
        <f t="shared" si="119"/>
        <v>-2.9E-5</v>
      </c>
      <c r="L630" s="570" t="str">
        <f t="shared" si="120"/>
        <v>Modal 29</v>
      </c>
      <c r="M630" s="570">
        <f t="shared" si="121"/>
        <v>29</v>
      </c>
    </row>
    <row r="631" spans="1:13">
      <c r="A631" s="570" t="str">
        <f t="shared" si="110"/>
        <v>T1930</v>
      </c>
      <c r="C631" s="953" t="str">
        <f t="shared" si="111"/>
        <v>T19</v>
      </c>
      <c r="D631" s="953" t="str">
        <f t="shared" si="112"/>
        <v>D1</v>
      </c>
      <c r="E631" s="953">
        <f t="shared" si="113"/>
        <v>30</v>
      </c>
      <c r="F631" s="953">
        <f t="shared" si="114"/>
        <v>-3.3799999999999998E-4</v>
      </c>
      <c r="G631" s="953">
        <f t="shared" si="115"/>
        <v>4.95E-4</v>
      </c>
      <c r="H631" s="953">
        <f t="shared" si="116"/>
        <v>0</v>
      </c>
      <c r="I631" s="953">
        <f t="shared" si="117"/>
        <v>0</v>
      </c>
      <c r="J631" s="953">
        <f t="shared" si="118"/>
        <v>0</v>
      </c>
      <c r="K631" s="953">
        <f t="shared" si="119"/>
        <v>-9.9999999999999995E-7</v>
      </c>
      <c r="L631" s="570" t="str">
        <f t="shared" si="120"/>
        <v>Modal 30</v>
      </c>
      <c r="M631" s="570">
        <f t="shared" si="121"/>
        <v>30</v>
      </c>
    </row>
    <row r="632" spans="1:13">
      <c r="A632" s="570" t="str">
        <f t="shared" si="110"/>
        <v>T181</v>
      </c>
      <c r="C632" s="953" t="str">
        <f t="shared" si="111"/>
        <v>T18</v>
      </c>
      <c r="D632" s="953" t="str">
        <f t="shared" si="112"/>
        <v>D1</v>
      </c>
      <c r="E632" s="953">
        <f t="shared" si="113"/>
        <v>1</v>
      </c>
      <c r="F632" s="953">
        <f t="shared" si="114"/>
        <v>-5.31E-4</v>
      </c>
      <c r="G632" s="953">
        <f t="shared" si="115"/>
        <v>2.7599999999999999E-3</v>
      </c>
      <c r="H632" s="953">
        <f t="shared" si="116"/>
        <v>0</v>
      </c>
      <c r="I632" s="953">
        <f t="shared" si="117"/>
        <v>0</v>
      </c>
      <c r="J632" s="953">
        <f t="shared" si="118"/>
        <v>0</v>
      </c>
      <c r="K632" s="953">
        <f t="shared" si="119"/>
        <v>2.6999999999999999E-5</v>
      </c>
      <c r="L632" s="570" t="str">
        <f t="shared" si="120"/>
        <v>Modal 1</v>
      </c>
      <c r="M632" s="570">
        <f t="shared" si="121"/>
        <v>1</v>
      </c>
    </row>
    <row r="633" spans="1:13">
      <c r="A633" s="570" t="str">
        <f t="shared" si="110"/>
        <v>T182</v>
      </c>
      <c r="C633" s="953" t="str">
        <f t="shared" si="111"/>
        <v>T18</v>
      </c>
      <c r="D633" s="953" t="str">
        <f t="shared" si="112"/>
        <v>D1</v>
      </c>
      <c r="E633" s="953">
        <f t="shared" si="113"/>
        <v>2</v>
      </c>
      <c r="F633" s="953">
        <f t="shared" si="114"/>
        <v>-4.6099999999999998E-4</v>
      </c>
      <c r="G633" s="953">
        <f t="shared" si="115"/>
        <v>-5.8E-4</v>
      </c>
      <c r="H633" s="953">
        <f t="shared" si="116"/>
        <v>0</v>
      </c>
      <c r="I633" s="953">
        <f t="shared" si="117"/>
        <v>0</v>
      </c>
      <c r="J633" s="953">
        <f t="shared" si="118"/>
        <v>0</v>
      </c>
      <c r="K633" s="953">
        <f t="shared" si="119"/>
        <v>1.5899999999999999E-4</v>
      </c>
      <c r="L633" s="570" t="str">
        <f t="shared" si="120"/>
        <v>Modal 2</v>
      </c>
      <c r="M633" s="570">
        <f t="shared" si="121"/>
        <v>2</v>
      </c>
    </row>
    <row r="634" spans="1:13">
      <c r="A634" s="570" t="str">
        <f t="shared" si="110"/>
        <v>T183</v>
      </c>
      <c r="C634" s="953" t="str">
        <f t="shared" si="111"/>
        <v>T18</v>
      </c>
      <c r="D634" s="953" t="str">
        <f t="shared" si="112"/>
        <v>D1</v>
      </c>
      <c r="E634" s="953">
        <f t="shared" si="113"/>
        <v>3</v>
      </c>
      <c r="F634" s="953">
        <f t="shared" si="114"/>
        <v>2.9740000000000001E-3</v>
      </c>
      <c r="G634" s="953">
        <f t="shared" si="115"/>
        <v>5.1699999999999999E-4</v>
      </c>
      <c r="H634" s="953">
        <f t="shared" si="116"/>
        <v>0</v>
      </c>
      <c r="I634" s="953">
        <f t="shared" si="117"/>
        <v>0</v>
      </c>
      <c r="J634" s="953">
        <f t="shared" si="118"/>
        <v>0</v>
      </c>
      <c r="K634" s="953">
        <f t="shared" si="119"/>
        <v>2.8E-5</v>
      </c>
      <c r="L634" s="570" t="str">
        <f t="shared" si="120"/>
        <v>Modal 3</v>
      </c>
      <c r="M634" s="570">
        <f t="shared" si="121"/>
        <v>3</v>
      </c>
    </row>
    <row r="635" spans="1:13">
      <c r="A635" s="570" t="str">
        <f t="shared" si="110"/>
        <v>T184</v>
      </c>
      <c r="C635" s="953" t="str">
        <f t="shared" si="111"/>
        <v>T18</v>
      </c>
      <c r="D635" s="953" t="str">
        <f t="shared" si="112"/>
        <v>D1</v>
      </c>
      <c r="E635" s="953">
        <f t="shared" si="113"/>
        <v>4</v>
      </c>
      <c r="F635" s="953">
        <f t="shared" si="114"/>
        <v>-8.0199999999999998E-4</v>
      </c>
      <c r="G635" s="953">
        <f t="shared" si="115"/>
        <v>3.0000000000000001E-5</v>
      </c>
      <c r="H635" s="953">
        <f t="shared" si="116"/>
        <v>0</v>
      </c>
      <c r="I635" s="953">
        <f t="shared" si="117"/>
        <v>0</v>
      </c>
      <c r="J635" s="953">
        <f t="shared" si="118"/>
        <v>0</v>
      </c>
      <c r="K635" s="953">
        <f t="shared" si="119"/>
        <v>2.5900000000000001E-4</v>
      </c>
      <c r="L635" s="570" t="str">
        <f t="shared" si="120"/>
        <v>Modal 4</v>
      </c>
      <c r="M635" s="570">
        <f t="shared" si="121"/>
        <v>4</v>
      </c>
    </row>
    <row r="636" spans="1:13">
      <c r="A636" s="570" t="str">
        <f t="shared" si="110"/>
        <v>T185</v>
      </c>
      <c r="C636" s="953" t="str">
        <f t="shared" si="111"/>
        <v>T18</v>
      </c>
      <c r="D636" s="953" t="str">
        <f t="shared" si="112"/>
        <v>D1</v>
      </c>
      <c r="E636" s="953">
        <f t="shared" si="113"/>
        <v>5</v>
      </c>
      <c r="F636" s="953">
        <f t="shared" si="114"/>
        <v>7.0100000000000002E-4</v>
      </c>
      <c r="G636" s="953">
        <f t="shared" si="115"/>
        <v>-5.5849999999999997E-3</v>
      </c>
      <c r="H636" s="953">
        <f t="shared" si="116"/>
        <v>0</v>
      </c>
      <c r="I636" s="953">
        <f t="shared" si="117"/>
        <v>0</v>
      </c>
      <c r="J636" s="953">
        <f t="shared" si="118"/>
        <v>0</v>
      </c>
      <c r="K636" s="953">
        <f t="shared" si="119"/>
        <v>7.9999999999999996E-6</v>
      </c>
      <c r="L636" s="570" t="str">
        <f t="shared" si="120"/>
        <v>Modal 5</v>
      </c>
      <c r="M636" s="570">
        <f t="shared" si="121"/>
        <v>5</v>
      </c>
    </row>
    <row r="637" spans="1:13">
      <c r="A637" s="570" t="str">
        <f t="shared" si="110"/>
        <v>T186</v>
      </c>
      <c r="C637" s="953" t="str">
        <f t="shared" si="111"/>
        <v>T18</v>
      </c>
      <c r="D637" s="953" t="str">
        <f t="shared" si="112"/>
        <v>D1</v>
      </c>
      <c r="E637" s="953">
        <f t="shared" si="113"/>
        <v>6</v>
      </c>
      <c r="F637" s="953">
        <f t="shared" si="114"/>
        <v>-5.4320000000000002E-3</v>
      </c>
      <c r="G637" s="953">
        <f t="shared" si="115"/>
        <v>-6.7299999999999999E-4</v>
      </c>
      <c r="H637" s="953">
        <f t="shared" si="116"/>
        <v>0</v>
      </c>
      <c r="I637" s="953">
        <f t="shared" si="117"/>
        <v>0</v>
      </c>
      <c r="J637" s="953">
        <f t="shared" si="118"/>
        <v>0</v>
      </c>
      <c r="K637" s="953">
        <f t="shared" si="119"/>
        <v>-3.4999999999999997E-5</v>
      </c>
      <c r="L637" s="570" t="str">
        <f t="shared" si="120"/>
        <v>Modal 6</v>
      </c>
      <c r="M637" s="570">
        <f t="shared" si="121"/>
        <v>6</v>
      </c>
    </row>
    <row r="638" spans="1:13">
      <c r="A638" s="570" t="str">
        <f t="shared" si="110"/>
        <v>T187</v>
      </c>
      <c r="C638" s="953" t="str">
        <f t="shared" si="111"/>
        <v>T18</v>
      </c>
      <c r="D638" s="953" t="str">
        <f t="shared" si="112"/>
        <v>D1</v>
      </c>
      <c r="E638" s="953">
        <f t="shared" si="113"/>
        <v>7</v>
      </c>
      <c r="F638" s="953">
        <f t="shared" si="114"/>
        <v>1E-4</v>
      </c>
      <c r="G638" s="953">
        <f t="shared" si="115"/>
        <v>2.0999999999999999E-5</v>
      </c>
      <c r="H638" s="953">
        <f t="shared" si="116"/>
        <v>0</v>
      </c>
      <c r="I638" s="953">
        <f t="shared" si="117"/>
        <v>0</v>
      </c>
      <c r="J638" s="953">
        <f t="shared" si="118"/>
        <v>0</v>
      </c>
      <c r="K638" s="953">
        <f t="shared" si="119"/>
        <v>3.0000000000000001E-5</v>
      </c>
      <c r="L638" s="570" t="str">
        <f t="shared" si="120"/>
        <v>Modal 7</v>
      </c>
      <c r="M638" s="570">
        <f t="shared" si="121"/>
        <v>7</v>
      </c>
    </row>
    <row r="639" spans="1:13">
      <c r="A639" s="570" t="str">
        <f t="shared" si="110"/>
        <v>T188</v>
      </c>
      <c r="C639" s="953" t="str">
        <f t="shared" si="111"/>
        <v>T18</v>
      </c>
      <c r="D639" s="953" t="str">
        <f t="shared" si="112"/>
        <v>D1</v>
      </c>
      <c r="E639" s="953">
        <f t="shared" si="113"/>
        <v>8</v>
      </c>
      <c r="F639" s="953">
        <f t="shared" si="114"/>
        <v>4.1999999999999998E-5</v>
      </c>
      <c r="G639" s="953">
        <f t="shared" si="115"/>
        <v>-1.4300000000000001E-4</v>
      </c>
      <c r="H639" s="953">
        <f t="shared" si="116"/>
        <v>0</v>
      </c>
      <c r="I639" s="953">
        <f t="shared" si="117"/>
        <v>0</v>
      </c>
      <c r="J639" s="953">
        <f t="shared" si="118"/>
        <v>0</v>
      </c>
      <c r="K639" s="953">
        <f t="shared" si="119"/>
        <v>9.9999999999999995E-7</v>
      </c>
      <c r="L639" s="570" t="str">
        <f t="shared" si="120"/>
        <v>Modal 8</v>
      </c>
      <c r="M639" s="570">
        <f t="shared" si="121"/>
        <v>8</v>
      </c>
    </row>
    <row r="640" spans="1:13">
      <c r="A640" s="570" t="str">
        <f t="shared" si="110"/>
        <v>T189</v>
      </c>
      <c r="C640" s="953" t="str">
        <f t="shared" si="111"/>
        <v>T18</v>
      </c>
      <c r="D640" s="953" t="str">
        <f t="shared" si="112"/>
        <v>D1</v>
      </c>
      <c r="E640" s="953">
        <f t="shared" si="113"/>
        <v>9</v>
      </c>
      <c r="F640" s="953">
        <f t="shared" si="114"/>
        <v>5.5699999999999999E-4</v>
      </c>
      <c r="G640" s="953">
        <f t="shared" si="115"/>
        <v>5.0000000000000004E-6</v>
      </c>
      <c r="H640" s="953">
        <f t="shared" si="116"/>
        <v>0</v>
      </c>
      <c r="I640" s="953">
        <f t="shared" si="117"/>
        <v>0</v>
      </c>
      <c r="J640" s="953">
        <f t="shared" si="118"/>
        <v>0</v>
      </c>
      <c r="K640" s="953">
        <f t="shared" si="119"/>
        <v>-2.7E-4</v>
      </c>
      <c r="L640" s="570" t="str">
        <f t="shared" si="120"/>
        <v>Modal 9</v>
      </c>
      <c r="M640" s="570">
        <f t="shared" si="121"/>
        <v>9</v>
      </c>
    </row>
    <row r="641" spans="1:13">
      <c r="A641" s="570" t="str">
        <f t="shared" si="110"/>
        <v>T1810</v>
      </c>
      <c r="C641" s="953" t="str">
        <f t="shared" si="111"/>
        <v>T18</v>
      </c>
      <c r="D641" s="953" t="str">
        <f t="shared" si="112"/>
        <v>D1</v>
      </c>
      <c r="E641" s="953">
        <f t="shared" si="113"/>
        <v>10</v>
      </c>
      <c r="F641" s="953">
        <f t="shared" si="114"/>
        <v>1.34E-4</v>
      </c>
      <c r="G641" s="953">
        <f t="shared" si="115"/>
        <v>3.4E-5</v>
      </c>
      <c r="H641" s="953">
        <f t="shared" si="116"/>
        <v>0</v>
      </c>
      <c r="I641" s="953">
        <f t="shared" si="117"/>
        <v>0</v>
      </c>
      <c r="J641" s="953">
        <f t="shared" si="118"/>
        <v>0</v>
      </c>
      <c r="K641" s="953">
        <f t="shared" si="119"/>
        <v>-2.5999999999999998E-5</v>
      </c>
      <c r="L641" s="570" t="str">
        <f t="shared" si="120"/>
        <v>Modal 10</v>
      </c>
      <c r="M641" s="570">
        <f t="shared" si="121"/>
        <v>10</v>
      </c>
    </row>
    <row r="642" spans="1:13">
      <c r="A642" s="570" t="str">
        <f t="shared" ref="A642:A705" si="122">C642&amp;E642</f>
        <v>T1811</v>
      </c>
      <c r="C642" s="953" t="str">
        <f t="shared" ref="C642:C705" si="123">IF(Etabs="Etabs 9.7.4",IF(INDEX(Mode_1,ROW($E642),COLUMN(A$1))&lt;&gt;"",INDEX(Mode_1,ROW($E642),COLUMN(A$1)),""),IF(Etabs="Etabs 2013 trở lên",IF(INDEX(Mode_2,ROW($E644),COLUMN(A$1))&lt;&gt;"",INDEX(Mode_2,ROW($E644),COLUMN(A$1)),""),""))</f>
        <v>T18</v>
      </c>
      <c r="D642" s="953" t="str">
        <f t="shared" ref="D642:D705" si="124">IF(Etabs="Etabs 9.7.4",IF(INDEX(Mode_1,ROW($E642),COLUMN(B$1))&lt;&gt;"",INDEX(Mode_1,ROW($E642),COLUMN(B$1)),""),IF(Etabs="Etabs 2013 trở lên",IF(INDEX(Mode_2,ROW($E644),COLUMN(B$1))&lt;&gt;"",INDEX(Mode_2,ROW($E644),COLUMN(B$1)),""),""))</f>
        <v>D1</v>
      </c>
      <c r="E642" s="953">
        <f t="shared" ref="E642:E705" si="125">IF(Etabs="Etabs 9.7.4",IF(INDEX(Mode_1,ROW($E642),COLUMN(C$1))&lt;&gt;"",INDEX(Mode_1,ROW($E642),COLUMN(C$1)),""),IF(Etabs="Etabs 2013 trở lên",$M642,""))</f>
        <v>11</v>
      </c>
      <c r="F642" s="953">
        <f t="shared" ref="F642:F705" si="126">IF(Etabs="Etabs 9.7.4",IF(INDEX(Mode_1,ROW($E642),COLUMN(D$1))&lt;&gt;"",INDEX(Mode_1,ROW($E642),COLUMN(D$1)),""),IF(Etabs="Etabs 2013 trở lên",IF(INDEX(Mode_2,ROW($E644),COLUMN(D$1))&lt;&gt;"",INDEX(Mode_2,ROW($E644),COLUMN(D$1)),""),""))</f>
        <v>1.13E-4</v>
      </c>
      <c r="G642" s="953">
        <f t="shared" ref="G642:G705" si="127">IF(Etabs="Etabs 9.7.4",IF(INDEX(Mode_1,ROW($E642),COLUMN(E$1))&lt;&gt;"",INDEX(Mode_1,ROW($E642),COLUMN(E$1)),""),IF(Etabs="Etabs 2013 trở lên",IF(INDEX(Mode_2,ROW($E644),COLUMN(E$1))&lt;&gt;"",INDEX(Mode_2,ROW($E644),COLUMN(E$1)),""),""))</f>
        <v>-1.9469999999999999E-3</v>
      </c>
      <c r="H642" s="953">
        <f t="shared" ref="H642:H705" si="128">IF(Etabs="Etabs 9.7.4",IF(INDEX(Mode_1,ROW($E642),COLUMN(F$1))&lt;&gt;"",INDEX(Mode_1,ROW($E642),COLUMN(F$1)),""),IF(Etabs="Etabs 2013 trở lên",0,""))</f>
        <v>0</v>
      </c>
      <c r="I642" s="953">
        <f t="shared" ref="I642:I705" si="129">IF(Etabs="Etabs 9.7.4",IF(INDEX(Mode_1,ROW($E642),COLUMN(G$1))&lt;&gt;"",INDEX(Mode_1,ROW($E642),COLUMN(G$1)),""),IF(Etabs="Etabs 2013 trở lên",0,""))</f>
        <v>0</v>
      </c>
      <c r="J642" s="953">
        <f t="shared" ref="J642:J705" si="130">IF(Etabs="Etabs 9.7.4",IF(INDEX(Mode_1,ROW($E642),COLUMN(H$1))&lt;&gt;"",INDEX(Mode_1,ROW($E642),COLUMN(H$1)),""),IF(Etabs="Etabs 2013 trở lên",0,""))</f>
        <v>0</v>
      </c>
      <c r="K642" s="953">
        <f t="shared" ref="K642:K705" si="131">IF(Etabs="Etabs 9.7.4",IF(INDEX(Mode_1,ROW($E642),COLUMN(I$1))&lt;&gt;"",INDEX(Mode_1,ROW($E642),COLUMN(I$1)),""),IF(Etabs="Etabs 2013 trở lên",IF(INDEX(Mode_2,ROW($E644),COLUMN(F$1))&lt;&gt;"",INDEX(Mode_2,ROW($E644),COLUMN(F$1)),""),""))</f>
        <v>-4.6999999999999997E-5</v>
      </c>
      <c r="L642" s="570" t="str">
        <f t="shared" ref="L642:L705" si="132">IF(Etabs="Etabs 9.7.4",IF(INDEX(Mode_1,ROW($E642),COLUMN(C$1))&lt;&gt;"",INDEX(Mode_1,ROW($E642),COLUMN(C$1)),""),IF(Etabs="Etabs 2013 trở lên",IF(INDEX(Mode_2,ROW($E644),COLUMN(C$1))&lt;&gt;"",INDEX(Mode_2,ROW($E644),COLUMN(C$1)),""),""))</f>
        <v>Modal 11</v>
      </c>
      <c r="M642" s="570">
        <f t="shared" si="121"/>
        <v>11</v>
      </c>
    </row>
    <row r="643" spans="1:13">
      <c r="A643" s="570" t="str">
        <f t="shared" si="122"/>
        <v>T1812</v>
      </c>
      <c r="C643" s="953" t="str">
        <f t="shared" si="123"/>
        <v>T18</v>
      </c>
      <c r="D643" s="953" t="str">
        <f t="shared" si="124"/>
        <v>D1</v>
      </c>
      <c r="E643" s="953">
        <f t="shared" si="125"/>
        <v>12</v>
      </c>
      <c r="F643" s="953">
        <f t="shared" si="126"/>
        <v>-5.3799999999999996E-4</v>
      </c>
      <c r="G643" s="953">
        <f t="shared" si="127"/>
        <v>5.2319999999999997E-3</v>
      </c>
      <c r="H643" s="953">
        <f t="shared" si="128"/>
        <v>0</v>
      </c>
      <c r="I643" s="953">
        <f t="shared" si="129"/>
        <v>0</v>
      </c>
      <c r="J643" s="953">
        <f t="shared" si="130"/>
        <v>0</v>
      </c>
      <c r="K643" s="953">
        <f t="shared" si="131"/>
        <v>-2.3E-5</v>
      </c>
      <c r="L643" s="570" t="str">
        <f t="shared" si="132"/>
        <v>Modal 12</v>
      </c>
      <c r="M643" s="570">
        <f t="shared" ref="M643:M706" si="133">IFERROR(VALUE(RIGHT(L643,LEN(L643)-6)),"")</f>
        <v>12</v>
      </c>
    </row>
    <row r="644" spans="1:13">
      <c r="A644" s="570" t="str">
        <f t="shared" si="122"/>
        <v>T1813</v>
      </c>
      <c r="C644" s="953" t="str">
        <f t="shared" si="123"/>
        <v>T18</v>
      </c>
      <c r="D644" s="953" t="str">
        <f t="shared" si="124"/>
        <v>D1</v>
      </c>
      <c r="E644" s="953">
        <f t="shared" si="125"/>
        <v>13</v>
      </c>
      <c r="F644" s="953">
        <f t="shared" si="126"/>
        <v>-5.5490000000000001E-3</v>
      </c>
      <c r="G644" s="953">
        <f t="shared" si="127"/>
        <v>-5.3300000000000005E-4</v>
      </c>
      <c r="H644" s="953">
        <f t="shared" si="128"/>
        <v>0</v>
      </c>
      <c r="I644" s="953">
        <f t="shared" si="129"/>
        <v>0</v>
      </c>
      <c r="J644" s="953">
        <f t="shared" si="130"/>
        <v>0</v>
      </c>
      <c r="K644" s="953">
        <f t="shared" si="131"/>
        <v>-1.9000000000000001E-5</v>
      </c>
      <c r="L644" s="570" t="str">
        <f t="shared" si="132"/>
        <v>Modal 13</v>
      </c>
      <c r="M644" s="570">
        <f t="shared" si="133"/>
        <v>13</v>
      </c>
    </row>
    <row r="645" spans="1:13">
      <c r="A645" s="570" t="str">
        <f t="shared" si="122"/>
        <v>T1814</v>
      </c>
      <c r="C645" s="953" t="str">
        <f t="shared" si="123"/>
        <v>T18</v>
      </c>
      <c r="D645" s="953" t="str">
        <f t="shared" si="124"/>
        <v>D1</v>
      </c>
      <c r="E645" s="953">
        <f t="shared" si="125"/>
        <v>14</v>
      </c>
      <c r="F645" s="953">
        <f t="shared" si="126"/>
        <v>-2.63E-4</v>
      </c>
      <c r="G645" s="953">
        <f t="shared" si="127"/>
        <v>1.9000000000000001E-5</v>
      </c>
      <c r="H645" s="953">
        <f t="shared" si="128"/>
        <v>0</v>
      </c>
      <c r="I645" s="953">
        <f t="shared" si="129"/>
        <v>0</v>
      </c>
      <c r="J645" s="953">
        <f t="shared" si="130"/>
        <v>0</v>
      </c>
      <c r="K645" s="953">
        <f t="shared" si="131"/>
        <v>2.5399999999999999E-4</v>
      </c>
      <c r="L645" s="570" t="str">
        <f t="shared" si="132"/>
        <v>Modal 14</v>
      </c>
      <c r="M645" s="570">
        <f t="shared" si="133"/>
        <v>14</v>
      </c>
    </row>
    <row r="646" spans="1:13">
      <c r="A646" s="570" t="str">
        <f t="shared" si="122"/>
        <v>T1815</v>
      </c>
      <c r="C646" s="953" t="str">
        <f t="shared" si="123"/>
        <v>T18</v>
      </c>
      <c r="D646" s="953" t="str">
        <f t="shared" si="124"/>
        <v>D1</v>
      </c>
      <c r="E646" s="953">
        <f t="shared" si="125"/>
        <v>15</v>
      </c>
      <c r="F646" s="953">
        <f t="shared" si="126"/>
        <v>-1.4799999999999999E-4</v>
      </c>
      <c r="G646" s="953">
        <f t="shared" si="127"/>
        <v>1.194E-3</v>
      </c>
      <c r="H646" s="953">
        <f t="shared" si="128"/>
        <v>0</v>
      </c>
      <c r="I646" s="953">
        <f t="shared" si="129"/>
        <v>0</v>
      </c>
      <c r="J646" s="953">
        <f t="shared" si="130"/>
        <v>0</v>
      </c>
      <c r="K646" s="953">
        <f t="shared" si="131"/>
        <v>3.9999999999999998E-6</v>
      </c>
      <c r="L646" s="570" t="str">
        <f t="shared" si="132"/>
        <v>Modal 15</v>
      </c>
      <c r="M646" s="570">
        <f t="shared" si="133"/>
        <v>15</v>
      </c>
    </row>
    <row r="647" spans="1:13">
      <c r="A647" s="570" t="str">
        <f t="shared" si="122"/>
        <v>T1816</v>
      </c>
      <c r="C647" s="953" t="str">
        <f t="shared" si="123"/>
        <v>T18</v>
      </c>
      <c r="D647" s="953" t="str">
        <f t="shared" si="124"/>
        <v>D1</v>
      </c>
      <c r="E647" s="953">
        <f t="shared" si="125"/>
        <v>16</v>
      </c>
      <c r="F647" s="953">
        <f t="shared" si="126"/>
        <v>3.4E-5</v>
      </c>
      <c r="G647" s="953">
        <f t="shared" si="127"/>
        <v>1.64E-4</v>
      </c>
      <c r="H647" s="953">
        <f t="shared" si="128"/>
        <v>0</v>
      </c>
      <c r="I647" s="953">
        <f t="shared" si="129"/>
        <v>0</v>
      </c>
      <c r="J647" s="953">
        <f t="shared" si="130"/>
        <v>0</v>
      </c>
      <c r="K647" s="953">
        <f t="shared" si="131"/>
        <v>6.3999999999999997E-5</v>
      </c>
      <c r="L647" s="570" t="str">
        <f t="shared" si="132"/>
        <v>Modal 16</v>
      </c>
      <c r="M647" s="570">
        <f t="shared" si="133"/>
        <v>16</v>
      </c>
    </row>
    <row r="648" spans="1:13">
      <c r="A648" s="570" t="str">
        <f t="shared" si="122"/>
        <v>T1817</v>
      </c>
      <c r="C648" s="953" t="str">
        <f t="shared" si="123"/>
        <v>T18</v>
      </c>
      <c r="D648" s="953" t="str">
        <f t="shared" si="124"/>
        <v>D1</v>
      </c>
      <c r="E648" s="953">
        <f t="shared" si="125"/>
        <v>17</v>
      </c>
      <c r="F648" s="953">
        <f t="shared" si="126"/>
        <v>-9.1600000000000004E-4</v>
      </c>
      <c r="G648" s="953">
        <f t="shared" si="127"/>
        <v>-6.0999999999999999E-5</v>
      </c>
      <c r="H648" s="953">
        <f t="shared" si="128"/>
        <v>0</v>
      </c>
      <c r="I648" s="953">
        <f t="shared" si="129"/>
        <v>0</v>
      </c>
      <c r="J648" s="953">
        <f t="shared" si="130"/>
        <v>0</v>
      </c>
      <c r="K648" s="953">
        <f t="shared" si="131"/>
        <v>-2.8E-5</v>
      </c>
      <c r="L648" s="570" t="str">
        <f t="shared" si="132"/>
        <v>Modal 17</v>
      </c>
      <c r="M648" s="570">
        <f t="shared" si="133"/>
        <v>17</v>
      </c>
    </row>
    <row r="649" spans="1:13">
      <c r="A649" s="570" t="str">
        <f t="shared" si="122"/>
        <v>T1818</v>
      </c>
      <c r="C649" s="953" t="str">
        <f t="shared" si="123"/>
        <v>T18</v>
      </c>
      <c r="D649" s="953" t="str">
        <f t="shared" si="124"/>
        <v>D1</v>
      </c>
      <c r="E649" s="953">
        <f t="shared" si="125"/>
        <v>18</v>
      </c>
      <c r="F649" s="953">
        <f t="shared" si="126"/>
        <v>-3.6299999999999999E-4</v>
      </c>
      <c r="G649" s="953">
        <f t="shared" si="127"/>
        <v>5.1850000000000004E-3</v>
      </c>
      <c r="H649" s="953">
        <f t="shared" si="128"/>
        <v>0</v>
      </c>
      <c r="I649" s="953">
        <f t="shared" si="129"/>
        <v>0</v>
      </c>
      <c r="J649" s="953">
        <f t="shared" si="130"/>
        <v>0</v>
      </c>
      <c r="K649" s="953">
        <f t="shared" si="131"/>
        <v>-4.8000000000000001E-5</v>
      </c>
      <c r="L649" s="570" t="str">
        <f t="shared" si="132"/>
        <v>Modal 18</v>
      </c>
      <c r="M649" s="570">
        <f t="shared" si="133"/>
        <v>18</v>
      </c>
    </row>
    <row r="650" spans="1:13">
      <c r="A650" s="570" t="str">
        <f t="shared" si="122"/>
        <v>T1819</v>
      </c>
      <c r="C650" s="953" t="str">
        <f t="shared" si="123"/>
        <v>T18</v>
      </c>
      <c r="D650" s="953" t="str">
        <f t="shared" si="124"/>
        <v>D1</v>
      </c>
      <c r="E650" s="953">
        <f t="shared" si="125"/>
        <v>19</v>
      </c>
      <c r="F650" s="953">
        <f t="shared" si="126"/>
        <v>-6.38E-4</v>
      </c>
      <c r="G650" s="953">
        <f t="shared" si="127"/>
        <v>8.4400000000000002E-4</v>
      </c>
      <c r="H650" s="953">
        <f t="shared" si="128"/>
        <v>0</v>
      </c>
      <c r="I650" s="953">
        <f t="shared" si="129"/>
        <v>0</v>
      </c>
      <c r="J650" s="953">
        <f t="shared" si="130"/>
        <v>0</v>
      </c>
      <c r="K650" s="953">
        <f t="shared" si="131"/>
        <v>2.3800000000000001E-4</v>
      </c>
      <c r="L650" s="570" t="str">
        <f t="shared" si="132"/>
        <v>Modal 19</v>
      </c>
      <c r="M650" s="570">
        <f t="shared" si="133"/>
        <v>19</v>
      </c>
    </row>
    <row r="651" spans="1:13">
      <c r="A651" s="570" t="str">
        <f t="shared" si="122"/>
        <v>T1820</v>
      </c>
      <c r="C651" s="953" t="str">
        <f t="shared" si="123"/>
        <v>T18</v>
      </c>
      <c r="D651" s="953" t="str">
        <f t="shared" si="124"/>
        <v>D1</v>
      </c>
      <c r="E651" s="953">
        <f t="shared" si="125"/>
        <v>20</v>
      </c>
      <c r="F651" s="953">
        <f t="shared" si="126"/>
        <v>5.1669999999999997E-3</v>
      </c>
      <c r="G651" s="953">
        <f t="shared" si="127"/>
        <v>4.9600000000000002E-4</v>
      </c>
      <c r="H651" s="953">
        <f t="shared" si="128"/>
        <v>0</v>
      </c>
      <c r="I651" s="953">
        <f t="shared" si="129"/>
        <v>0</v>
      </c>
      <c r="J651" s="953">
        <f t="shared" si="130"/>
        <v>0</v>
      </c>
      <c r="K651" s="953">
        <f t="shared" si="131"/>
        <v>3.4E-5</v>
      </c>
      <c r="L651" s="570" t="str">
        <f t="shared" si="132"/>
        <v>Modal 20</v>
      </c>
      <c r="M651" s="570">
        <f t="shared" si="133"/>
        <v>20</v>
      </c>
    </row>
    <row r="652" spans="1:13">
      <c r="A652" s="570" t="str">
        <f t="shared" si="122"/>
        <v>T1821</v>
      </c>
      <c r="C652" s="953" t="str">
        <f t="shared" si="123"/>
        <v>T18</v>
      </c>
      <c r="D652" s="953" t="str">
        <f t="shared" si="124"/>
        <v>D1</v>
      </c>
      <c r="E652" s="953">
        <f t="shared" si="125"/>
        <v>21</v>
      </c>
      <c r="F652" s="953">
        <f t="shared" si="126"/>
        <v>-6.4400000000000004E-4</v>
      </c>
      <c r="G652" s="953">
        <f t="shared" si="127"/>
        <v>1.7949999999999999E-3</v>
      </c>
      <c r="H652" s="953">
        <f t="shared" si="128"/>
        <v>0</v>
      </c>
      <c r="I652" s="953">
        <f t="shared" si="129"/>
        <v>0</v>
      </c>
      <c r="J652" s="953">
        <f t="shared" si="130"/>
        <v>0</v>
      </c>
      <c r="K652" s="953">
        <f t="shared" si="131"/>
        <v>1.2E-5</v>
      </c>
      <c r="L652" s="570" t="str">
        <f t="shared" si="132"/>
        <v>Modal 21</v>
      </c>
      <c r="M652" s="570">
        <f t="shared" si="133"/>
        <v>21</v>
      </c>
    </row>
    <row r="653" spans="1:13">
      <c r="A653" s="570" t="str">
        <f t="shared" si="122"/>
        <v>T1822</v>
      </c>
      <c r="C653" s="953" t="str">
        <f t="shared" si="123"/>
        <v>T18</v>
      </c>
      <c r="D653" s="953" t="str">
        <f t="shared" si="124"/>
        <v>D1</v>
      </c>
      <c r="E653" s="953">
        <f t="shared" si="125"/>
        <v>22</v>
      </c>
      <c r="F653" s="953">
        <f t="shared" si="126"/>
        <v>-2.3289999999999999E-3</v>
      </c>
      <c r="G653" s="953">
        <f t="shared" si="127"/>
        <v>5.9699999999999998E-4</v>
      </c>
      <c r="H653" s="953">
        <f t="shared" si="128"/>
        <v>0</v>
      </c>
      <c r="I653" s="953">
        <f t="shared" si="129"/>
        <v>0</v>
      </c>
      <c r="J653" s="953">
        <f t="shared" si="130"/>
        <v>0</v>
      </c>
      <c r="K653" s="953">
        <f t="shared" si="131"/>
        <v>-7.3999999999999996E-5</v>
      </c>
      <c r="L653" s="570" t="str">
        <f t="shared" si="132"/>
        <v>Modal 22</v>
      </c>
      <c r="M653" s="570">
        <f t="shared" si="133"/>
        <v>22</v>
      </c>
    </row>
    <row r="654" spans="1:13">
      <c r="A654" s="570" t="str">
        <f t="shared" si="122"/>
        <v>T1823</v>
      </c>
      <c r="C654" s="953" t="str">
        <f t="shared" si="123"/>
        <v>T18</v>
      </c>
      <c r="D654" s="953" t="str">
        <f t="shared" si="124"/>
        <v>D1</v>
      </c>
      <c r="E654" s="953">
        <f t="shared" si="125"/>
        <v>23</v>
      </c>
      <c r="F654" s="953">
        <f t="shared" si="126"/>
        <v>-1.6119999999999999E-3</v>
      </c>
      <c r="G654" s="953">
        <f t="shared" si="127"/>
        <v>3.9280000000000001E-3</v>
      </c>
      <c r="H654" s="953">
        <f t="shared" si="128"/>
        <v>0</v>
      </c>
      <c r="I654" s="953">
        <f t="shared" si="129"/>
        <v>0</v>
      </c>
      <c r="J654" s="953">
        <f t="shared" si="130"/>
        <v>0</v>
      </c>
      <c r="K654" s="953">
        <f t="shared" si="131"/>
        <v>-3.1999999999999999E-5</v>
      </c>
      <c r="L654" s="570" t="str">
        <f t="shared" si="132"/>
        <v>Modal 23</v>
      </c>
      <c r="M654" s="570">
        <f t="shared" si="133"/>
        <v>23</v>
      </c>
    </row>
    <row r="655" spans="1:13">
      <c r="A655" s="570" t="str">
        <f t="shared" si="122"/>
        <v>T1824</v>
      </c>
      <c r="C655" s="953" t="str">
        <f t="shared" si="123"/>
        <v>T18</v>
      </c>
      <c r="D655" s="953" t="str">
        <f t="shared" si="124"/>
        <v>D1</v>
      </c>
      <c r="E655" s="953">
        <f t="shared" si="125"/>
        <v>24</v>
      </c>
      <c r="F655" s="953">
        <f t="shared" si="126"/>
        <v>3.0980000000000001E-3</v>
      </c>
      <c r="G655" s="953">
        <f t="shared" si="127"/>
        <v>3.7750000000000001E-3</v>
      </c>
      <c r="H655" s="953">
        <f t="shared" si="128"/>
        <v>0</v>
      </c>
      <c r="I655" s="953">
        <f t="shared" si="129"/>
        <v>0</v>
      </c>
      <c r="J655" s="953">
        <f t="shared" si="130"/>
        <v>0</v>
      </c>
      <c r="K655" s="953">
        <f t="shared" si="131"/>
        <v>7.2999999999999999E-5</v>
      </c>
      <c r="L655" s="570" t="str">
        <f t="shared" si="132"/>
        <v>Modal 24</v>
      </c>
      <c r="M655" s="570">
        <f t="shared" si="133"/>
        <v>24</v>
      </c>
    </row>
    <row r="656" spans="1:13">
      <c r="A656" s="570" t="str">
        <f t="shared" si="122"/>
        <v>T1825</v>
      </c>
      <c r="C656" s="953" t="str">
        <f t="shared" si="123"/>
        <v>T18</v>
      </c>
      <c r="D656" s="953" t="str">
        <f t="shared" si="124"/>
        <v>D1</v>
      </c>
      <c r="E656" s="953">
        <f t="shared" si="125"/>
        <v>25</v>
      </c>
      <c r="F656" s="953">
        <f t="shared" si="126"/>
        <v>2.5569999999999998E-3</v>
      </c>
      <c r="G656" s="953">
        <f t="shared" si="127"/>
        <v>6.9800000000000005E-4</v>
      </c>
      <c r="H656" s="953">
        <f t="shared" si="128"/>
        <v>0</v>
      </c>
      <c r="I656" s="953">
        <f t="shared" si="129"/>
        <v>0</v>
      </c>
      <c r="J656" s="953">
        <f t="shared" si="130"/>
        <v>0</v>
      </c>
      <c r="K656" s="953">
        <f t="shared" si="131"/>
        <v>1.9999999999999999E-6</v>
      </c>
      <c r="L656" s="570" t="str">
        <f t="shared" si="132"/>
        <v>Modal 25</v>
      </c>
      <c r="M656" s="570">
        <f t="shared" si="133"/>
        <v>25</v>
      </c>
    </row>
    <row r="657" spans="1:13">
      <c r="A657" s="570" t="str">
        <f t="shared" si="122"/>
        <v>T1826</v>
      </c>
      <c r="C657" s="953" t="str">
        <f t="shared" si="123"/>
        <v>T18</v>
      </c>
      <c r="D657" s="953" t="str">
        <f t="shared" si="124"/>
        <v>D1</v>
      </c>
      <c r="E657" s="953">
        <f t="shared" si="125"/>
        <v>26</v>
      </c>
      <c r="F657" s="953">
        <f t="shared" si="126"/>
        <v>5.1500000000000005E-4</v>
      </c>
      <c r="G657" s="953">
        <f t="shared" si="127"/>
        <v>-1.9650000000000002E-3</v>
      </c>
      <c r="H657" s="953">
        <f t="shared" si="128"/>
        <v>0</v>
      </c>
      <c r="I657" s="953">
        <f t="shared" si="129"/>
        <v>0</v>
      </c>
      <c r="J657" s="953">
        <f t="shared" si="130"/>
        <v>0</v>
      </c>
      <c r="K657" s="953">
        <f t="shared" si="131"/>
        <v>-1.2E-5</v>
      </c>
      <c r="L657" s="570" t="str">
        <f t="shared" si="132"/>
        <v>Modal 26</v>
      </c>
      <c r="M657" s="570">
        <f t="shared" si="133"/>
        <v>26</v>
      </c>
    </row>
    <row r="658" spans="1:13">
      <c r="A658" s="570" t="str">
        <f t="shared" si="122"/>
        <v>T1827</v>
      </c>
      <c r="C658" s="953" t="str">
        <f t="shared" si="123"/>
        <v>T18</v>
      </c>
      <c r="D658" s="953" t="str">
        <f t="shared" si="124"/>
        <v>D1</v>
      </c>
      <c r="E658" s="953">
        <f t="shared" si="125"/>
        <v>27</v>
      </c>
      <c r="F658" s="953">
        <f t="shared" si="126"/>
        <v>2.735E-3</v>
      </c>
      <c r="G658" s="953">
        <f t="shared" si="127"/>
        <v>-9.859999999999999E-4</v>
      </c>
      <c r="H658" s="953">
        <f t="shared" si="128"/>
        <v>0</v>
      </c>
      <c r="I658" s="953">
        <f t="shared" si="129"/>
        <v>0</v>
      </c>
      <c r="J658" s="953">
        <f t="shared" si="130"/>
        <v>0</v>
      </c>
      <c r="K658" s="953">
        <f t="shared" si="131"/>
        <v>1.9999999999999999E-6</v>
      </c>
      <c r="L658" s="570" t="str">
        <f t="shared" si="132"/>
        <v>Modal 27</v>
      </c>
      <c r="M658" s="570">
        <f t="shared" si="133"/>
        <v>27</v>
      </c>
    </row>
    <row r="659" spans="1:13">
      <c r="A659" s="570" t="str">
        <f t="shared" si="122"/>
        <v>T1828</v>
      </c>
      <c r="C659" s="953" t="str">
        <f t="shared" si="123"/>
        <v>T18</v>
      </c>
      <c r="D659" s="953" t="str">
        <f t="shared" si="124"/>
        <v>D1</v>
      </c>
      <c r="E659" s="953">
        <f t="shared" si="125"/>
        <v>28</v>
      </c>
      <c r="F659" s="953">
        <f t="shared" si="126"/>
        <v>1.3680000000000001E-3</v>
      </c>
      <c r="G659" s="953">
        <f t="shared" si="127"/>
        <v>4.1399999999999998E-4</v>
      </c>
      <c r="H659" s="953">
        <f t="shared" si="128"/>
        <v>0</v>
      </c>
      <c r="I659" s="953">
        <f t="shared" si="129"/>
        <v>0</v>
      </c>
      <c r="J659" s="953">
        <f t="shared" si="130"/>
        <v>0</v>
      </c>
      <c r="K659" s="953">
        <f t="shared" si="131"/>
        <v>1.9999999999999999E-6</v>
      </c>
      <c r="L659" s="570" t="str">
        <f t="shared" si="132"/>
        <v>Modal 28</v>
      </c>
      <c r="M659" s="570">
        <f t="shared" si="133"/>
        <v>28</v>
      </c>
    </row>
    <row r="660" spans="1:13">
      <c r="A660" s="570" t="str">
        <f t="shared" si="122"/>
        <v>T1829</v>
      </c>
      <c r="C660" s="953" t="str">
        <f t="shared" si="123"/>
        <v>T18</v>
      </c>
      <c r="D660" s="953" t="str">
        <f t="shared" si="124"/>
        <v>D1</v>
      </c>
      <c r="E660" s="953">
        <f t="shared" si="125"/>
        <v>29</v>
      </c>
      <c r="F660" s="953">
        <f t="shared" si="126"/>
        <v>-1.9819999999999998E-3</v>
      </c>
      <c r="G660" s="953">
        <f t="shared" si="127"/>
        <v>9.8799999999999995E-4</v>
      </c>
      <c r="H660" s="953">
        <f t="shared" si="128"/>
        <v>0</v>
      </c>
      <c r="I660" s="953">
        <f t="shared" si="129"/>
        <v>0</v>
      </c>
      <c r="J660" s="953">
        <f t="shared" si="130"/>
        <v>0</v>
      </c>
      <c r="K660" s="953">
        <f t="shared" si="131"/>
        <v>-1.1619999999999999E-7</v>
      </c>
      <c r="L660" s="570" t="str">
        <f t="shared" si="132"/>
        <v>Modal 29</v>
      </c>
      <c r="M660" s="570">
        <f t="shared" si="133"/>
        <v>29</v>
      </c>
    </row>
    <row r="661" spans="1:13">
      <c r="A661" s="570" t="str">
        <f t="shared" si="122"/>
        <v>T1830</v>
      </c>
      <c r="C661" s="953" t="str">
        <f t="shared" si="123"/>
        <v>T18</v>
      </c>
      <c r="D661" s="953" t="str">
        <f t="shared" si="124"/>
        <v>D1</v>
      </c>
      <c r="E661" s="953">
        <f t="shared" si="125"/>
        <v>30</v>
      </c>
      <c r="F661" s="953">
        <f t="shared" si="126"/>
        <v>-8.0699999999999999E-4</v>
      </c>
      <c r="G661" s="953">
        <f t="shared" si="127"/>
        <v>-1.1479999999999999E-3</v>
      </c>
      <c r="H661" s="953">
        <f t="shared" si="128"/>
        <v>0</v>
      </c>
      <c r="I661" s="953">
        <f t="shared" si="129"/>
        <v>0</v>
      </c>
      <c r="J661" s="953">
        <f t="shared" si="130"/>
        <v>0</v>
      </c>
      <c r="K661" s="953">
        <f t="shared" si="131"/>
        <v>-1.9999999999999999E-6</v>
      </c>
      <c r="L661" s="570" t="str">
        <f t="shared" si="132"/>
        <v>Modal 30</v>
      </c>
      <c r="M661" s="570">
        <f t="shared" si="133"/>
        <v>30</v>
      </c>
    </row>
    <row r="662" spans="1:13">
      <c r="A662" s="570" t="str">
        <f t="shared" si="122"/>
        <v>T171</v>
      </c>
      <c r="C662" s="953" t="str">
        <f t="shared" si="123"/>
        <v>T17</v>
      </c>
      <c r="D662" s="953" t="str">
        <f t="shared" si="124"/>
        <v>D1</v>
      </c>
      <c r="E662" s="953">
        <f t="shared" si="125"/>
        <v>1</v>
      </c>
      <c r="F662" s="953">
        <f t="shared" si="126"/>
        <v>-4.9100000000000001E-4</v>
      </c>
      <c r="G662" s="953">
        <f t="shared" si="127"/>
        <v>2.5500000000000002E-3</v>
      </c>
      <c r="H662" s="953">
        <f t="shared" si="128"/>
        <v>0</v>
      </c>
      <c r="I662" s="953">
        <f t="shared" si="129"/>
        <v>0</v>
      </c>
      <c r="J662" s="953">
        <f t="shared" si="130"/>
        <v>0</v>
      </c>
      <c r="K662" s="953">
        <f t="shared" si="131"/>
        <v>2.5999999999999998E-5</v>
      </c>
      <c r="L662" s="570" t="str">
        <f t="shared" si="132"/>
        <v>Modal 1</v>
      </c>
      <c r="M662" s="570">
        <f t="shared" si="133"/>
        <v>1</v>
      </c>
    </row>
    <row r="663" spans="1:13">
      <c r="A663" s="570" t="str">
        <f t="shared" si="122"/>
        <v>T172</v>
      </c>
      <c r="C663" s="953" t="str">
        <f t="shared" si="123"/>
        <v>T17</v>
      </c>
      <c r="D663" s="953" t="str">
        <f t="shared" si="124"/>
        <v>D1</v>
      </c>
      <c r="E663" s="953">
        <f t="shared" si="125"/>
        <v>2</v>
      </c>
      <c r="F663" s="953">
        <f t="shared" si="126"/>
        <v>-4.3100000000000001E-4</v>
      </c>
      <c r="G663" s="953">
        <f t="shared" si="127"/>
        <v>-5.3600000000000002E-4</v>
      </c>
      <c r="H663" s="953">
        <f t="shared" si="128"/>
        <v>0</v>
      </c>
      <c r="I663" s="953">
        <f t="shared" si="129"/>
        <v>0</v>
      </c>
      <c r="J663" s="953">
        <f t="shared" si="130"/>
        <v>0</v>
      </c>
      <c r="K663" s="953">
        <f t="shared" si="131"/>
        <v>1.4899999999999999E-4</v>
      </c>
      <c r="L663" s="570" t="str">
        <f t="shared" si="132"/>
        <v>Modal 2</v>
      </c>
      <c r="M663" s="570">
        <f t="shared" si="133"/>
        <v>2</v>
      </c>
    </row>
    <row r="664" spans="1:13">
      <c r="A664" s="570" t="str">
        <f t="shared" si="122"/>
        <v>T173</v>
      </c>
      <c r="C664" s="953" t="str">
        <f t="shared" si="123"/>
        <v>T17</v>
      </c>
      <c r="D664" s="953" t="str">
        <f t="shared" si="124"/>
        <v>D1</v>
      </c>
      <c r="E664" s="953">
        <f t="shared" si="125"/>
        <v>3</v>
      </c>
      <c r="F664" s="953">
        <f t="shared" si="126"/>
        <v>2.764E-3</v>
      </c>
      <c r="G664" s="953">
        <f t="shared" si="127"/>
        <v>4.8299999999999998E-4</v>
      </c>
      <c r="H664" s="953">
        <f t="shared" si="128"/>
        <v>0</v>
      </c>
      <c r="I664" s="953">
        <f t="shared" si="129"/>
        <v>0</v>
      </c>
      <c r="J664" s="953">
        <f t="shared" si="130"/>
        <v>0</v>
      </c>
      <c r="K664" s="953">
        <f t="shared" si="131"/>
        <v>2.5999999999999998E-5</v>
      </c>
      <c r="L664" s="570" t="str">
        <f t="shared" si="132"/>
        <v>Modal 3</v>
      </c>
      <c r="M664" s="570">
        <f t="shared" si="133"/>
        <v>3</v>
      </c>
    </row>
    <row r="665" spans="1:13">
      <c r="A665" s="570" t="str">
        <f t="shared" si="122"/>
        <v>T174</v>
      </c>
      <c r="C665" s="953" t="str">
        <f t="shared" si="123"/>
        <v>T17</v>
      </c>
      <c r="D665" s="953" t="str">
        <f t="shared" si="124"/>
        <v>D1</v>
      </c>
      <c r="E665" s="953">
        <f t="shared" si="125"/>
        <v>4</v>
      </c>
      <c r="F665" s="953">
        <f t="shared" si="126"/>
        <v>-8.2299999999999995E-4</v>
      </c>
      <c r="G665" s="953">
        <f t="shared" si="127"/>
        <v>3.0000000000000001E-5</v>
      </c>
      <c r="H665" s="953">
        <f t="shared" si="128"/>
        <v>0</v>
      </c>
      <c r="I665" s="953">
        <f t="shared" si="129"/>
        <v>0</v>
      </c>
      <c r="J665" s="953">
        <f t="shared" si="130"/>
        <v>0</v>
      </c>
      <c r="K665" s="953">
        <f t="shared" si="131"/>
        <v>2.6899999999999998E-4</v>
      </c>
      <c r="L665" s="570" t="str">
        <f t="shared" si="132"/>
        <v>Modal 4</v>
      </c>
      <c r="M665" s="570">
        <f t="shared" si="133"/>
        <v>4</v>
      </c>
    </row>
    <row r="666" spans="1:13">
      <c r="A666" s="570" t="str">
        <f t="shared" si="122"/>
        <v>T175</v>
      </c>
      <c r="C666" s="953" t="str">
        <f t="shared" si="123"/>
        <v>T17</v>
      </c>
      <c r="D666" s="953" t="str">
        <f t="shared" si="124"/>
        <v>D1</v>
      </c>
      <c r="E666" s="953">
        <f t="shared" si="125"/>
        <v>5</v>
      </c>
      <c r="F666" s="953">
        <f t="shared" si="126"/>
        <v>7.0899999999999999E-4</v>
      </c>
      <c r="G666" s="953">
        <f t="shared" si="127"/>
        <v>-5.6759999999999996E-3</v>
      </c>
      <c r="H666" s="953">
        <f t="shared" si="128"/>
        <v>0</v>
      </c>
      <c r="I666" s="953">
        <f t="shared" si="129"/>
        <v>0</v>
      </c>
      <c r="J666" s="953">
        <f t="shared" si="130"/>
        <v>0</v>
      </c>
      <c r="K666" s="953">
        <f t="shared" si="131"/>
        <v>7.9999999999999996E-6</v>
      </c>
      <c r="L666" s="570" t="str">
        <f t="shared" si="132"/>
        <v>Modal 5</v>
      </c>
      <c r="M666" s="570">
        <f t="shared" si="133"/>
        <v>5</v>
      </c>
    </row>
    <row r="667" spans="1:13">
      <c r="A667" s="570" t="str">
        <f t="shared" si="122"/>
        <v>T176</v>
      </c>
      <c r="C667" s="953" t="str">
        <f t="shared" si="123"/>
        <v>T17</v>
      </c>
      <c r="D667" s="953" t="str">
        <f t="shared" si="124"/>
        <v>D1</v>
      </c>
      <c r="E667" s="953">
        <f t="shared" si="125"/>
        <v>6</v>
      </c>
      <c r="F667" s="953">
        <f t="shared" si="126"/>
        <v>-5.5490000000000001E-3</v>
      </c>
      <c r="G667" s="953">
        <f t="shared" si="127"/>
        <v>-6.9300000000000004E-4</v>
      </c>
      <c r="H667" s="953">
        <f t="shared" si="128"/>
        <v>0</v>
      </c>
      <c r="I667" s="953">
        <f t="shared" si="129"/>
        <v>0</v>
      </c>
      <c r="J667" s="953">
        <f t="shared" si="130"/>
        <v>0</v>
      </c>
      <c r="K667" s="953">
        <f t="shared" si="131"/>
        <v>-3.6999999999999998E-5</v>
      </c>
      <c r="L667" s="570" t="str">
        <f t="shared" si="132"/>
        <v>Modal 6</v>
      </c>
      <c r="M667" s="570">
        <f t="shared" si="133"/>
        <v>6</v>
      </c>
    </row>
    <row r="668" spans="1:13">
      <c r="A668" s="570" t="str">
        <f t="shared" si="122"/>
        <v>T177</v>
      </c>
      <c r="C668" s="953" t="str">
        <f t="shared" si="123"/>
        <v>T17</v>
      </c>
      <c r="D668" s="953" t="str">
        <f t="shared" si="124"/>
        <v>D1</v>
      </c>
      <c r="E668" s="953">
        <f t="shared" si="125"/>
        <v>7</v>
      </c>
      <c r="F668" s="953">
        <f t="shared" si="126"/>
        <v>2.3800000000000001E-4</v>
      </c>
      <c r="G668" s="953">
        <f t="shared" si="127"/>
        <v>2.5000000000000001E-5</v>
      </c>
      <c r="H668" s="953">
        <f t="shared" si="128"/>
        <v>0</v>
      </c>
      <c r="I668" s="953">
        <f t="shared" si="129"/>
        <v>0</v>
      </c>
      <c r="J668" s="953">
        <f t="shared" si="130"/>
        <v>0</v>
      </c>
      <c r="K668" s="953">
        <f t="shared" si="131"/>
        <v>-2.5000000000000001E-5</v>
      </c>
      <c r="L668" s="570" t="str">
        <f t="shared" si="132"/>
        <v>Modal 7</v>
      </c>
      <c r="M668" s="570">
        <f t="shared" si="133"/>
        <v>7</v>
      </c>
    </row>
    <row r="669" spans="1:13">
      <c r="A669" s="570" t="str">
        <f t="shared" si="122"/>
        <v>T178</v>
      </c>
      <c r="C669" s="953" t="str">
        <f t="shared" si="123"/>
        <v>T17</v>
      </c>
      <c r="D669" s="953" t="str">
        <f t="shared" si="124"/>
        <v>D1</v>
      </c>
      <c r="E669" s="953">
        <f t="shared" si="125"/>
        <v>8</v>
      </c>
      <c r="F669" s="953">
        <f t="shared" si="126"/>
        <v>1.5100000000000001E-4</v>
      </c>
      <c r="G669" s="953">
        <f t="shared" si="127"/>
        <v>-1.248E-3</v>
      </c>
      <c r="H669" s="953">
        <f t="shared" si="128"/>
        <v>0</v>
      </c>
      <c r="I669" s="953">
        <f t="shared" si="129"/>
        <v>0</v>
      </c>
      <c r="J669" s="953">
        <f t="shared" si="130"/>
        <v>0</v>
      </c>
      <c r="K669" s="953">
        <f t="shared" si="131"/>
        <v>1.9999999999999999E-6</v>
      </c>
      <c r="L669" s="570" t="str">
        <f t="shared" si="132"/>
        <v>Modal 8</v>
      </c>
      <c r="M669" s="570">
        <f t="shared" si="133"/>
        <v>8</v>
      </c>
    </row>
    <row r="670" spans="1:13">
      <c r="A670" s="570" t="str">
        <f t="shared" si="122"/>
        <v>T179</v>
      </c>
      <c r="C670" s="953" t="str">
        <f t="shared" si="123"/>
        <v>T17</v>
      </c>
      <c r="D670" s="953" t="str">
        <f t="shared" si="124"/>
        <v>D1</v>
      </c>
      <c r="E670" s="953">
        <f t="shared" si="125"/>
        <v>9</v>
      </c>
      <c r="F670" s="953">
        <f t="shared" si="126"/>
        <v>6.2399999999999999E-4</v>
      </c>
      <c r="G670" s="953">
        <f t="shared" si="127"/>
        <v>6.9999999999999999E-6</v>
      </c>
      <c r="H670" s="953">
        <f t="shared" si="128"/>
        <v>0</v>
      </c>
      <c r="I670" s="953">
        <f t="shared" si="129"/>
        <v>0</v>
      </c>
      <c r="J670" s="953">
        <f t="shared" si="130"/>
        <v>0</v>
      </c>
      <c r="K670" s="953">
        <f t="shared" si="131"/>
        <v>-2.5500000000000002E-4</v>
      </c>
      <c r="L670" s="570" t="str">
        <f t="shared" si="132"/>
        <v>Modal 9</v>
      </c>
      <c r="M670" s="570">
        <f t="shared" si="133"/>
        <v>9</v>
      </c>
    </row>
    <row r="671" spans="1:13">
      <c r="A671" s="570" t="str">
        <f t="shared" si="122"/>
        <v>T1710</v>
      </c>
      <c r="C671" s="953" t="str">
        <f t="shared" si="123"/>
        <v>T17</v>
      </c>
      <c r="D671" s="953" t="str">
        <f t="shared" si="124"/>
        <v>D1</v>
      </c>
      <c r="E671" s="953">
        <f t="shared" si="125"/>
        <v>10</v>
      </c>
      <c r="F671" s="953">
        <f t="shared" si="126"/>
        <v>-9.6199999999999996E-4</v>
      </c>
      <c r="G671" s="953">
        <f t="shared" si="127"/>
        <v>-7.7000000000000001E-5</v>
      </c>
      <c r="H671" s="953">
        <f t="shared" si="128"/>
        <v>0</v>
      </c>
      <c r="I671" s="953">
        <f t="shared" si="129"/>
        <v>0</v>
      </c>
      <c r="J671" s="953">
        <f t="shared" si="130"/>
        <v>0</v>
      </c>
      <c r="K671" s="953">
        <f t="shared" si="131"/>
        <v>-3.0000000000000001E-5</v>
      </c>
      <c r="L671" s="570" t="str">
        <f t="shared" si="132"/>
        <v>Modal 10</v>
      </c>
      <c r="M671" s="570">
        <f t="shared" si="133"/>
        <v>10</v>
      </c>
    </row>
    <row r="672" spans="1:13">
      <c r="A672" s="570" t="str">
        <f t="shared" si="122"/>
        <v>T1711</v>
      </c>
      <c r="C672" s="953" t="str">
        <f t="shared" si="123"/>
        <v>T17</v>
      </c>
      <c r="D672" s="953" t="str">
        <f t="shared" si="124"/>
        <v>D1</v>
      </c>
      <c r="E672" s="953">
        <f t="shared" si="125"/>
        <v>11</v>
      </c>
      <c r="F672" s="953">
        <f t="shared" si="126"/>
        <v>2.5000000000000001E-4</v>
      </c>
      <c r="G672" s="953">
        <f t="shared" si="127"/>
        <v>-1.8079999999999999E-3</v>
      </c>
      <c r="H672" s="953">
        <f t="shared" si="128"/>
        <v>0</v>
      </c>
      <c r="I672" s="953">
        <f t="shared" si="129"/>
        <v>0</v>
      </c>
      <c r="J672" s="953">
        <f t="shared" si="130"/>
        <v>0</v>
      </c>
      <c r="K672" s="953">
        <f t="shared" si="131"/>
        <v>-1.3100000000000001E-4</v>
      </c>
      <c r="L672" s="570" t="str">
        <f t="shared" si="132"/>
        <v>Modal 11</v>
      </c>
      <c r="M672" s="570">
        <f t="shared" si="133"/>
        <v>11</v>
      </c>
    </row>
    <row r="673" spans="1:13">
      <c r="A673" s="570" t="str">
        <f t="shared" si="122"/>
        <v>T1712</v>
      </c>
      <c r="C673" s="953" t="str">
        <f t="shared" si="123"/>
        <v>T17</v>
      </c>
      <c r="D673" s="953" t="str">
        <f t="shared" si="124"/>
        <v>D1</v>
      </c>
      <c r="E673" s="953">
        <f t="shared" si="125"/>
        <v>12</v>
      </c>
      <c r="F673" s="953">
        <f t="shared" si="126"/>
        <v>-4.4200000000000001E-4</v>
      </c>
      <c r="G673" s="953">
        <f t="shared" si="127"/>
        <v>4.8589999999999996E-3</v>
      </c>
      <c r="H673" s="953">
        <f t="shared" si="128"/>
        <v>0</v>
      </c>
      <c r="I673" s="953">
        <f t="shared" si="129"/>
        <v>0</v>
      </c>
      <c r="J673" s="953">
        <f t="shared" si="130"/>
        <v>0</v>
      </c>
      <c r="K673" s="953">
        <f t="shared" si="131"/>
        <v>-5.3000000000000001E-5</v>
      </c>
      <c r="L673" s="570" t="str">
        <f t="shared" si="132"/>
        <v>Modal 12</v>
      </c>
      <c r="M673" s="570">
        <f t="shared" si="133"/>
        <v>12</v>
      </c>
    </row>
    <row r="674" spans="1:13">
      <c r="A674" s="570" t="str">
        <f t="shared" si="122"/>
        <v>T1713</v>
      </c>
      <c r="C674" s="953" t="str">
        <f t="shared" si="123"/>
        <v>T17</v>
      </c>
      <c r="D674" s="953" t="str">
        <f t="shared" si="124"/>
        <v>D1</v>
      </c>
      <c r="E674" s="953">
        <f t="shared" si="125"/>
        <v>13</v>
      </c>
      <c r="F674" s="953">
        <f t="shared" si="126"/>
        <v>-5.2160000000000002E-3</v>
      </c>
      <c r="G674" s="953">
        <f t="shared" si="127"/>
        <v>-5.0699999999999996E-4</v>
      </c>
      <c r="H674" s="953">
        <f t="shared" si="128"/>
        <v>0</v>
      </c>
      <c r="I674" s="953">
        <f t="shared" si="129"/>
        <v>0</v>
      </c>
      <c r="J674" s="953">
        <f t="shared" si="130"/>
        <v>0</v>
      </c>
      <c r="K674" s="953">
        <f t="shared" si="131"/>
        <v>-1.5E-5</v>
      </c>
      <c r="L674" s="570" t="str">
        <f t="shared" si="132"/>
        <v>Modal 13</v>
      </c>
      <c r="M674" s="570">
        <f t="shared" si="133"/>
        <v>13</v>
      </c>
    </row>
    <row r="675" spans="1:13">
      <c r="A675" s="570" t="str">
        <f t="shared" si="122"/>
        <v>T1714</v>
      </c>
      <c r="C675" s="953" t="str">
        <f t="shared" si="123"/>
        <v>T17</v>
      </c>
      <c r="D675" s="953" t="str">
        <f t="shared" si="124"/>
        <v>D1</v>
      </c>
      <c r="E675" s="953">
        <f t="shared" si="125"/>
        <v>14</v>
      </c>
      <c r="F675" s="953">
        <f t="shared" si="126"/>
        <v>-2.34E-4</v>
      </c>
      <c r="G675" s="953">
        <f t="shared" si="127"/>
        <v>-1.7E-5</v>
      </c>
      <c r="H675" s="953">
        <f t="shared" si="128"/>
        <v>0</v>
      </c>
      <c r="I675" s="953">
        <f t="shared" si="129"/>
        <v>0</v>
      </c>
      <c r="J675" s="953">
        <f t="shared" si="130"/>
        <v>0</v>
      </c>
      <c r="K675" s="953">
        <f t="shared" si="131"/>
        <v>2.0000000000000001E-4</v>
      </c>
      <c r="L675" s="570" t="str">
        <f t="shared" si="132"/>
        <v>Modal 14</v>
      </c>
      <c r="M675" s="570">
        <f t="shared" si="133"/>
        <v>14</v>
      </c>
    </row>
    <row r="676" spans="1:13">
      <c r="A676" s="570" t="str">
        <f t="shared" si="122"/>
        <v>T1715</v>
      </c>
      <c r="C676" s="953" t="str">
        <f t="shared" si="123"/>
        <v>T17</v>
      </c>
      <c r="D676" s="953" t="str">
        <f t="shared" si="124"/>
        <v>D1</v>
      </c>
      <c r="E676" s="953">
        <f t="shared" si="125"/>
        <v>15</v>
      </c>
      <c r="F676" s="953">
        <f t="shared" si="126"/>
        <v>-3.1399999999999999E-4</v>
      </c>
      <c r="G676" s="953">
        <f t="shared" si="127"/>
        <v>2.996E-3</v>
      </c>
      <c r="H676" s="953">
        <f t="shared" si="128"/>
        <v>0</v>
      </c>
      <c r="I676" s="953">
        <f t="shared" si="129"/>
        <v>0</v>
      </c>
      <c r="J676" s="953">
        <f t="shared" si="130"/>
        <v>0</v>
      </c>
      <c r="K676" s="953">
        <f t="shared" si="131"/>
        <v>-2.1190000000000001E-7</v>
      </c>
      <c r="L676" s="570" t="str">
        <f t="shared" si="132"/>
        <v>Modal 15</v>
      </c>
      <c r="M676" s="570">
        <f t="shared" si="133"/>
        <v>15</v>
      </c>
    </row>
    <row r="677" spans="1:13">
      <c r="A677" s="570" t="str">
        <f t="shared" si="122"/>
        <v>T1716</v>
      </c>
      <c r="C677" s="953" t="str">
        <f t="shared" si="123"/>
        <v>T17</v>
      </c>
      <c r="D677" s="953" t="str">
        <f t="shared" si="124"/>
        <v>D1</v>
      </c>
      <c r="E677" s="953">
        <f t="shared" si="125"/>
        <v>16</v>
      </c>
      <c r="F677" s="953">
        <f t="shared" si="126"/>
        <v>-2.9700000000000001E-4</v>
      </c>
      <c r="G677" s="953">
        <f t="shared" si="127"/>
        <v>1.6899999999999999E-4</v>
      </c>
      <c r="H677" s="953">
        <f t="shared" si="128"/>
        <v>0</v>
      </c>
      <c r="I677" s="953">
        <f t="shared" si="129"/>
        <v>0</v>
      </c>
      <c r="J677" s="953">
        <f t="shared" si="130"/>
        <v>0</v>
      </c>
      <c r="K677" s="953">
        <f t="shared" si="131"/>
        <v>1.74E-4</v>
      </c>
      <c r="L677" s="570" t="str">
        <f t="shared" si="132"/>
        <v>Modal 16</v>
      </c>
      <c r="M677" s="570">
        <f t="shared" si="133"/>
        <v>16</v>
      </c>
    </row>
    <row r="678" spans="1:13">
      <c r="A678" s="570" t="str">
        <f t="shared" si="122"/>
        <v>T1717</v>
      </c>
      <c r="C678" s="953" t="str">
        <f t="shared" si="123"/>
        <v>T17</v>
      </c>
      <c r="D678" s="953" t="str">
        <f t="shared" si="124"/>
        <v>D1</v>
      </c>
      <c r="E678" s="953">
        <f t="shared" si="125"/>
        <v>17</v>
      </c>
      <c r="F678" s="953">
        <f t="shared" si="126"/>
        <v>-2.7079999999999999E-3</v>
      </c>
      <c r="G678" s="953">
        <f t="shared" si="127"/>
        <v>-2.3800000000000001E-4</v>
      </c>
      <c r="H678" s="953">
        <f t="shared" si="128"/>
        <v>0</v>
      </c>
      <c r="I678" s="953">
        <f t="shared" si="129"/>
        <v>0</v>
      </c>
      <c r="J678" s="953">
        <f t="shared" si="130"/>
        <v>0</v>
      </c>
      <c r="K678" s="953">
        <f t="shared" si="131"/>
        <v>-4.3999999999999999E-5</v>
      </c>
      <c r="L678" s="570" t="str">
        <f t="shared" si="132"/>
        <v>Modal 17</v>
      </c>
      <c r="M678" s="570">
        <f t="shared" si="133"/>
        <v>17</v>
      </c>
    </row>
    <row r="679" spans="1:13">
      <c r="A679" s="570" t="str">
        <f t="shared" si="122"/>
        <v>T1718</v>
      </c>
      <c r="C679" s="953" t="str">
        <f t="shared" si="123"/>
        <v>T17</v>
      </c>
      <c r="D679" s="953" t="str">
        <f t="shared" si="124"/>
        <v>D1</v>
      </c>
      <c r="E679" s="953">
        <f t="shared" si="125"/>
        <v>18</v>
      </c>
      <c r="F679" s="953">
        <f t="shared" si="126"/>
        <v>-2.24E-4</v>
      </c>
      <c r="G679" s="953">
        <f t="shared" si="127"/>
        <v>4.0639999999999999E-3</v>
      </c>
      <c r="H679" s="953">
        <f t="shared" si="128"/>
        <v>0</v>
      </c>
      <c r="I679" s="953">
        <f t="shared" si="129"/>
        <v>0</v>
      </c>
      <c r="J679" s="953">
        <f t="shared" si="130"/>
        <v>0</v>
      </c>
      <c r="K679" s="953">
        <f t="shared" si="131"/>
        <v>-4.3000000000000002E-5</v>
      </c>
      <c r="L679" s="570" t="str">
        <f t="shared" si="132"/>
        <v>Modal 18</v>
      </c>
      <c r="M679" s="570">
        <f t="shared" si="133"/>
        <v>18</v>
      </c>
    </row>
    <row r="680" spans="1:13">
      <c r="A680" s="570" t="str">
        <f t="shared" si="122"/>
        <v>T1719</v>
      </c>
      <c r="C680" s="953" t="str">
        <f t="shared" si="123"/>
        <v>T17</v>
      </c>
      <c r="D680" s="953" t="str">
        <f t="shared" si="124"/>
        <v>D1</v>
      </c>
      <c r="E680" s="953">
        <f t="shared" si="125"/>
        <v>19</v>
      </c>
      <c r="F680" s="953">
        <f t="shared" si="126"/>
        <v>-6.69E-4</v>
      </c>
      <c r="G680" s="953">
        <f t="shared" si="127"/>
        <v>5.2099999999999998E-4</v>
      </c>
      <c r="H680" s="953">
        <f t="shared" si="128"/>
        <v>0</v>
      </c>
      <c r="I680" s="953">
        <f t="shared" si="129"/>
        <v>0</v>
      </c>
      <c r="J680" s="953">
        <f t="shared" si="130"/>
        <v>0</v>
      </c>
      <c r="K680" s="953">
        <f t="shared" si="131"/>
        <v>1.8000000000000001E-4</v>
      </c>
      <c r="L680" s="570" t="str">
        <f t="shared" si="132"/>
        <v>Modal 19</v>
      </c>
      <c r="M680" s="570">
        <f t="shared" si="133"/>
        <v>19</v>
      </c>
    </row>
    <row r="681" spans="1:13">
      <c r="A681" s="570" t="str">
        <f t="shared" si="122"/>
        <v>T1720</v>
      </c>
      <c r="C681" s="953" t="str">
        <f t="shared" si="123"/>
        <v>T17</v>
      </c>
      <c r="D681" s="953" t="str">
        <f t="shared" si="124"/>
        <v>D1</v>
      </c>
      <c r="E681" s="953">
        <f t="shared" si="125"/>
        <v>20</v>
      </c>
      <c r="F681" s="953">
        <f t="shared" si="126"/>
        <v>4.2259999999999997E-3</v>
      </c>
      <c r="G681" s="953">
        <f t="shared" si="127"/>
        <v>4.5899999999999999E-4</v>
      </c>
      <c r="H681" s="953">
        <f t="shared" si="128"/>
        <v>0</v>
      </c>
      <c r="I681" s="953">
        <f t="shared" si="129"/>
        <v>0</v>
      </c>
      <c r="J681" s="953">
        <f t="shared" si="130"/>
        <v>0</v>
      </c>
      <c r="K681" s="953">
        <f t="shared" si="131"/>
        <v>-9.9999999999999995E-7</v>
      </c>
      <c r="L681" s="570" t="str">
        <f t="shared" si="132"/>
        <v>Modal 20</v>
      </c>
      <c r="M681" s="570">
        <f t="shared" si="133"/>
        <v>20</v>
      </c>
    </row>
    <row r="682" spans="1:13">
      <c r="A682" s="570" t="str">
        <f t="shared" si="122"/>
        <v>T1721</v>
      </c>
      <c r="C682" s="953" t="str">
        <f t="shared" si="123"/>
        <v>T17</v>
      </c>
      <c r="D682" s="953" t="str">
        <f t="shared" si="124"/>
        <v>D1</v>
      </c>
      <c r="E682" s="953">
        <f t="shared" si="125"/>
        <v>21</v>
      </c>
      <c r="F682" s="953">
        <f t="shared" si="126"/>
        <v>-7.0500000000000001E-4</v>
      </c>
      <c r="G682" s="953">
        <f t="shared" si="127"/>
        <v>4.0270000000000002E-3</v>
      </c>
      <c r="H682" s="953">
        <f t="shared" si="128"/>
        <v>0</v>
      </c>
      <c r="I682" s="953">
        <f t="shared" si="129"/>
        <v>0</v>
      </c>
      <c r="J682" s="953">
        <f t="shared" si="130"/>
        <v>0</v>
      </c>
      <c r="K682" s="953">
        <f t="shared" si="131"/>
        <v>-1.9000000000000001E-5</v>
      </c>
      <c r="L682" s="570" t="str">
        <f t="shared" si="132"/>
        <v>Modal 21</v>
      </c>
      <c r="M682" s="570">
        <f t="shared" si="133"/>
        <v>21</v>
      </c>
    </row>
    <row r="683" spans="1:13">
      <c r="A683" s="570" t="str">
        <f t="shared" si="122"/>
        <v>T1722</v>
      </c>
      <c r="C683" s="953" t="str">
        <f t="shared" si="123"/>
        <v>T17</v>
      </c>
      <c r="D683" s="953" t="str">
        <f t="shared" si="124"/>
        <v>D1</v>
      </c>
      <c r="E683" s="953">
        <f t="shared" si="125"/>
        <v>22</v>
      </c>
      <c r="F683" s="953">
        <f t="shared" si="126"/>
        <v>-3.5620000000000001E-3</v>
      </c>
      <c r="G683" s="953">
        <f t="shared" si="127"/>
        <v>-1.95E-4</v>
      </c>
      <c r="H683" s="953">
        <f t="shared" si="128"/>
        <v>0</v>
      </c>
      <c r="I683" s="953">
        <f t="shared" si="129"/>
        <v>0</v>
      </c>
      <c r="J683" s="953">
        <f t="shared" si="130"/>
        <v>0</v>
      </c>
      <c r="K683" s="953">
        <f t="shared" si="131"/>
        <v>-1.37E-4</v>
      </c>
      <c r="L683" s="570" t="str">
        <f t="shared" si="132"/>
        <v>Modal 22</v>
      </c>
      <c r="M683" s="570">
        <f t="shared" si="133"/>
        <v>22</v>
      </c>
    </row>
    <row r="684" spans="1:13">
      <c r="A684" s="570" t="str">
        <f t="shared" si="122"/>
        <v>T1723</v>
      </c>
      <c r="C684" s="953" t="str">
        <f t="shared" si="123"/>
        <v>T17</v>
      </c>
      <c r="D684" s="953" t="str">
        <f t="shared" si="124"/>
        <v>D1</v>
      </c>
      <c r="E684" s="953">
        <f t="shared" si="125"/>
        <v>23</v>
      </c>
      <c r="F684" s="953">
        <f t="shared" si="126"/>
        <v>5.0699999999999996E-4</v>
      </c>
      <c r="G684" s="953">
        <f t="shared" si="127"/>
        <v>2.601E-3</v>
      </c>
      <c r="H684" s="953">
        <f t="shared" si="128"/>
        <v>0</v>
      </c>
      <c r="I684" s="953">
        <f t="shared" si="129"/>
        <v>0</v>
      </c>
      <c r="J684" s="953">
        <f t="shared" si="130"/>
        <v>0</v>
      </c>
      <c r="K684" s="953">
        <f t="shared" si="131"/>
        <v>-7.6000000000000004E-5</v>
      </c>
      <c r="L684" s="570" t="str">
        <f t="shared" si="132"/>
        <v>Modal 23</v>
      </c>
      <c r="M684" s="570">
        <f t="shared" si="133"/>
        <v>23</v>
      </c>
    </row>
    <row r="685" spans="1:13">
      <c r="A685" s="570" t="str">
        <f t="shared" si="122"/>
        <v>T1724</v>
      </c>
      <c r="C685" s="953" t="str">
        <f t="shared" si="123"/>
        <v>T17</v>
      </c>
      <c r="D685" s="953" t="str">
        <f t="shared" si="124"/>
        <v>D1</v>
      </c>
      <c r="E685" s="953">
        <f t="shared" si="125"/>
        <v>24</v>
      </c>
      <c r="F685" s="953">
        <f t="shared" si="126"/>
        <v>1.0219999999999999E-3</v>
      </c>
      <c r="G685" s="953">
        <f t="shared" si="127"/>
        <v>3.3969999999999998E-3</v>
      </c>
      <c r="H685" s="953">
        <f t="shared" si="128"/>
        <v>0</v>
      </c>
      <c r="I685" s="953">
        <f t="shared" si="129"/>
        <v>0</v>
      </c>
      <c r="J685" s="953">
        <f t="shared" si="130"/>
        <v>0</v>
      </c>
      <c r="K685" s="953">
        <f t="shared" si="131"/>
        <v>9.0000000000000006E-5</v>
      </c>
      <c r="L685" s="570" t="str">
        <f t="shared" si="132"/>
        <v>Modal 24</v>
      </c>
      <c r="M685" s="570">
        <f t="shared" si="133"/>
        <v>24</v>
      </c>
    </row>
    <row r="686" spans="1:13">
      <c r="A686" s="570" t="str">
        <f t="shared" si="122"/>
        <v>T1725</v>
      </c>
      <c r="C686" s="953" t="str">
        <f t="shared" si="123"/>
        <v>T17</v>
      </c>
      <c r="D686" s="953" t="str">
        <f t="shared" si="124"/>
        <v>D1</v>
      </c>
      <c r="E686" s="953">
        <f t="shared" si="125"/>
        <v>25</v>
      </c>
      <c r="F686" s="953">
        <f t="shared" si="126"/>
        <v>3.823E-3</v>
      </c>
      <c r="G686" s="953">
        <f t="shared" si="127"/>
        <v>-1.212E-3</v>
      </c>
      <c r="H686" s="953">
        <f t="shared" si="128"/>
        <v>0</v>
      </c>
      <c r="I686" s="953">
        <f t="shared" si="129"/>
        <v>0</v>
      </c>
      <c r="J686" s="953">
        <f t="shared" si="130"/>
        <v>0</v>
      </c>
      <c r="K686" s="953">
        <f t="shared" si="131"/>
        <v>-2.5999999999999998E-5</v>
      </c>
      <c r="L686" s="570" t="str">
        <f t="shared" si="132"/>
        <v>Modal 25</v>
      </c>
      <c r="M686" s="570">
        <f t="shared" si="133"/>
        <v>25</v>
      </c>
    </row>
    <row r="687" spans="1:13">
      <c r="A687" s="570" t="str">
        <f t="shared" si="122"/>
        <v>T1726</v>
      </c>
      <c r="C687" s="953" t="str">
        <f t="shared" si="123"/>
        <v>T17</v>
      </c>
      <c r="D687" s="953" t="str">
        <f t="shared" si="124"/>
        <v>D1</v>
      </c>
      <c r="E687" s="953">
        <f t="shared" si="125"/>
        <v>26</v>
      </c>
      <c r="F687" s="953">
        <f t="shared" si="126"/>
        <v>2.1779999999999998E-3</v>
      </c>
      <c r="G687" s="953">
        <f t="shared" si="127"/>
        <v>4.7199999999999998E-4</v>
      </c>
      <c r="H687" s="953">
        <f t="shared" si="128"/>
        <v>0</v>
      </c>
      <c r="I687" s="953">
        <f t="shared" si="129"/>
        <v>0</v>
      </c>
      <c r="J687" s="953">
        <f t="shared" si="130"/>
        <v>0</v>
      </c>
      <c r="K687" s="953">
        <f t="shared" si="131"/>
        <v>-9.0000000000000002E-6</v>
      </c>
      <c r="L687" s="570" t="str">
        <f t="shared" si="132"/>
        <v>Modal 26</v>
      </c>
      <c r="M687" s="570">
        <f t="shared" si="133"/>
        <v>26</v>
      </c>
    </row>
    <row r="688" spans="1:13">
      <c r="A688" s="570" t="str">
        <f t="shared" si="122"/>
        <v>T1727</v>
      </c>
      <c r="C688" s="953" t="str">
        <f t="shared" si="123"/>
        <v>T17</v>
      </c>
      <c r="D688" s="953" t="str">
        <f t="shared" si="124"/>
        <v>D1</v>
      </c>
      <c r="E688" s="953">
        <f t="shared" si="125"/>
        <v>27</v>
      </c>
      <c r="F688" s="953">
        <f t="shared" si="126"/>
        <v>2.643E-3</v>
      </c>
      <c r="G688" s="953">
        <f t="shared" si="127"/>
        <v>-1.9949999999999998E-3</v>
      </c>
      <c r="H688" s="953">
        <f t="shared" si="128"/>
        <v>0</v>
      </c>
      <c r="I688" s="953">
        <f t="shared" si="129"/>
        <v>0</v>
      </c>
      <c r="J688" s="953">
        <f t="shared" si="130"/>
        <v>0</v>
      </c>
      <c r="K688" s="953">
        <f t="shared" si="131"/>
        <v>-2.6999999999999999E-5</v>
      </c>
      <c r="L688" s="570" t="str">
        <f t="shared" si="132"/>
        <v>Modal 27</v>
      </c>
      <c r="M688" s="570">
        <f t="shared" si="133"/>
        <v>27</v>
      </c>
    </row>
    <row r="689" spans="1:13">
      <c r="A689" s="570" t="str">
        <f t="shared" si="122"/>
        <v>T1728</v>
      </c>
      <c r="C689" s="953" t="str">
        <f t="shared" si="123"/>
        <v>T17</v>
      </c>
      <c r="D689" s="953" t="str">
        <f t="shared" si="124"/>
        <v>D1</v>
      </c>
      <c r="E689" s="953">
        <f t="shared" si="125"/>
        <v>28</v>
      </c>
      <c r="F689" s="953">
        <f t="shared" si="126"/>
        <v>1.9650000000000002E-3</v>
      </c>
      <c r="G689" s="953">
        <f t="shared" si="127"/>
        <v>2.359E-3</v>
      </c>
      <c r="H689" s="953">
        <f t="shared" si="128"/>
        <v>0</v>
      </c>
      <c r="I689" s="953">
        <f t="shared" si="129"/>
        <v>0</v>
      </c>
      <c r="J689" s="953">
        <f t="shared" si="130"/>
        <v>0</v>
      </c>
      <c r="K689" s="953">
        <f t="shared" si="131"/>
        <v>-4.404E-7</v>
      </c>
      <c r="L689" s="570" t="str">
        <f t="shared" si="132"/>
        <v>Modal 28</v>
      </c>
      <c r="M689" s="570">
        <f t="shared" si="133"/>
        <v>28</v>
      </c>
    </row>
    <row r="690" spans="1:13">
      <c r="A690" s="570" t="str">
        <f t="shared" si="122"/>
        <v>T1729</v>
      </c>
      <c r="C690" s="953" t="str">
        <f t="shared" si="123"/>
        <v>T17</v>
      </c>
      <c r="D690" s="953" t="str">
        <f t="shared" si="124"/>
        <v>D1</v>
      </c>
      <c r="E690" s="953">
        <f t="shared" si="125"/>
        <v>29</v>
      </c>
      <c r="F690" s="953">
        <f t="shared" si="126"/>
        <v>-1.4040000000000001E-3</v>
      </c>
      <c r="G690" s="953">
        <f t="shared" si="127"/>
        <v>1.1770000000000001E-3</v>
      </c>
      <c r="H690" s="953">
        <f t="shared" si="128"/>
        <v>0</v>
      </c>
      <c r="I690" s="953">
        <f t="shared" si="129"/>
        <v>0</v>
      </c>
      <c r="J690" s="953">
        <f t="shared" si="130"/>
        <v>0</v>
      </c>
      <c r="K690" s="953">
        <f t="shared" si="131"/>
        <v>3.0000000000000001E-5</v>
      </c>
      <c r="L690" s="570" t="str">
        <f t="shared" si="132"/>
        <v>Modal 29</v>
      </c>
      <c r="M690" s="570">
        <f t="shared" si="133"/>
        <v>29</v>
      </c>
    </row>
    <row r="691" spans="1:13">
      <c r="A691" s="570" t="str">
        <f t="shared" si="122"/>
        <v>T1730</v>
      </c>
      <c r="C691" s="953" t="str">
        <f t="shared" si="123"/>
        <v>T17</v>
      </c>
      <c r="D691" s="953" t="str">
        <f t="shared" si="124"/>
        <v>D1</v>
      </c>
      <c r="E691" s="953">
        <f t="shared" si="125"/>
        <v>30</v>
      </c>
      <c r="F691" s="953">
        <f t="shared" si="126"/>
        <v>-9.4600000000000001E-4</v>
      </c>
      <c r="G691" s="953">
        <f t="shared" si="127"/>
        <v>-2.3340000000000001E-3</v>
      </c>
      <c r="H691" s="953">
        <f t="shared" si="128"/>
        <v>0</v>
      </c>
      <c r="I691" s="953">
        <f t="shared" si="129"/>
        <v>0</v>
      </c>
      <c r="J691" s="953">
        <f t="shared" si="130"/>
        <v>0</v>
      </c>
      <c r="K691" s="953">
        <f t="shared" si="131"/>
        <v>-3.0540000000000002E-7</v>
      </c>
      <c r="L691" s="570" t="str">
        <f t="shared" si="132"/>
        <v>Modal 30</v>
      </c>
      <c r="M691" s="570">
        <f t="shared" si="133"/>
        <v>30</v>
      </c>
    </row>
    <row r="692" spans="1:13">
      <c r="A692" s="570" t="str">
        <f t="shared" si="122"/>
        <v>T161</v>
      </c>
      <c r="C692" s="953" t="str">
        <f t="shared" si="123"/>
        <v>T16</v>
      </c>
      <c r="D692" s="953" t="str">
        <f t="shared" si="124"/>
        <v>D1</v>
      </c>
      <c r="E692" s="953">
        <f t="shared" si="125"/>
        <v>1</v>
      </c>
      <c r="F692" s="953">
        <f t="shared" si="126"/>
        <v>-4.5100000000000001E-4</v>
      </c>
      <c r="G692" s="953">
        <f t="shared" si="127"/>
        <v>2.3419999999999999E-3</v>
      </c>
      <c r="H692" s="953">
        <f t="shared" si="128"/>
        <v>0</v>
      </c>
      <c r="I692" s="953">
        <f t="shared" si="129"/>
        <v>0</v>
      </c>
      <c r="J692" s="953">
        <f t="shared" si="130"/>
        <v>0</v>
      </c>
      <c r="K692" s="953">
        <f t="shared" si="131"/>
        <v>2.4000000000000001E-5</v>
      </c>
      <c r="L692" s="570" t="str">
        <f t="shared" si="132"/>
        <v>Modal 1</v>
      </c>
      <c r="M692" s="570">
        <f t="shared" si="133"/>
        <v>1</v>
      </c>
    </row>
    <row r="693" spans="1:13">
      <c r="A693" s="570" t="str">
        <f t="shared" si="122"/>
        <v>T162</v>
      </c>
      <c r="C693" s="953" t="str">
        <f t="shared" si="123"/>
        <v>T16</v>
      </c>
      <c r="D693" s="953" t="str">
        <f t="shared" si="124"/>
        <v>D1</v>
      </c>
      <c r="E693" s="953">
        <f t="shared" si="125"/>
        <v>2</v>
      </c>
      <c r="F693" s="953">
        <f t="shared" si="126"/>
        <v>-4.0099999999999999E-4</v>
      </c>
      <c r="G693" s="953">
        <f t="shared" si="127"/>
        <v>-4.9299999999999995E-4</v>
      </c>
      <c r="H693" s="953">
        <f t="shared" si="128"/>
        <v>0</v>
      </c>
      <c r="I693" s="953">
        <f t="shared" si="129"/>
        <v>0</v>
      </c>
      <c r="J693" s="953">
        <f t="shared" si="130"/>
        <v>0</v>
      </c>
      <c r="K693" s="953">
        <f t="shared" si="131"/>
        <v>1.3899999999999999E-4</v>
      </c>
      <c r="L693" s="570" t="str">
        <f t="shared" si="132"/>
        <v>Modal 2</v>
      </c>
      <c r="M693" s="570">
        <f t="shared" si="133"/>
        <v>2</v>
      </c>
    </row>
    <row r="694" spans="1:13">
      <c r="A694" s="570" t="str">
        <f t="shared" si="122"/>
        <v>T163</v>
      </c>
      <c r="C694" s="953" t="str">
        <f t="shared" si="123"/>
        <v>T16</v>
      </c>
      <c r="D694" s="953" t="str">
        <f t="shared" si="124"/>
        <v>D1</v>
      </c>
      <c r="E694" s="953">
        <f t="shared" si="125"/>
        <v>3</v>
      </c>
      <c r="F694" s="953">
        <f t="shared" si="126"/>
        <v>2.555E-3</v>
      </c>
      <c r="G694" s="953">
        <f t="shared" si="127"/>
        <v>4.4900000000000002E-4</v>
      </c>
      <c r="H694" s="953">
        <f t="shared" si="128"/>
        <v>0</v>
      </c>
      <c r="I694" s="953">
        <f t="shared" si="129"/>
        <v>0</v>
      </c>
      <c r="J694" s="953">
        <f t="shared" si="130"/>
        <v>0</v>
      </c>
      <c r="K694" s="953">
        <f t="shared" si="131"/>
        <v>2.5000000000000001E-5</v>
      </c>
      <c r="L694" s="570" t="str">
        <f t="shared" si="132"/>
        <v>Modal 3</v>
      </c>
      <c r="M694" s="570">
        <f t="shared" si="133"/>
        <v>3</v>
      </c>
    </row>
    <row r="695" spans="1:13">
      <c r="A695" s="570" t="str">
        <f t="shared" si="122"/>
        <v>T164</v>
      </c>
      <c r="C695" s="953" t="str">
        <f t="shared" si="123"/>
        <v>T16</v>
      </c>
      <c r="D695" s="953" t="str">
        <f t="shared" si="124"/>
        <v>D1</v>
      </c>
      <c r="E695" s="953">
        <f t="shared" si="125"/>
        <v>4</v>
      </c>
      <c r="F695" s="953">
        <f t="shared" si="126"/>
        <v>-8.3199999999999995E-4</v>
      </c>
      <c r="G695" s="953">
        <f t="shared" si="127"/>
        <v>3.0000000000000001E-5</v>
      </c>
      <c r="H695" s="953">
        <f t="shared" si="128"/>
        <v>0</v>
      </c>
      <c r="I695" s="953">
        <f t="shared" si="129"/>
        <v>0</v>
      </c>
      <c r="J695" s="953">
        <f t="shared" si="130"/>
        <v>0</v>
      </c>
      <c r="K695" s="953">
        <f t="shared" si="131"/>
        <v>2.7399999999999999E-4</v>
      </c>
      <c r="L695" s="570" t="str">
        <f t="shared" si="132"/>
        <v>Modal 4</v>
      </c>
      <c r="M695" s="570">
        <f t="shared" si="133"/>
        <v>4</v>
      </c>
    </row>
    <row r="696" spans="1:13">
      <c r="A696" s="570" t="str">
        <f t="shared" si="122"/>
        <v>T165</v>
      </c>
      <c r="C696" s="953" t="str">
        <f t="shared" si="123"/>
        <v>T16</v>
      </c>
      <c r="D696" s="953" t="str">
        <f t="shared" si="124"/>
        <v>D1</v>
      </c>
      <c r="E696" s="953">
        <f t="shared" si="125"/>
        <v>5</v>
      </c>
      <c r="F696" s="953">
        <f t="shared" si="126"/>
        <v>7.0699999999999995E-4</v>
      </c>
      <c r="G696" s="953">
        <f t="shared" si="127"/>
        <v>-5.6909999999999999E-3</v>
      </c>
      <c r="H696" s="953">
        <f t="shared" si="128"/>
        <v>0</v>
      </c>
      <c r="I696" s="953">
        <f t="shared" si="129"/>
        <v>0</v>
      </c>
      <c r="J696" s="953">
        <f t="shared" si="130"/>
        <v>0</v>
      </c>
      <c r="K696" s="953">
        <f t="shared" si="131"/>
        <v>7.9999999999999996E-6</v>
      </c>
      <c r="L696" s="570" t="str">
        <f t="shared" si="132"/>
        <v>Modal 5</v>
      </c>
      <c r="M696" s="570">
        <f t="shared" si="133"/>
        <v>5</v>
      </c>
    </row>
    <row r="697" spans="1:13">
      <c r="A697" s="570" t="str">
        <f t="shared" si="122"/>
        <v>T166</v>
      </c>
      <c r="C697" s="953" t="str">
        <f t="shared" si="123"/>
        <v>T16</v>
      </c>
      <c r="D697" s="953" t="str">
        <f t="shared" si="124"/>
        <v>D1</v>
      </c>
      <c r="E697" s="953">
        <f t="shared" si="125"/>
        <v>6</v>
      </c>
      <c r="F697" s="953">
        <f t="shared" si="126"/>
        <v>-5.5880000000000001E-3</v>
      </c>
      <c r="G697" s="953">
        <f t="shared" si="127"/>
        <v>-7.0299999999999996E-4</v>
      </c>
      <c r="H697" s="953">
        <f t="shared" si="128"/>
        <v>0</v>
      </c>
      <c r="I697" s="953">
        <f t="shared" si="129"/>
        <v>0</v>
      </c>
      <c r="J697" s="953">
        <f t="shared" si="130"/>
        <v>0</v>
      </c>
      <c r="K697" s="953">
        <f t="shared" si="131"/>
        <v>-3.8999999999999999E-5</v>
      </c>
      <c r="L697" s="570" t="str">
        <f t="shared" si="132"/>
        <v>Modal 6</v>
      </c>
      <c r="M697" s="570">
        <f t="shared" si="133"/>
        <v>6</v>
      </c>
    </row>
    <row r="698" spans="1:13">
      <c r="A698" s="570" t="str">
        <f t="shared" si="122"/>
        <v>T167</v>
      </c>
      <c r="C698" s="953" t="str">
        <f t="shared" si="123"/>
        <v>T16</v>
      </c>
      <c r="D698" s="953" t="str">
        <f t="shared" si="124"/>
        <v>D1</v>
      </c>
      <c r="E698" s="953">
        <f t="shared" si="125"/>
        <v>7</v>
      </c>
      <c r="F698" s="953">
        <f t="shared" si="126"/>
        <v>3.7199999999999999E-4</v>
      </c>
      <c r="G698" s="953">
        <f t="shared" si="127"/>
        <v>2.9E-5</v>
      </c>
      <c r="H698" s="953">
        <f t="shared" si="128"/>
        <v>0</v>
      </c>
      <c r="I698" s="953">
        <f t="shared" si="129"/>
        <v>0</v>
      </c>
      <c r="J698" s="953">
        <f t="shared" si="130"/>
        <v>0</v>
      </c>
      <c r="K698" s="953">
        <f t="shared" si="131"/>
        <v>-7.8999999999999996E-5</v>
      </c>
      <c r="L698" s="570" t="str">
        <f t="shared" si="132"/>
        <v>Modal 7</v>
      </c>
      <c r="M698" s="570">
        <f t="shared" si="133"/>
        <v>7</v>
      </c>
    </row>
    <row r="699" spans="1:13">
      <c r="A699" s="570" t="str">
        <f t="shared" si="122"/>
        <v>T168</v>
      </c>
      <c r="C699" s="953" t="str">
        <f t="shared" si="123"/>
        <v>T16</v>
      </c>
      <c r="D699" s="953" t="str">
        <f t="shared" si="124"/>
        <v>D1</v>
      </c>
      <c r="E699" s="953">
        <f t="shared" si="125"/>
        <v>8</v>
      </c>
      <c r="F699" s="953">
        <f t="shared" si="126"/>
        <v>2.5599999999999999E-4</v>
      </c>
      <c r="G699" s="953">
        <f t="shared" si="127"/>
        <v>-2.313E-3</v>
      </c>
      <c r="H699" s="953">
        <f t="shared" si="128"/>
        <v>0</v>
      </c>
      <c r="I699" s="953">
        <f t="shared" si="129"/>
        <v>0</v>
      </c>
      <c r="J699" s="953">
        <f t="shared" si="130"/>
        <v>0</v>
      </c>
      <c r="K699" s="953">
        <f t="shared" si="131"/>
        <v>3.0000000000000001E-6</v>
      </c>
      <c r="L699" s="570" t="str">
        <f t="shared" si="132"/>
        <v>Modal 8</v>
      </c>
      <c r="M699" s="570">
        <f t="shared" si="133"/>
        <v>8</v>
      </c>
    </row>
    <row r="700" spans="1:13">
      <c r="A700" s="570" t="str">
        <f t="shared" si="122"/>
        <v>T169</v>
      </c>
      <c r="C700" s="953" t="str">
        <f t="shared" si="123"/>
        <v>T16</v>
      </c>
      <c r="D700" s="953" t="str">
        <f t="shared" si="124"/>
        <v>D1</v>
      </c>
      <c r="E700" s="953">
        <f t="shared" si="125"/>
        <v>9</v>
      </c>
      <c r="F700" s="953">
        <f t="shared" si="126"/>
        <v>6.4599999999999998E-4</v>
      </c>
      <c r="G700" s="953">
        <f t="shared" si="127"/>
        <v>7.9999999999999996E-6</v>
      </c>
      <c r="H700" s="953">
        <f t="shared" si="128"/>
        <v>0</v>
      </c>
      <c r="I700" s="953">
        <f t="shared" si="129"/>
        <v>0</v>
      </c>
      <c r="J700" s="953">
        <f t="shared" si="130"/>
        <v>0</v>
      </c>
      <c r="K700" s="953">
        <f t="shared" si="131"/>
        <v>-2.2000000000000001E-4</v>
      </c>
      <c r="L700" s="570" t="str">
        <f t="shared" si="132"/>
        <v>Modal 9</v>
      </c>
      <c r="M700" s="570">
        <f t="shared" si="133"/>
        <v>9</v>
      </c>
    </row>
    <row r="701" spans="1:13">
      <c r="A701" s="570" t="str">
        <f t="shared" si="122"/>
        <v>T1610</v>
      </c>
      <c r="C701" s="953" t="str">
        <f t="shared" si="123"/>
        <v>T16</v>
      </c>
      <c r="D701" s="953" t="str">
        <f t="shared" si="124"/>
        <v>D1</v>
      </c>
      <c r="E701" s="953">
        <f t="shared" si="125"/>
        <v>10</v>
      </c>
      <c r="F701" s="953">
        <f t="shared" si="126"/>
        <v>-2.0309999999999998E-3</v>
      </c>
      <c r="G701" s="953">
        <f t="shared" si="127"/>
        <v>-1.85E-4</v>
      </c>
      <c r="H701" s="953">
        <f t="shared" si="128"/>
        <v>0</v>
      </c>
      <c r="I701" s="953">
        <f t="shared" si="129"/>
        <v>0</v>
      </c>
      <c r="J701" s="953">
        <f t="shared" si="130"/>
        <v>0</v>
      </c>
      <c r="K701" s="953">
        <f t="shared" si="131"/>
        <v>-3.1999999999999999E-5</v>
      </c>
      <c r="L701" s="570" t="str">
        <f t="shared" si="132"/>
        <v>Modal 10</v>
      </c>
      <c r="M701" s="570">
        <f t="shared" si="133"/>
        <v>10</v>
      </c>
    </row>
    <row r="702" spans="1:13">
      <c r="A702" s="570" t="str">
        <f t="shared" si="122"/>
        <v>T1611</v>
      </c>
      <c r="C702" s="953" t="str">
        <f t="shared" si="123"/>
        <v>T16</v>
      </c>
      <c r="D702" s="953" t="str">
        <f t="shared" si="124"/>
        <v>D1</v>
      </c>
      <c r="E702" s="953">
        <f t="shared" si="125"/>
        <v>11</v>
      </c>
      <c r="F702" s="953">
        <f t="shared" si="126"/>
        <v>3.5300000000000002E-4</v>
      </c>
      <c r="G702" s="953">
        <f t="shared" si="127"/>
        <v>-1.534E-3</v>
      </c>
      <c r="H702" s="953">
        <f t="shared" si="128"/>
        <v>0</v>
      </c>
      <c r="I702" s="953">
        <f t="shared" si="129"/>
        <v>0</v>
      </c>
      <c r="J702" s="953">
        <f t="shared" si="130"/>
        <v>0</v>
      </c>
      <c r="K702" s="953">
        <f t="shared" si="131"/>
        <v>-1.9799999999999999E-4</v>
      </c>
      <c r="L702" s="570" t="str">
        <f t="shared" si="132"/>
        <v>Modal 11</v>
      </c>
      <c r="M702" s="570">
        <f t="shared" si="133"/>
        <v>11</v>
      </c>
    </row>
    <row r="703" spans="1:13">
      <c r="A703" s="570" t="str">
        <f t="shared" si="122"/>
        <v>T1612</v>
      </c>
      <c r="C703" s="953" t="str">
        <f t="shared" si="123"/>
        <v>T16</v>
      </c>
      <c r="D703" s="953" t="str">
        <f t="shared" si="124"/>
        <v>D1</v>
      </c>
      <c r="E703" s="953">
        <f t="shared" si="125"/>
        <v>12</v>
      </c>
      <c r="F703" s="953">
        <f t="shared" si="126"/>
        <v>-3.1799999999999998E-4</v>
      </c>
      <c r="G703" s="953">
        <f t="shared" si="127"/>
        <v>4.1200000000000004E-3</v>
      </c>
      <c r="H703" s="953">
        <f t="shared" si="128"/>
        <v>0</v>
      </c>
      <c r="I703" s="953">
        <f t="shared" si="129"/>
        <v>0</v>
      </c>
      <c r="J703" s="953">
        <f t="shared" si="130"/>
        <v>0</v>
      </c>
      <c r="K703" s="953">
        <f t="shared" si="131"/>
        <v>-7.7000000000000001E-5</v>
      </c>
      <c r="L703" s="570" t="str">
        <f t="shared" si="132"/>
        <v>Modal 12</v>
      </c>
      <c r="M703" s="570">
        <f t="shared" si="133"/>
        <v>12</v>
      </c>
    </row>
    <row r="704" spans="1:13">
      <c r="A704" s="570" t="str">
        <f t="shared" si="122"/>
        <v>T1613</v>
      </c>
      <c r="C704" s="953" t="str">
        <f t="shared" si="123"/>
        <v>T16</v>
      </c>
      <c r="D704" s="953" t="str">
        <f t="shared" si="124"/>
        <v>D1</v>
      </c>
      <c r="E704" s="953">
        <f t="shared" si="125"/>
        <v>13</v>
      </c>
      <c r="F704" s="953">
        <f t="shared" si="126"/>
        <v>-4.4869999999999997E-3</v>
      </c>
      <c r="G704" s="953">
        <f t="shared" si="127"/>
        <v>-4.44E-4</v>
      </c>
      <c r="H704" s="953">
        <f t="shared" si="128"/>
        <v>0</v>
      </c>
      <c r="I704" s="953">
        <f t="shared" si="129"/>
        <v>0</v>
      </c>
      <c r="J704" s="953">
        <f t="shared" si="130"/>
        <v>0</v>
      </c>
      <c r="K704" s="953">
        <f t="shared" si="131"/>
        <v>-1.0000000000000001E-5</v>
      </c>
      <c r="L704" s="570" t="str">
        <f t="shared" si="132"/>
        <v>Modal 13</v>
      </c>
      <c r="M704" s="570">
        <f t="shared" si="133"/>
        <v>13</v>
      </c>
    </row>
    <row r="705" spans="1:13">
      <c r="A705" s="570" t="str">
        <f t="shared" si="122"/>
        <v>T1614</v>
      </c>
      <c r="C705" s="953" t="str">
        <f t="shared" si="123"/>
        <v>T16</v>
      </c>
      <c r="D705" s="953" t="str">
        <f t="shared" si="124"/>
        <v>D1</v>
      </c>
      <c r="E705" s="953">
        <f t="shared" si="125"/>
        <v>14</v>
      </c>
      <c r="F705" s="953">
        <f t="shared" si="126"/>
        <v>-1.55E-4</v>
      </c>
      <c r="G705" s="953">
        <f t="shared" si="127"/>
        <v>-5.0000000000000002E-5</v>
      </c>
      <c r="H705" s="953">
        <f t="shared" si="128"/>
        <v>0</v>
      </c>
      <c r="I705" s="953">
        <f t="shared" si="129"/>
        <v>0</v>
      </c>
      <c r="J705" s="953">
        <f t="shared" si="130"/>
        <v>0</v>
      </c>
      <c r="K705" s="953">
        <f t="shared" si="131"/>
        <v>1.0900000000000001E-4</v>
      </c>
      <c r="L705" s="570" t="str">
        <f t="shared" si="132"/>
        <v>Modal 14</v>
      </c>
      <c r="M705" s="570">
        <f t="shared" si="133"/>
        <v>14</v>
      </c>
    </row>
    <row r="706" spans="1:13">
      <c r="A706" s="570" t="str">
        <f t="shared" ref="A706:A769" si="134">C706&amp;E706</f>
        <v>T1615</v>
      </c>
      <c r="C706" s="953" t="str">
        <f t="shared" ref="C706:C769" si="135">IF(Etabs="Etabs 9.7.4",IF(INDEX(Mode_1,ROW($E706),COLUMN(A$1))&lt;&gt;"",INDEX(Mode_1,ROW($E706),COLUMN(A$1)),""),IF(Etabs="Etabs 2013 trở lên",IF(INDEX(Mode_2,ROW($E708),COLUMN(A$1))&lt;&gt;"",INDEX(Mode_2,ROW($E708),COLUMN(A$1)),""),""))</f>
        <v>T16</v>
      </c>
      <c r="D706" s="953" t="str">
        <f t="shared" ref="D706:D769" si="136">IF(Etabs="Etabs 9.7.4",IF(INDEX(Mode_1,ROW($E706),COLUMN(B$1))&lt;&gt;"",INDEX(Mode_1,ROW($E706),COLUMN(B$1)),""),IF(Etabs="Etabs 2013 trở lên",IF(INDEX(Mode_2,ROW($E708),COLUMN(B$1))&lt;&gt;"",INDEX(Mode_2,ROW($E708),COLUMN(B$1)),""),""))</f>
        <v>D1</v>
      </c>
      <c r="E706" s="953">
        <f t="shared" ref="E706:E769" si="137">IF(Etabs="Etabs 9.7.4",IF(INDEX(Mode_1,ROW($E706),COLUMN(C$1))&lt;&gt;"",INDEX(Mode_1,ROW($E706),COLUMN(C$1)),""),IF(Etabs="Etabs 2013 trở lên",$M706,""))</f>
        <v>15</v>
      </c>
      <c r="F706" s="953">
        <f t="shared" ref="F706:F769" si="138">IF(Etabs="Etabs 9.7.4",IF(INDEX(Mode_1,ROW($E706),COLUMN(D$1))&lt;&gt;"",INDEX(Mode_1,ROW($E706),COLUMN(D$1)),""),IF(Etabs="Etabs 2013 trở lên",IF(INDEX(Mode_2,ROW($E708),COLUMN(D$1))&lt;&gt;"",INDEX(Mode_2,ROW($E708),COLUMN(D$1)),""),""))</f>
        <v>-4.4000000000000002E-4</v>
      </c>
      <c r="G706" s="953">
        <f t="shared" ref="G706:G769" si="139">IF(Etabs="Etabs 9.7.4",IF(INDEX(Mode_1,ROW($E706),COLUMN(E$1))&lt;&gt;"",INDEX(Mode_1,ROW($E706),COLUMN(E$1)),""),IF(Etabs="Etabs 2013 trở lên",IF(INDEX(Mode_2,ROW($E708),COLUMN(E$1))&lt;&gt;"",INDEX(Mode_2,ROW($E708),COLUMN(E$1)),""),""))</f>
        <v>4.4229999999999998E-3</v>
      </c>
      <c r="H706" s="953">
        <f t="shared" ref="H706:H769" si="140">IF(Etabs="Etabs 9.7.4",IF(INDEX(Mode_1,ROW($E706),COLUMN(F$1))&lt;&gt;"",INDEX(Mode_1,ROW($E706),COLUMN(F$1)),""),IF(Etabs="Etabs 2013 trở lên",0,""))</f>
        <v>0</v>
      </c>
      <c r="I706" s="953">
        <f t="shared" ref="I706:I769" si="141">IF(Etabs="Etabs 9.7.4",IF(INDEX(Mode_1,ROW($E706),COLUMN(G$1))&lt;&gt;"",INDEX(Mode_1,ROW($E706),COLUMN(G$1)),""),IF(Etabs="Etabs 2013 trở lên",0,""))</f>
        <v>0</v>
      </c>
      <c r="J706" s="953">
        <f t="shared" ref="J706:J769" si="142">IF(Etabs="Etabs 9.7.4",IF(INDEX(Mode_1,ROW($E706),COLUMN(H$1))&lt;&gt;"",INDEX(Mode_1,ROW($E706),COLUMN(H$1)),""),IF(Etabs="Etabs 2013 trở lên",0,""))</f>
        <v>0</v>
      </c>
      <c r="K706" s="953">
        <f t="shared" ref="K706:K769" si="143">IF(Etabs="Etabs 9.7.4",IF(INDEX(Mode_1,ROW($E706),COLUMN(I$1))&lt;&gt;"",INDEX(Mode_1,ROW($E706),COLUMN(I$1)),""),IF(Etabs="Etabs 2013 trở lên",IF(INDEX(Mode_2,ROW($E708),COLUMN(F$1))&lt;&gt;"",INDEX(Mode_2,ROW($E708),COLUMN(F$1)),""),""))</f>
        <v>-3.9999999999999998E-6</v>
      </c>
      <c r="L706" s="570" t="str">
        <f t="shared" ref="L706:L769" si="144">IF(Etabs="Etabs 9.7.4",IF(INDEX(Mode_1,ROW($E706),COLUMN(C$1))&lt;&gt;"",INDEX(Mode_1,ROW($E706),COLUMN(C$1)),""),IF(Etabs="Etabs 2013 trở lên",IF(INDEX(Mode_2,ROW($E708),COLUMN(C$1))&lt;&gt;"",INDEX(Mode_2,ROW($E708),COLUMN(C$1)),""),""))</f>
        <v>Modal 15</v>
      </c>
      <c r="M706" s="570">
        <f t="shared" si="133"/>
        <v>15</v>
      </c>
    </row>
    <row r="707" spans="1:13">
      <c r="A707" s="570" t="str">
        <f t="shared" si="134"/>
        <v>T1616</v>
      </c>
      <c r="C707" s="953" t="str">
        <f t="shared" si="135"/>
        <v>T16</v>
      </c>
      <c r="D707" s="953" t="str">
        <f t="shared" si="136"/>
        <v>D1</v>
      </c>
      <c r="E707" s="953">
        <f t="shared" si="137"/>
        <v>16</v>
      </c>
      <c r="F707" s="953">
        <f t="shared" si="138"/>
        <v>-5.6400000000000005E-4</v>
      </c>
      <c r="G707" s="953">
        <f t="shared" si="139"/>
        <v>1.45E-4</v>
      </c>
      <c r="H707" s="953">
        <f t="shared" si="140"/>
        <v>0</v>
      </c>
      <c r="I707" s="953">
        <f t="shared" si="141"/>
        <v>0</v>
      </c>
      <c r="J707" s="953">
        <f t="shared" si="142"/>
        <v>0</v>
      </c>
      <c r="K707" s="953">
        <f t="shared" si="143"/>
        <v>2.4000000000000001E-4</v>
      </c>
      <c r="L707" s="570" t="str">
        <f t="shared" si="144"/>
        <v>Modal 16</v>
      </c>
      <c r="M707" s="570">
        <f t="shared" ref="M707:M770" si="145">IFERROR(VALUE(RIGHT(L707,LEN(L707)-6)),"")</f>
        <v>16</v>
      </c>
    </row>
    <row r="708" spans="1:13">
      <c r="A708" s="570" t="str">
        <f t="shared" si="134"/>
        <v>T1617</v>
      </c>
      <c r="C708" s="953" t="str">
        <f t="shared" si="135"/>
        <v>T16</v>
      </c>
      <c r="D708" s="953" t="str">
        <f t="shared" si="136"/>
        <v>D1</v>
      </c>
      <c r="E708" s="953">
        <f t="shared" si="137"/>
        <v>17</v>
      </c>
      <c r="F708" s="953">
        <f t="shared" si="138"/>
        <v>-4.1679999999999998E-3</v>
      </c>
      <c r="G708" s="953">
        <f t="shared" si="139"/>
        <v>-3.86E-4</v>
      </c>
      <c r="H708" s="953">
        <f t="shared" si="140"/>
        <v>0</v>
      </c>
      <c r="I708" s="953">
        <f t="shared" si="141"/>
        <v>0</v>
      </c>
      <c r="J708" s="953">
        <f t="shared" si="142"/>
        <v>0</v>
      </c>
      <c r="K708" s="953">
        <f t="shared" si="143"/>
        <v>-5.0000000000000002E-5</v>
      </c>
      <c r="L708" s="570" t="str">
        <f t="shared" si="144"/>
        <v>Modal 17</v>
      </c>
      <c r="M708" s="570">
        <f t="shared" si="145"/>
        <v>17</v>
      </c>
    </row>
    <row r="709" spans="1:13">
      <c r="A709" s="570" t="str">
        <f t="shared" si="134"/>
        <v>T1618</v>
      </c>
      <c r="C709" s="953" t="str">
        <f t="shared" si="135"/>
        <v>T16</v>
      </c>
      <c r="D709" s="953" t="str">
        <f t="shared" si="136"/>
        <v>D1</v>
      </c>
      <c r="E709" s="953">
        <f t="shared" si="137"/>
        <v>18</v>
      </c>
      <c r="F709" s="953">
        <f t="shared" si="138"/>
        <v>-4.3999999999999999E-5</v>
      </c>
      <c r="G709" s="953">
        <f t="shared" si="139"/>
        <v>2.2030000000000001E-3</v>
      </c>
      <c r="H709" s="953">
        <f t="shared" si="140"/>
        <v>0</v>
      </c>
      <c r="I709" s="953">
        <f t="shared" si="141"/>
        <v>0</v>
      </c>
      <c r="J709" s="953">
        <f t="shared" si="142"/>
        <v>0</v>
      </c>
      <c r="K709" s="953">
        <f t="shared" si="143"/>
        <v>-2.5000000000000001E-5</v>
      </c>
      <c r="L709" s="570" t="str">
        <f t="shared" si="144"/>
        <v>Modal 18</v>
      </c>
      <c r="M709" s="570">
        <f t="shared" si="145"/>
        <v>18</v>
      </c>
    </row>
    <row r="710" spans="1:13">
      <c r="A710" s="570" t="str">
        <f t="shared" si="134"/>
        <v>T1619</v>
      </c>
      <c r="C710" s="953" t="str">
        <f t="shared" si="135"/>
        <v>T16</v>
      </c>
      <c r="D710" s="953" t="str">
        <f t="shared" si="136"/>
        <v>D1</v>
      </c>
      <c r="E710" s="953">
        <f t="shared" si="137"/>
        <v>19</v>
      </c>
      <c r="F710" s="953">
        <f t="shared" si="138"/>
        <v>-5.6800000000000004E-4</v>
      </c>
      <c r="G710" s="953">
        <f t="shared" si="139"/>
        <v>1.36E-4</v>
      </c>
      <c r="H710" s="953">
        <f t="shared" si="140"/>
        <v>0</v>
      </c>
      <c r="I710" s="953">
        <f t="shared" si="141"/>
        <v>0</v>
      </c>
      <c r="J710" s="953">
        <f t="shared" si="142"/>
        <v>0</v>
      </c>
      <c r="K710" s="953">
        <f t="shared" si="143"/>
        <v>6.4999999999999994E-5</v>
      </c>
      <c r="L710" s="570" t="str">
        <f t="shared" si="144"/>
        <v>Modal 19</v>
      </c>
      <c r="M710" s="570">
        <f t="shared" si="145"/>
        <v>19</v>
      </c>
    </row>
    <row r="711" spans="1:13">
      <c r="A711" s="570" t="str">
        <f t="shared" si="134"/>
        <v>T1620</v>
      </c>
      <c r="C711" s="953" t="str">
        <f t="shared" si="135"/>
        <v>T16</v>
      </c>
      <c r="D711" s="953" t="str">
        <f t="shared" si="136"/>
        <v>D1</v>
      </c>
      <c r="E711" s="953">
        <f t="shared" si="137"/>
        <v>20</v>
      </c>
      <c r="F711" s="953">
        <f t="shared" si="138"/>
        <v>2.5249999999999999E-3</v>
      </c>
      <c r="G711" s="953">
        <f t="shared" si="139"/>
        <v>3.4099999999999999E-4</v>
      </c>
      <c r="H711" s="953">
        <f t="shared" si="140"/>
        <v>0</v>
      </c>
      <c r="I711" s="953">
        <f t="shared" si="141"/>
        <v>0</v>
      </c>
      <c r="J711" s="953">
        <f t="shared" si="142"/>
        <v>0</v>
      </c>
      <c r="K711" s="953">
        <f t="shared" si="143"/>
        <v>-3.3000000000000003E-5</v>
      </c>
      <c r="L711" s="570" t="str">
        <f t="shared" si="144"/>
        <v>Modal 20</v>
      </c>
      <c r="M711" s="570">
        <f t="shared" si="145"/>
        <v>20</v>
      </c>
    </row>
    <row r="712" spans="1:13">
      <c r="A712" s="570" t="str">
        <f t="shared" si="134"/>
        <v>T1621</v>
      </c>
      <c r="C712" s="953" t="str">
        <f t="shared" si="135"/>
        <v>T16</v>
      </c>
      <c r="D712" s="953" t="str">
        <f t="shared" si="136"/>
        <v>D1</v>
      </c>
      <c r="E712" s="953">
        <f t="shared" si="137"/>
        <v>21</v>
      </c>
      <c r="F712" s="953">
        <f t="shared" si="138"/>
        <v>-5.9999999999999995E-4</v>
      </c>
      <c r="G712" s="953">
        <f t="shared" si="139"/>
        <v>5.2290000000000001E-3</v>
      </c>
      <c r="H712" s="953">
        <f t="shared" si="140"/>
        <v>0</v>
      </c>
      <c r="I712" s="953">
        <f t="shared" si="141"/>
        <v>0</v>
      </c>
      <c r="J712" s="953">
        <f t="shared" si="142"/>
        <v>0</v>
      </c>
      <c r="K712" s="953">
        <f t="shared" si="143"/>
        <v>-4.3999999999999999E-5</v>
      </c>
      <c r="L712" s="570" t="str">
        <f t="shared" si="144"/>
        <v>Modal 21</v>
      </c>
      <c r="M712" s="570">
        <f t="shared" si="145"/>
        <v>21</v>
      </c>
    </row>
    <row r="713" spans="1:13">
      <c r="A713" s="570" t="str">
        <f t="shared" si="134"/>
        <v>T1622</v>
      </c>
      <c r="C713" s="953" t="str">
        <f t="shared" si="135"/>
        <v>T16</v>
      </c>
      <c r="D713" s="953" t="str">
        <f t="shared" si="136"/>
        <v>D1</v>
      </c>
      <c r="E713" s="953">
        <f t="shared" si="137"/>
        <v>22</v>
      </c>
      <c r="F713" s="953">
        <f t="shared" si="138"/>
        <v>-3.8830000000000002E-3</v>
      </c>
      <c r="G713" s="953">
        <f t="shared" si="139"/>
        <v>-9.9400000000000009E-4</v>
      </c>
      <c r="H713" s="953">
        <f t="shared" si="140"/>
        <v>0</v>
      </c>
      <c r="I713" s="953">
        <f t="shared" si="141"/>
        <v>0</v>
      </c>
      <c r="J713" s="953">
        <f t="shared" si="142"/>
        <v>0</v>
      </c>
      <c r="K713" s="953">
        <f t="shared" si="143"/>
        <v>-1.4200000000000001E-4</v>
      </c>
      <c r="L713" s="570" t="str">
        <f t="shared" si="144"/>
        <v>Modal 22</v>
      </c>
      <c r="M713" s="570">
        <f t="shared" si="145"/>
        <v>22</v>
      </c>
    </row>
    <row r="714" spans="1:13">
      <c r="A714" s="570" t="str">
        <f t="shared" si="134"/>
        <v>T1623</v>
      </c>
      <c r="C714" s="953" t="str">
        <f t="shared" si="135"/>
        <v>T16</v>
      </c>
      <c r="D714" s="953" t="str">
        <f t="shared" si="136"/>
        <v>D1</v>
      </c>
      <c r="E714" s="953">
        <f t="shared" si="137"/>
        <v>23</v>
      </c>
      <c r="F714" s="953">
        <f t="shared" si="138"/>
        <v>2.5829999999999998E-3</v>
      </c>
      <c r="G714" s="953">
        <f t="shared" si="139"/>
        <v>3.1700000000000001E-4</v>
      </c>
      <c r="H714" s="953">
        <f t="shared" si="140"/>
        <v>0</v>
      </c>
      <c r="I714" s="953">
        <f t="shared" si="141"/>
        <v>0</v>
      </c>
      <c r="J714" s="953">
        <f t="shared" si="142"/>
        <v>0</v>
      </c>
      <c r="K714" s="953">
        <f t="shared" si="143"/>
        <v>-8.7000000000000001E-5</v>
      </c>
      <c r="L714" s="570" t="str">
        <f t="shared" si="144"/>
        <v>Modal 23</v>
      </c>
      <c r="M714" s="570">
        <f t="shared" si="145"/>
        <v>23</v>
      </c>
    </row>
    <row r="715" spans="1:13">
      <c r="A715" s="570" t="str">
        <f t="shared" si="134"/>
        <v>T1624</v>
      </c>
      <c r="C715" s="953" t="str">
        <f t="shared" si="135"/>
        <v>T16</v>
      </c>
      <c r="D715" s="953" t="str">
        <f t="shared" si="136"/>
        <v>D1</v>
      </c>
      <c r="E715" s="953">
        <f t="shared" si="137"/>
        <v>24</v>
      </c>
      <c r="F715" s="953">
        <f t="shared" si="138"/>
        <v>-1.4679999999999999E-3</v>
      </c>
      <c r="G715" s="953">
        <f t="shared" si="139"/>
        <v>1.8580000000000001E-3</v>
      </c>
      <c r="H715" s="953">
        <f t="shared" si="140"/>
        <v>0</v>
      </c>
      <c r="I715" s="953">
        <f t="shared" si="141"/>
        <v>0</v>
      </c>
      <c r="J715" s="953">
        <f t="shared" si="142"/>
        <v>0</v>
      </c>
      <c r="K715" s="953">
        <f t="shared" si="143"/>
        <v>6.7999999999999999E-5</v>
      </c>
      <c r="L715" s="570" t="str">
        <f t="shared" si="144"/>
        <v>Modal 24</v>
      </c>
      <c r="M715" s="570">
        <f t="shared" si="145"/>
        <v>24</v>
      </c>
    </row>
    <row r="716" spans="1:13">
      <c r="A716" s="570" t="str">
        <f t="shared" si="134"/>
        <v>T1625</v>
      </c>
      <c r="C716" s="953" t="str">
        <f t="shared" si="135"/>
        <v>T16</v>
      </c>
      <c r="D716" s="953" t="str">
        <f t="shared" si="136"/>
        <v>D1</v>
      </c>
      <c r="E716" s="953">
        <f t="shared" si="137"/>
        <v>25</v>
      </c>
      <c r="F716" s="953">
        <f t="shared" si="138"/>
        <v>3.8639999999999998E-3</v>
      </c>
      <c r="G716" s="953">
        <f t="shared" si="139"/>
        <v>-2.8219999999999999E-3</v>
      </c>
      <c r="H716" s="953">
        <f t="shared" si="140"/>
        <v>0</v>
      </c>
      <c r="I716" s="953">
        <f t="shared" si="141"/>
        <v>0</v>
      </c>
      <c r="J716" s="953">
        <f t="shared" si="142"/>
        <v>0</v>
      </c>
      <c r="K716" s="953">
        <f t="shared" si="143"/>
        <v>-4.3999999999999999E-5</v>
      </c>
      <c r="L716" s="570" t="str">
        <f t="shared" si="144"/>
        <v>Modal 25</v>
      </c>
      <c r="M716" s="570">
        <f t="shared" si="145"/>
        <v>25</v>
      </c>
    </row>
    <row r="717" spans="1:13">
      <c r="A717" s="570" t="str">
        <f t="shared" si="134"/>
        <v>T1626</v>
      </c>
      <c r="C717" s="953" t="str">
        <f t="shared" si="135"/>
        <v>T16</v>
      </c>
      <c r="D717" s="953" t="str">
        <f t="shared" si="136"/>
        <v>D1</v>
      </c>
      <c r="E717" s="953">
        <f t="shared" si="137"/>
        <v>26</v>
      </c>
      <c r="F717" s="953">
        <f t="shared" si="138"/>
        <v>3.2000000000000002E-3</v>
      </c>
      <c r="G717" s="953">
        <f t="shared" si="139"/>
        <v>2.9060000000000002E-3</v>
      </c>
      <c r="H717" s="953">
        <f t="shared" si="140"/>
        <v>0</v>
      </c>
      <c r="I717" s="953">
        <f t="shared" si="141"/>
        <v>0</v>
      </c>
      <c r="J717" s="953">
        <f t="shared" si="142"/>
        <v>0</v>
      </c>
      <c r="K717" s="953">
        <f t="shared" si="143"/>
        <v>-5.0000000000000004E-6</v>
      </c>
      <c r="L717" s="570" t="str">
        <f t="shared" si="144"/>
        <v>Modal 26</v>
      </c>
      <c r="M717" s="570">
        <f t="shared" si="145"/>
        <v>26</v>
      </c>
    </row>
    <row r="718" spans="1:13">
      <c r="A718" s="570" t="str">
        <f t="shared" si="134"/>
        <v>T1627</v>
      </c>
      <c r="C718" s="953" t="str">
        <f t="shared" si="135"/>
        <v>T16</v>
      </c>
      <c r="D718" s="953" t="str">
        <f t="shared" si="136"/>
        <v>D1</v>
      </c>
      <c r="E718" s="953">
        <f t="shared" si="137"/>
        <v>27</v>
      </c>
      <c r="F718" s="953">
        <f t="shared" si="138"/>
        <v>1.415E-3</v>
      </c>
      <c r="G718" s="953">
        <f t="shared" si="139"/>
        <v>-2.2039999999999998E-3</v>
      </c>
      <c r="H718" s="953">
        <f t="shared" si="140"/>
        <v>0</v>
      </c>
      <c r="I718" s="953">
        <f t="shared" si="141"/>
        <v>0</v>
      </c>
      <c r="J718" s="953">
        <f t="shared" si="142"/>
        <v>0</v>
      </c>
      <c r="K718" s="953">
        <f t="shared" si="143"/>
        <v>-4.6999999999999997E-5</v>
      </c>
      <c r="L718" s="570" t="str">
        <f t="shared" si="144"/>
        <v>Modal 27</v>
      </c>
      <c r="M718" s="570">
        <f t="shared" si="145"/>
        <v>27</v>
      </c>
    </row>
    <row r="719" spans="1:13">
      <c r="A719" s="570" t="str">
        <f t="shared" si="134"/>
        <v>T1628</v>
      </c>
      <c r="C719" s="953" t="str">
        <f t="shared" si="135"/>
        <v>T16</v>
      </c>
      <c r="D719" s="953" t="str">
        <f t="shared" si="136"/>
        <v>D1</v>
      </c>
      <c r="E719" s="953">
        <f t="shared" si="137"/>
        <v>28</v>
      </c>
      <c r="F719" s="953">
        <f t="shared" si="138"/>
        <v>1.7669999999999999E-3</v>
      </c>
      <c r="G719" s="953">
        <f t="shared" si="139"/>
        <v>3.3400000000000001E-3</v>
      </c>
      <c r="H719" s="953">
        <f t="shared" si="140"/>
        <v>0</v>
      </c>
      <c r="I719" s="953">
        <f t="shared" si="141"/>
        <v>0</v>
      </c>
      <c r="J719" s="953">
        <f t="shared" si="142"/>
        <v>0</v>
      </c>
      <c r="K719" s="953">
        <f t="shared" si="143"/>
        <v>-7.9999999999999996E-6</v>
      </c>
      <c r="L719" s="570" t="str">
        <f t="shared" si="144"/>
        <v>Modal 28</v>
      </c>
      <c r="M719" s="570">
        <f t="shared" si="145"/>
        <v>28</v>
      </c>
    </row>
    <row r="720" spans="1:13">
      <c r="A720" s="570" t="str">
        <f t="shared" si="134"/>
        <v>T1629</v>
      </c>
      <c r="C720" s="953" t="str">
        <f t="shared" si="135"/>
        <v>T16</v>
      </c>
      <c r="D720" s="953" t="str">
        <f t="shared" si="136"/>
        <v>D1</v>
      </c>
      <c r="E720" s="953">
        <f t="shared" si="137"/>
        <v>29</v>
      </c>
      <c r="F720" s="953">
        <f t="shared" si="138"/>
        <v>-6.0999999999999999E-5</v>
      </c>
      <c r="G720" s="953">
        <f t="shared" si="139"/>
        <v>8.0400000000000003E-4</v>
      </c>
      <c r="H720" s="953">
        <f t="shared" si="140"/>
        <v>0</v>
      </c>
      <c r="I720" s="953">
        <f t="shared" si="141"/>
        <v>0</v>
      </c>
      <c r="J720" s="953">
        <f t="shared" si="142"/>
        <v>0</v>
      </c>
      <c r="K720" s="953">
        <f t="shared" si="143"/>
        <v>5.0000000000000002E-5</v>
      </c>
      <c r="L720" s="570" t="str">
        <f t="shared" si="144"/>
        <v>Modal 29</v>
      </c>
      <c r="M720" s="570">
        <f t="shared" si="145"/>
        <v>29</v>
      </c>
    </row>
    <row r="721" spans="1:13">
      <c r="A721" s="570" t="str">
        <f t="shared" si="134"/>
        <v>T1630</v>
      </c>
      <c r="C721" s="953" t="str">
        <f t="shared" si="135"/>
        <v>T16</v>
      </c>
      <c r="D721" s="953" t="str">
        <f t="shared" si="136"/>
        <v>D1</v>
      </c>
      <c r="E721" s="953">
        <f t="shared" si="137"/>
        <v>30</v>
      </c>
      <c r="F721" s="953">
        <f t="shared" si="138"/>
        <v>-6.1399999999999996E-4</v>
      </c>
      <c r="G721" s="953">
        <f t="shared" si="139"/>
        <v>-2.3500000000000001E-3</v>
      </c>
      <c r="H721" s="953">
        <f t="shared" si="140"/>
        <v>0</v>
      </c>
      <c r="I721" s="953">
        <f t="shared" si="141"/>
        <v>0</v>
      </c>
      <c r="J721" s="953">
        <f t="shared" si="142"/>
        <v>0</v>
      </c>
      <c r="K721" s="953">
        <f t="shared" si="143"/>
        <v>6.0000000000000002E-6</v>
      </c>
      <c r="L721" s="570" t="str">
        <f t="shared" si="144"/>
        <v>Modal 30</v>
      </c>
      <c r="M721" s="570">
        <f t="shared" si="145"/>
        <v>30</v>
      </c>
    </row>
    <row r="722" spans="1:13">
      <c r="A722" s="570" t="str">
        <f t="shared" si="134"/>
        <v>T151</v>
      </c>
      <c r="C722" s="953" t="str">
        <f t="shared" si="135"/>
        <v>T15</v>
      </c>
      <c r="D722" s="953" t="str">
        <f t="shared" si="136"/>
        <v>D1</v>
      </c>
      <c r="E722" s="953">
        <f t="shared" si="137"/>
        <v>1</v>
      </c>
      <c r="F722" s="953">
        <f t="shared" si="138"/>
        <v>-4.1100000000000002E-4</v>
      </c>
      <c r="G722" s="953">
        <f t="shared" si="139"/>
        <v>2.137E-3</v>
      </c>
      <c r="H722" s="953">
        <f t="shared" si="140"/>
        <v>0</v>
      </c>
      <c r="I722" s="953">
        <f t="shared" si="141"/>
        <v>0</v>
      </c>
      <c r="J722" s="953">
        <f t="shared" si="142"/>
        <v>0</v>
      </c>
      <c r="K722" s="953">
        <f t="shared" si="143"/>
        <v>2.1999999999999999E-5</v>
      </c>
      <c r="L722" s="570" t="str">
        <f t="shared" si="144"/>
        <v>Modal 1</v>
      </c>
      <c r="M722" s="570">
        <f t="shared" si="145"/>
        <v>1</v>
      </c>
    </row>
    <row r="723" spans="1:13">
      <c r="A723" s="570" t="str">
        <f t="shared" si="134"/>
        <v>T152</v>
      </c>
      <c r="C723" s="953" t="str">
        <f t="shared" si="135"/>
        <v>T15</v>
      </c>
      <c r="D723" s="953" t="str">
        <f t="shared" si="136"/>
        <v>D1</v>
      </c>
      <c r="E723" s="953">
        <f t="shared" si="137"/>
        <v>2</v>
      </c>
      <c r="F723" s="953">
        <f t="shared" si="138"/>
        <v>-3.7100000000000002E-4</v>
      </c>
      <c r="G723" s="953">
        <f t="shared" si="139"/>
        <v>-4.4999999999999999E-4</v>
      </c>
      <c r="H723" s="953">
        <f t="shared" si="140"/>
        <v>0</v>
      </c>
      <c r="I723" s="953">
        <f t="shared" si="141"/>
        <v>0</v>
      </c>
      <c r="J723" s="953">
        <f t="shared" si="142"/>
        <v>0</v>
      </c>
      <c r="K723" s="953">
        <f t="shared" si="143"/>
        <v>1.2899999999999999E-4</v>
      </c>
      <c r="L723" s="570" t="str">
        <f t="shared" si="144"/>
        <v>Modal 2</v>
      </c>
      <c r="M723" s="570">
        <f t="shared" si="145"/>
        <v>2</v>
      </c>
    </row>
    <row r="724" spans="1:13">
      <c r="A724" s="570" t="str">
        <f t="shared" si="134"/>
        <v>T153</v>
      </c>
      <c r="C724" s="953" t="str">
        <f t="shared" si="135"/>
        <v>T15</v>
      </c>
      <c r="D724" s="953" t="str">
        <f t="shared" si="136"/>
        <v>D1</v>
      </c>
      <c r="E724" s="953">
        <f t="shared" si="137"/>
        <v>3</v>
      </c>
      <c r="F724" s="953">
        <f t="shared" si="138"/>
        <v>2.346E-3</v>
      </c>
      <c r="G724" s="953">
        <f t="shared" si="139"/>
        <v>4.15E-4</v>
      </c>
      <c r="H724" s="953">
        <f t="shared" si="140"/>
        <v>0</v>
      </c>
      <c r="I724" s="953">
        <f t="shared" si="141"/>
        <v>0</v>
      </c>
      <c r="J724" s="953">
        <f t="shared" si="142"/>
        <v>0</v>
      </c>
      <c r="K724" s="953">
        <f t="shared" si="143"/>
        <v>2.3E-5</v>
      </c>
      <c r="L724" s="570" t="str">
        <f t="shared" si="144"/>
        <v>Modal 3</v>
      </c>
      <c r="M724" s="570">
        <f t="shared" si="145"/>
        <v>3</v>
      </c>
    </row>
    <row r="725" spans="1:13">
      <c r="A725" s="570" t="str">
        <f t="shared" si="134"/>
        <v>T154</v>
      </c>
      <c r="C725" s="953" t="str">
        <f t="shared" si="135"/>
        <v>T15</v>
      </c>
      <c r="D725" s="953" t="str">
        <f t="shared" si="136"/>
        <v>D1</v>
      </c>
      <c r="E725" s="953">
        <f t="shared" si="137"/>
        <v>4</v>
      </c>
      <c r="F725" s="953">
        <f t="shared" si="138"/>
        <v>-8.3000000000000001E-4</v>
      </c>
      <c r="G725" s="953">
        <f t="shared" si="139"/>
        <v>3.0000000000000001E-5</v>
      </c>
      <c r="H725" s="953">
        <f t="shared" si="140"/>
        <v>0</v>
      </c>
      <c r="I725" s="953">
        <f t="shared" si="141"/>
        <v>0</v>
      </c>
      <c r="J725" s="953">
        <f t="shared" si="142"/>
        <v>0</v>
      </c>
      <c r="K725" s="953">
        <f t="shared" si="143"/>
        <v>2.7500000000000002E-4</v>
      </c>
      <c r="L725" s="570" t="str">
        <f t="shared" si="144"/>
        <v>Modal 4</v>
      </c>
      <c r="M725" s="570">
        <f t="shared" si="145"/>
        <v>4</v>
      </c>
    </row>
    <row r="726" spans="1:13">
      <c r="A726" s="570" t="str">
        <f t="shared" si="134"/>
        <v>T155</v>
      </c>
      <c r="C726" s="953" t="str">
        <f t="shared" si="135"/>
        <v>T15</v>
      </c>
      <c r="D726" s="953" t="str">
        <f t="shared" si="136"/>
        <v>D1</v>
      </c>
      <c r="E726" s="953">
        <f t="shared" si="137"/>
        <v>5</v>
      </c>
      <c r="F726" s="953">
        <f t="shared" si="138"/>
        <v>6.9700000000000003E-4</v>
      </c>
      <c r="G726" s="953">
        <f t="shared" si="139"/>
        <v>-5.6299999999999996E-3</v>
      </c>
      <c r="H726" s="953">
        <f t="shared" si="140"/>
        <v>0</v>
      </c>
      <c r="I726" s="953">
        <f t="shared" si="141"/>
        <v>0</v>
      </c>
      <c r="J726" s="953">
        <f t="shared" si="142"/>
        <v>0</v>
      </c>
      <c r="K726" s="953">
        <f t="shared" si="143"/>
        <v>7.9999999999999996E-6</v>
      </c>
      <c r="L726" s="570" t="str">
        <f t="shared" si="144"/>
        <v>Modal 5</v>
      </c>
      <c r="M726" s="570">
        <f t="shared" si="145"/>
        <v>5</v>
      </c>
    </row>
    <row r="727" spans="1:13">
      <c r="A727" s="570" t="str">
        <f t="shared" si="134"/>
        <v>T156</v>
      </c>
      <c r="C727" s="953" t="str">
        <f t="shared" si="135"/>
        <v>T15</v>
      </c>
      <c r="D727" s="953" t="str">
        <f t="shared" si="136"/>
        <v>D1</v>
      </c>
      <c r="E727" s="953">
        <f t="shared" si="137"/>
        <v>6</v>
      </c>
      <c r="F727" s="953">
        <f t="shared" si="138"/>
        <v>-5.5510000000000004E-3</v>
      </c>
      <c r="G727" s="953">
        <f t="shared" si="139"/>
        <v>-7.0299999999999996E-4</v>
      </c>
      <c r="H727" s="953">
        <f t="shared" si="140"/>
        <v>0</v>
      </c>
      <c r="I727" s="953">
        <f t="shared" si="141"/>
        <v>0</v>
      </c>
      <c r="J727" s="953">
        <f t="shared" si="142"/>
        <v>0</v>
      </c>
      <c r="K727" s="953">
        <f t="shared" si="143"/>
        <v>-4.0000000000000003E-5</v>
      </c>
      <c r="L727" s="570" t="str">
        <f t="shared" si="144"/>
        <v>Modal 6</v>
      </c>
      <c r="M727" s="570">
        <f t="shared" si="145"/>
        <v>6</v>
      </c>
    </row>
    <row r="728" spans="1:13">
      <c r="A728" s="570" t="str">
        <f t="shared" si="134"/>
        <v>T157</v>
      </c>
      <c r="C728" s="953" t="str">
        <f t="shared" si="135"/>
        <v>T15</v>
      </c>
      <c r="D728" s="953" t="str">
        <f t="shared" si="136"/>
        <v>D1</v>
      </c>
      <c r="E728" s="953">
        <f t="shared" si="137"/>
        <v>7</v>
      </c>
      <c r="F728" s="953">
        <f t="shared" si="138"/>
        <v>4.9399999999999997E-4</v>
      </c>
      <c r="G728" s="953">
        <f t="shared" si="139"/>
        <v>3.1999999999999999E-5</v>
      </c>
      <c r="H728" s="953">
        <f t="shared" si="140"/>
        <v>0</v>
      </c>
      <c r="I728" s="953">
        <f t="shared" si="141"/>
        <v>0</v>
      </c>
      <c r="J728" s="953">
        <f t="shared" si="142"/>
        <v>0</v>
      </c>
      <c r="K728" s="953">
        <f t="shared" si="143"/>
        <v>-1.2999999999999999E-4</v>
      </c>
      <c r="L728" s="570" t="str">
        <f t="shared" si="144"/>
        <v>Modal 7</v>
      </c>
      <c r="M728" s="570">
        <f t="shared" si="145"/>
        <v>7</v>
      </c>
    </row>
    <row r="729" spans="1:13">
      <c r="A729" s="570" t="str">
        <f t="shared" si="134"/>
        <v>T158</v>
      </c>
      <c r="C729" s="953" t="str">
        <f t="shared" si="135"/>
        <v>T15</v>
      </c>
      <c r="D729" s="953" t="str">
        <f t="shared" si="136"/>
        <v>D1</v>
      </c>
      <c r="E729" s="953">
        <f t="shared" si="137"/>
        <v>8</v>
      </c>
      <c r="F729" s="953">
        <f t="shared" si="138"/>
        <v>3.5300000000000002E-4</v>
      </c>
      <c r="G729" s="953">
        <f t="shared" si="139"/>
        <v>-3.297E-3</v>
      </c>
      <c r="H729" s="953">
        <f t="shared" si="140"/>
        <v>0</v>
      </c>
      <c r="I729" s="953">
        <f t="shared" si="141"/>
        <v>0</v>
      </c>
      <c r="J729" s="953">
        <f t="shared" si="142"/>
        <v>0</v>
      </c>
      <c r="K729" s="953">
        <f t="shared" si="143"/>
        <v>3.9999999999999998E-6</v>
      </c>
      <c r="L729" s="570" t="str">
        <f t="shared" si="144"/>
        <v>Modal 8</v>
      </c>
      <c r="M729" s="570">
        <f t="shared" si="145"/>
        <v>8</v>
      </c>
    </row>
    <row r="730" spans="1:13">
      <c r="A730" s="570" t="str">
        <f t="shared" si="134"/>
        <v>T159</v>
      </c>
      <c r="C730" s="953" t="str">
        <f t="shared" si="135"/>
        <v>T15</v>
      </c>
      <c r="D730" s="953" t="str">
        <f t="shared" si="136"/>
        <v>D1</v>
      </c>
      <c r="E730" s="953">
        <f t="shared" si="137"/>
        <v>9</v>
      </c>
      <c r="F730" s="953">
        <f t="shared" si="138"/>
        <v>6.2600000000000004E-4</v>
      </c>
      <c r="G730" s="953">
        <f t="shared" si="139"/>
        <v>7.9999999999999996E-6</v>
      </c>
      <c r="H730" s="953">
        <f t="shared" si="140"/>
        <v>0</v>
      </c>
      <c r="I730" s="953">
        <f t="shared" si="141"/>
        <v>0</v>
      </c>
      <c r="J730" s="953">
        <f t="shared" si="142"/>
        <v>0</v>
      </c>
      <c r="K730" s="953">
        <f t="shared" si="143"/>
        <v>-1.6799999999999999E-4</v>
      </c>
      <c r="L730" s="570" t="str">
        <f t="shared" si="144"/>
        <v>Modal 9</v>
      </c>
      <c r="M730" s="570">
        <f t="shared" si="145"/>
        <v>9</v>
      </c>
    </row>
    <row r="731" spans="1:13">
      <c r="A731" s="570" t="str">
        <f t="shared" si="134"/>
        <v>T1510</v>
      </c>
      <c r="C731" s="953" t="str">
        <f t="shared" si="135"/>
        <v>T15</v>
      </c>
      <c r="D731" s="953" t="str">
        <f t="shared" si="136"/>
        <v>D1</v>
      </c>
      <c r="E731" s="953">
        <f t="shared" si="137"/>
        <v>10</v>
      </c>
      <c r="F731" s="953">
        <f t="shared" si="138"/>
        <v>-3.0309999999999998E-3</v>
      </c>
      <c r="G731" s="953">
        <f t="shared" si="139"/>
        <v>-2.8600000000000001E-4</v>
      </c>
      <c r="H731" s="953">
        <f t="shared" si="140"/>
        <v>0</v>
      </c>
      <c r="I731" s="953">
        <f t="shared" si="141"/>
        <v>0</v>
      </c>
      <c r="J731" s="953">
        <f t="shared" si="142"/>
        <v>0</v>
      </c>
      <c r="K731" s="953">
        <f t="shared" si="143"/>
        <v>-3.1999999999999999E-5</v>
      </c>
      <c r="L731" s="570" t="str">
        <f t="shared" si="144"/>
        <v>Modal 10</v>
      </c>
      <c r="M731" s="570">
        <f t="shared" si="145"/>
        <v>10</v>
      </c>
    </row>
    <row r="732" spans="1:13">
      <c r="A732" s="570" t="str">
        <f t="shared" si="134"/>
        <v>T1511</v>
      </c>
      <c r="C732" s="953" t="str">
        <f t="shared" si="135"/>
        <v>T15</v>
      </c>
      <c r="D732" s="953" t="str">
        <f t="shared" si="136"/>
        <v>D1</v>
      </c>
      <c r="E732" s="953">
        <f t="shared" si="137"/>
        <v>11</v>
      </c>
      <c r="F732" s="953">
        <f t="shared" si="138"/>
        <v>4.08E-4</v>
      </c>
      <c r="G732" s="953">
        <f t="shared" si="139"/>
        <v>-1.147E-3</v>
      </c>
      <c r="H732" s="953">
        <f t="shared" si="140"/>
        <v>0</v>
      </c>
      <c r="I732" s="953">
        <f t="shared" si="141"/>
        <v>0</v>
      </c>
      <c r="J732" s="953">
        <f t="shared" si="142"/>
        <v>0</v>
      </c>
      <c r="K732" s="953">
        <f t="shared" si="143"/>
        <v>-2.4000000000000001E-4</v>
      </c>
      <c r="L732" s="570" t="str">
        <f t="shared" si="144"/>
        <v>Modal 11</v>
      </c>
      <c r="M732" s="570">
        <f t="shared" si="145"/>
        <v>11</v>
      </c>
    </row>
    <row r="733" spans="1:13">
      <c r="A733" s="570" t="str">
        <f t="shared" si="134"/>
        <v>T1512</v>
      </c>
      <c r="C733" s="953" t="str">
        <f t="shared" si="135"/>
        <v>T15</v>
      </c>
      <c r="D733" s="953" t="str">
        <f t="shared" si="136"/>
        <v>D1</v>
      </c>
      <c r="E733" s="953">
        <f t="shared" si="137"/>
        <v>12</v>
      </c>
      <c r="F733" s="953">
        <f t="shared" si="138"/>
        <v>-1.7899999999999999E-4</v>
      </c>
      <c r="G733" s="953">
        <f t="shared" si="139"/>
        <v>3.0690000000000001E-3</v>
      </c>
      <c r="H733" s="953">
        <f t="shared" si="140"/>
        <v>0</v>
      </c>
      <c r="I733" s="953">
        <f t="shared" si="141"/>
        <v>0</v>
      </c>
      <c r="J733" s="953">
        <f t="shared" si="142"/>
        <v>0</v>
      </c>
      <c r="K733" s="953">
        <f t="shared" si="143"/>
        <v>-9.1000000000000003E-5</v>
      </c>
      <c r="L733" s="570" t="str">
        <f t="shared" si="144"/>
        <v>Modal 12</v>
      </c>
      <c r="M733" s="570">
        <f t="shared" si="145"/>
        <v>12</v>
      </c>
    </row>
    <row r="734" spans="1:13">
      <c r="A734" s="570" t="str">
        <f t="shared" si="134"/>
        <v>T1513</v>
      </c>
      <c r="C734" s="953" t="str">
        <f t="shared" si="135"/>
        <v>T15</v>
      </c>
      <c r="D734" s="953" t="str">
        <f t="shared" si="136"/>
        <v>D1</v>
      </c>
      <c r="E734" s="953">
        <f t="shared" si="137"/>
        <v>13</v>
      </c>
      <c r="F734" s="953">
        <f t="shared" si="138"/>
        <v>-3.418E-3</v>
      </c>
      <c r="G734" s="953">
        <f t="shared" si="139"/>
        <v>-3.4600000000000001E-4</v>
      </c>
      <c r="H734" s="953">
        <f t="shared" si="140"/>
        <v>0</v>
      </c>
      <c r="I734" s="953">
        <f t="shared" si="141"/>
        <v>0</v>
      </c>
      <c r="J734" s="953">
        <f t="shared" si="142"/>
        <v>0</v>
      </c>
      <c r="K734" s="953">
        <f t="shared" si="143"/>
        <v>-5.0000000000000004E-6</v>
      </c>
      <c r="L734" s="570" t="str">
        <f t="shared" si="144"/>
        <v>Modal 13</v>
      </c>
      <c r="M734" s="570">
        <f t="shared" si="145"/>
        <v>13</v>
      </c>
    </row>
    <row r="735" spans="1:13">
      <c r="A735" s="570" t="str">
        <f t="shared" si="134"/>
        <v>T1514</v>
      </c>
      <c r="C735" s="953" t="str">
        <f t="shared" si="135"/>
        <v>T15</v>
      </c>
      <c r="D735" s="953" t="str">
        <f t="shared" si="136"/>
        <v>D1</v>
      </c>
      <c r="E735" s="953">
        <f t="shared" si="137"/>
        <v>14</v>
      </c>
      <c r="F735" s="953">
        <f t="shared" si="138"/>
        <v>-4.6999999999999997E-5</v>
      </c>
      <c r="G735" s="953">
        <f t="shared" si="139"/>
        <v>-7.6000000000000004E-5</v>
      </c>
      <c r="H735" s="953">
        <f t="shared" si="140"/>
        <v>0</v>
      </c>
      <c r="I735" s="953">
        <f t="shared" si="141"/>
        <v>0</v>
      </c>
      <c r="J735" s="953">
        <f t="shared" si="142"/>
        <v>0</v>
      </c>
      <c r="K735" s="953">
        <f t="shared" si="143"/>
        <v>-1.9999999999999999E-6</v>
      </c>
      <c r="L735" s="570" t="str">
        <f t="shared" si="144"/>
        <v>Modal 14</v>
      </c>
      <c r="M735" s="570">
        <f t="shared" si="145"/>
        <v>14</v>
      </c>
    </row>
    <row r="736" spans="1:13">
      <c r="A736" s="570" t="str">
        <f t="shared" si="134"/>
        <v>T1515</v>
      </c>
      <c r="C736" s="953" t="str">
        <f t="shared" si="135"/>
        <v>T15</v>
      </c>
      <c r="D736" s="953" t="str">
        <f t="shared" si="136"/>
        <v>D1</v>
      </c>
      <c r="E736" s="953">
        <f t="shared" si="137"/>
        <v>15</v>
      </c>
      <c r="F736" s="953">
        <f t="shared" si="138"/>
        <v>-5.1199999999999998E-4</v>
      </c>
      <c r="G736" s="953">
        <f t="shared" si="139"/>
        <v>5.2989999999999999E-3</v>
      </c>
      <c r="H736" s="953">
        <f t="shared" si="140"/>
        <v>0</v>
      </c>
      <c r="I736" s="953">
        <f t="shared" si="141"/>
        <v>0</v>
      </c>
      <c r="J736" s="953">
        <f t="shared" si="142"/>
        <v>0</v>
      </c>
      <c r="K736" s="953">
        <f t="shared" si="143"/>
        <v>-7.9999999999999996E-6</v>
      </c>
      <c r="L736" s="570" t="str">
        <f t="shared" si="144"/>
        <v>Modal 15</v>
      </c>
      <c r="M736" s="570">
        <f t="shared" si="145"/>
        <v>15</v>
      </c>
    </row>
    <row r="737" spans="1:13">
      <c r="A737" s="570" t="str">
        <f t="shared" si="134"/>
        <v>T1516</v>
      </c>
      <c r="C737" s="953" t="str">
        <f t="shared" si="135"/>
        <v>T15</v>
      </c>
      <c r="D737" s="953" t="str">
        <f t="shared" si="136"/>
        <v>D1</v>
      </c>
      <c r="E737" s="953">
        <f t="shared" si="137"/>
        <v>16</v>
      </c>
      <c r="F737" s="953">
        <f t="shared" si="138"/>
        <v>-7.27E-4</v>
      </c>
      <c r="G737" s="953">
        <f t="shared" si="139"/>
        <v>9.8999999999999994E-5</v>
      </c>
      <c r="H737" s="953">
        <f t="shared" si="140"/>
        <v>0</v>
      </c>
      <c r="I737" s="953">
        <f t="shared" si="141"/>
        <v>0</v>
      </c>
      <c r="J737" s="953">
        <f t="shared" si="142"/>
        <v>0</v>
      </c>
      <c r="K737" s="953">
        <f t="shared" si="143"/>
        <v>2.4699999999999999E-4</v>
      </c>
      <c r="L737" s="570" t="str">
        <f t="shared" si="144"/>
        <v>Modal 16</v>
      </c>
      <c r="M737" s="570">
        <f t="shared" si="145"/>
        <v>16</v>
      </c>
    </row>
    <row r="738" spans="1:13">
      <c r="A738" s="570" t="str">
        <f t="shared" si="134"/>
        <v>T1517</v>
      </c>
      <c r="C738" s="953" t="str">
        <f t="shared" si="135"/>
        <v>T15</v>
      </c>
      <c r="D738" s="953" t="str">
        <f t="shared" si="136"/>
        <v>D1</v>
      </c>
      <c r="E738" s="953">
        <f t="shared" si="137"/>
        <v>17</v>
      </c>
      <c r="F738" s="953">
        <f t="shared" si="138"/>
        <v>-5.1159999999999999E-3</v>
      </c>
      <c r="G738" s="953">
        <f t="shared" si="139"/>
        <v>-4.86E-4</v>
      </c>
      <c r="H738" s="953">
        <f t="shared" si="140"/>
        <v>0</v>
      </c>
      <c r="I738" s="953">
        <f t="shared" si="141"/>
        <v>0</v>
      </c>
      <c r="J738" s="953">
        <f t="shared" si="142"/>
        <v>0</v>
      </c>
      <c r="K738" s="953">
        <f t="shared" si="143"/>
        <v>-4.6E-5</v>
      </c>
      <c r="L738" s="570" t="str">
        <f t="shared" si="144"/>
        <v>Modal 17</v>
      </c>
      <c r="M738" s="570">
        <f t="shared" si="145"/>
        <v>17</v>
      </c>
    </row>
    <row r="739" spans="1:13">
      <c r="A739" s="570" t="str">
        <f t="shared" si="134"/>
        <v>T1518</v>
      </c>
      <c r="C739" s="953" t="str">
        <f t="shared" si="135"/>
        <v>T15</v>
      </c>
      <c r="D739" s="953" t="str">
        <f t="shared" si="136"/>
        <v>D1</v>
      </c>
      <c r="E739" s="953">
        <f t="shared" si="137"/>
        <v>18</v>
      </c>
      <c r="F739" s="953">
        <f t="shared" si="138"/>
        <v>1.45E-4</v>
      </c>
      <c r="G739" s="953">
        <f t="shared" si="139"/>
        <v>-5.8E-5</v>
      </c>
      <c r="H739" s="953">
        <f t="shared" si="140"/>
        <v>0</v>
      </c>
      <c r="I739" s="953">
        <f t="shared" si="141"/>
        <v>0</v>
      </c>
      <c r="J739" s="953">
        <f t="shared" si="142"/>
        <v>0</v>
      </c>
      <c r="K739" s="953">
        <f t="shared" si="143"/>
        <v>9.9999999999999995E-7</v>
      </c>
      <c r="L739" s="570" t="str">
        <f t="shared" si="144"/>
        <v>Modal 18</v>
      </c>
      <c r="M739" s="570">
        <f t="shared" si="145"/>
        <v>18</v>
      </c>
    </row>
    <row r="740" spans="1:13">
      <c r="A740" s="570" t="str">
        <f t="shared" si="134"/>
        <v>T1519</v>
      </c>
      <c r="C740" s="953" t="str">
        <f t="shared" si="135"/>
        <v>T15</v>
      </c>
      <c r="D740" s="953" t="str">
        <f t="shared" si="136"/>
        <v>D1</v>
      </c>
      <c r="E740" s="953">
        <f t="shared" si="137"/>
        <v>19</v>
      </c>
      <c r="F740" s="953">
        <f t="shared" si="138"/>
        <v>-3.6499999999999998E-4</v>
      </c>
      <c r="G740" s="953">
        <f t="shared" si="139"/>
        <v>-2.4699999999999999E-4</v>
      </c>
      <c r="H740" s="953">
        <f t="shared" si="140"/>
        <v>0</v>
      </c>
      <c r="I740" s="953">
        <f t="shared" si="141"/>
        <v>0</v>
      </c>
      <c r="J740" s="953">
        <f t="shared" si="142"/>
        <v>0</v>
      </c>
      <c r="K740" s="953">
        <f t="shared" si="143"/>
        <v>-6.8999999999999997E-5</v>
      </c>
      <c r="L740" s="570" t="str">
        <f t="shared" si="144"/>
        <v>Modal 19</v>
      </c>
      <c r="M740" s="570">
        <f t="shared" si="145"/>
        <v>19</v>
      </c>
    </row>
    <row r="741" spans="1:13">
      <c r="A741" s="570" t="str">
        <f t="shared" si="134"/>
        <v>T1520</v>
      </c>
      <c r="C741" s="953" t="str">
        <f t="shared" si="135"/>
        <v>T15</v>
      </c>
      <c r="D741" s="953" t="str">
        <f t="shared" si="136"/>
        <v>D1</v>
      </c>
      <c r="E741" s="953">
        <f t="shared" si="137"/>
        <v>20</v>
      </c>
      <c r="F741" s="953">
        <f t="shared" si="138"/>
        <v>3.6299999999999999E-4</v>
      </c>
      <c r="G741" s="953">
        <f t="shared" si="139"/>
        <v>1.6000000000000001E-4</v>
      </c>
      <c r="H741" s="953">
        <f t="shared" si="140"/>
        <v>0</v>
      </c>
      <c r="I741" s="953">
        <f t="shared" si="141"/>
        <v>0</v>
      </c>
      <c r="J741" s="953">
        <f t="shared" si="142"/>
        <v>0</v>
      </c>
      <c r="K741" s="953">
        <f t="shared" si="143"/>
        <v>-5.1E-5</v>
      </c>
      <c r="L741" s="570" t="str">
        <f t="shared" si="144"/>
        <v>Modal 20</v>
      </c>
      <c r="M741" s="570">
        <f t="shared" si="145"/>
        <v>20</v>
      </c>
    </row>
    <row r="742" spans="1:13">
      <c r="A742" s="570" t="str">
        <f t="shared" si="134"/>
        <v>T1521</v>
      </c>
      <c r="C742" s="953" t="str">
        <f t="shared" si="135"/>
        <v>T15</v>
      </c>
      <c r="D742" s="953" t="str">
        <f t="shared" si="136"/>
        <v>D1</v>
      </c>
      <c r="E742" s="953">
        <f t="shared" si="137"/>
        <v>21</v>
      </c>
      <c r="F742" s="953">
        <f t="shared" si="138"/>
        <v>-3.6299999999999999E-4</v>
      </c>
      <c r="G742" s="953">
        <f t="shared" si="139"/>
        <v>5.1120000000000002E-3</v>
      </c>
      <c r="H742" s="953">
        <f t="shared" si="140"/>
        <v>0</v>
      </c>
      <c r="I742" s="953">
        <f t="shared" si="141"/>
        <v>0</v>
      </c>
      <c r="J742" s="953">
        <f t="shared" si="142"/>
        <v>0</v>
      </c>
      <c r="K742" s="953">
        <f t="shared" si="143"/>
        <v>-5.1999999999999997E-5</v>
      </c>
      <c r="L742" s="570" t="str">
        <f t="shared" si="144"/>
        <v>Modal 21</v>
      </c>
      <c r="M742" s="570">
        <f t="shared" si="145"/>
        <v>21</v>
      </c>
    </row>
    <row r="743" spans="1:13">
      <c r="A743" s="570" t="str">
        <f t="shared" si="134"/>
        <v>T1522</v>
      </c>
      <c r="C743" s="953" t="str">
        <f t="shared" si="135"/>
        <v>T15</v>
      </c>
      <c r="D743" s="953" t="str">
        <f t="shared" si="136"/>
        <v>D1</v>
      </c>
      <c r="E743" s="953">
        <f t="shared" si="137"/>
        <v>22</v>
      </c>
      <c r="F743" s="953">
        <f t="shared" si="138"/>
        <v>-3.3149999999999998E-3</v>
      </c>
      <c r="G743" s="953">
        <f t="shared" si="139"/>
        <v>-1.5319999999999999E-3</v>
      </c>
      <c r="H743" s="953">
        <f t="shared" si="140"/>
        <v>0</v>
      </c>
      <c r="I743" s="953">
        <f t="shared" si="141"/>
        <v>0</v>
      </c>
      <c r="J743" s="953">
        <f t="shared" si="142"/>
        <v>0</v>
      </c>
      <c r="K743" s="953">
        <f t="shared" si="143"/>
        <v>-9.2E-5</v>
      </c>
      <c r="L743" s="570" t="str">
        <f t="shared" si="144"/>
        <v>Modal 22</v>
      </c>
      <c r="M743" s="570">
        <f t="shared" si="145"/>
        <v>22</v>
      </c>
    </row>
    <row r="744" spans="1:13">
      <c r="A744" s="570" t="str">
        <f t="shared" si="134"/>
        <v>T1523</v>
      </c>
      <c r="C744" s="953" t="str">
        <f t="shared" si="135"/>
        <v>T15</v>
      </c>
      <c r="D744" s="953" t="str">
        <f t="shared" si="136"/>
        <v>D1</v>
      </c>
      <c r="E744" s="953">
        <f t="shared" si="137"/>
        <v>23</v>
      </c>
      <c r="F744" s="953">
        <f t="shared" si="138"/>
        <v>3.9449999999999997E-3</v>
      </c>
      <c r="G744" s="953">
        <f t="shared" si="139"/>
        <v>-2.1310000000000001E-3</v>
      </c>
      <c r="H744" s="953">
        <f t="shared" si="140"/>
        <v>0</v>
      </c>
      <c r="I744" s="953">
        <f t="shared" si="141"/>
        <v>0</v>
      </c>
      <c r="J744" s="953">
        <f t="shared" si="142"/>
        <v>0</v>
      </c>
      <c r="K744" s="953">
        <f t="shared" si="143"/>
        <v>-6.3E-5</v>
      </c>
      <c r="L744" s="570" t="str">
        <f t="shared" si="144"/>
        <v>Modal 23</v>
      </c>
      <c r="M744" s="570">
        <f t="shared" si="145"/>
        <v>23</v>
      </c>
    </row>
    <row r="745" spans="1:13">
      <c r="A745" s="570" t="str">
        <f t="shared" si="134"/>
        <v>T1524</v>
      </c>
      <c r="C745" s="953" t="str">
        <f t="shared" si="135"/>
        <v>T15</v>
      </c>
      <c r="D745" s="953" t="str">
        <f t="shared" si="136"/>
        <v>D1</v>
      </c>
      <c r="E745" s="953">
        <f t="shared" si="137"/>
        <v>24</v>
      </c>
      <c r="F745" s="953">
        <f t="shared" si="138"/>
        <v>-3.5100000000000001E-3</v>
      </c>
      <c r="G745" s="953">
        <f t="shared" si="139"/>
        <v>-3.79E-4</v>
      </c>
      <c r="H745" s="953">
        <f t="shared" si="140"/>
        <v>0</v>
      </c>
      <c r="I745" s="953">
        <f t="shared" si="141"/>
        <v>0</v>
      </c>
      <c r="J745" s="953">
        <f t="shared" si="142"/>
        <v>0</v>
      </c>
      <c r="K745" s="953">
        <f t="shared" si="143"/>
        <v>2.3E-5</v>
      </c>
      <c r="L745" s="570" t="str">
        <f t="shared" si="144"/>
        <v>Modal 24</v>
      </c>
      <c r="M745" s="570">
        <f t="shared" si="145"/>
        <v>24</v>
      </c>
    </row>
    <row r="746" spans="1:13">
      <c r="A746" s="570" t="str">
        <f t="shared" si="134"/>
        <v>T1525</v>
      </c>
      <c r="C746" s="953" t="str">
        <f t="shared" si="135"/>
        <v>T15</v>
      </c>
      <c r="D746" s="953" t="str">
        <f t="shared" si="136"/>
        <v>D1</v>
      </c>
      <c r="E746" s="953">
        <f t="shared" si="137"/>
        <v>25</v>
      </c>
      <c r="F746" s="953">
        <f t="shared" si="138"/>
        <v>2.503E-3</v>
      </c>
      <c r="G746" s="953">
        <f t="shared" si="139"/>
        <v>-3.382E-3</v>
      </c>
      <c r="H746" s="953">
        <f t="shared" si="140"/>
        <v>0</v>
      </c>
      <c r="I746" s="953">
        <f t="shared" si="141"/>
        <v>0</v>
      </c>
      <c r="J746" s="953">
        <f t="shared" si="142"/>
        <v>0</v>
      </c>
      <c r="K746" s="953">
        <f t="shared" si="143"/>
        <v>-4.5000000000000003E-5</v>
      </c>
      <c r="L746" s="570" t="str">
        <f t="shared" si="144"/>
        <v>Modal 25</v>
      </c>
      <c r="M746" s="570">
        <f t="shared" si="145"/>
        <v>25</v>
      </c>
    </row>
    <row r="747" spans="1:13">
      <c r="A747" s="570" t="str">
        <f t="shared" si="134"/>
        <v>T1526</v>
      </c>
      <c r="C747" s="953" t="str">
        <f t="shared" si="135"/>
        <v>T15</v>
      </c>
      <c r="D747" s="953" t="str">
        <f t="shared" si="136"/>
        <v>D1</v>
      </c>
      <c r="E747" s="953">
        <f t="shared" si="137"/>
        <v>26</v>
      </c>
      <c r="F747" s="953">
        <f t="shared" si="138"/>
        <v>3.0669999999999998E-3</v>
      </c>
      <c r="G747" s="953">
        <f t="shared" si="139"/>
        <v>4.2789999999999998E-3</v>
      </c>
      <c r="H747" s="953">
        <f t="shared" si="140"/>
        <v>0</v>
      </c>
      <c r="I747" s="953">
        <f t="shared" si="141"/>
        <v>0</v>
      </c>
      <c r="J747" s="953">
        <f t="shared" si="142"/>
        <v>0</v>
      </c>
      <c r="K747" s="953">
        <f t="shared" si="143"/>
        <v>-7.9999999999999996E-6</v>
      </c>
      <c r="L747" s="570" t="str">
        <f t="shared" si="144"/>
        <v>Modal 26</v>
      </c>
      <c r="M747" s="570">
        <f t="shared" si="145"/>
        <v>26</v>
      </c>
    </row>
    <row r="748" spans="1:13">
      <c r="A748" s="570" t="str">
        <f t="shared" si="134"/>
        <v>T1527</v>
      </c>
      <c r="C748" s="953" t="str">
        <f t="shared" si="135"/>
        <v>T15</v>
      </c>
      <c r="D748" s="953" t="str">
        <f t="shared" si="136"/>
        <v>D1</v>
      </c>
      <c r="E748" s="953">
        <f t="shared" si="137"/>
        <v>27</v>
      </c>
      <c r="F748" s="953">
        <f t="shared" si="138"/>
        <v>-6.2E-4</v>
      </c>
      <c r="G748" s="953">
        <f t="shared" si="139"/>
        <v>-1.351E-3</v>
      </c>
      <c r="H748" s="953">
        <f t="shared" si="140"/>
        <v>0</v>
      </c>
      <c r="I748" s="953">
        <f t="shared" si="141"/>
        <v>0</v>
      </c>
      <c r="J748" s="953">
        <f t="shared" si="142"/>
        <v>0</v>
      </c>
      <c r="K748" s="953">
        <f t="shared" si="143"/>
        <v>-5.0000000000000002E-5</v>
      </c>
      <c r="L748" s="570" t="str">
        <f t="shared" si="144"/>
        <v>Modal 27</v>
      </c>
      <c r="M748" s="570">
        <f t="shared" si="145"/>
        <v>27</v>
      </c>
    </row>
    <row r="749" spans="1:13">
      <c r="A749" s="570" t="str">
        <f t="shared" si="134"/>
        <v>T1528</v>
      </c>
      <c r="C749" s="953" t="str">
        <f t="shared" si="135"/>
        <v>T15</v>
      </c>
      <c r="D749" s="953" t="str">
        <f t="shared" si="136"/>
        <v>D1</v>
      </c>
      <c r="E749" s="953">
        <f t="shared" si="137"/>
        <v>28</v>
      </c>
      <c r="F749" s="953">
        <f t="shared" si="138"/>
        <v>6.9700000000000003E-4</v>
      </c>
      <c r="G749" s="953">
        <f t="shared" si="139"/>
        <v>2.709E-3</v>
      </c>
      <c r="H749" s="953">
        <f t="shared" si="140"/>
        <v>0</v>
      </c>
      <c r="I749" s="953">
        <f t="shared" si="141"/>
        <v>0</v>
      </c>
      <c r="J749" s="953">
        <f t="shared" si="142"/>
        <v>0</v>
      </c>
      <c r="K749" s="953">
        <f t="shared" si="143"/>
        <v>-2.0000000000000002E-5</v>
      </c>
      <c r="L749" s="570" t="str">
        <f t="shared" si="144"/>
        <v>Modal 28</v>
      </c>
      <c r="M749" s="570">
        <f t="shared" si="145"/>
        <v>28</v>
      </c>
    </row>
    <row r="750" spans="1:13">
      <c r="A750" s="570" t="str">
        <f t="shared" si="134"/>
        <v>T1529</v>
      </c>
      <c r="C750" s="953" t="str">
        <f t="shared" si="135"/>
        <v>T15</v>
      </c>
      <c r="D750" s="953" t="str">
        <f t="shared" si="136"/>
        <v>D1</v>
      </c>
      <c r="E750" s="953">
        <f t="shared" si="137"/>
        <v>29</v>
      </c>
      <c r="F750" s="953">
        <f t="shared" si="138"/>
        <v>1.523E-3</v>
      </c>
      <c r="G750" s="953">
        <f t="shared" si="139"/>
        <v>-4.6E-5</v>
      </c>
      <c r="H750" s="953">
        <f t="shared" si="140"/>
        <v>0</v>
      </c>
      <c r="I750" s="953">
        <f t="shared" si="141"/>
        <v>0</v>
      </c>
      <c r="J750" s="953">
        <f t="shared" si="142"/>
        <v>0</v>
      </c>
      <c r="K750" s="953">
        <f t="shared" si="143"/>
        <v>5.1E-5</v>
      </c>
      <c r="L750" s="570" t="str">
        <f t="shared" si="144"/>
        <v>Modal 29</v>
      </c>
      <c r="M750" s="570">
        <f t="shared" si="145"/>
        <v>29</v>
      </c>
    </row>
    <row r="751" spans="1:13">
      <c r="A751" s="570" t="str">
        <f t="shared" si="134"/>
        <v>T1530</v>
      </c>
      <c r="C751" s="953" t="str">
        <f t="shared" si="135"/>
        <v>T15</v>
      </c>
      <c r="D751" s="953" t="str">
        <f t="shared" si="136"/>
        <v>D1</v>
      </c>
      <c r="E751" s="953">
        <f t="shared" si="137"/>
        <v>30</v>
      </c>
      <c r="F751" s="953">
        <f t="shared" si="138"/>
        <v>1.15E-4</v>
      </c>
      <c r="G751" s="953">
        <f t="shared" si="139"/>
        <v>-1.0089999999999999E-3</v>
      </c>
      <c r="H751" s="953">
        <f t="shared" si="140"/>
        <v>0</v>
      </c>
      <c r="I751" s="953">
        <f t="shared" si="141"/>
        <v>0</v>
      </c>
      <c r="J751" s="953">
        <f t="shared" si="142"/>
        <v>0</v>
      </c>
      <c r="K751" s="953">
        <f t="shared" si="143"/>
        <v>1.4E-5</v>
      </c>
      <c r="L751" s="570" t="str">
        <f t="shared" si="144"/>
        <v>Modal 30</v>
      </c>
      <c r="M751" s="570">
        <f t="shared" si="145"/>
        <v>30</v>
      </c>
    </row>
    <row r="752" spans="1:13">
      <c r="A752" s="570" t="str">
        <f t="shared" si="134"/>
        <v>T141</v>
      </c>
      <c r="C752" s="953" t="str">
        <f t="shared" si="135"/>
        <v>T14</v>
      </c>
      <c r="D752" s="953" t="str">
        <f t="shared" si="136"/>
        <v>D1</v>
      </c>
      <c r="E752" s="953">
        <f t="shared" si="137"/>
        <v>1</v>
      </c>
      <c r="F752" s="953">
        <f t="shared" si="138"/>
        <v>-3.7199999999999999E-4</v>
      </c>
      <c r="G752" s="953">
        <f t="shared" si="139"/>
        <v>1.936E-3</v>
      </c>
      <c r="H752" s="953">
        <f t="shared" si="140"/>
        <v>0</v>
      </c>
      <c r="I752" s="953">
        <f t="shared" si="141"/>
        <v>0</v>
      </c>
      <c r="J752" s="953">
        <f t="shared" si="142"/>
        <v>0</v>
      </c>
      <c r="K752" s="953">
        <f t="shared" si="143"/>
        <v>2.0999999999999999E-5</v>
      </c>
      <c r="L752" s="570" t="str">
        <f t="shared" si="144"/>
        <v>Modal 1</v>
      </c>
      <c r="M752" s="570">
        <f t="shared" si="145"/>
        <v>1</v>
      </c>
    </row>
    <row r="753" spans="1:13">
      <c r="A753" s="570" t="str">
        <f t="shared" si="134"/>
        <v>T142</v>
      </c>
      <c r="C753" s="953" t="str">
        <f t="shared" si="135"/>
        <v>T14</v>
      </c>
      <c r="D753" s="953" t="str">
        <f t="shared" si="136"/>
        <v>D1</v>
      </c>
      <c r="E753" s="953">
        <f t="shared" si="137"/>
        <v>2</v>
      </c>
      <c r="F753" s="953">
        <f t="shared" si="138"/>
        <v>-3.4000000000000002E-4</v>
      </c>
      <c r="G753" s="953">
        <f t="shared" si="139"/>
        <v>-4.08E-4</v>
      </c>
      <c r="H753" s="953">
        <f t="shared" si="140"/>
        <v>0</v>
      </c>
      <c r="I753" s="953">
        <f t="shared" si="141"/>
        <v>0</v>
      </c>
      <c r="J753" s="953">
        <f t="shared" si="142"/>
        <v>0</v>
      </c>
      <c r="K753" s="953">
        <f t="shared" si="143"/>
        <v>1.1900000000000001E-4</v>
      </c>
      <c r="L753" s="570" t="str">
        <f t="shared" si="144"/>
        <v>Modal 2</v>
      </c>
      <c r="M753" s="570">
        <f t="shared" si="145"/>
        <v>2</v>
      </c>
    </row>
    <row r="754" spans="1:13">
      <c r="A754" s="570" t="str">
        <f t="shared" si="134"/>
        <v>T143</v>
      </c>
      <c r="C754" s="953" t="str">
        <f t="shared" si="135"/>
        <v>T14</v>
      </c>
      <c r="D754" s="953" t="str">
        <f t="shared" si="136"/>
        <v>D1</v>
      </c>
      <c r="E754" s="953">
        <f t="shared" si="137"/>
        <v>3</v>
      </c>
      <c r="F754" s="953">
        <f t="shared" si="138"/>
        <v>2.1389999999999998E-3</v>
      </c>
      <c r="G754" s="953">
        <f t="shared" si="139"/>
        <v>3.8000000000000002E-4</v>
      </c>
      <c r="H754" s="953">
        <f t="shared" si="140"/>
        <v>0</v>
      </c>
      <c r="I754" s="953">
        <f t="shared" si="141"/>
        <v>0</v>
      </c>
      <c r="J754" s="953">
        <f t="shared" si="142"/>
        <v>0</v>
      </c>
      <c r="K754" s="953">
        <f t="shared" si="143"/>
        <v>2.0999999999999999E-5</v>
      </c>
      <c r="L754" s="570" t="str">
        <f t="shared" si="144"/>
        <v>Modal 3</v>
      </c>
      <c r="M754" s="570">
        <f t="shared" si="145"/>
        <v>3</v>
      </c>
    </row>
    <row r="755" spans="1:13">
      <c r="A755" s="570" t="str">
        <f t="shared" si="134"/>
        <v>T144</v>
      </c>
      <c r="C755" s="953" t="str">
        <f t="shared" si="135"/>
        <v>T14</v>
      </c>
      <c r="D755" s="953" t="str">
        <f t="shared" si="136"/>
        <v>D1</v>
      </c>
      <c r="E755" s="953">
        <f t="shared" si="137"/>
        <v>4</v>
      </c>
      <c r="F755" s="953">
        <f t="shared" si="138"/>
        <v>-8.1499999999999997E-4</v>
      </c>
      <c r="G755" s="953">
        <f t="shared" si="139"/>
        <v>2.9E-5</v>
      </c>
      <c r="H755" s="953">
        <f t="shared" si="140"/>
        <v>0</v>
      </c>
      <c r="I755" s="953">
        <f t="shared" si="141"/>
        <v>0</v>
      </c>
      <c r="J755" s="953">
        <f t="shared" si="142"/>
        <v>0</v>
      </c>
      <c r="K755" s="953">
        <f t="shared" si="143"/>
        <v>2.72E-4</v>
      </c>
      <c r="L755" s="570" t="str">
        <f t="shared" si="144"/>
        <v>Modal 4</v>
      </c>
      <c r="M755" s="570">
        <f t="shared" si="145"/>
        <v>4</v>
      </c>
    </row>
    <row r="756" spans="1:13">
      <c r="A756" s="570" t="str">
        <f t="shared" si="134"/>
        <v>T145</v>
      </c>
      <c r="C756" s="953" t="str">
        <f t="shared" si="135"/>
        <v>T14</v>
      </c>
      <c r="D756" s="953" t="str">
        <f t="shared" si="136"/>
        <v>D1</v>
      </c>
      <c r="E756" s="953">
        <f t="shared" si="137"/>
        <v>5</v>
      </c>
      <c r="F756" s="953">
        <f t="shared" si="138"/>
        <v>6.78E-4</v>
      </c>
      <c r="G756" s="953">
        <f t="shared" si="139"/>
        <v>-5.496E-3</v>
      </c>
      <c r="H756" s="953">
        <f t="shared" si="140"/>
        <v>0</v>
      </c>
      <c r="I756" s="953">
        <f t="shared" si="141"/>
        <v>0</v>
      </c>
      <c r="J756" s="953">
        <f t="shared" si="142"/>
        <v>0</v>
      </c>
      <c r="K756" s="953">
        <f t="shared" si="143"/>
        <v>7.9999999999999996E-6</v>
      </c>
      <c r="L756" s="570" t="str">
        <f t="shared" si="144"/>
        <v>Modal 5</v>
      </c>
      <c r="M756" s="570">
        <f t="shared" si="145"/>
        <v>5</v>
      </c>
    </row>
    <row r="757" spans="1:13">
      <c r="A757" s="570" t="str">
        <f t="shared" si="134"/>
        <v>T146</v>
      </c>
      <c r="C757" s="953" t="str">
        <f t="shared" si="135"/>
        <v>T14</v>
      </c>
      <c r="D757" s="953" t="str">
        <f t="shared" si="136"/>
        <v>D1</v>
      </c>
      <c r="E757" s="953">
        <f t="shared" si="137"/>
        <v>6</v>
      </c>
      <c r="F757" s="953">
        <f t="shared" si="138"/>
        <v>-5.4390000000000003E-3</v>
      </c>
      <c r="G757" s="953">
        <f t="shared" si="139"/>
        <v>-6.9200000000000002E-4</v>
      </c>
      <c r="H757" s="953">
        <f t="shared" si="140"/>
        <v>0</v>
      </c>
      <c r="I757" s="953">
        <f t="shared" si="141"/>
        <v>0</v>
      </c>
      <c r="J757" s="953">
        <f t="shared" si="142"/>
        <v>0</v>
      </c>
      <c r="K757" s="953">
        <f t="shared" si="143"/>
        <v>-4.1E-5</v>
      </c>
      <c r="L757" s="570" t="str">
        <f t="shared" si="144"/>
        <v>Modal 6</v>
      </c>
      <c r="M757" s="570">
        <f t="shared" si="145"/>
        <v>6</v>
      </c>
    </row>
    <row r="758" spans="1:13">
      <c r="A758" s="570" t="str">
        <f t="shared" si="134"/>
        <v>T147</v>
      </c>
      <c r="C758" s="953" t="str">
        <f t="shared" si="135"/>
        <v>T14</v>
      </c>
      <c r="D758" s="953" t="str">
        <f t="shared" si="136"/>
        <v>D1</v>
      </c>
      <c r="E758" s="953">
        <f t="shared" si="137"/>
        <v>7</v>
      </c>
      <c r="F758" s="953">
        <f t="shared" si="138"/>
        <v>6.0099999999999997E-4</v>
      </c>
      <c r="G758" s="953">
        <f t="shared" si="139"/>
        <v>3.4E-5</v>
      </c>
      <c r="H758" s="953">
        <f t="shared" si="140"/>
        <v>0</v>
      </c>
      <c r="I758" s="953">
        <f t="shared" si="141"/>
        <v>0</v>
      </c>
      <c r="J758" s="953">
        <f t="shared" si="142"/>
        <v>0</v>
      </c>
      <c r="K758" s="953">
        <f t="shared" si="143"/>
        <v>-1.76E-4</v>
      </c>
      <c r="L758" s="570" t="str">
        <f t="shared" si="144"/>
        <v>Modal 7</v>
      </c>
      <c r="M758" s="570">
        <f t="shared" si="145"/>
        <v>7</v>
      </c>
    </row>
    <row r="759" spans="1:13">
      <c r="A759" s="570" t="str">
        <f t="shared" si="134"/>
        <v>T148</v>
      </c>
      <c r="C759" s="953" t="str">
        <f t="shared" si="135"/>
        <v>T14</v>
      </c>
      <c r="D759" s="953" t="str">
        <f t="shared" si="136"/>
        <v>D1</v>
      </c>
      <c r="E759" s="953">
        <f t="shared" si="137"/>
        <v>8</v>
      </c>
      <c r="F759" s="953">
        <f t="shared" si="138"/>
        <v>4.3800000000000002E-4</v>
      </c>
      <c r="G759" s="953">
        <f t="shared" si="139"/>
        <v>-4.1640000000000002E-3</v>
      </c>
      <c r="H759" s="953">
        <f t="shared" si="140"/>
        <v>0</v>
      </c>
      <c r="I759" s="953">
        <f t="shared" si="141"/>
        <v>0</v>
      </c>
      <c r="J759" s="953">
        <f t="shared" si="142"/>
        <v>0</v>
      </c>
      <c r="K759" s="953">
        <f t="shared" si="143"/>
        <v>3.9999999999999998E-6</v>
      </c>
      <c r="L759" s="570" t="str">
        <f t="shared" si="144"/>
        <v>Modal 8</v>
      </c>
      <c r="M759" s="570">
        <f t="shared" si="145"/>
        <v>8</v>
      </c>
    </row>
    <row r="760" spans="1:13">
      <c r="A760" s="570" t="str">
        <f t="shared" si="134"/>
        <v>T149</v>
      </c>
      <c r="C760" s="953" t="str">
        <f t="shared" si="135"/>
        <v>T14</v>
      </c>
      <c r="D760" s="953" t="str">
        <f t="shared" si="136"/>
        <v>D1</v>
      </c>
      <c r="E760" s="953">
        <f t="shared" si="137"/>
        <v>9</v>
      </c>
      <c r="F760" s="953">
        <f t="shared" si="138"/>
        <v>5.6800000000000004E-4</v>
      </c>
      <c r="G760" s="953">
        <f t="shared" si="139"/>
        <v>6.9999999999999999E-6</v>
      </c>
      <c r="H760" s="953">
        <f t="shared" si="140"/>
        <v>0</v>
      </c>
      <c r="I760" s="953">
        <f t="shared" si="141"/>
        <v>0</v>
      </c>
      <c r="J760" s="953">
        <f t="shared" si="142"/>
        <v>0</v>
      </c>
      <c r="K760" s="953">
        <f t="shared" si="143"/>
        <v>-1.02E-4</v>
      </c>
      <c r="L760" s="570" t="str">
        <f t="shared" si="144"/>
        <v>Modal 9</v>
      </c>
      <c r="M760" s="570">
        <f t="shared" si="145"/>
        <v>9</v>
      </c>
    </row>
    <row r="761" spans="1:13">
      <c r="A761" s="570" t="str">
        <f t="shared" si="134"/>
        <v>T1410</v>
      </c>
      <c r="C761" s="953" t="str">
        <f t="shared" si="135"/>
        <v>T14</v>
      </c>
      <c r="D761" s="953" t="str">
        <f t="shared" si="136"/>
        <v>D1</v>
      </c>
      <c r="E761" s="953">
        <f t="shared" si="137"/>
        <v>10</v>
      </c>
      <c r="F761" s="953">
        <f t="shared" si="138"/>
        <v>-3.9230000000000003E-3</v>
      </c>
      <c r="G761" s="953">
        <f t="shared" si="139"/>
        <v>-3.77E-4</v>
      </c>
      <c r="H761" s="953">
        <f t="shared" si="140"/>
        <v>0</v>
      </c>
      <c r="I761" s="953">
        <f t="shared" si="141"/>
        <v>0</v>
      </c>
      <c r="J761" s="953">
        <f t="shared" si="142"/>
        <v>0</v>
      </c>
      <c r="K761" s="953">
        <f t="shared" si="143"/>
        <v>-3.0000000000000001E-5</v>
      </c>
      <c r="L761" s="570" t="str">
        <f t="shared" si="144"/>
        <v>Modal 10</v>
      </c>
      <c r="M761" s="570">
        <f t="shared" si="145"/>
        <v>10</v>
      </c>
    </row>
    <row r="762" spans="1:13">
      <c r="A762" s="570" t="str">
        <f t="shared" si="134"/>
        <v>T1411</v>
      </c>
      <c r="C762" s="953" t="str">
        <f t="shared" si="135"/>
        <v>T14</v>
      </c>
      <c r="D762" s="953" t="str">
        <f t="shared" si="136"/>
        <v>D1</v>
      </c>
      <c r="E762" s="953">
        <f t="shared" si="137"/>
        <v>11</v>
      </c>
      <c r="F762" s="953">
        <f t="shared" si="138"/>
        <v>4.08E-4</v>
      </c>
      <c r="G762" s="953">
        <f t="shared" si="139"/>
        <v>-6.7299999999999999E-4</v>
      </c>
      <c r="H762" s="953">
        <f t="shared" si="140"/>
        <v>0</v>
      </c>
      <c r="I762" s="953">
        <f t="shared" si="141"/>
        <v>0</v>
      </c>
      <c r="J762" s="953">
        <f t="shared" si="142"/>
        <v>0</v>
      </c>
      <c r="K762" s="953">
        <f t="shared" si="143"/>
        <v>-2.5099999999999998E-4</v>
      </c>
      <c r="L762" s="570" t="str">
        <f t="shared" si="144"/>
        <v>Modal 11</v>
      </c>
      <c r="M762" s="570">
        <f t="shared" si="145"/>
        <v>11</v>
      </c>
    </row>
    <row r="763" spans="1:13">
      <c r="A763" s="570" t="str">
        <f t="shared" si="134"/>
        <v>T1412</v>
      </c>
      <c r="C763" s="953" t="str">
        <f t="shared" si="135"/>
        <v>T14</v>
      </c>
      <c r="D763" s="953" t="str">
        <f t="shared" si="136"/>
        <v>D1</v>
      </c>
      <c r="E763" s="953">
        <f t="shared" si="137"/>
        <v>12</v>
      </c>
      <c r="F763" s="953">
        <f t="shared" si="138"/>
        <v>-3.4999999999999997E-5</v>
      </c>
      <c r="G763" s="953">
        <f t="shared" si="139"/>
        <v>1.7830000000000001E-3</v>
      </c>
      <c r="H763" s="953">
        <f t="shared" si="140"/>
        <v>0</v>
      </c>
      <c r="I763" s="953">
        <f t="shared" si="141"/>
        <v>0</v>
      </c>
      <c r="J763" s="953">
        <f t="shared" si="142"/>
        <v>0</v>
      </c>
      <c r="K763" s="953">
        <f t="shared" si="143"/>
        <v>-9.3999999999999994E-5</v>
      </c>
      <c r="L763" s="570" t="str">
        <f t="shared" si="144"/>
        <v>Modal 12</v>
      </c>
      <c r="M763" s="570">
        <f t="shared" si="145"/>
        <v>12</v>
      </c>
    </row>
    <row r="764" spans="1:13">
      <c r="A764" s="570" t="str">
        <f t="shared" si="134"/>
        <v>T1413</v>
      </c>
      <c r="C764" s="953" t="str">
        <f t="shared" si="135"/>
        <v>T14</v>
      </c>
      <c r="D764" s="953" t="str">
        <f t="shared" si="136"/>
        <v>D1</v>
      </c>
      <c r="E764" s="953">
        <f t="shared" si="137"/>
        <v>13</v>
      </c>
      <c r="F764" s="953">
        <f t="shared" si="138"/>
        <v>-2.0869999999999999E-3</v>
      </c>
      <c r="G764" s="953">
        <f t="shared" si="139"/>
        <v>-2.2100000000000001E-4</v>
      </c>
      <c r="H764" s="953">
        <f t="shared" si="140"/>
        <v>0</v>
      </c>
      <c r="I764" s="953">
        <f t="shared" si="141"/>
        <v>0</v>
      </c>
      <c r="J764" s="953">
        <f t="shared" si="142"/>
        <v>0</v>
      </c>
      <c r="K764" s="953">
        <f t="shared" si="143"/>
        <v>-9.9999999999999995E-7</v>
      </c>
      <c r="L764" s="570" t="str">
        <f t="shared" si="144"/>
        <v>Modal 13</v>
      </c>
      <c r="M764" s="570">
        <f t="shared" si="145"/>
        <v>13</v>
      </c>
    </row>
    <row r="765" spans="1:13">
      <c r="A765" s="570" t="str">
        <f t="shared" si="134"/>
        <v>T1414</v>
      </c>
      <c r="C765" s="953" t="str">
        <f t="shared" si="135"/>
        <v>T14</v>
      </c>
      <c r="D765" s="953" t="str">
        <f t="shared" si="136"/>
        <v>D1</v>
      </c>
      <c r="E765" s="953">
        <f t="shared" si="137"/>
        <v>14</v>
      </c>
      <c r="F765" s="953">
        <f t="shared" si="138"/>
        <v>6.4999999999999994E-5</v>
      </c>
      <c r="G765" s="953">
        <f t="shared" si="139"/>
        <v>-9.3999999999999994E-5</v>
      </c>
      <c r="H765" s="953">
        <f t="shared" si="140"/>
        <v>0</v>
      </c>
      <c r="I765" s="953">
        <f t="shared" si="141"/>
        <v>0</v>
      </c>
      <c r="J765" s="953">
        <f t="shared" si="142"/>
        <v>0</v>
      </c>
      <c r="K765" s="953">
        <f t="shared" si="143"/>
        <v>-1.13E-4</v>
      </c>
      <c r="L765" s="570" t="str">
        <f t="shared" si="144"/>
        <v>Modal 14</v>
      </c>
      <c r="M765" s="570">
        <f t="shared" si="145"/>
        <v>14</v>
      </c>
    </row>
    <row r="766" spans="1:13">
      <c r="A766" s="570" t="str">
        <f t="shared" si="134"/>
        <v>T1415</v>
      </c>
      <c r="C766" s="953" t="str">
        <f t="shared" si="135"/>
        <v>T14</v>
      </c>
      <c r="D766" s="953" t="str">
        <f t="shared" si="136"/>
        <v>D1</v>
      </c>
      <c r="E766" s="953">
        <f t="shared" si="137"/>
        <v>15</v>
      </c>
      <c r="F766" s="953">
        <f t="shared" si="138"/>
        <v>-5.2099999999999998E-4</v>
      </c>
      <c r="G766" s="953">
        <f t="shared" si="139"/>
        <v>5.5149999999999999E-3</v>
      </c>
      <c r="H766" s="953">
        <f t="shared" si="140"/>
        <v>0</v>
      </c>
      <c r="I766" s="953">
        <f t="shared" si="141"/>
        <v>0</v>
      </c>
      <c r="J766" s="953">
        <f t="shared" si="142"/>
        <v>0</v>
      </c>
      <c r="K766" s="953">
        <f t="shared" si="143"/>
        <v>-1.0000000000000001E-5</v>
      </c>
      <c r="L766" s="570" t="str">
        <f t="shared" si="144"/>
        <v>Modal 15</v>
      </c>
      <c r="M766" s="570">
        <f t="shared" si="145"/>
        <v>15</v>
      </c>
    </row>
    <row r="767" spans="1:13">
      <c r="A767" s="570" t="str">
        <f t="shared" si="134"/>
        <v>T1416</v>
      </c>
      <c r="C767" s="953" t="str">
        <f t="shared" si="135"/>
        <v>T14</v>
      </c>
      <c r="D767" s="953" t="str">
        <f t="shared" si="136"/>
        <v>D1</v>
      </c>
      <c r="E767" s="953">
        <f t="shared" si="137"/>
        <v>16</v>
      </c>
      <c r="F767" s="953">
        <f t="shared" si="138"/>
        <v>-7.6599999999999997E-4</v>
      </c>
      <c r="G767" s="953">
        <f t="shared" si="139"/>
        <v>3.8999999999999999E-5</v>
      </c>
      <c r="H767" s="953">
        <f t="shared" si="140"/>
        <v>0</v>
      </c>
      <c r="I767" s="953">
        <f t="shared" si="141"/>
        <v>0</v>
      </c>
      <c r="J767" s="953">
        <f t="shared" si="142"/>
        <v>0</v>
      </c>
      <c r="K767" s="953">
        <f t="shared" si="143"/>
        <v>1.92E-4</v>
      </c>
      <c r="L767" s="570" t="str">
        <f t="shared" si="144"/>
        <v>Modal 16</v>
      </c>
      <c r="M767" s="570">
        <f t="shared" si="145"/>
        <v>16</v>
      </c>
    </row>
    <row r="768" spans="1:13">
      <c r="A768" s="570" t="str">
        <f t="shared" si="134"/>
        <v>T1417</v>
      </c>
      <c r="C768" s="953" t="str">
        <f t="shared" si="135"/>
        <v>T14</v>
      </c>
      <c r="D768" s="953" t="str">
        <f t="shared" si="136"/>
        <v>D1</v>
      </c>
      <c r="E768" s="953">
        <f t="shared" si="137"/>
        <v>17</v>
      </c>
      <c r="F768" s="953">
        <f t="shared" si="138"/>
        <v>-5.4330000000000003E-3</v>
      </c>
      <c r="G768" s="953">
        <f t="shared" si="139"/>
        <v>-5.2800000000000004E-4</v>
      </c>
      <c r="H768" s="953">
        <f t="shared" si="140"/>
        <v>0</v>
      </c>
      <c r="I768" s="953">
        <f t="shared" si="141"/>
        <v>0</v>
      </c>
      <c r="J768" s="953">
        <f t="shared" si="142"/>
        <v>0</v>
      </c>
      <c r="K768" s="953">
        <f t="shared" si="143"/>
        <v>-3.1999999999999999E-5</v>
      </c>
      <c r="L768" s="570" t="str">
        <f t="shared" si="144"/>
        <v>Modal 17</v>
      </c>
      <c r="M768" s="570">
        <f t="shared" si="145"/>
        <v>17</v>
      </c>
    </row>
    <row r="769" spans="1:13">
      <c r="A769" s="570" t="str">
        <f t="shared" si="134"/>
        <v>T1418</v>
      </c>
      <c r="C769" s="953" t="str">
        <f t="shared" si="135"/>
        <v>T14</v>
      </c>
      <c r="D769" s="953" t="str">
        <f t="shared" si="136"/>
        <v>D1</v>
      </c>
      <c r="E769" s="953">
        <f t="shared" si="137"/>
        <v>18</v>
      </c>
      <c r="F769" s="953">
        <f t="shared" si="138"/>
        <v>3.1399999999999999E-4</v>
      </c>
      <c r="G769" s="953">
        <f t="shared" si="139"/>
        <v>-2.3080000000000002E-3</v>
      </c>
      <c r="H769" s="953">
        <f t="shared" si="140"/>
        <v>0</v>
      </c>
      <c r="I769" s="953">
        <f t="shared" si="141"/>
        <v>0</v>
      </c>
      <c r="J769" s="953">
        <f t="shared" si="142"/>
        <v>0</v>
      </c>
      <c r="K769" s="953">
        <f t="shared" si="143"/>
        <v>2.6999999999999999E-5</v>
      </c>
      <c r="L769" s="570" t="str">
        <f t="shared" si="144"/>
        <v>Modal 18</v>
      </c>
      <c r="M769" s="570">
        <f t="shared" si="145"/>
        <v>18</v>
      </c>
    </row>
    <row r="770" spans="1:13">
      <c r="A770" s="570" t="str">
        <f t="shared" ref="A770:A833" si="146">C770&amp;E770</f>
        <v>T1419</v>
      </c>
      <c r="C770" s="953" t="str">
        <f t="shared" ref="C770:C833" si="147">IF(Etabs="Etabs 9.7.4",IF(INDEX(Mode_1,ROW($E770),COLUMN(A$1))&lt;&gt;"",INDEX(Mode_1,ROW($E770),COLUMN(A$1)),""),IF(Etabs="Etabs 2013 trở lên",IF(INDEX(Mode_2,ROW($E772),COLUMN(A$1))&lt;&gt;"",INDEX(Mode_2,ROW($E772),COLUMN(A$1)),""),""))</f>
        <v>T14</v>
      </c>
      <c r="D770" s="953" t="str">
        <f t="shared" ref="D770:D833" si="148">IF(Etabs="Etabs 9.7.4",IF(INDEX(Mode_1,ROW($E770),COLUMN(B$1))&lt;&gt;"",INDEX(Mode_1,ROW($E770),COLUMN(B$1)),""),IF(Etabs="Etabs 2013 trở lên",IF(INDEX(Mode_2,ROW($E772),COLUMN(B$1))&lt;&gt;"",INDEX(Mode_2,ROW($E772),COLUMN(B$1)),""),""))</f>
        <v>D1</v>
      </c>
      <c r="E770" s="953">
        <f t="shared" ref="E770:E833" si="149">IF(Etabs="Etabs 9.7.4",IF(INDEX(Mode_1,ROW($E770),COLUMN(C$1))&lt;&gt;"",INDEX(Mode_1,ROW($E770),COLUMN(C$1)),""),IF(Etabs="Etabs 2013 trở lên",$M770,""))</f>
        <v>19</v>
      </c>
      <c r="F770" s="953">
        <f t="shared" ref="F770:F833" si="150">IF(Etabs="Etabs 9.7.4",IF(INDEX(Mode_1,ROW($E770),COLUMN(D$1))&lt;&gt;"",INDEX(Mode_1,ROW($E770),COLUMN(D$1)),""),IF(Etabs="Etabs 2013 trở lên",IF(INDEX(Mode_2,ROW($E772),COLUMN(D$1))&lt;&gt;"",INDEX(Mode_2,ROW($E772),COLUMN(D$1)),""),""))</f>
        <v>-1.08E-4</v>
      </c>
      <c r="G770" s="953">
        <f t="shared" ref="G770:G833" si="151">IF(Etabs="Etabs 9.7.4",IF(INDEX(Mode_1,ROW($E770),COLUMN(E$1))&lt;&gt;"",INDEX(Mode_1,ROW($E770),COLUMN(E$1)),""),IF(Etabs="Etabs 2013 trở lên",IF(INDEX(Mode_2,ROW($E772),COLUMN(E$1))&lt;&gt;"",INDEX(Mode_2,ROW($E772),COLUMN(E$1)),""),""))</f>
        <v>-5.8299999999999997E-4</v>
      </c>
      <c r="H770" s="953">
        <f t="shared" ref="H770:H833" si="152">IF(Etabs="Etabs 9.7.4",IF(INDEX(Mode_1,ROW($E770),COLUMN(F$1))&lt;&gt;"",INDEX(Mode_1,ROW($E770),COLUMN(F$1)),""),IF(Etabs="Etabs 2013 trở lên",0,""))</f>
        <v>0</v>
      </c>
      <c r="I770" s="953">
        <f t="shared" ref="I770:I833" si="153">IF(Etabs="Etabs 9.7.4",IF(INDEX(Mode_1,ROW($E770),COLUMN(G$1))&lt;&gt;"",INDEX(Mode_1,ROW($E770),COLUMN(G$1)),""),IF(Etabs="Etabs 2013 trở lên",0,""))</f>
        <v>0</v>
      </c>
      <c r="J770" s="953">
        <f t="shared" ref="J770:J833" si="154">IF(Etabs="Etabs 9.7.4",IF(INDEX(Mode_1,ROW($E770),COLUMN(H$1))&lt;&gt;"",INDEX(Mode_1,ROW($E770),COLUMN(H$1)),""),IF(Etabs="Etabs 2013 trở lên",0,""))</f>
        <v>0</v>
      </c>
      <c r="K770" s="953">
        <f t="shared" ref="K770:K833" si="155">IF(Etabs="Etabs 9.7.4",IF(INDEX(Mode_1,ROW($E770),COLUMN(I$1))&lt;&gt;"",INDEX(Mode_1,ROW($E770),COLUMN(I$1)),""),IF(Etabs="Etabs 2013 trở lên",IF(INDEX(Mode_2,ROW($E772),COLUMN(F$1))&lt;&gt;"",INDEX(Mode_2,ROW($E772),COLUMN(F$1)),""),""))</f>
        <v>-1.8100000000000001E-4</v>
      </c>
      <c r="L770" s="570" t="str">
        <f t="shared" ref="L770:L833" si="156">IF(Etabs="Etabs 9.7.4",IF(INDEX(Mode_1,ROW($E770),COLUMN(C$1))&lt;&gt;"",INDEX(Mode_1,ROW($E770),COLUMN(C$1)),""),IF(Etabs="Etabs 2013 trở lên",IF(INDEX(Mode_2,ROW($E772),COLUMN(C$1))&lt;&gt;"",INDEX(Mode_2,ROW($E772),COLUMN(C$1)),""),""))</f>
        <v>Modal 19</v>
      </c>
      <c r="M770" s="570">
        <f t="shared" si="145"/>
        <v>19</v>
      </c>
    </row>
    <row r="771" spans="1:13">
      <c r="A771" s="570" t="str">
        <f t="shared" si="146"/>
        <v>T1420</v>
      </c>
      <c r="C771" s="953" t="str">
        <f t="shared" si="147"/>
        <v>T14</v>
      </c>
      <c r="D771" s="953" t="str">
        <f t="shared" si="148"/>
        <v>D1</v>
      </c>
      <c r="E771" s="953">
        <f t="shared" si="149"/>
        <v>20</v>
      </c>
      <c r="F771" s="953">
        <f t="shared" si="150"/>
        <v>-1.8749999999999999E-3</v>
      </c>
      <c r="G771" s="953">
        <f t="shared" si="151"/>
        <v>-5.5000000000000002E-5</v>
      </c>
      <c r="H771" s="953">
        <f t="shared" si="152"/>
        <v>0</v>
      </c>
      <c r="I771" s="953">
        <f t="shared" si="153"/>
        <v>0</v>
      </c>
      <c r="J771" s="953">
        <f t="shared" si="154"/>
        <v>0</v>
      </c>
      <c r="K771" s="953">
        <f t="shared" si="155"/>
        <v>-5.1E-5</v>
      </c>
      <c r="L771" s="570" t="str">
        <f t="shared" si="156"/>
        <v>Modal 20</v>
      </c>
      <c r="M771" s="570">
        <f t="shared" ref="M771:M834" si="157">IFERROR(VALUE(RIGHT(L771,LEN(L771)-6)),"")</f>
        <v>20</v>
      </c>
    </row>
    <row r="772" spans="1:13">
      <c r="A772" s="570" t="str">
        <f t="shared" si="146"/>
        <v>T1421</v>
      </c>
      <c r="C772" s="953" t="str">
        <f t="shared" si="147"/>
        <v>T14</v>
      </c>
      <c r="D772" s="953" t="str">
        <f t="shared" si="148"/>
        <v>D1</v>
      </c>
      <c r="E772" s="953">
        <f t="shared" si="149"/>
        <v>21</v>
      </c>
      <c r="F772" s="953">
        <f t="shared" si="150"/>
        <v>-5.8999999999999998E-5</v>
      </c>
      <c r="G772" s="953">
        <f t="shared" si="151"/>
        <v>3.728E-3</v>
      </c>
      <c r="H772" s="953">
        <f t="shared" si="152"/>
        <v>0</v>
      </c>
      <c r="I772" s="953">
        <f t="shared" si="153"/>
        <v>0</v>
      </c>
      <c r="J772" s="953">
        <f t="shared" si="154"/>
        <v>0</v>
      </c>
      <c r="K772" s="953">
        <f t="shared" si="155"/>
        <v>-4.1E-5</v>
      </c>
      <c r="L772" s="570" t="str">
        <f t="shared" si="156"/>
        <v>Modal 21</v>
      </c>
      <c r="M772" s="570">
        <f t="shared" si="157"/>
        <v>21</v>
      </c>
    </row>
    <row r="773" spans="1:13">
      <c r="A773" s="570" t="str">
        <f t="shared" si="146"/>
        <v>T1422</v>
      </c>
      <c r="C773" s="953" t="str">
        <f t="shared" si="147"/>
        <v>T14</v>
      </c>
      <c r="D773" s="953" t="str">
        <f t="shared" si="148"/>
        <v>D1</v>
      </c>
      <c r="E773" s="953">
        <f t="shared" si="149"/>
        <v>22</v>
      </c>
      <c r="F773" s="953">
        <f t="shared" si="150"/>
        <v>-2.0820000000000001E-3</v>
      </c>
      <c r="G773" s="953">
        <f t="shared" si="151"/>
        <v>-1.6069999999999999E-3</v>
      </c>
      <c r="H773" s="953">
        <f t="shared" si="152"/>
        <v>0</v>
      </c>
      <c r="I773" s="953">
        <f t="shared" si="153"/>
        <v>0</v>
      </c>
      <c r="J773" s="953">
        <f t="shared" si="154"/>
        <v>0</v>
      </c>
      <c r="K773" s="953">
        <f t="shared" si="155"/>
        <v>-9.0000000000000002E-6</v>
      </c>
      <c r="L773" s="570" t="str">
        <f t="shared" si="156"/>
        <v>Modal 22</v>
      </c>
      <c r="M773" s="570">
        <f t="shared" si="157"/>
        <v>22</v>
      </c>
    </row>
    <row r="774" spans="1:13">
      <c r="A774" s="570" t="str">
        <f t="shared" si="146"/>
        <v>T1423</v>
      </c>
      <c r="C774" s="953" t="str">
        <f t="shared" si="147"/>
        <v>T14</v>
      </c>
      <c r="D774" s="953" t="str">
        <f t="shared" si="148"/>
        <v>D1</v>
      </c>
      <c r="E774" s="953">
        <f t="shared" si="149"/>
        <v>23</v>
      </c>
      <c r="F774" s="953">
        <f t="shared" si="150"/>
        <v>4.1200000000000004E-3</v>
      </c>
      <c r="G774" s="953">
        <f t="shared" si="151"/>
        <v>-3.8570000000000002E-3</v>
      </c>
      <c r="H774" s="953">
        <f t="shared" si="152"/>
        <v>0</v>
      </c>
      <c r="I774" s="953">
        <f t="shared" si="153"/>
        <v>0</v>
      </c>
      <c r="J774" s="953">
        <f t="shared" si="154"/>
        <v>0</v>
      </c>
      <c r="K774" s="953">
        <f t="shared" si="155"/>
        <v>-1.5999999999999999E-5</v>
      </c>
      <c r="L774" s="570" t="str">
        <f t="shared" si="156"/>
        <v>Modal 23</v>
      </c>
      <c r="M774" s="570">
        <f t="shared" si="157"/>
        <v>23</v>
      </c>
    </row>
    <row r="775" spans="1:13">
      <c r="A775" s="570" t="str">
        <f t="shared" si="146"/>
        <v>T1424</v>
      </c>
      <c r="C775" s="953" t="str">
        <f t="shared" si="147"/>
        <v>T14</v>
      </c>
      <c r="D775" s="953" t="str">
        <f t="shared" si="148"/>
        <v>D1</v>
      </c>
      <c r="E775" s="953">
        <f t="shared" si="149"/>
        <v>24</v>
      </c>
      <c r="F775" s="953">
        <f t="shared" si="150"/>
        <v>-4.3639999999999998E-3</v>
      </c>
      <c r="G775" s="953">
        <f t="shared" si="151"/>
        <v>-2.5760000000000002E-3</v>
      </c>
      <c r="H775" s="953">
        <f t="shared" si="152"/>
        <v>0</v>
      </c>
      <c r="I775" s="953">
        <f t="shared" si="153"/>
        <v>0</v>
      </c>
      <c r="J775" s="953">
        <f t="shared" si="154"/>
        <v>0</v>
      </c>
      <c r="K775" s="953">
        <f t="shared" si="155"/>
        <v>-2.0999999999999999E-5</v>
      </c>
      <c r="L775" s="570" t="str">
        <f t="shared" si="156"/>
        <v>Modal 24</v>
      </c>
      <c r="M775" s="570">
        <f t="shared" si="157"/>
        <v>24</v>
      </c>
    </row>
    <row r="776" spans="1:13">
      <c r="A776" s="570" t="str">
        <f t="shared" si="146"/>
        <v>T1425</v>
      </c>
      <c r="C776" s="953" t="str">
        <f t="shared" si="147"/>
        <v>T14</v>
      </c>
      <c r="D776" s="953" t="str">
        <f t="shared" si="148"/>
        <v>D1</v>
      </c>
      <c r="E776" s="953">
        <f t="shared" si="149"/>
        <v>25</v>
      </c>
      <c r="F776" s="953">
        <f t="shared" si="150"/>
        <v>6.8999999999999997E-5</v>
      </c>
      <c r="G776" s="953">
        <f t="shared" si="151"/>
        <v>-2.503E-3</v>
      </c>
      <c r="H776" s="953">
        <f t="shared" si="152"/>
        <v>0</v>
      </c>
      <c r="I776" s="953">
        <f t="shared" si="153"/>
        <v>0</v>
      </c>
      <c r="J776" s="953">
        <f t="shared" si="154"/>
        <v>0</v>
      </c>
      <c r="K776" s="953">
        <f t="shared" si="155"/>
        <v>-2.9E-5</v>
      </c>
      <c r="L776" s="570" t="str">
        <f t="shared" si="156"/>
        <v>Modal 25</v>
      </c>
      <c r="M776" s="570">
        <f t="shared" si="157"/>
        <v>25</v>
      </c>
    </row>
    <row r="777" spans="1:13">
      <c r="A777" s="570" t="str">
        <f t="shared" si="146"/>
        <v>T1426</v>
      </c>
      <c r="C777" s="953" t="str">
        <f t="shared" si="147"/>
        <v>T14</v>
      </c>
      <c r="D777" s="953" t="str">
        <f t="shared" si="148"/>
        <v>D1</v>
      </c>
      <c r="E777" s="953">
        <f t="shared" si="149"/>
        <v>26</v>
      </c>
      <c r="F777" s="953">
        <f t="shared" si="150"/>
        <v>1.663E-3</v>
      </c>
      <c r="G777" s="953">
        <f t="shared" si="151"/>
        <v>3.8700000000000002E-3</v>
      </c>
      <c r="H777" s="953">
        <f t="shared" si="152"/>
        <v>0</v>
      </c>
      <c r="I777" s="953">
        <f t="shared" si="153"/>
        <v>0</v>
      </c>
      <c r="J777" s="953">
        <f t="shared" si="154"/>
        <v>0</v>
      </c>
      <c r="K777" s="953">
        <f t="shared" si="155"/>
        <v>-1.5999999999999999E-5</v>
      </c>
      <c r="L777" s="570" t="str">
        <f t="shared" si="156"/>
        <v>Modal 26</v>
      </c>
      <c r="M777" s="570">
        <f t="shared" si="157"/>
        <v>26</v>
      </c>
    </row>
    <row r="778" spans="1:13">
      <c r="A778" s="570" t="str">
        <f t="shared" si="146"/>
        <v>T1427</v>
      </c>
      <c r="C778" s="953" t="str">
        <f t="shared" si="147"/>
        <v>T14</v>
      </c>
      <c r="D778" s="953" t="str">
        <f t="shared" si="148"/>
        <v>D1</v>
      </c>
      <c r="E778" s="953">
        <f t="shared" si="149"/>
        <v>27</v>
      </c>
      <c r="F778" s="953">
        <f t="shared" si="150"/>
        <v>-2.7070000000000002E-3</v>
      </c>
      <c r="G778" s="953">
        <f t="shared" si="151"/>
        <v>3.3799999999999998E-4</v>
      </c>
      <c r="H778" s="953">
        <f t="shared" si="152"/>
        <v>0</v>
      </c>
      <c r="I778" s="953">
        <f t="shared" si="153"/>
        <v>0</v>
      </c>
      <c r="J778" s="953">
        <f t="shared" si="154"/>
        <v>0</v>
      </c>
      <c r="K778" s="953">
        <f t="shared" si="155"/>
        <v>-3.3000000000000003E-5</v>
      </c>
      <c r="L778" s="570" t="str">
        <f t="shared" si="156"/>
        <v>Modal 27</v>
      </c>
      <c r="M778" s="570">
        <f t="shared" si="157"/>
        <v>27</v>
      </c>
    </row>
    <row r="779" spans="1:13">
      <c r="A779" s="570" t="str">
        <f t="shared" si="146"/>
        <v>T1428</v>
      </c>
      <c r="C779" s="953" t="str">
        <f t="shared" si="147"/>
        <v>T14</v>
      </c>
      <c r="D779" s="953" t="str">
        <f t="shared" si="148"/>
        <v>D1</v>
      </c>
      <c r="E779" s="953">
        <f t="shared" si="149"/>
        <v>28</v>
      </c>
      <c r="F779" s="953">
        <f t="shared" si="150"/>
        <v>-9.1699999999999995E-4</v>
      </c>
      <c r="G779" s="953">
        <f t="shared" si="151"/>
        <v>5.3600000000000002E-4</v>
      </c>
      <c r="H779" s="953">
        <f t="shared" si="152"/>
        <v>0</v>
      </c>
      <c r="I779" s="953">
        <f t="shared" si="153"/>
        <v>0</v>
      </c>
      <c r="J779" s="953">
        <f t="shared" si="154"/>
        <v>0</v>
      </c>
      <c r="K779" s="953">
        <f t="shared" si="155"/>
        <v>-2.5999999999999998E-5</v>
      </c>
      <c r="L779" s="570" t="str">
        <f t="shared" si="156"/>
        <v>Modal 28</v>
      </c>
      <c r="M779" s="570">
        <f t="shared" si="157"/>
        <v>28</v>
      </c>
    </row>
    <row r="780" spans="1:13">
      <c r="A780" s="570" t="str">
        <f t="shared" si="146"/>
        <v>T1429</v>
      </c>
      <c r="C780" s="953" t="str">
        <f t="shared" si="147"/>
        <v>T14</v>
      </c>
      <c r="D780" s="953" t="str">
        <f t="shared" si="148"/>
        <v>D1</v>
      </c>
      <c r="E780" s="953">
        <f t="shared" si="149"/>
        <v>29</v>
      </c>
      <c r="F780" s="953">
        <f t="shared" si="150"/>
        <v>2.5760000000000002E-3</v>
      </c>
      <c r="G780" s="953">
        <f t="shared" si="151"/>
        <v>-1.0039999999999999E-3</v>
      </c>
      <c r="H780" s="953">
        <f t="shared" si="152"/>
        <v>0</v>
      </c>
      <c r="I780" s="953">
        <f t="shared" si="153"/>
        <v>0</v>
      </c>
      <c r="J780" s="953">
        <f t="shared" si="154"/>
        <v>0</v>
      </c>
      <c r="K780" s="953">
        <f t="shared" si="155"/>
        <v>3.1000000000000001E-5</v>
      </c>
      <c r="L780" s="570" t="str">
        <f t="shared" si="156"/>
        <v>Modal 29</v>
      </c>
      <c r="M780" s="570">
        <f t="shared" si="157"/>
        <v>29</v>
      </c>
    </row>
    <row r="781" spans="1:13">
      <c r="A781" s="570" t="str">
        <f t="shared" si="146"/>
        <v>T1430</v>
      </c>
      <c r="C781" s="953" t="str">
        <f t="shared" si="147"/>
        <v>T14</v>
      </c>
      <c r="D781" s="953" t="str">
        <f t="shared" si="148"/>
        <v>D1</v>
      </c>
      <c r="E781" s="953">
        <f t="shared" si="149"/>
        <v>30</v>
      </c>
      <c r="F781" s="953">
        <f t="shared" si="150"/>
        <v>9.2299999999999999E-4</v>
      </c>
      <c r="G781" s="953">
        <f t="shared" si="151"/>
        <v>1.1249999999999999E-3</v>
      </c>
      <c r="H781" s="953">
        <f t="shared" si="152"/>
        <v>0</v>
      </c>
      <c r="I781" s="953">
        <f t="shared" si="153"/>
        <v>0</v>
      </c>
      <c r="J781" s="953">
        <f t="shared" si="154"/>
        <v>0</v>
      </c>
      <c r="K781" s="953">
        <f t="shared" si="155"/>
        <v>1.5E-5</v>
      </c>
      <c r="L781" s="570" t="str">
        <f t="shared" si="156"/>
        <v>Modal 30</v>
      </c>
      <c r="M781" s="570">
        <f t="shared" si="157"/>
        <v>30</v>
      </c>
    </row>
    <row r="782" spans="1:13">
      <c r="A782" s="570" t="str">
        <f t="shared" si="146"/>
        <v>T131</v>
      </c>
      <c r="C782" s="953" t="str">
        <f t="shared" si="147"/>
        <v>T13</v>
      </c>
      <c r="D782" s="953" t="str">
        <f t="shared" si="148"/>
        <v>D1</v>
      </c>
      <c r="E782" s="953">
        <f t="shared" si="149"/>
        <v>1</v>
      </c>
      <c r="F782" s="953">
        <f t="shared" si="150"/>
        <v>-3.3399999999999999E-4</v>
      </c>
      <c r="G782" s="953">
        <f t="shared" si="151"/>
        <v>1.7390000000000001E-3</v>
      </c>
      <c r="H782" s="953">
        <f t="shared" si="152"/>
        <v>0</v>
      </c>
      <c r="I782" s="953">
        <f t="shared" si="153"/>
        <v>0</v>
      </c>
      <c r="J782" s="953">
        <f t="shared" si="154"/>
        <v>0</v>
      </c>
      <c r="K782" s="953">
        <f t="shared" si="155"/>
        <v>1.9000000000000001E-5</v>
      </c>
      <c r="L782" s="570" t="str">
        <f t="shared" si="156"/>
        <v>Modal 1</v>
      </c>
      <c r="M782" s="570">
        <f t="shared" si="157"/>
        <v>1</v>
      </c>
    </row>
    <row r="783" spans="1:13">
      <c r="A783" s="570" t="str">
        <f t="shared" si="146"/>
        <v>T132</v>
      </c>
      <c r="C783" s="953" t="str">
        <f t="shared" si="147"/>
        <v>T13</v>
      </c>
      <c r="D783" s="953" t="str">
        <f t="shared" si="148"/>
        <v>D1</v>
      </c>
      <c r="E783" s="953">
        <f t="shared" si="149"/>
        <v>2</v>
      </c>
      <c r="F783" s="953">
        <f t="shared" si="150"/>
        <v>-3.1E-4</v>
      </c>
      <c r="G783" s="953">
        <f t="shared" si="151"/>
        <v>-3.6699999999999998E-4</v>
      </c>
      <c r="H783" s="953">
        <f t="shared" si="152"/>
        <v>0</v>
      </c>
      <c r="I783" s="953">
        <f t="shared" si="153"/>
        <v>0</v>
      </c>
      <c r="J783" s="953">
        <f t="shared" si="154"/>
        <v>0</v>
      </c>
      <c r="K783" s="953">
        <f t="shared" si="155"/>
        <v>1.08E-4</v>
      </c>
      <c r="L783" s="570" t="str">
        <f t="shared" si="156"/>
        <v>Modal 2</v>
      </c>
      <c r="M783" s="570">
        <f t="shared" si="157"/>
        <v>2</v>
      </c>
    </row>
    <row r="784" spans="1:13">
      <c r="A784" s="570" t="str">
        <f t="shared" si="146"/>
        <v>T133</v>
      </c>
      <c r="C784" s="953" t="str">
        <f t="shared" si="147"/>
        <v>T13</v>
      </c>
      <c r="D784" s="953" t="str">
        <f t="shared" si="148"/>
        <v>D1</v>
      </c>
      <c r="E784" s="953">
        <f t="shared" si="149"/>
        <v>3</v>
      </c>
      <c r="F784" s="953">
        <f t="shared" si="150"/>
        <v>1.934E-3</v>
      </c>
      <c r="G784" s="953">
        <f t="shared" si="151"/>
        <v>3.4499999999999998E-4</v>
      </c>
      <c r="H784" s="953">
        <f t="shared" si="152"/>
        <v>0</v>
      </c>
      <c r="I784" s="953">
        <f t="shared" si="153"/>
        <v>0</v>
      </c>
      <c r="J784" s="953">
        <f t="shared" si="154"/>
        <v>0</v>
      </c>
      <c r="K784" s="953">
        <f t="shared" si="155"/>
        <v>2.0000000000000002E-5</v>
      </c>
      <c r="L784" s="570" t="str">
        <f t="shared" si="156"/>
        <v>Modal 3</v>
      </c>
      <c r="M784" s="570">
        <f t="shared" si="157"/>
        <v>3</v>
      </c>
    </row>
    <row r="785" spans="1:13">
      <c r="A785" s="570" t="str">
        <f t="shared" si="146"/>
        <v>T134</v>
      </c>
      <c r="C785" s="953" t="str">
        <f t="shared" si="147"/>
        <v>T13</v>
      </c>
      <c r="D785" s="953" t="str">
        <f t="shared" si="148"/>
        <v>D1</v>
      </c>
      <c r="E785" s="953">
        <f t="shared" si="149"/>
        <v>4</v>
      </c>
      <c r="F785" s="953">
        <f t="shared" si="150"/>
        <v>-7.9000000000000001E-4</v>
      </c>
      <c r="G785" s="953">
        <f t="shared" si="151"/>
        <v>2.8E-5</v>
      </c>
      <c r="H785" s="953">
        <f t="shared" si="152"/>
        <v>0</v>
      </c>
      <c r="I785" s="953">
        <f t="shared" si="153"/>
        <v>0</v>
      </c>
      <c r="J785" s="953">
        <f t="shared" si="154"/>
        <v>0</v>
      </c>
      <c r="K785" s="953">
        <f t="shared" si="155"/>
        <v>2.6600000000000001E-4</v>
      </c>
      <c r="L785" s="570" t="str">
        <f t="shared" si="156"/>
        <v>Modal 4</v>
      </c>
      <c r="M785" s="570">
        <f t="shared" si="157"/>
        <v>4</v>
      </c>
    </row>
    <row r="786" spans="1:13">
      <c r="A786" s="570" t="str">
        <f t="shared" si="146"/>
        <v>T135</v>
      </c>
      <c r="C786" s="953" t="str">
        <f t="shared" si="147"/>
        <v>T13</v>
      </c>
      <c r="D786" s="953" t="str">
        <f t="shared" si="148"/>
        <v>D1</v>
      </c>
      <c r="E786" s="953">
        <f t="shared" si="149"/>
        <v>5</v>
      </c>
      <c r="F786" s="953">
        <f t="shared" si="150"/>
        <v>6.5099999999999999E-4</v>
      </c>
      <c r="G786" s="953">
        <f t="shared" si="151"/>
        <v>-5.2919999999999998E-3</v>
      </c>
      <c r="H786" s="953">
        <f t="shared" si="152"/>
        <v>0</v>
      </c>
      <c r="I786" s="953">
        <f t="shared" si="153"/>
        <v>0</v>
      </c>
      <c r="J786" s="953">
        <f t="shared" si="154"/>
        <v>0</v>
      </c>
      <c r="K786" s="953">
        <f t="shared" si="155"/>
        <v>7.9999999999999996E-6</v>
      </c>
      <c r="L786" s="570" t="str">
        <f t="shared" si="156"/>
        <v>Modal 5</v>
      </c>
      <c r="M786" s="570">
        <f t="shared" si="157"/>
        <v>5</v>
      </c>
    </row>
    <row r="787" spans="1:13">
      <c r="A787" s="570" t="str">
        <f t="shared" si="146"/>
        <v>T136</v>
      </c>
      <c r="C787" s="953" t="str">
        <f t="shared" si="147"/>
        <v>T13</v>
      </c>
      <c r="D787" s="953" t="str">
        <f t="shared" si="148"/>
        <v>D1</v>
      </c>
      <c r="E787" s="953">
        <f t="shared" si="149"/>
        <v>6</v>
      </c>
      <c r="F787" s="953">
        <f t="shared" si="150"/>
        <v>-5.2550000000000001E-3</v>
      </c>
      <c r="G787" s="953">
        <f t="shared" si="151"/>
        <v>-6.7199999999999996E-4</v>
      </c>
      <c r="H787" s="953">
        <f t="shared" si="152"/>
        <v>0</v>
      </c>
      <c r="I787" s="953">
        <f t="shared" si="153"/>
        <v>0</v>
      </c>
      <c r="J787" s="953">
        <f t="shared" si="154"/>
        <v>0</v>
      </c>
      <c r="K787" s="953">
        <f t="shared" si="155"/>
        <v>-4.1E-5</v>
      </c>
      <c r="L787" s="570" t="str">
        <f t="shared" si="156"/>
        <v>Modal 6</v>
      </c>
      <c r="M787" s="570">
        <f t="shared" si="157"/>
        <v>6</v>
      </c>
    </row>
    <row r="788" spans="1:13">
      <c r="A788" s="570" t="str">
        <f t="shared" si="146"/>
        <v>T137</v>
      </c>
      <c r="C788" s="953" t="str">
        <f t="shared" si="147"/>
        <v>T13</v>
      </c>
      <c r="D788" s="953" t="str">
        <f t="shared" si="148"/>
        <v>D1</v>
      </c>
      <c r="E788" s="953">
        <f t="shared" si="149"/>
        <v>7</v>
      </c>
      <c r="F788" s="953">
        <f t="shared" si="150"/>
        <v>6.87E-4</v>
      </c>
      <c r="G788" s="953">
        <f t="shared" si="151"/>
        <v>3.4999999999999997E-5</v>
      </c>
      <c r="H788" s="953">
        <f t="shared" si="152"/>
        <v>0</v>
      </c>
      <c r="I788" s="953">
        <f t="shared" si="153"/>
        <v>0</v>
      </c>
      <c r="J788" s="953">
        <f t="shared" si="154"/>
        <v>0</v>
      </c>
      <c r="K788" s="953">
        <f t="shared" si="155"/>
        <v>-2.1499999999999999E-4</v>
      </c>
      <c r="L788" s="570" t="str">
        <f t="shared" si="156"/>
        <v>Modal 7</v>
      </c>
      <c r="M788" s="570">
        <f t="shared" si="157"/>
        <v>7</v>
      </c>
    </row>
    <row r="789" spans="1:13">
      <c r="A789" s="570" t="str">
        <f t="shared" si="146"/>
        <v>T138</v>
      </c>
      <c r="C789" s="953" t="str">
        <f t="shared" si="147"/>
        <v>T13</v>
      </c>
      <c r="D789" s="953" t="str">
        <f t="shared" si="148"/>
        <v>D1</v>
      </c>
      <c r="E789" s="953">
        <f t="shared" si="149"/>
        <v>8</v>
      </c>
      <c r="F789" s="953">
        <f t="shared" si="150"/>
        <v>5.0799999999999999E-4</v>
      </c>
      <c r="G789" s="953">
        <f t="shared" si="151"/>
        <v>-4.8799999999999998E-3</v>
      </c>
      <c r="H789" s="953">
        <f t="shared" si="152"/>
        <v>0</v>
      </c>
      <c r="I789" s="953">
        <f t="shared" si="153"/>
        <v>0</v>
      </c>
      <c r="J789" s="953">
        <f t="shared" si="154"/>
        <v>0</v>
      </c>
      <c r="K789" s="953">
        <f t="shared" si="155"/>
        <v>3.9999999999999998E-6</v>
      </c>
      <c r="L789" s="570" t="str">
        <f t="shared" si="156"/>
        <v>Modal 8</v>
      </c>
      <c r="M789" s="570">
        <f t="shared" si="157"/>
        <v>8</v>
      </c>
    </row>
    <row r="790" spans="1:13">
      <c r="A790" s="570" t="str">
        <f t="shared" si="146"/>
        <v>T139</v>
      </c>
      <c r="C790" s="953" t="str">
        <f t="shared" si="147"/>
        <v>T13</v>
      </c>
      <c r="D790" s="953" t="str">
        <f t="shared" si="148"/>
        <v>D1</v>
      </c>
      <c r="E790" s="953">
        <f t="shared" si="149"/>
        <v>9</v>
      </c>
      <c r="F790" s="953">
        <f t="shared" si="150"/>
        <v>4.8200000000000001E-4</v>
      </c>
      <c r="G790" s="953">
        <f t="shared" si="151"/>
        <v>6.0000000000000002E-6</v>
      </c>
      <c r="H790" s="953">
        <f t="shared" si="152"/>
        <v>0</v>
      </c>
      <c r="I790" s="953">
        <f t="shared" si="153"/>
        <v>0</v>
      </c>
      <c r="J790" s="953">
        <f t="shared" si="154"/>
        <v>0</v>
      </c>
      <c r="K790" s="953">
        <f t="shared" si="155"/>
        <v>-2.8E-5</v>
      </c>
      <c r="L790" s="570" t="str">
        <f t="shared" si="156"/>
        <v>Modal 9</v>
      </c>
      <c r="M790" s="570">
        <f t="shared" si="157"/>
        <v>9</v>
      </c>
    </row>
    <row r="791" spans="1:13">
      <c r="A791" s="570" t="str">
        <f t="shared" si="146"/>
        <v>T1310</v>
      </c>
      <c r="C791" s="953" t="str">
        <f t="shared" si="147"/>
        <v>T13</v>
      </c>
      <c r="D791" s="953" t="str">
        <f t="shared" si="148"/>
        <v>D1</v>
      </c>
      <c r="E791" s="953">
        <f t="shared" si="149"/>
        <v>10</v>
      </c>
      <c r="F791" s="953">
        <f t="shared" si="150"/>
        <v>-4.6719999999999999E-3</v>
      </c>
      <c r="G791" s="953">
        <f t="shared" si="151"/>
        <v>-4.55E-4</v>
      </c>
      <c r="H791" s="953">
        <f t="shared" si="152"/>
        <v>0</v>
      </c>
      <c r="I791" s="953">
        <f t="shared" si="153"/>
        <v>0</v>
      </c>
      <c r="J791" s="953">
        <f t="shared" si="154"/>
        <v>0</v>
      </c>
      <c r="K791" s="953">
        <f t="shared" si="155"/>
        <v>-2.5999999999999998E-5</v>
      </c>
      <c r="L791" s="570" t="str">
        <f t="shared" si="156"/>
        <v>Modal 10</v>
      </c>
      <c r="M791" s="570">
        <f t="shared" si="157"/>
        <v>10</v>
      </c>
    </row>
    <row r="792" spans="1:13">
      <c r="A792" s="570" t="str">
        <f t="shared" si="146"/>
        <v>T1311</v>
      </c>
      <c r="C792" s="953" t="str">
        <f t="shared" si="147"/>
        <v>T13</v>
      </c>
      <c r="D792" s="953" t="str">
        <f t="shared" si="148"/>
        <v>D1</v>
      </c>
      <c r="E792" s="953">
        <f t="shared" si="149"/>
        <v>11</v>
      </c>
      <c r="F792" s="953">
        <f t="shared" si="150"/>
        <v>3.5199999999999999E-4</v>
      </c>
      <c r="G792" s="953">
        <f t="shared" si="151"/>
        <v>-1.4999999999999999E-4</v>
      </c>
      <c r="H792" s="953">
        <f t="shared" si="152"/>
        <v>0</v>
      </c>
      <c r="I792" s="953">
        <f t="shared" si="153"/>
        <v>0</v>
      </c>
      <c r="J792" s="953">
        <f t="shared" si="154"/>
        <v>0</v>
      </c>
      <c r="K792" s="953">
        <f t="shared" si="155"/>
        <v>-2.31E-4</v>
      </c>
      <c r="L792" s="570" t="str">
        <f t="shared" si="156"/>
        <v>Modal 11</v>
      </c>
      <c r="M792" s="570">
        <f t="shared" si="157"/>
        <v>11</v>
      </c>
    </row>
    <row r="793" spans="1:13">
      <c r="A793" s="570" t="str">
        <f t="shared" si="146"/>
        <v>T1312</v>
      </c>
      <c r="C793" s="953" t="str">
        <f t="shared" si="147"/>
        <v>T13</v>
      </c>
      <c r="D793" s="953" t="str">
        <f t="shared" si="148"/>
        <v>D1</v>
      </c>
      <c r="E793" s="953">
        <f t="shared" si="149"/>
        <v>12</v>
      </c>
      <c r="F793" s="953">
        <f t="shared" si="150"/>
        <v>1.03E-4</v>
      </c>
      <c r="G793" s="953">
        <f t="shared" si="151"/>
        <v>3.6000000000000002E-4</v>
      </c>
      <c r="H793" s="953">
        <f t="shared" si="152"/>
        <v>0</v>
      </c>
      <c r="I793" s="953">
        <f t="shared" si="153"/>
        <v>0</v>
      </c>
      <c r="J793" s="953">
        <f t="shared" si="154"/>
        <v>0</v>
      </c>
      <c r="K793" s="953">
        <f t="shared" si="155"/>
        <v>-8.5000000000000006E-5</v>
      </c>
      <c r="L793" s="570" t="str">
        <f t="shared" si="156"/>
        <v>Modal 12</v>
      </c>
      <c r="M793" s="570">
        <f t="shared" si="157"/>
        <v>12</v>
      </c>
    </row>
    <row r="794" spans="1:13">
      <c r="A794" s="570" t="str">
        <f t="shared" si="146"/>
        <v>T1313</v>
      </c>
      <c r="C794" s="953" t="str">
        <f t="shared" si="147"/>
        <v>T13</v>
      </c>
      <c r="D794" s="953" t="str">
        <f t="shared" si="148"/>
        <v>D1</v>
      </c>
      <c r="E794" s="953">
        <f t="shared" si="149"/>
        <v>13</v>
      </c>
      <c r="F794" s="953">
        <f t="shared" si="150"/>
        <v>-5.9400000000000002E-4</v>
      </c>
      <c r="G794" s="953">
        <f t="shared" si="151"/>
        <v>-7.8999999999999996E-5</v>
      </c>
      <c r="H794" s="953">
        <f t="shared" si="152"/>
        <v>0</v>
      </c>
      <c r="I794" s="953">
        <f t="shared" si="153"/>
        <v>0</v>
      </c>
      <c r="J794" s="953">
        <f t="shared" si="154"/>
        <v>0</v>
      </c>
      <c r="K794" s="953">
        <f t="shared" si="155"/>
        <v>1.9999999999999999E-6</v>
      </c>
      <c r="L794" s="570" t="str">
        <f t="shared" si="156"/>
        <v>Modal 13</v>
      </c>
      <c r="M794" s="570">
        <f t="shared" si="157"/>
        <v>13</v>
      </c>
    </row>
    <row r="795" spans="1:13">
      <c r="A795" s="570" t="str">
        <f t="shared" si="146"/>
        <v>T1314</v>
      </c>
      <c r="C795" s="953" t="str">
        <f t="shared" si="147"/>
        <v>T13</v>
      </c>
      <c r="D795" s="953" t="str">
        <f t="shared" si="148"/>
        <v>D1</v>
      </c>
      <c r="E795" s="953">
        <f t="shared" si="149"/>
        <v>14</v>
      </c>
      <c r="F795" s="953">
        <f t="shared" si="150"/>
        <v>1.54E-4</v>
      </c>
      <c r="G795" s="953">
        <f t="shared" si="151"/>
        <v>-1.03E-4</v>
      </c>
      <c r="H795" s="953">
        <f t="shared" si="152"/>
        <v>0</v>
      </c>
      <c r="I795" s="953">
        <f t="shared" si="153"/>
        <v>0</v>
      </c>
      <c r="J795" s="953">
        <f t="shared" si="154"/>
        <v>0</v>
      </c>
      <c r="K795" s="953">
        <f t="shared" si="155"/>
        <v>-2.03E-4</v>
      </c>
      <c r="L795" s="570" t="str">
        <f t="shared" si="156"/>
        <v>Modal 14</v>
      </c>
      <c r="M795" s="570">
        <f t="shared" si="157"/>
        <v>14</v>
      </c>
    </row>
    <row r="796" spans="1:13">
      <c r="A796" s="570" t="str">
        <f t="shared" si="146"/>
        <v>T1315</v>
      </c>
      <c r="C796" s="953" t="str">
        <f t="shared" si="147"/>
        <v>T13</v>
      </c>
      <c r="D796" s="953" t="str">
        <f t="shared" si="148"/>
        <v>D1</v>
      </c>
      <c r="E796" s="953">
        <f t="shared" si="149"/>
        <v>15</v>
      </c>
      <c r="F796" s="953">
        <f t="shared" si="150"/>
        <v>-4.6500000000000003E-4</v>
      </c>
      <c r="G796" s="953">
        <f t="shared" si="151"/>
        <v>5.0419999999999996E-3</v>
      </c>
      <c r="H796" s="953">
        <f t="shared" si="152"/>
        <v>0</v>
      </c>
      <c r="I796" s="953">
        <f t="shared" si="153"/>
        <v>0</v>
      </c>
      <c r="J796" s="953">
        <f t="shared" si="154"/>
        <v>0</v>
      </c>
      <c r="K796" s="953">
        <f t="shared" si="155"/>
        <v>-1.0000000000000001E-5</v>
      </c>
      <c r="L796" s="570" t="str">
        <f t="shared" si="156"/>
        <v>Modal 15</v>
      </c>
      <c r="M796" s="570">
        <f t="shared" si="157"/>
        <v>15</v>
      </c>
    </row>
    <row r="797" spans="1:13">
      <c r="A797" s="570" t="str">
        <f t="shared" si="146"/>
        <v>T1316</v>
      </c>
      <c r="C797" s="953" t="str">
        <f t="shared" si="147"/>
        <v>T13</v>
      </c>
      <c r="D797" s="953" t="str">
        <f t="shared" si="148"/>
        <v>D1</v>
      </c>
      <c r="E797" s="953">
        <f t="shared" si="149"/>
        <v>16</v>
      </c>
      <c r="F797" s="953">
        <f t="shared" si="150"/>
        <v>-6.87E-4</v>
      </c>
      <c r="G797" s="953">
        <f t="shared" si="151"/>
        <v>-2.1999999999999999E-5</v>
      </c>
      <c r="H797" s="953">
        <f t="shared" si="152"/>
        <v>0</v>
      </c>
      <c r="I797" s="953">
        <f t="shared" si="153"/>
        <v>0</v>
      </c>
      <c r="J797" s="953">
        <f t="shared" si="154"/>
        <v>0</v>
      </c>
      <c r="K797" s="953">
        <f t="shared" si="155"/>
        <v>8.8999999999999995E-5</v>
      </c>
      <c r="L797" s="570" t="str">
        <f t="shared" si="156"/>
        <v>Modal 16</v>
      </c>
      <c r="M797" s="570">
        <f t="shared" si="157"/>
        <v>16</v>
      </c>
    </row>
    <row r="798" spans="1:13">
      <c r="A798" s="570" t="str">
        <f t="shared" si="146"/>
        <v>T1317</v>
      </c>
      <c r="C798" s="953" t="str">
        <f t="shared" si="147"/>
        <v>T13</v>
      </c>
      <c r="D798" s="953" t="str">
        <f t="shared" si="148"/>
        <v>D1</v>
      </c>
      <c r="E798" s="953">
        <f t="shared" si="149"/>
        <v>17</v>
      </c>
      <c r="F798" s="953">
        <f t="shared" si="150"/>
        <v>-5.0769999999999999E-3</v>
      </c>
      <c r="G798" s="953">
        <f t="shared" si="151"/>
        <v>-5.0500000000000002E-4</v>
      </c>
      <c r="H798" s="953">
        <f t="shared" si="152"/>
        <v>0</v>
      </c>
      <c r="I798" s="953">
        <f t="shared" si="153"/>
        <v>0</v>
      </c>
      <c r="J798" s="953">
        <f t="shared" si="154"/>
        <v>0</v>
      </c>
      <c r="K798" s="953">
        <f t="shared" si="155"/>
        <v>-1.2999999999999999E-5</v>
      </c>
      <c r="L798" s="570" t="str">
        <f t="shared" si="156"/>
        <v>Modal 17</v>
      </c>
      <c r="M798" s="570">
        <f t="shared" si="157"/>
        <v>17</v>
      </c>
    </row>
    <row r="799" spans="1:13">
      <c r="A799" s="570" t="str">
        <f t="shared" si="146"/>
        <v>T1318</v>
      </c>
      <c r="C799" s="953" t="str">
        <f t="shared" si="147"/>
        <v>T13</v>
      </c>
      <c r="D799" s="953" t="str">
        <f t="shared" si="148"/>
        <v>D1</v>
      </c>
      <c r="E799" s="953">
        <f t="shared" si="149"/>
        <v>18</v>
      </c>
      <c r="F799" s="953">
        <f t="shared" si="150"/>
        <v>4.35E-4</v>
      </c>
      <c r="G799" s="953">
        <f t="shared" si="151"/>
        <v>-4.1359999999999999E-3</v>
      </c>
      <c r="H799" s="953">
        <f t="shared" si="152"/>
        <v>0</v>
      </c>
      <c r="I799" s="953">
        <f t="shared" si="153"/>
        <v>0</v>
      </c>
      <c r="J799" s="953">
        <f t="shared" si="154"/>
        <v>0</v>
      </c>
      <c r="K799" s="953">
        <f t="shared" si="155"/>
        <v>4.3999999999999999E-5</v>
      </c>
      <c r="L799" s="570" t="str">
        <f t="shared" si="156"/>
        <v>Modal 18</v>
      </c>
      <c r="M799" s="570">
        <f t="shared" si="157"/>
        <v>18</v>
      </c>
    </row>
    <row r="800" spans="1:13">
      <c r="A800" s="570" t="str">
        <f t="shared" si="146"/>
        <v>T1319</v>
      </c>
      <c r="C800" s="953" t="str">
        <f t="shared" si="147"/>
        <v>T13</v>
      </c>
      <c r="D800" s="953" t="str">
        <f t="shared" si="148"/>
        <v>D1</v>
      </c>
      <c r="E800" s="953">
        <f t="shared" si="149"/>
        <v>19</v>
      </c>
      <c r="F800" s="953">
        <f t="shared" si="150"/>
        <v>1.4300000000000001E-4</v>
      </c>
      <c r="G800" s="953">
        <f t="shared" si="151"/>
        <v>-8.3900000000000001E-4</v>
      </c>
      <c r="H800" s="953">
        <f t="shared" si="152"/>
        <v>0</v>
      </c>
      <c r="I800" s="953">
        <f t="shared" si="153"/>
        <v>0</v>
      </c>
      <c r="J800" s="953">
        <f t="shared" si="154"/>
        <v>0</v>
      </c>
      <c r="K800" s="953">
        <f t="shared" si="155"/>
        <v>-2.3599999999999999E-4</v>
      </c>
      <c r="L800" s="570" t="str">
        <f t="shared" si="156"/>
        <v>Modal 19</v>
      </c>
      <c r="M800" s="570">
        <f t="shared" si="157"/>
        <v>19</v>
      </c>
    </row>
    <row r="801" spans="1:13">
      <c r="A801" s="570" t="str">
        <f t="shared" si="146"/>
        <v>T1320</v>
      </c>
      <c r="C801" s="953" t="str">
        <f t="shared" si="147"/>
        <v>T13</v>
      </c>
      <c r="D801" s="953" t="str">
        <f t="shared" si="148"/>
        <v>D1</v>
      </c>
      <c r="E801" s="953">
        <f t="shared" si="149"/>
        <v>20</v>
      </c>
      <c r="F801" s="953">
        <f t="shared" si="150"/>
        <v>-3.7850000000000002E-3</v>
      </c>
      <c r="G801" s="953">
        <f t="shared" si="151"/>
        <v>-2.6600000000000001E-4</v>
      </c>
      <c r="H801" s="953">
        <f t="shared" si="152"/>
        <v>0</v>
      </c>
      <c r="I801" s="953">
        <f t="shared" si="153"/>
        <v>0</v>
      </c>
      <c r="J801" s="953">
        <f t="shared" si="154"/>
        <v>0</v>
      </c>
      <c r="K801" s="953">
        <f t="shared" si="155"/>
        <v>-3.3000000000000003E-5</v>
      </c>
      <c r="L801" s="570" t="str">
        <f t="shared" si="156"/>
        <v>Modal 20</v>
      </c>
      <c r="M801" s="570">
        <f t="shared" si="157"/>
        <v>20</v>
      </c>
    </row>
    <row r="802" spans="1:13">
      <c r="A802" s="570" t="str">
        <f t="shared" si="146"/>
        <v>T1321</v>
      </c>
      <c r="C802" s="953" t="str">
        <f t="shared" si="147"/>
        <v>T13</v>
      </c>
      <c r="D802" s="953" t="str">
        <f t="shared" si="148"/>
        <v>D1</v>
      </c>
      <c r="E802" s="953">
        <f t="shared" si="149"/>
        <v>21</v>
      </c>
      <c r="F802" s="953">
        <f t="shared" si="150"/>
        <v>2.42E-4</v>
      </c>
      <c r="G802" s="953">
        <f t="shared" si="151"/>
        <v>1.444E-3</v>
      </c>
      <c r="H802" s="953">
        <f t="shared" si="152"/>
        <v>0</v>
      </c>
      <c r="I802" s="953">
        <f t="shared" si="153"/>
        <v>0</v>
      </c>
      <c r="J802" s="953">
        <f t="shared" si="154"/>
        <v>0</v>
      </c>
      <c r="K802" s="953">
        <f t="shared" si="155"/>
        <v>-1.4E-5</v>
      </c>
      <c r="L802" s="570" t="str">
        <f t="shared" si="156"/>
        <v>Modal 21</v>
      </c>
      <c r="M802" s="570">
        <f t="shared" si="157"/>
        <v>21</v>
      </c>
    </row>
    <row r="803" spans="1:13">
      <c r="A803" s="570" t="str">
        <f t="shared" si="146"/>
        <v>T1322</v>
      </c>
      <c r="C803" s="953" t="str">
        <f t="shared" si="147"/>
        <v>T13</v>
      </c>
      <c r="D803" s="953" t="str">
        <f t="shared" si="148"/>
        <v>D1</v>
      </c>
      <c r="E803" s="953">
        <f t="shared" si="149"/>
        <v>22</v>
      </c>
      <c r="F803" s="953">
        <f t="shared" si="150"/>
        <v>-5.13E-4</v>
      </c>
      <c r="G803" s="953">
        <f t="shared" si="151"/>
        <v>-1.1670000000000001E-3</v>
      </c>
      <c r="H803" s="953">
        <f t="shared" si="152"/>
        <v>0</v>
      </c>
      <c r="I803" s="953">
        <f t="shared" si="153"/>
        <v>0</v>
      </c>
      <c r="J803" s="953">
        <f t="shared" si="154"/>
        <v>0</v>
      </c>
      <c r="K803" s="953">
        <f t="shared" si="155"/>
        <v>7.2000000000000002E-5</v>
      </c>
      <c r="L803" s="570" t="str">
        <f t="shared" si="156"/>
        <v>Modal 22</v>
      </c>
      <c r="M803" s="570">
        <f t="shared" si="157"/>
        <v>22</v>
      </c>
    </row>
    <row r="804" spans="1:13">
      <c r="A804" s="570" t="str">
        <f t="shared" si="146"/>
        <v>T1323</v>
      </c>
      <c r="C804" s="953" t="str">
        <f t="shared" si="147"/>
        <v>T13</v>
      </c>
      <c r="D804" s="953" t="str">
        <f t="shared" si="148"/>
        <v>D1</v>
      </c>
      <c r="E804" s="953">
        <f t="shared" si="149"/>
        <v>23</v>
      </c>
      <c r="F804" s="953">
        <f t="shared" si="150"/>
        <v>3.016E-3</v>
      </c>
      <c r="G804" s="953">
        <f t="shared" si="151"/>
        <v>-4.2189999999999997E-3</v>
      </c>
      <c r="H804" s="953">
        <f t="shared" si="152"/>
        <v>0</v>
      </c>
      <c r="I804" s="953">
        <f t="shared" si="153"/>
        <v>0</v>
      </c>
      <c r="J804" s="953">
        <f t="shared" si="154"/>
        <v>0</v>
      </c>
      <c r="K804" s="953">
        <f t="shared" si="155"/>
        <v>3.6000000000000001E-5</v>
      </c>
      <c r="L804" s="570" t="str">
        <f t="shared" si="156"/>
        <v>Modal 23</v>
      </c>
      <c r="M804" s="570">
        <f t="shared" si="157"/>
        <v>23</v>
      </c>
    </row>
    <row r="805" spans="1:13">
      <c r="A805" s="570" t="str">
        <f t="shared" si="146"/>
        <v>T1324</v>
      </c>
      <c r="C805" s="953" t="str">
        <f t="shared" si="147"/>
        <v>T13</v>
      </c>
      <c r="D805" s="953" t="str">
        <f t="shared" si="148"/>
        <v>D1</v>
      </c>
      <c r="E805" s="953">
        <f t="shared" si="149"/>
        <v>24</v>
      </c>
      <c r="F805" s="953">
        <f t="shared" si="150"/>
        <v>-3.7169999999999998E-3</v>
      </c>
      <c r="G805" s="953">
        <f t="shared" si="151"/>
        <v>-3.9639999999999996E-3</v>
      </c>
      <c r="H805" s="953">
        <f t="shared" si="152"/>
        <v>0</v>
      </c>
      <c r="I805" s="953">
        <f t="shared" si="153"/>
        <v>0</v>
      </c>
      <c r="J805" s="953">
        <f t="shared" si="154"/>
        <v>0</v>
      </c>
      <c r="K805" s="953">
        <f t="shared" si="155"/>
        <v>-4.6999999999999997E-5</v>
      </c>
      <c r="L805" s="570" t="str">
        <f t="shared" si="156"/>
        <v>Modal 24</v>
      </c>
      <c r="M805" s="570">
        <f t="shared" si="157"/>
        <v>24</v>
      </c>
    </row>
    <row r="806" spans="1:13">
      <c r="A806" s="570" t="str">
        <f t="shared" si="146"/>
        <v>T1325</v>
      </c>
      <c r="C806" s="953" t="str">
        <f t="shared" si="147"/>
        <v>T13</v>
      </c>
      <c r="D806" s="953" t="str">
        <f t="shared" si="148"/>
        <v>D1</v>
      </c>
      <c r="E806" s="953">
        <f t="shared" si="149"/>
        <v>25</v>
      </c>
      <c r="F806" s="953">
        <f t="shared" si="150"/>
        <v>-2.64E-3</v>
      </c>
      <c r="G806" s="953">
        <f t="shared" si="151"/>
        <v>-3.9800000000000002E-4</v>
      </c>
      <c r="H806" s="953">
        <f t="shared" si="152"/>
        <v>0</v>
      </c>
      <c r="I806" s="953">
        <f t="shared" si="153"/>
        <v>0</v>
      </c>
      <c r="J806" s="953">
        <f t="shared" si="154"/>
        <v>0</v>
      </c>
      <c r="K806" s="953">
        <f t="shared" si="155"/>
        <v>-1.9999999999999999E-6</v>
      </c>
      <c r="L806" s="570" t="str">
        <f t="shared" si="156"/>
        <v>Modal 25</v>
      </c>
      <c r="M806" s="570">
        <f t="shared" si="157"/>
        <v>25</v>
      </c>
    </row>
    <row r="807" spans="1:13">
      <c r="A807" s="570" t="str">
        <f t="shared" si="146"/>
        <v>T1326</v>
      </c>
      <c r="C807" s="953" t="str">
        <f t="shared" si="147"/>
        <v>T13</v>
      </c>
      <c r="D807" s="953" t="str">
        <f t="shared" si="148"/>
        <v>D1</v>
      </c>
      <c r="E807" s="953">
        <f t="shared" si="149"/>
        <v>26</v>
      </c>
      <c r="F807" s="953">
        <f t="shared" si="150"/>
        <v>-5.9900000000000003E-4</v>
      </c>
      <c r="G807" s="953">
        <f t="shared" si="151"/>
        <v>1.6739999999999999E-3</v>
      </c>
      <c r="H807" s="953">
        <f t="shared" si="152"/>
        <v>0</v>
      </c>
      <c r="I807" s="953">
        <f t="shared" si="153"/>
        <v>0</v>
      </c>
      <c r="J807" s="953">
        <f t="shared" si="154"/>
        <v>0</v>
      </c>
      <c r="K807" s="953">
        <f t="shared" si="155"/>
        <v>-2.0000000000000002E-5</v>
      </c>
      <c r="L807" s="570" t="str">
        <f t="shared" si="156"/>
        <v>Modal 26</v>
      </c>
      <c r="M807" s="570">
        <f t="shared" si="157"/>
        <v>26</v>
      </c>
    </row>
    <row r="808" spans="1:13">
      <c r="A808" s="570" t="str">
        <f t="shared" si="146"/>
        <v>T1327</v>
      </c>
      <c r="C808" s="953" t="str">
        <f t="shared" si="147"/>
        <v>T13</v>
      </c>
      <c r="D808" s="953" t="str">
        <f t="shared" si="148"/>
        <v>D1</v>
      </c>
      <c r="E808" s="953">
        <f t="shared" si="149"/>
        <v>27</v>
      </c>
      <c r="F808" s="953">
        <f t="shared" si="150"/>
        <v>-3.8890000000000001E-3</v>
      </c>
      <c r="G808" s="953">
        <f t="shared" si="151"/>
        <v>2.1429999999999999E-3</v>
      </c>
      <c r="H808" s="953">
        <f t="shared" si="152"/>
        <v>0</v>
      </c>
      <c r="I808" s="953">
        <f t="shared" si="153"/>
        <v>0</v>
      </c>
      <c r="J808" s="953">
        <f t="shared" si="154"/>
        <v>0</v>
      </c>
      <c r="K808" s="953">
        <f t="shared" si="155"/>
        <v>-9.9999999999999995E-7</v>
      </c>
      <c r="L808" s="570" t="str">
        <f t="shared" si="156"/>
        <v>Modal 27</v>
      </c>
      <c r="M808" s="570">
        <f t="shared" si="157"/>
        <v>27</v>
      </c>
    </row>
    <row r="809" spans="1:13">
      <c r="A809" s="570" t="str">
        <f t="shared" si="146"/>
        <v>T1328</v>
      </c>
      <c r="C809" s="953" t="str">
        <f t="shared" si="147"/>
        <v>T13</v>
      </c>
      <c r="D809" s="953" t="str">
        <f t="shared" si="148"/>
        <v>D1</v>
      </c>
      <c r="E809" s="953">
        <f t="shared" si="149"/>
        <v>28</v>
      </c>
      <c r="F809" s="953">
        <f t="shared" si="150"/>
        <v>-2.3890000000000001E-3</v>
      </c>
      <c r="G809" s="953">
        <f t="shared" si="151"/>
        <v>-2.261E-3</v>
      </c>
      <c r="H809" s="953">
        <f t="shared" si="152"/>
        <v>0</v>
      </c>
      <c r="I809" s="953">
        <f t="shared" si="153"/>
        <v>0</v>
      </c>
      <c r="J809" s="953">
        <f t="shared" si="154"/>
        <v>0</v>
      </c>
      <c r="K809" s="953">
        <f t="shared" si="155"/>
        <v>-1.8E-5</v>
      </c>
      <c r="L809" s="570" t="str">
        <f t="shared" si="156"/>
        <v>Modal 28</v>
      </c>
      <c r="M809" s="570">
        <f t="shared" si="157"/>
        <v>28</v>
      </c>
    </row>
    <row r="810" spans="1:13">
      <c r="A810" s="570" t="str">
        <f t="shared" si="146"/>
        <v>T1329</v>
      </c>
      <c r="C810" s="953" t="str">
        <f t="shared" si="147"/>
        <v>T13</v>
      </c>
      <c r="D810" s="953" t="str">
        <f t="shared" si="148"/>
        <v>D1</v>
      </c>
      <c r="E810" s="953">
        <f t="shared" si="149"/>
        <v>29</v>
      </c>
      <c r="F810" s="953">
        <f t="shared" si="150"/>
        <v>2.3990000000000001E-3</v>
      </c>
      <c r="G810" s="953">
        <f t="shared" si="151"/>
        <v>-1.542E-3</v>
      </c>
      <c r="H810" s="953">
        <f t="shared" si="152"/>
        <v>0</v>
      </c>
      <c r="I810" s="953">
        <f t="shared" si="153"/>
        <v>0</v>
      </c>
      <c r="J810" s="953">
        <f t="shared" si="154"/>
        <v>0</v>
      </c>
      <c r="K810" s="953">
        <f t="shared" si="155"/>
        <v>-3.9999999999999998E-6</v>
      </c>
      <c r="L810" s="570" t="str">
        <f t="shared" si="156"/>
        <v>Modal 29</v>
      </c>
      <c r="M810" s="570">
        <f t="shared" si="157"/>
        <v>29</v>
      </c>
    </row>
    <row r="811" spans="1:13">
      <c r="A811" s="570" t="str">
        <f t="shared" si="146"/>
        <v>T1330</v>
      </c>
      <c r="C811" s="953" t="str">
        <f t="shared" si="147"/>
        <v>T13</v>
      </c>
      <c r="D811" s="953" t="str">
        <f t="shared" si="148"/>
        <v>D1</v>
      </c>
      <c r="E811" s="953">
        <f t="shared" si="149"/>
        <v>30</v>
      </c>
      <c r="F811" s="953">
        <f t="shared" si="150"/>
        <v>1.354E-3</v>
      </c>
      <c r="G811" s="953">
        <f t="shared" si="151"/>
        <v>2.882E-3</v>
      </c>
      <c r="H811" s="953">
        <f t="shared" si="152"/>
        <v>0</v>
      </c>
      <c r="I811" s="953">
        <f t="shared" si="153"/>
        <v>0</v>
      </c>
      <c r="J811" s="953">
        <f t="shared" si="154"/>
        <v>0</v>
      </c>
      <c r="K811" s="953">
        <f t="shared" si="155"/>
        <v>5.0000000000000004E-6</v>
      </c>
      <c r="L811" s="570" t="str">
        <f t="shared" si="156"/>
        <v>Modal 30</v>
      </c>
      <c r="M811" s="570">
        <f t="shared" si="157"/>
        <v>30</v>
      </c>
    </row>
    <row r="812" spans="1:13">
      <c r="A812" s="570" t="str">
        <f t="shared" si="146"/>
        <v>T121</v>
      </c>
      <c r="C812" s="953" t="str">
        <f t="shared" si="147"/>
        <v>T12</v>
      </c>
      <c r="D812" s="953" t="str">
        <f t="shared" si="148"/>
        <v>D1</v>
      </c>
      <c r="E812" s="953">
        <f t="shared" si="149"/>
        <v>1</v>
      </c>
      <c r="F812" s="953">
        <f t="shared" si="150"/>
        <v>-2.9700000000000001E-4</v>
      </c>
      <c r="G812" s="953">
        <f t="shared" si="151"/>
        <v>1.547E-3</v>
      </c>
      <c r="H812" s="953">
        <f t="shared" si="152"/>
        <v>0</v>
      </c>
      <c r="I812" s="953">
        <f t="shared" si="153"/>
        <v>0</v>
      </c>
      <c r="J812" s="953">
        <f t="shared" si="154"/>
        <v>0</v>
      </c>
      <c r="K812" s="953">
        <f t="shared" si="155"/>
        <v>1.7E-5</v>
      </c>
      <c r="L812" s="570" t="str">
        <f t="shared" si="156"/>
        <v>Modal 1</v>
      </c>
      <c r="M812" s="570">
        <f t="shared" si="157"/>
        <v>1</v>
      </c>
    </row>
    <row r="813" spans="1:13">
      <c r="A813" s="570" t="str">
        <f t="shared" si="146"/>
        <v>T122</v>
      </c>
      <c r="C813" s="953" t="str">
        <f t="shared" si="147"/>
        <v>T12</v>
      </c>
      <c r="D813" s="953" t="str">
        <f t="shared" si="148"/>
        <v>D1</v>
      </c>
      <c r="E813" s="953">
        <f t="shared" si="149"/>
        <v>2</v>
      </c>
      <c r="F813" s="953">
        <f t="shared" si="150"/>
        <v>-2.7900000000000001E-4</v>
      </c>
      <c r="G813" s="953">
        <f t="shared" si="151"/>
        <v>-3.2699999999999998E-4</v>
      </c>
      <c r="H813" s="953">
        <f t="shared" si="152"/>
        <v>0</v>
      </c>
      <c r="I813" s="953">
        <f t="shared" si="153"/>
        <v>0</v>
      </c>
      <c r="J813" s="953">
        <f t="shared" si="154"/>
        <v>0</v>
      </c>
      <c r="K813" s="953">
        <f t="shared" si="155"/>
        <v>9.7999999999999997E-5</v>
      </c>
      <c r="L813" s="570" t="str">
        <f t="shared" si="156"/>
        <v>Modal 2</v>
      </c>
      <c r="M813" s="570">
        <f t="shared" si="157"/>
        <v>2</v>
      </c>
    </row>
    <row r="814" spans="1:13">
      <c r="A814" s="570" t="str">
        <f t="shared" si="146"/>
        <v>T123</v>
      </c>
      <c r="C814" s="953" t="str">
        <f t="shared" si="147"/>
        <v>T12</v>
      </c>
      <c r="D814" s="953" t="str">
        <f t="shared" si="148"/>
        <v>D1</v>
      </c>
      <c r="E814" s="953">
        <f t="shared" si="149"/>
        <v>3</v>
      </c>
      <c r="F814" s="953">
        <f t="shared" si="150"/>
        <v>1.732E-3</v>
      </c>
      <c r="G814" s="953">
        <f t="shared" si="151"/>
        <v>3.1100000000000002E-4</v>
      </c>
      <c r="H814" s="953">
        <f t="shared" si="152"/>
        <v>0</v>
      </c>
      <c r="I814" s="953">
        <f t="shared" si="153"/>
        <v>0</v>
      </c>
      <c r="J814" s="953">
        <f t="shared" si="154"/>
        <v>0</v>
      </c>
      <c r="K814" s="953">
        <f t="shared" si="155"/>
        <v>1.8E-5</v>
      </c>
      <c r="L814" s="570" t="str">
        <f t="shared" si="156"/>
        <v>Modal 3</v>
      </c>
      <c r="M814" s="570">
        <f t="shared" si="157"/>
        <v>3</v>
      </c>
    </row>
    <row r="815" spans="1:13">
      <c r="A815" s="570" t="str">
        <f t="shared" si="146"/>
        <v>T124</v>
      </c>
      <c r="C815" s="953" t="str">
        <f t="shared" si="147"/>
        <v>T12</v>
      </c>
      <c r="D815" s="953" t="str">
        <f t="shared" si="148"/>
        <v>D1</v>
      </c>
      <c r="E815" s="953">
        <f t="shared" si="149"/>
        <v>4</v>
      </c>
      <c r="F815" s="953">
        <f t="shared" si="150"/>
        <v>-7.5299999999999998E-4</v>
      </c>
      <c r="G815" s="953">
        <f t="shared" si="151"/>
        <v>2.6999999999999999E-5</v>
      </c>
      <c r="H815" s="953">
        <f t="shared" si="152"/>
        <v>0</v>
      </c>
      <c r="I815" s="953">
        <f t="shared" si="153"/>
        <v>0</v>
      </c>
      <c r="J815" s="953">
        <f t="shared" si="154"/>
        <v>0</v>
      </c>
      <c r="K815" s="953">
        <f t="shared" si="155"/>
        <v>2.5500000000000002E-4</v>
      </c>
      <c r="L815" s="570" t="str">
        <f t="shared" si="156"/>
        <v>Modal 4</v>
      </c>
      <c r="M815" s="570">
        <f t="shared" si="157"/>
        <v>4</v>
      </c>
    </row>
    <row r="816" spans="1:13">
      <c r="A816" s="570" t="str">
        <f t="shared" si="146"/>
        <v>T125</v>
      </c>
      <c r="C816" s="953" t="str">
        <f t="shared" si="147"/>
        <v>T12</v>
      </c>
      <c r="D816" s="953" t="str">
        <f t="shared" si="148"/>
        <v>D1</v>
      </c>
      <c r="E816" s="953">
        <f t="shared" si="149"/>
        <v>5</v>
      </c>
      <c r="F816" s="953">
        <f t="shared" si="150"/>
        <v>6.1700000000000004E-4</v>
      </c>
      <c r="G816" s="953">
        <f t="shared" si="151"/>
        <v>-5.0229999999999997E-3</v>
      </c>
      <c r="H816" s="953">
        <f t="shared" si="152"/>
        <v>0</v>
      </c>
      <c r="I816" s="953">
        <f t="shared" si="153"/>
        <v>0</v>
      </c>
      <c r="J816" s="953">
        <f t="shared" si="154"/>
        <v>0</v>
      </c>
      <c r="K816" s="953">
        <f t="shared" si="155"/>
        <v>6.9999999999999999E-6</v>
      </c>
      <c r="L816" s="570" t="str">
        <f t="shared" si="156"/>
        <v>Modal 5</v>
      </c>
      <c r="M816" s="570">
        <f t="shared" si="157"/>
        <v>5</v>
      </c>
    </row>
    <row r="817" spans="1:13">
      <c r="A817" s="570" t="str">
        <f t="shared" si="146"/>
        <v>T126</v>
      </c>
      <c r="C817" s="953" t="str">
        <f t="shared" si="147"/>
        <v>T12</v>
      </c>
      <c r="D817" s="953" t="str">
        <f t="shared" si="148"/>
        <v>D1</v>
      </c>
      <c r="E817" s="953">
        <f t="shared" si="149"/>
        <v>6</v>
      </c>
      <c r="F817" s="953">
        <f t="shared" si="150"/>
        <v>-5.0049999999999999E-3</v>
      </c>
      <c r="G817" s="953">
        <f t="shared" si="151"/>
        <v>-6.4300000000000002E-4</v>
      </c>
      <c r="H817" s="953">
        <f t="shared" si="152"/>
        <v>0</v>
      </c>
      <c r="I817" s="953">
        <f t="shared" si="153"/>
        <v>0</v>
      </c>
      <c r="J817" s="953">
        <f t="shared" si="154"/>
        <v>0</v>
      </c>
      <c r="K817" s="953">
        <f t="shared" si="155"/>
        <v>-4.0000000000000003E-5</v>
      </c>
      <c r="L817" s="570" t="str">
        <f t="shared" si="156"/>
        <v>Modal 6</v>
      </c>
      <c r="M817" s="570">
        <f t="shared" si="157"/>
        <v>6</v>
      </c>
    </row>
    <row r="818" spans="1:13">
      <c r="A818" s="570" t="str">
        <f t="shared" si="146"/>
        <v>T127</v>
      </c>
      <c r="C818" s="953" t="str">
        <f t="shared" si="147"/>
        <v>T12</v>
      </c>
      <c r="D818" s="953" t="str">
        <f t="shared" si="148"/>
        <v>D1</v>
      </c>
      <c r="E818" s="953">
        <f t="shared" si="149"/>
        <v>7</v>
      </c>
      <c r="F818" s="953">
        <f t="shared" si="150"/>
        <v>7.5000000000000002E-4</v>
      </c>
      <c r="G818" s="953">
        <f t="shared" si="151"/>
        <v>3.4999999999999997E-5</v>
      </c>
      <c r="H818" s="953">
        <f t="shared" si="152"/>
        <v>0</v>
      </c>
      <c r="I818" s="953">
        <f t="shared" si="153"/>
        <v>0</v>
      </c>
      <c r="J818" s="953">
        <f t="shared" si="154"/>
        <v>0</v>
      </c>
      <c r="K818" s="953">
        <f t="shared" si="155"/>
        <v>-2.4600000000000002E-4</v>
      </c>
      <c r="L818" s="570" t="str">
        <f t="shared" si="156"/>
        <v>Modal 7</v>
      </c>
      <c r="M818" s="570">
        <f t="shared" si="157"/>
        <v>7</v>
      </c>
    </row>
    <row r="819" spans="1:13">
      <c r="A819" s="570" t="str">
        <f t="shared" si="146"/>
        <v>T128</v>
      </c>
      <c r="C819" s="953" t="str">
        <f t="shared" si="147"/>
        <v>T12</v>
      </c>
      <c r="D819" s="953" t="str">
        <f t="shared" si="148"/>
        <v>D1</v>
      </c>
      <c r="E819" s="953">
        <f t="shared" si="149"/>
        <v>8</v>
      </c>
      <c r="F819" s="953">
        <f t="shared" si="150"/>
        <v>5.5999999999999995E-4</v>
      </c>
      <c r="G819" s="953">
        <f t="shared" si="151"/>
        <v>-5.4190000000000002E-3</v>
      </c>
      <c r="H819" s="953">
        <f t="shared" si="152"/>
        <v>0</v>
      </c>
      <c r="I819" s="953">
        <f t="shared" si="153"/>
        <v>0</v>
      </c>
      <c r="J819" s="953">
        <f t="shared" si="154"/>
        <v>0</v>
      </c>
      <c r="K819" s="953">
        <f t="shared" si="155"/>
        <v>3.9999999999999998E-6</v>
      </c>
      <c r="L819" s="570" t="str">
        <f t="shared" si="156"/>
        <v>Modal 8</v>
      </c>
      <c r="M819" s="570">
        <f t="shared" si="157"/>
        <v>8</v>
      </c>
    </row>
    <row r="820" spans="1:13">
      <c r="A820" s="570" t="str">
        <f t="shared" si="146"/>
        <v>T129</v>
      </c>
      <c r="C820" s="953" t="str">
        <f t="shared" si="147"/>
        <v>T12</v>
      </c>
      <c r="D820" s="953" t="str">
        <f t="shared" si="148"/>
        <v>D1</v>
      </c>
      <c r="E820" s="953">
        <f t="shared" si="149"/>
        <v>9</v>
      </c>
      <c r="F820" s="953">
        <f t="shared" si="150"/>
        <v>3.7599999999999998E-4</v>
      </c>
      <c r="G820" s="953">
        <f t="shared" si="151"/>
        <v>5.0000000000000004E-6</v>
      </c>
      <c r="H820" s="953">
        <f t="shared" si="152"/>
        <v>0</v>
      </c>
      <c r="I820" s="953">
        <f t="shared" si="153"/>
        <v>0</v>
      </c>
      <c r="J820" s="953">
        <f t="shared" si="154"/>
        <v>0</v>
      </c>
      <c r="K820" s="953">
        <f t="shared" si="155"/>
        <v>4.8000000000000001E-5</v>
      </c>
      <c r="L820" s="570" t="str">
        <f t="shared" si="156"/>
        <v>Modal 9</v>
      </c>
      <c r="M820" s="570">
        <f t="shared" si="157"/>
        <v>9</v>
      </c>
    </row>
    <row r="821" spans="1:13">
      <c r="A821" s="570" t="str">
        <f t="shared" si="146"/>
        <v>T1210</v>
      </c>
      <c r="C821" s="953" t="str">
        <f t="shared" si="147"/>
        <v>T12</v>
      </c>
      <c r="D821" s="953" t="str">
        <f t="shared" si="148"/>
        <v>D1</v>
      </c>
      <c r="E821" s="953">
        <f t="shared" si="149"/>
        <v>10</v>
      </c>
      <c r="F821" s="953">
        <f t="shared" si="150"/>
        <v>-5.2500000000000003E-3</v>
      </c>
      <c r="G821" s="953">
        <f t="shared" si="151"/>
        <v>-5.1500000000000005E-4</v>
      </c>
      <c r="H821" s="953">
        <f t="shared" si="152"/>
        <v>0</v>
      </c>
      <c r="I821" s="953">
        <f t="shared" si="153"/>
        <v>0</v>
      </c>
      <c r="J821" s="953">
        <f t="shared" si="154"/>
        <v>0</v>
      </c>
      <c r="K821" s="953">
        <f t="shared" si="155"/>
        <v>-2.1999999999999999E-5</v>
      </c>
      <c r="L821" s="570" t="str">
        <f t="shared" si="156"/>
        <v>Modal 10</v>
      </c>
      <c r="M821" s="570">
        <f t="shared" si="157"/>
        <v>10</v>
      </c>
    </row>
    <row r="822" spans="1:13">
      <c r="A822" s="570" t="str">
        <f t="shared" si="146"/>
        <v>T1211</v>
      </c>
      <c r="C822" s="953" t="str">
        <f t="shared" si="147"/>
        <v>T12</v>
      </c>
      <c r="D822" s="953" t="str">
        <f t="shared" si="148"/>
        <v>D1</v>
      </c>
      <c r="E822" s="953">
        <f t="shared" si="149"/>
        <v>11</v>
      </c>
      <c r="F822" s="953">
        <f t="shared" si="150"/>
        <v>2.4600000000000002E-4</v>
      </c>
      <c r="G822" s="953">
        <f t="shared" si="151"/>
        <v>3.8499999999999998E-4</v>
      </c>
      <c r="H822" s="953">
        <f t="shared" si="152"/>
        <v>0</v>
      </c>
      <c r="I822" s="953">
        <f t="shared" si="153"/>
        <v>0</v>
      </c>
      <c r="J822" s="953">
        <f t="shared" si="154"/>
        <v>0</v>
      </c>
      <c r="K822" s="953">
        <f t="shared" si="155"/>
        <v>-1.8100000000000001E-4</v>
      </c>
      <c r="L822" s="570" t="str">
        <f t="shared" si="156"/>
        <v>Modal 11</v>
      </c>
      <c r="M822" s="570">
        <f t="shared" si="157"/>
        <v>11</v>
      </c>
    </row>
    <row r="823" spans="1:13">
      <c r="A823" s="570" t="str">
        <f t="shared" si="146"/>
        <v>T1212</v>
      </c>
      <c r="C823" s="953" t="str">
        <f t="shared" si="147"/>
        <v>T12</v>
      </c>
      <c r="D823" s="953" t="str">
        <f t="shared" si="148"/>
        <v>D1</v>
      </c>
      <c r="E823" s="953">
        <f t="shared" si="149"/>
        <v>12</v>
      </c>
      <c r="F823" s="953">
        <f t="shared" si="150"/>
        <v>2.2499999999999999E-4</v>
      </c>
      <c r="G823" s="953">
        <f t="shared" si="151"/>
        <v>-1.096E-3</v>
      </c>
      <c r="H823" s="953">
        <f t="shared" si="152"/>
        <v>0</v>
      </c>
      <c r="I823" s="953">
        <f t="shared" si="153"/>
        <v>0</v>
      </c>
      <c r="J823" s="953">
        <f t="shared" si="154"/>
        <v>0</v>
      </c>
      <c r="K823" s="953">
        <f t="shared" si="155"/>
        <v>-6.4999999999999994E-5</v>
      </c>
      <c r="L823" s="570" t="str">
        <f t="shared" si="156"/>
        <v>Modal 12</v>
      </c>
      <c r="M823" s="570">
        <f t="shared" si="157"/>
        <v>12</v>
      </c>
    </row>
    <row r="824" spans="1:13">
      <c r="A824" s="570" t="str">
        <f t="shared" si="146"/>
        <v>T1213</v>
      </c>
      <c r="C824" s="953" t="str">
        <f t="shared" si="147"/>
        <v>T12</v>
      </c>
      <c r="D824" s="953" t="str">
        <f t="shared" si="148"/>
        <v>D1</v>
      </c>
      <c r="E824" s="953">
        <f t="shared" si="149"/>
        <v>13</v>
      </c>
      <c r="F824" s="953">
        <f t="shared" si="150"/>
        <v>9.5100000000000002E-4</v>
      </c>
      <c r="G824" s="953">
        <f t="shared" si="151"/>
        <v>7.1000000000000005E-5</v>
      </c>
      <c r="H824" s="953">
        <f t="shared" si="152"/>
        <v>0</v>
      </c>
      <c r="I824" s="953">
        <f t="shared" si="153"/>
        <v>0</v>
      </c>
      <c r="J824" s="953">
        <f t="shared" si="154"/>
        <v>0</v>
      </c>
      <c r="K824" s="953">
        <f t="shared" si="155"/>
        <v>5.0000000000000004E-6</v>
      </c>
      <c r="L824" s="570" t="str">
        <f t="shared" si="156"/>
        <v>Modal 13</v>
      </c>
      <c r="M824" s="570">
        <f t="shared" si="157"/>
        <v>13</v>
      </c>
    </row>
    <row r="825" spans="1:13">
      <c r="A825" s="570" t="str">
        <f t="shared" si="146"/>
        <v>T1214</v>
      </c>
      <c r="C825" s="953" t="str">
        <f t="shared" si="147"/>
        <v>T12</v>
      </c>
      <c r="D825" s="953" t="str">
        <f t="shared" si="148"/>
        <v>D1</v>
      </c>
      <c r="E825" s="953">
        <f t="shared" si="149"/>
        <v>14</v>
      </c>
      <c r="F825" s="953">
        <f t="shared" si="150"/>
        <v>2.0000000000000001E-4</v>
      </c>
      <c r="G825" s="953">
        <f t="shared" si="151"/>
        <v>-1.03E-4</v>
      </c>
      <c r="H825" s="953">
        <f t="shared" si="152"/>
        <v>0</v>
      </c>
      <c r="I825" s="953">
        <f t="shared" si="153"/>
        <v>0</v>
      </c>
      <c r="J825" s="953">
        <f t="shared" si="154"/>
        <v>0</v>
      </c>
      <c r="K825" s="953">
        <f t="shared" si="155"/>
        <v>-2.5500000000000002E-4</v>
      </c>
      <c r="L825" s="570" t="str">
        <f t="shared" si="156"/>
        <v>Modal 14</v>
      </c>
      <c r="M825" s="570">
        <f t="shared" si="157"/>
        <v>14</v>
      </c>
    </row>
    <row r="826" spans="1:13">
      <c r="A826" s="570" t="str">
        <f t="shared" si="146"/>
        <v>T1215</v>
      </c>
      <c r="C826" s="953" t="str">
        <f t="shared" si="147"/>
        <v>T12</v>
      </c>
      <c r="D826" s="953" t="str">
        <f t="shared" si="148"/>
        <v>D1</v>
      </c>
      <c r="E826" s="953">
        <f t="shared" si="149"/>
        <v>15</v>
      </c>
      <c r="F826" s="953">
        <f t="shared" si="150"/>
        <v>-3.5100000000000002E-4</v>
      </c>
      <c r="G826" s="953">
        <f t="shared" si="151"/>
        <v>3.9399999999999999E-3</v>
      </c>
      <c r="H826" s="953">
        <f t="shared" si="152"/>
        <v>0</v>
      </c>
      <c r="I826" s="953">
        <f t="shared" si="153"/>
        <v>0</v>
      </c>
      <c r="J826" s="953">
        <f t="shared" si="154"/>
        <v>0</v>
      </c>
      <c r="K826" s="953">
        <f t="shared" si="155"/>
        <v>-7.9999999999999996E-6</v>
      </c>
      <c r="L826" s="570" t="str">
        <f t="shared" si="156"/>
        <v>Modal 15</v>
      </c>
      <c r="M826" s="570">
        <f t="shared" si="157"/>
        <v>15</v>
      </c>
    </row>
    <row r="827" spans="1:13">
      <c r="A827" s="570" t="str">
        <f t="shared" si="146"/>
        <v>T1216</v>
      </c>
      <c r="C827" s="953" t="str">
        <f t="shared" si="147"/>
        <v>T12</v>
      </c>
      <c r="D827" s="953" t="str">
        <f t="shared" si="148"/>
        <v>D1</v>
      </c>
      <c r="E827" s="953">
        <f t="shared" si="149"/>
        <v>16</v>
      </c>
      <c r="F827" s="953">
        <f t="shared" si="150"/>
        <v>-5.1400000000000003E-4</v>
      </c>
      <c r="G827" s="953">
        <f t="shared" si="151"/>
        <v>-7.6000000000000004E-5</v>
      </c>
      <c r="H827" s="953">
        <f t="shared" si="152"/>
        <v>0</v>
      </c>
      <c r="I827" s="953">
        <f t="shared" si="153"/>
        <v>0</v>
      </c>
      <c r="J827" s="953">
        <f t="shared" si="154"/>
        <v>0</v>
      </c>
      <c r="K827" s="953">
        <f t="shared" si="155"/>
        <v>-3.6000000000000001E-5</v>
      </c>
      <c r="L827" s="570" t="str">
        <f t="shared" si="156"/>
        <v>Modal 16</v>
      </c>
      <c r="M827" s="570">
        <f t="shared" si="157"/>
        <v>16</v>
      </c>
    </row>
    <row r="828" spans="1:13">
      <c r="A828" s="570" t="str">
        <f t="shared" si="146"/>
        <v>T1217</v>
      </c>
      <c r="C828" s="953" t="str">
        <f t="shared" si="147"/>
        <v>T12</v>
      </c>
      <c r="D828" s="953" t="str">
        <f t="shared" si="148"/>
        <v>D1</v>
      </c>
      <c r="E828" s="953">
        <f t="shared" si="149"/>
        <v>17</v>
      </c>
      <c r="F828" s="953">
        <f t="shared" si="150"/>
        <v>-4.0870000000000004E-3</v>
      </c>
      <c r="G828" s="953">
        <f t="shared" si="151"/>
        <v>-4.2099999999999999E-4</v>
      </c>
      <c r="H828" s="953">
        <f t="shared" si="152"/>
        <v>0</v>
      </c>
      <c r="I828" s="953">
        <f t="shared" si="153"/>
        <v>0</v>
      </c>
      <c r="J828" s="953">
        <f t="shared" si="154"/>
        <v>0</v>
      </c>
      <c r="K828" s="953">
        <f t="shared" si="155"/>
        <v>6.0000000000000002E-6</v>
      </c>
      <c r="L828" s="570" t="str">
        <f t="shared" si="156"/>
        <v>Modal 17</v>
      </c>
      <c r="M828" s="570">
        <f t="shared" si="157"/>
        <v>17</v>
      </c>
    </row>
    <row r="829" spans="1:13">
      <c r="A829" s="570" t="str">
        <f t="shared" si="146"/>
        <v>T1218</v>
      </c>
      <c r="C829" s="953" t="str">
        <f t="shared" si="147"/>
        <v>T12</v>
      </c>
      <c r="D829" s="953" t="str">
        <f t="shared" si="148"/>
        <v>D1</v>
      </c>
      <c r="E829" s="953">
        <f t="shared" si="149"/>
        <v>18</v>
      </c>
      <c r="F829" s="953">
        <f t="shared" si="150"/>
        <v>4.8500000000000003E-4</v>
      </c>
      <c r="G829" s="953">
        <f t="shared" si="151"/>
        <v>-5.2110000000000004E-3</v>
      </c>
      <c r="H829" s="953">
        <f t="shared" si="152"/>
        <v>0</v>
      </c>
      <c r="I829" s="953">
        <f t="shared" si="153"/>
        <v>0</v>
      </c>
      <c r="J829" s="953">
        <f t="shared" si="154"/>
        <v>0</v>
      </c>
      <c r="K829" s="953">
        <f t="shared" si="155"/>
        <v>4.8999999999999998E-5</v>
      </c>
      <c r="L829" s="570" t="str">
        <f t="shared" si="156"/>
        <v>Modal 18</v>
      </c>
      <c r="M829" s="570">
        <f t="shared" si="157"/>
        <v>18</v>
      </c>
    </row>
    <row r="830" spans="1:13">
      <c r="A830" s="570" t="str">
        <f t="shared" si="146"/>
        <v>T1219</v>
      </c>
      <c r="C830" s="953" t="str">
        <f t="shared" si="147"/>
        <v>T12</v>
      </c>
      <c r="D830" s="953" t="str">
        <f t="shared" si="148"/>
        <v>D1</v>
      </c>
      <c r="E830" s="953">
        <f t="shared" si="149"/>
        <v>19</v>
      </c>
      <c r="F830" s="953">
        <f t="shared" si="150"/>
        <v>3.3399999999999999E-4</v>
      </c>
      <c r="G830" s="953">
        <f t="shared" si="151"/>
        <v>-9.7999999999999997E-4</v>
      </c>
      <c r="H830" s="953">
        <f t="shared" si="152"/>
        <v>0</v>
      </c>
      <c r="I830" s="953">
        <f t="shared" si="153"/>
        <v>0</v>
      </c>
      <c r="J830" s="953">
        <f t="shared" si="154"/>
        <v>0</v>
      </c>
      <c r="K830" s="953">
        <f t="shared" si="155"/>
        <v>-2.1599999999999999E-4</v>
      </c>
      <c r="L830" s="570" t="str">
        <f t="shared" si="156"/>
        <v>Modal 19</v>
      </c>
      <c r="M830" s="570">
        <f t="shared" si="157"/>
        <v>19</v>
      </c>
    </row>
    <row r="831" spans="1:13">
      <c r="A831" s="570" t="str">
        <f t="shared" si="146"/>
        <v>T1220</v>
      </c>
      <c r="C831" s="953" t="str">
        <f t="shared" si="147"/>
        <v>T12</v>
      </c>
      <c r="D831" s="953" t="str">
        <f t="shared" si="148"/>
        <v>D1</v>
      </c>
      <c r="E831" s="953">
        <f t="shared" si="149"/>
        <v>20</v>
      </c>
      <c r="F831" s="953">
        <f t="shared" si="150"/>
        <v>-5.019E-3</v>
      </c>
      <c r="G831" s="953">
        <f t="shared" si="151"/>
        <v>-4.3800000000000002E-4</v>
      </c>
      <c r="H831" s="953">
        <f t="shared" si="152"/>
        <v>0</v>
      </c>
      <c r="I831" s="953">
        <f t="shared" si="153"/>
        <v>0</v>
      </c>
      <c r="J831" s="953">
        <f t="shared" si="154"/>
        <v>0</v>
      </c>
      <c r="K831" s="953">
        <f t="shared" si="155"/>
        <v>-5.0000000000000004E-6</v>
      </c>
      <c r="L831" s="570" t="str">
        <f t="shared" si="156"/>
        <v>Modal 20</v>
      </c>
      <c r="M831" s="570">
        <f t="shared" si="157"/>
        <v>20</v>
      </c>
    </row>
    <row r="832" spans="1:13">
      <c r="A832" s="570" t="str">
        <f t="shared" si="146"/>
        <v>T1221</v>
      </c>
      <c r="C832" s="953" t="str">
        <f t="shared" si="147"/>
        <v>T12</v>
      </c>
      <c r="D832" s="953" t="str">
        <f t="shared" si="148"/>
        <v>D1</v>
      </c>
      <c r="E832" s="953">
        <f t="shared" si="149"/>
        <v>21</v>
      </c>
      <c r="F832" s="953">
        <f t="shared" si="150"/>
        <v>4.8299999999999998E-4</v>
      </c>
      <c r="G832" s="953">
        <f t="shared" si="151"/>
        <v>-1.1609999999999999E-3</v>
      </c>
      <c r="H832" s="953">
        <f t="shared" si="152"/>
        <v>0</v>
      </c>
      <c r="I832" s="953">
        <f t="shared" si="153"/>
        <v>0</v>
      </c>
      <c r="J832" s="953">
        <f t="shared" si="154"/>
        <v>0</v>
      </c>
      <c r="K832" s="953">
        <f t="shared" si="155"/>
        <v>1.9000000000000001E-5</v>
      </c>
      <c r="L832" s="570" t="str">
        <f t="shared" si="156"/>
        <v>Modal 21</v>
      </c>
      <c r="M832" s="570">
        <f t="shared" si="157"/>
        <v>21</v>
      </c>
    </row>
    <row r="833" spans="1:13">
      <c r="A833" s="570" t="str">
        <f t="shared" si="146"/>
        <v>T1222</v>
      </c>
      <c r="C833" s="953" t="str">
        <f t="shared" si="147"/>
        <v>T12</v>
      </c>
      <c r="D833" s="953" t="str">
        <f t="shared" si="148"/>
        <v>D1</v>
      </c>
      <c r="E833" s="953">
        <f t="shared" si="149"/>
        <v>22</v>
      </c>
      <c r="F833" s="953">
        <f t="shared" si="150"/>
        <v>1.0690000000000001E-3</v>
      </c>
      <c r="G833" s="953">
        <f t="shared" si="151"/>
        <v>-3.3500000000000001E-4</v>
      </c>
      <c r="H833" s="953">
        <f t="shared" si="152"/>
        <v>0</v>
      </c>
      <c r="I833" s="953">
        <f t="shared" si="153"/>
        <v>0</v>
      </c>
      <c r="J833" s="953">
        <f t="shared" si="154"/>
        <v>0</v>
      </c>
      <c r="K833" s="953">
        <f t="shared" si="155"/>
        <v>1.1900000000000001E-4</v>
      </c>
      <c r="L833" s="570" t="str">
        <f t="shared" si="156"/>
        <v>Modal 22</v>
      </c>
      <c r="M833" s="570">
        <f t="shared" si="157"/>
        <v>22</v>
      </c>
    </row>
    <row r="834" spans="1:13">
      <c r="A834" s="570" t="str">
        <f t="shared" ref="A834:A897" si="158">C834&amp;E834</f>
        <v>T1223</v>
      </c>
      <c r="C834" s="953" t="str">
        <f t="shared" ref="C834:C897" si="159">IF(Etabs="Etabs 9.7.4",IF(INDEX(Mode_1,ROW($E834),COLUMN(A$1))&lt;&gt;"",INDEX(Mode_1,ROW($E834),COLUMN(A$1)),""),IF(Etabs="Etabs 2013 trở lên",IF(INDEX(Mode_2,ROW($E836),COLUMN(A$1))&lt;&gt;"",INDEX(Mode_2,ROW($E836),COLUMN(A$1)),""),""))</f>
        <v>T12</v>
      </c>
      <c r="D834" s="953" t="str">
        <f t="shared" ref="D834:D897" si="160">IF(Etabs="Etabs 9.7.4",IF(INDEX(Mode_1,ROW($E834),COLUMN(B$1))&lt;&gt;"",INDEX(Mode_1,ROW($E834),COLUMN(B$1)),""),IF(Etabs="Etabs 2013 trở lên",IF(INDEX(Mode_2,ROW($E836),COLUMN(B$1))&lt;&gt;"",INDEX(Mode_2,ROW($E836),COLUMN(B$1)),""),""))</f>
        <v>D1</v>
      </c>
      <c r="E834" s="953">
        <f t="shared" ref="E834:E897" si="161">IF(Etabs="Etabs 9.7.4",IF(INDEX(Mode_1,ROW($E834),COLUMN(C$1))&lt;&gt;"",INDEX(Mode_1,ROW($E834),COLUMN(C$1)),""),IF(Etabs="Etabs 2013 trở lên",$M834,""))</f>
        <v>23</v>
      </c>
      <c r="F834" s="953">
        <f t="shared" ref="F834:F897" si="162">IF(Etabs="Etabs 9.7.4",IF(INDEX(Mode_1,ROW($E834),COLUMN(D$1))&lt;&gt;"",INDEX(Mode_1,ROW($E834),COLUMN(D$1)),""),IF(Etabs="Etabs 2013 trở lên",IF(INDEX(Mode_2,ROW($E836),COLUMN(D$1))&lt;&gt;"",INDEX(Mode_2,ROW($E836),COLUMN(D$1)),""),""))</f>
        <v>9.8799999999999995E-4</v>
      </c>
      <c r="G834" s="953">
        <f t="shared" ref="G834:G897" si="163">IF(Etabs="Etabs 9.7.4",IF(INDEX(Mode_1,ROW($E834),COLUMN(E$1))&lt;&gt;"",INDEX(Mode_1,ROW($E834),COLUMN(E$1)),""),IF(Etabs="Etabs 2013 trở lên",IF(INDEX(Mode_2,ROW($E836),COLUMN(E$1))&lt;&gt;"",INDEX(Mode_2,ROW($E836),COLUMN(E$1)),""),""))</f>
        <v>-3.075E-3</v>
      </c>
      <c r="H834" s="953">
        <f t="shared" ref="H834:H897" si="164">IF(Etabs="Etabs 9.7.4",IF(INDEX(Mode_1,ROW($E834),COLUMN(F$1))&lt;&gt;"",INDEX(Mode_1,ROW($E834),COLUMN(F$1)),""),IF(Etabs="Etabs 2013 trở lên",0,""))</f>
        <v>0</v>
      </c>
      <c r="I834" s="953">
        <f t="shared" ref="I834:I897" si="165">IF(Etabs="Etabs 9.7.4",IF(INDEX(Mode_1,ROW($E834),COLUMN(G$1))&lt;&gt;"",INDEX(Mode_1,ROW($E834),COLUMN(G$1)),""),IF(Etabs="Etabs 2013 trở lên",0,""))</f>
        <v>0</v>
      </c>
      <c r="J834" s="953">
        <f t="shared" ref="J834:J897" si="166">IF(Etabs="Etabs 9.7.4",IF(INDEX(Mode_1,ROW($E834),COLUMN(H$1))&lt;&gt;"",INDEX(Mode_1,ROW($E834),COLUMN(H$1)),""),IF(Etabs="Etabs 2013 trở lên",0,""))</f>
        <v>0</v>
      </c>
      <c r="K834" s="953">
        <f t="shared" ref="K834:K897" si="167">IF(Etabs="Etabs 9.7.4",IF(INDEX(Mode_1,ROW($E834),COLUMN(I$1))&lt;&gt;"",INDEX(Mode_1,ROW($E834),COLUMN(I$1)),""),IF(Etabs="Etabs 2013 trở lên",IF(INDEX(Mode_2,ROW($E836),COLUMN(F$1))&lt;&gt;"",INDEX(Mode_2,ROW($E836),COLUMN(F$1)),""),""))</f>
        <v>7.2000000000000002E-5</v>
      </c>
      <c r="L834" s="570" t="str">
        <f t="shared" ref="L834:L897" si="168">IF(Etabs="Etabs 9.7.4",IF(INDEX(Mode_1,ROW($E834),COLUMN(C$1))&lt;&gt;"",INDEX(Mode_1,ROW($E834),COLUMN(C$1)),""),IF(Etabs="Etabs 2013 trở lên",IF(INDEX(Mode_2,ROW($E836),COLUMN(C$1))&lt;&gt;"",INDEX(Mode_2,ROW($E836),COLUMN(C$1)),""),""))</f>
        <v>Modal 23</v>
      </c>
      <c r="M834" s="570">
        <f t="shared" si="157"/>
        <v>23</v>
      </c>
    </row>
    <row r="835" spans="1:13">
      <c r="A835" s="570" t="str">
        <f t="shared" si="158"/>
        <v>T1224</v>
      </c>
      <c r="C835" s="953" t="str">
        <f t="shared" si="159"/>
        <v>T12</v>
      </c>
      <c r="D835" s="953" t="str">
        <f t="shared" si="160"/>
        <v>D1</v>
      </c>
      <c r="E835" s="953">
        <f t="shared" si="161"/>
        <v>24</v>
      </c>
      <c r="F835" s="953">
        <f t="shared" si="162"/>
        <v>-1.8320000000000001E-3</v>
      </c>
      <c r="G835" s="953">
        <f t="shared" si="163"/>
        <v>-4.0130000000000001E-3</v>
      </c>
      <c r="H835" s="953">
        <f t="shared" si="164"/>
        <v>0</v>
      </c>
      <c r="I835" s="953">
        <f t="shared" si="165"/>
        <v>0</v>
      </c>
      <c r="J835" s="953">
        <f t="shared" si="166"/>
        <v>0</v>
      </c>
      <c r="K835" s="953">
        <f t="shared" si="167"/>
        <v>-5.1E-5</v>
      </c>
      <c r="L835" s="570" t="str">
        <f t="shared" si="168"/>
        <v>Modal 24</v>
      </c>
      <c r="M835" s="570">
        <f t="shared" ref="M835:M898" si="169">IFERROR(VALUE(RIGHT(L835,LEN(L835)-6)),"")</f>
        <v>24</v>
      </c>
    </row>
    <row r="836" spans="1:13">
      <c r="A836" s="570" t="str">
        <f t="shared" si="158"/>
        <v>T1225</v>
      </c>
      <c r="C836" s="953" t="str">
        <f t="shared" si="159"/>
        <v>T12</v>
      </c>
      <c r="D836" s="953" t="str">
        <f t="shared" si="160"/>
        <v>D1</v>
      </c>
      <c r="E836" s="953">
        <f t="shared" si="161"/>
        <v>25</v>
      </c>
      <c r="F836" s="953">
        <f t="shared" si="162"/>
        <v>-4.5919999999999997E-3</v>
      </c>
      <c r="G836" s="953">
        <f t="shared" si="163"/>
        <v>2.1120000000000002E-3</v>
      </c>
      <c r="H836" s="953">
        <f t="shared" si="164"/>
        <v>0</v>
      </c>
      <c r="I836" s="953">
        <f t="shared" si="165"/>
        <v>0</v>
      </c>
      <c r="J836" s="953">
        <f t="shared" si="166"/>
        <v>0</v>
      </c>
      <c r="K836" s="953">
        <f t="shared" si="167"/>
        <v>2.5999999999999998E-5</v>
      </c>
      <c r="L836" s="570" t="str">
        <f t="shared" si="168"/>
        <v>Modal 25</v>
      </c>
      <c r="M836" s="570">
        <f t="shared" si="169"/>
        <v>25</v>
      </c>
    </row>
    <row r="837" spans="1:13">
      <c r="A837" s="570" t="str">
        <f t="shared" si="158"/>
        <v>T1226</v>
      </c>
      <c r="C837" s="953" t="str">
        <f t="shared" si="159"/>
        <v>T12</v>
      </c>
      <c r="D837" s="953" t="str">
        <f t="shared" si="160"/>
        <v>D1</v>
      </c>
      <c r="E837" s="953">
        <f t="shared" si="161"/>
        <v>26</v>
      </c>
      <c r="F837" s="953">
        <f t="shared" si="162"/>
        <v>-2.8540000000000002E-3</v>
      </c>
      <c r="G837" s="953">
        <f t="shared" si="163"/>
        <v>-1.4840000000000001E-3</v>
      </c>
      <c r="H837" s="953">
        <f t="shared" si="164"/>
        <v>0</v>
      </c>
      <c r="I837" s="953">
        <f t="shared" si="165"/>
        <v>0</v>
      </c>
      <c r="J837" s="953">
        <f t="shared" si="166"/>
        <v>0</v>
      </c>
      <c r="K837" s="953">
        <f t="shared" si="167"/>
        <v>-9.0000000000000002E-6</v>
      </c>
      <c r="L837" s="570" t="str">
        <f t="shared" si="168"/>
        <v>Modal 26</v>
      </c>
      <c r="M837" s="570">
        <f t="shared" si="169"/>
        <v>26</v>
      </c>
    </row>
    <row r="838" spans="1:13">
      <c r="A838" s="570" t="str">
        <f t="shared" si="158"/>
        <v>T1227</v>
      </c>
      <c r="C838" s="953" t="str">
        <f t="shared" si="159"/>
        <v>T12</v>
      </c>
      <c r="D838" s="953" t="str">
        <f t="shared" si="160"/>
        <v>D1</v>
      </c>
      <c r="E838" s="953">
        <f t="shared" si="161"/>
        <v>27</v>
      </c>
      <c r="F838" s="953">
        <f t="shared" si="162"/>
        <v>-3.4099999999999998E-3</v>
      </c>
      <c r="G838" s="953">
        <f t="shared" si="163"/>
        <v>3.1099999999999999E-3</v>
      </c>
      <c r="H838" s="953">
        <f t="shared" si="164"/>
        <v>0</v>
      </c>
      <c r="I838" s="953">
        <f t="shared" si="165"/>
        <v>0</v>
      </c>
      <c r="J838" s="953">
        <f t="shared" si="166"/>
        <v>0</v>
      </c>
      <c r="K838" s="953">
        <f t="shared" si="167"/>
        <v>3.1999999999999999E-5</v>
      </c>
      <c r="L838" s="570" t="str">
        <f t="shared" si="168"/>
        <v>Modal 27</v>
      </c>
      <c r="M838" s="570">
        <f t="shared" si="169"/>
        <v>27</v>
      </c>
    </row>
    <row r="839" spans="1:13">
      <c r="A839" s="570" t="str">
        <f t="shared" si="158"/>
        <v>T1228</v>
      </c>
      <c r="C839" s="953" t="str">
        <f t="shared" si="159"/>
        <v>T12</v>
      </c>
      <c r="D839" s="953" t="str">
        <f t="shared" si="160"/>
        <v>D1</v>
      </c>
      <c r="E839" s="953">
        <f t="shared" si="161"/>
        <v>28</v>
      </c>
      <c r="F839" s="953">
        <f t="shared" si="162"/>
        <v>-2.921E-3</v>
      </c>
      <c r="G839" s="953">
        <f t="shared" si="163"/>
        <v>-4.2220000000000001E-3</v>
      </c>
      <c r="H839" s="953">
        <f t="shared" si="164"/>
        <v>0</v>
      </c>
      <c r="I839" s="953">
        <f t="shared" si="165"/>
        <v>0</v>
      </c>
      <c r="J839" s="953">
        <f t="shared" si="166"/>
        <v>0</v>
      </c>
      <c r="K839" s="953">
        <f t="shared" si="167"/>
        <v>7.9999999999999996E-6</v>
      </c>
      <c r="L839" s="570" t="str">
        <f t="shared" si="168"/>
        <v>Modal 28</v>
      </c>
      <c r="M839" s="570">
        <f t="shared" si="169"/>
        <v>28</v>
      </c>
    </row>
    <row r="840" spans="1:13">
      <c r="A840" s="570" t="str">
        <f t="shared" si="158"/>
        <v>T1229</v>
      </c>
      <c r="C840" s="953" t="str">
        <f t="shared" si="159"/>
        <v>T12</v>
      </c>
      <c r="D840" s="953" t="str">
        <f t="shared" si="160"/>
        <v>D1</v>
      </c>
      <c r="E840" s="953">
        <f t="shared" si="161"/>
        <v>29</v>
      </c>
      <c r="F840" s="953">
        <f t="shared" si="162"/>
        <v>7.8100000000000001E-4</v>
      </c>
      <c r="G840" s="953">
        <f t="shared" si="163"/>
        <v>-1.24E-3</v>
      </c>
      <c r="H840" s="953">
        <f t="shared" si="164"/>
        <v>0</v>
      </c>
      <c r="I840" s="953">
        <f t="shared" si="165"/>
        <v>0</v>
      </c>
      <c r="J840" s="953">
        <f t="shared" si="166"/>
        <v>0</v>
      </c>
      <c r="K840" s="953">
        <f t="shared" si="167"/>
        <v>-3.8999999999999999E-5</v>
      </c>
      <c r="L840" s="570" t="str">
        <f t="shared" si="168"/>
        <v>Modal 29</v>
      </c>
      <c r="M840" s="570">
        <f t="shared" si="169"/>
        <v>29</v>
      </c>
    </row>
    <row r="841" spans="1:13">
      <c r="A841" s="570" t="str">
        <f t="shared" si="158"/>
        <v>T1230</v>
      </c>
      <c r="C841" s="953" t="str">
        <f t="shared" si="159"/>
        <v>T12</v>
      </c>
      <c r="D841" s="953" t="str">
        <f t="shared" si="160"/>
        <v>D1</v>
      </c>
      <c r="E841" s="953">
        <f t="shared" si="161"/>
        <v>30</v>
      </c>
      <c r="F841" s="953">
        <f t="shared" si="162"/>
        <v>1.0380000000000001E-3</v>
      </c>
      <c r="G841" s="953">
        <f t="shared" si="163"/>
        <v>3.0409999999999999E-3</v>
      </c>
      <c r="H841" s="953">
        <f t="shared" si="164"/>
        <v>0</v>
      </c>
      <c r="I841" s="953">
        <f t="shared" si="165"/>
        <v>0</v>
      </c>
      <c r="J841" s="953">
        <f t="shared" si="166"/>
        <v>0</v>
      </c>
      <c r="K841" s="953">
        <f t="shared" si="167"/>
        <v>-1.4E-5</v>
      </c>
      <c r="L841" s="570" t="str">
        <f t="shared" si="168"/>
        <v>Modal 30</v>
      </c>
      <c r="M841" s="570">
        <f t="shared" si="169"/>
        <v>30</v>
      </c>
    </row>
    <row r="842" spans="1:13">
      <c r="A842" s="570" t="str">
        <f t="shared" si="158"/>
        <v>T111</v>
      </c>
      <c r="C842" s="953" t="str">
        <f t="shared" si="159"/>
        <v>T11</v>
      </c>
      <c r="D842" s="953" t="str">
        <f t="shared" si="160"/>
        <v>D1</v>
      </c>
      <c r="E842" s="953">
        <f t="shared" si="161"/>
        <v>1</v>
      </c>
      <c r="F842" s="953">
        <f t="shared" si="162"/>
        <v>-2.6200000000000003E-4</v>
      </c>
      <c r="G842" s="953">
        <f t="shared" si="163"/>
        <v>1.361E-3</v>
      </c>
      <c r="H842" s="953">
        <f t="shared" si="164"/>
        <v>0</v>
      </c>
      <c r="I842" s="953">
        <f t="shared" si="165"/>
        <v>0</v>
      </c>
      <c r="J842" s="953">
        <f t="shared" si="166"/>
        <v>0</v>
      </c>
      <c r="K842" s="953">
        <f t="shared" si="167"/>
        <v>1.5E-5</v>
      </c>
      <c r="L842" s="570" t="str">
        <f t="shared" si="168"/>
        <v>Modal 1</v>
      </c>
      <c r="M842" s="570">
        <f t="shared" si="169"/>
        <v>1</v>
      </c>
    </row>
    <row r="843" spans="1:13">
      <c r="A843" s="570" t="str">
        <f t="shared" si="158"/>
        <v>T112</v>
      </c>
      <c r="C843" s="953" t="str">
        <f t="shared" si="159"/>
        <v>T11</v>
      </c>
      <c r="D843" s="953" t="str">
        <f t="shared" si="160"/>
        <v>D1</v>
      </c>
      <c r="E843" s="953">
        <f t="shared" si="161"/>
        <v>2</v>
      </c>
      <c r="F843" s="953">
        <f t="shared" si="162"/>
        <v>-2.4899999999999998E-4</v>
      </c>
      <c r="G843" s="953">
        <f t="shared" si="163"/>
        <v>-2.8800000000000001E-4</v>
      </c>
      <c r="H843" s="953">
        <f t="shared" si="164"/>
        <v>0</v>
      </c>
      <c r="I843" s="953">
        <f t="shared" si="165"/>
        <v>0</v>
      </c>
      <c r="J843" s="953">
        <f t="shared" si="166"/>
        <v>0</v>
      </c>
      <c r="K843" s="953">
        <f t="shared" si="167"/>
        <v>8.7999999999999998E-5</v>
      </c>
      <c r="L843" s="570" t="str">
        <f t="shared" si="168"/>
        <v>Modal 2</v>
      </c>
      <c r="M843" s="570">
        <f t="shared" si="169"/>
        <v>2</v>
      </c>
    </row>
    <row r="844" spans="1:13">
      <c r="A844" s="570" t="str">
        <f t="shared" si="158"/>
        <v>T113</v>
      </c>
      <c r="C844" s="953" t="str">
        <f t="shared" si="159"/>
        <v>T11</v>
      </c>
      <c r="D844" s="953" t="str">
        <f t="shared" si="160"/>
        <v>D1</v>
      </c>
      <c r="E844" s="953">
        <f t="shared" si="161"/>
        <v>3</v>
      </c>
      <c r="F844" s="953">
        <f t="shared" si="162"/>
        <v>1.5349999999999999E-3</v>
      </c>
      <c r="G844" s="953">
        <f t="shared" si="163"/>
        <v>2.7700000000000001E-4</v>
      </c>
      <c r="H844" s="953">
        <f t="shared" si="164"/>
        <v>0</v>
      </c>
      <c r="I844" s="953">
        <f t="shared" si="165"/>
        <v>0</v>
      </c>
      <c r="J844" s="953">
        <f t="shared" si="166"/>
        <v>0</v>
      </c>
      <c r="K844" s="953">
        <f t="shared" si="167"/>
        <v>1.5999999999999999E-5</v>
      </c>
      <c r="L844" s="570" t="str">
        <f t="shared" si="168"/>
        <v>Modal 3</v>
      </c>
      <c r="M844" s="570">
        <f t="shared" si="169"/>
        <v>3</v>
      </c>
    </row>
    <row r="845" spans="1:13">
      <c r="A845" s="570" t="str">
        <f t="shared" si="158"/>
        <v>T114</v>
      </c>
      <c r="C845" s="953" t="str">
        <f t="shared" si="159"/>
        <v>T11</v>
      </c>
      <c r="D845" s="953" t="str">
        <f t="shared" si="160"/>
        <v>D1</v>
      </c>
      <c r="E845" s="953">
        <f t="shared" si="161"/>
        <v>4</v>
      </c>
      <c r="F845" s="953">
        <f t="shared" si="162"/>
        <v>-7.0600000000000003E-4</v>
      </c>
      <c r="G845" s="953">
        <f t="shared" si="163"/>
        <v>2.5999999999999998E-5</v>
      </c>
      <c r="H845" s="953">
        <f t="shared" si="164"/>
        <v>0</v>
      </c>
      <c r="I845" s="953">
        <f t="shared" si="165"/>
        <v>0</v>
      </c>
      <c r="J845" s="953">
        <f t="shared" si="166"/>
        <v>0</v>
      </c>
      <c r="K845" s="953">
        <f t="shared" si="167"/>
        <v>2.41E-4</v>
      </c>
      <c r="L845" s="570" t="str">
        <f t="shared" si="168"/>
        <v>Modal 4</v>
      </c>
      <c r="M845" s="570">
        <f t="shared" si="169"/>
        <v>4</v>
      </c>
    </row>
    <row r="846" spans="1:13">
      <c r="A846" s="570" t="str">
        <f t="shared" si="158"/>
        <v>T115</v>
      </c>
      <c r="C846" s="953" t="str">
        <f t="shared" si="159"/>
        <v>T11</v>
      </c>
      <c r="D846" s="953" t="str">
        <f t="shared" si="160"/>
        <v>D1</v>
      </c>
      <c r="E846" s="953">
        <f t="shared" si="161"/>
        <v>5</v>
      </c>
      <c r="F846" s="953">
        <f t="shared" si="162"/>
        <v>5.7499999999999999E-4</v>
      </c>
      <c r="G846" s="953">
        <f t="shared" si="163"/>
        <v>-4.6940000000000003E-3</v>
      </c>
      <c r="H846" s="953">
        <f t="shared" si="164"/>
        <v>0</v>
      </c>
      <c r="I846" s="953">
        <f t="shared" si="165"/>
        <v>0</v>
      </c>
      <c r="J846" s="953">
        <f t="shared" si="166"/>
        <v>0</v>
      </c>
      <c r="K846" s="953">
        <f t="shared" si="167"/>
        <v>6.9999999999999999E-6</v>
      </c>
      <c r="L846" s="570" t="str">
        <f t="shared" si="168"/>
        <v>Modal 5</v>
      </c>
      <c r="M846" s="570">
        <f t="shared" si="169"/>
        <v>5</v>
      </c>
    </row>
    <row r="847" spans="1:13">
      <c r="A847" s="570" t="str">
        <f t="shared" si="158"/>
        <v>T116</v>
      </c>
      <c r="C847" s="953" t="str">
        <f t="shared" si="159"/>
        <v>T11</v>
      </c>
      <c r="D847" s="953" t="str">
        <f t="shared" si="160"/>
        <v>D1</v>
      </c>
      <c r="E847" s="953">
        <f t="shared" si="161"/>
        <v>6</v>
      </c>
      <c r="F847" s="953">
        <f t="shared" si="162"/>
        <v>-4.692E-3</v>
      </c>
      <c r="G847" s="953">
        <f t="shared" si="163"/>
        <v>-6.0499999999999996E-4</v>
      </c>
      <c r="H847" s="953">
        <f t="shared" si="164"/>
        <v>0</v>
      </c>
      <c r="I847" s="953">
        <f t="shared" si="165"/>
        <v>0</v>
      </c>
      <c r="J847" s="953">
        <f t="shared" si="166"/>
        <v>0</v>
      </c>
      <c r="K847" s="953">
        <f t="shared" si="167"/>
        <v>-3.8999999999999999E-5</v>
      </c>
      <c r="L847" s="570" t="str">
        <f t="shared" si="168"/>
        <v>Modal 6</v>
      </c>
      <c r="M847" s="570">
        <f t="shared" si="169"/>
        <v>6</v>
      </c>
    </row>
    <row r="848" spans="1:13">
      <c r="A848" s="570" t="str">
        <f t="shared" si="158"/>
        <v>T117</v>
      </c>
      <c r="C848" s="953" t="str">
        <f t="shared" si="159"/>
        <v>T11</v>
      </c>
      <c r="D848" s="953" t="str">
        <f t="shared" si="160"/>
        <v>D1</v>
      </c>
      <c r="E848" s="953">
        <f t="shared" si="161"/>
        <v>7</v>
      </c>
      <c r="F848" s="953">
        <f t="shared" si="162"/>
        <v>7.8700000000000005E-4</v>
      </c>
      <c r="G848" s="953">
        <f t="shared" si="163"/>
        <v>3.4E-5</v>
      </c>
      <c r="H848" s="953">
        <f t="shared" si="164"/>
        <v>0</v>
      </c>
      <c r="I848" s="953">
        <f t="shared" si="165"/>
        <v>0</v>
      </c>
      <c r="J848" s="953">
        <f t="shared" si="166"/>
        <v>0</v>
      </c>
      <c r="K848" s="953">
        <f t="shared" si="167"/>
        <v>-2.6699999999999998E-4</v>
      </c>
      <c r="L848" s="570" t="str">
        <f t="shared" si="168"/>
        <v>Modal 7</v>
      </c>
      <c r="M848" s="570">
        <f t="shared" si="169"/>
        <v>7</v>
      </c>
    </row>
    <row r="849" spans="1:13">
      <c r="A849" s="570" t="str">
        <f t="shared" si="158"/>
        <v>T118</v>
      </c>
      <c r="C849" s="953" t="str">
        <f t="shared" si="159"/>
        <v>T11</v>
      </c>
      <c r="D849" s="953" t="str">
        <f t="shared" si="160"/>
        <v>D1</v>
      </c>
      <c r="E849" s="953">
        <f t="shared" si="161"/>
        <v>8</v>
      </c>
      <c r="F849" s="953">
        <f t="shared" si="162"/>
        <v>5.9299999999999999E-4</v>
      </c>
      <c r="G849" s="953">
        <f t="shared" si="163"/>
        <v>-5.7609999999999996E-3</v>
      </c>
      <c r="H849" s="953">
        <f t="shared" si="164"/>
        <v>0</v>
      </c>
      <c r="I849" s="953">
        <f t="shared" si="165"/>
        <v>0</v>
      </c>
      <c r="J849" s="953">
        <f t="shared" si="166"/>
        <v>0</v>
      </c>
      <c r="K849" s="953">
        <f t="shared" si="167"/>
        <v>3.9999999999999998E-6</v>
      </c>
      <c r="L849" s="570" t="str">
        <f t="shared" si="168"/>
        <v>Modal 8</v>
      </c>
      <c r="M849" s="570">
        <f t="shared" si="169"/>
        <v>8</v>
      </c>
    </row>
    <row r="850" spans="1:13">
      <c r="A850" s="570" t="str">
        <f t="shared" si="158"/>
        <v>T119</v>
      </c>
      <c r="C850" s="953" t="str">
        <f t="shared" si="159"/>
        <v>T11</v>
      </c>
      <c r="D850" s="953" t="str">
        <f t="shared" si="160"/>
        <v>D1</v>
      </c>
      <c r="E850" s="953">
        <f t="shared" si="161"/>
        <v>9</v>
      </c>
      <c r="F850" s="953">
        <f t="shared" si="162"/>
        <v>2.6200000000000003E-4</v>
      </c>
      <c r="G850" s="953">
        <f t="shared" si="163"/>
        <v>3.9999999999999998E-6</v>
      </c>
      <c r="H850" s="953">
        <f t="shared" si="164"/>
        <v>0</v>
      </c>
      <c r="I850" s="953">
        <f t="shared" si="165"/>
        <v>0</v>
      </c>
      <c r="J850" s="953">
        <f t="shared" si="166"/>
        <v>0</v>
      </c>
      <c r="K850" s="953">
        <f t="shared" si="167"/>
        <v>1.2E-4</v>
      </c>
      <c r="L850" s="570" t="str">
        <f t="shared" si="168"/>
        <v>Modal 9</v>
      </c>
      <c r="M850" s="570">
        <f t="shared" si="169"/>
        <v>9</v>
      </c>
    </row>
    <row r="851" spans="1:13">
      <c r="A851" s="570" t="str">
        <f t="shared" si="158"/>
        <v>T1110</v>
      </c>
      <c r="C851" s="953" t="str">
        <f t="shared" si="159"/>
        <v>T11</v>
      </c>
      <c r="D851" s="953" t="str">
        <f t="shared" si="160"/>
        <v>D1</v>
      </c>
      <c r="E851" s="953">
        <f t="shared" si="161"/>
        <v>10</v>
      </c>
      <c r="F851" s="953">
        <f t="shared" si="162"/>
        <v>-5.6360000000000004E-3</v>
      </c>
      <c r="G851" s="953">
        <f t="shared" si="163"/>
        <v>-5.5599999999999996E-4</v>
      </c>
      <c r="H851" s="953">
        <f t="shared" si="164"/>
        <v>0</v>
      </c>
      <c r="I851" s="953">
        <f t="shared" si="165"/>
        <v>0</v>
      </c>
      <c r="J851" s="953">
        <f t="shared" si="166"/>
        <v>0</v>
      </c>
      <c r="K851" s="953">
        <f t="shared" si="167"/>
        <v>-1.7E-5</v>
      </c>
      <c r="L851" s="570" t="str">
        <f t="shared" si="168"/>
        <v>Modal 10</v>
      </c>
      <c r="M851" s="570">
        <f t="shared" si="169"/>
        <v>10</v>
      </c>
    </row>
    <row r="852" spans="1:13">
      <c r="A852" s="570" t="str">
        <f t="shared" si="158"/>
        <v>T1111</v>
      </c>
      <c r="C852" s="953" t="str">
        <f t="shared" si="159"/>
        <v>T11</v>
      </c>
      <c r="D852" s="953" t="str">
        <f t="shared" si="160"/>
        <v>D1</v>
      </c>
      <c r="E852" s="953">
        <f t="shared" si="161"/>
        <v>11</v>
      </c>
      <c r="F852" s="953">
        <f t="shared" si="162"/>
        <v>1.0399999999999999E-4</v>
      </c>
      <c r="G852" s="953">
        <f t="shared" si="163"/>
        <v>8.9300000000000002E-4</v>
      </c>
      <c r="H852" s="953">
        <f t="shared" si="164"/>
        <v>0</v>
      </c>
      <c r="I852" s="953">
        <f t="shared" si="165"/>
        <v>0</v>
      </c>
      <c r="J852" s="953">
        <f t="shared" si="166"/>
        <v>0</v>
      </c>
      <c r="K852" s="953">
        <f t="shared" si="167"/>
        <v>-1.08E-4</v>
      </c>
      <c r="L852" s="570" t="str">
        <f t="shared" si="168"/>
        <v>Modal 11</v>
      </c>
      <c r="M852" s="570">
        <f t="shared" si="169"/>
        <v>11</v>
      </c>
    </row>
    <row r="853" spans="1:13">
      <c r="A853" s="570" t="str">
        <f t="shared" si="158"/>
        <v>T1112</v>
      </c>
      <c r="C853" s="953" t="str">
        <f t="shared" si="159"/>
        <v>T11</v>
      </c>
      <c r="D853" s="953" t="str">
        <f t="shared" si="160"/>
        <v>D1</v>
      </c>
      <c r="E853" s="953">
        <f t="shared" si="161"/>
        <v>12</v>
      </c>
      <c r="F853" s="953">
        <f t="shared" si="162"/>
        <v>3.2400000000000001E-4</v>
      </c>
      <c r="G853" s="953">
        <f t="shared" si="163"/>
        <v>-2.477E-3</v>
      </c>
      <c r="H853" s="953">
        <f t="shared" si="164"/>
        <v>0</v>
      </c>
      <c r="I853" s="953">
        <f t="shared" si="165"/>
        <v>0</v>
      </c>
      <c r="J853" s="953">
        <f t="shared" si="166"/>
        <v>0</v>
      </c>
      <c r="K853" s="953">
        <f t="shared" si="167"/>
        <v>-3.6000000000000001E-5</v>
      </c>
      <c r="L853" s="570" t="str">
        <f t="shared" si="168"/>
        <v>Modal 12</v>
      </c>
      <c r="M853" s="570">
        <f t="shared" si="169"/>
        <v>12</v>
      </c>
    </row>
    <row r="854" spans="1:13">
      <c r="A854" s="570" t="str">
        <f t="shared" si="158"/>
        <v>T1113</v>
      </c>
      <c r="C854" s="953" t="str">
        <f t="shared" si="159"/>
        <v>T11</v>
      </c>
      <c r="D854" s="953" t="str">
        <f t="shared" si="160"/>
        <v>D1</v>
      </c>
      <c r="E854" s="953">
        <f t="shared" si="161"/>
        <v>13</v>
      </c>
      <c r="F854" s="953">
        <f t="shared" si="162"/>
        <v>2.4320000000000001E-3</v>
      </c>
      <c r="G854" s="953">
        <f t="shared" si="163"/>
        <v>2.1699999999999999E-4</v>
      </c>
      <c r="H854" s="953">
        <f t="shared" si="164"/>
        <v>0</v>
      </c>
      <c r="I854" s="953">
        <f t="shared" si="165"/>
        <v>0</v>
      </c>
      <c r="J854" s="953">
        <f t="shared" si="166"/>
        <v>0</v>
      </c>
      <c r="K854" s="953">
        <f t="shared" si="167"/>
        <v>6.9999999999999999E-6</v>
      </c>
      <c r="L854" s="570" t="str">
        <f t="shared" si="168"/>
        <v>Modal 13</v>
      </c>
      <c r="M854" s="570">
        <f t="shared" si="169"/>
        <v>13</v>
      </c>
    </row>
    <row r="855" spans="1:13">
      <c r="A855" s="570" t="str">
        <f t="shared" si="158"/>
        <v>T1114</v>
      </c>
      <c r="C855" s="953" t="str">
        <f t="shared" si="159"/>
        <v>T11</v>
      </c>
      <c r="D855" s="953" t="str">
        <f t="shared" si="160"/>
        <v>D1</v>
      </c>
      <c r="E855" s="953">
        <f t="shared" si="161"/>
        <v>14</v>
      </c>
      <c r="F855" s="953">
        <f t="shared" si="162"/>
        <v>1.9100000000000001E-4</v>
      </c>
      <c r="G855" s="953">
        <f t="shared" si="163"/>
        <v>-9.2999999999999997E-5</v>
      </c>
      <c r="H855" s="953">
        <f t="shared" si="164"/>
        <v>0</v>
      </c>
      <c r="I855" s="953">
        <f t="shared" si="165"/>
        <v>0</v>
      </c>
      <c r="J855" s="953">
        <f t="shared" si="166"/>
        <v>0</v>
      </c>
      <c r="K855" s="953">
        <f t="shared" si="167"/>
        <v>-2.61E-4</v>
      </c>
      <c r="L855" s="570" t="str">
        <f t="shared" si="168"/>
        <v>Modal 14</v>
      </c>
      <c r="M855" s="570">
        <f t="shared" si="169"/>
        <v>14</v>
      </c>
    </row>
    <row r="856" spans="1:13">
      <c r="A856" s="570" t="str">
        <f t="shared" si="158"/>
        <v>T1115</v>
      </c>
      <c r="C856" s="953" t="str">
        <f t="shared" si="159"/>
        <v>T11</v>
      </c>
      <c r="D856" s="953" t="str">
        <f t="shared" si="160"/>
        <v>D1</v>
      </c>
      <c r="E856" s="953">
        <f t="shared" si="161"/>
        <v>15</v>
      </c>
      <c r="F856" s="953">
        <f t="shared" si="162"/>
        <v>-1.93E-4</v>
      </c>
      <c r="G856" s="953">
        <f t="shared" si="163"/>
        <v>2.3410000000000002E-3</v>
      </c>
      <c r="H856" s="953">
        <f t="shared" si="164"/>
        <v>0</v>
      </c>
      <c r="I856" s="953">
        <f t="shared" si="165"/>
        <v>0</v>
      </c>
      <c r="J856" s="953">
        <f t="shared" si="166"/>
        <v>0</v>
      </c>
      <c r="K856" s="953">
        <f t="shared" si="167"/>
        <v>-5.0000000000000004E-6</v>
      </c>
      <c r="L856" s="570" t="str">
        <f t="shared" si="168"/>
        <v>Modal 15</v>
      </c>
      <c r="M856" s="570">
        <f t="shared" si="169"/>
        <v>15</v>
      </c>
    </row>
    <row r="857" spans="1:13">
      <c r="A857" s="570" t="str">
        <f t="shared" si="158"/>
        <v>T1116</v>
      </c>
      <c r="C857" s="953" t="str">
        <f t="shared" si="159"/>
        <v>T11</v>
      </c>
      <c r="D857" s="953" t="str">
        <f t="shared" si="160"/>
        <v>D1</v>
      </c>
      <c r="E857" s="953">
        <f t="shared" si="161"/>
        <v>16</v>
      </c>
      <c r="F857" s="953">
        <f t="shared" si="162"/>
        <v>-2.8499999999999999E-4</v>
      </c>
      <c r="G857" s="953">
        <f t="shared" si="163"/>
        <v>-1.17E-4</v>
      </c>
      <c r="H857" s="953">
        <f t="shared" si="164"/>
        <v>0</v>
      </c>
      <c r="I857" s="953">
        <f t="shared" si="165"/>
        <v>0</v>
      </c>
      <c r="J857" s="953">
        <f t="shared" si="166"/>
        <v>0</v>
      </c>
      <c r="K857" s="953">
        <f t="shared" si="167"/>
        <v>-1.5200000000000001E-4</v>
      </c>
      <c r="L857" s="570" t="str">
        <f t="shared" si="168"/>
        <v>Modal 16</v>
      </c>
      <c r="M857" s="570">
        <f t="shared" si="169"/>
        <v>16</v>
      </c>
    </row>
    <row r="858" spans="1:13">
      <c r="A858" s="570" t="str">
        <f t="shared" si="158"/>
        <v>T1117</v>
      </c>
      <c r="C858" s="953" t="str">
        <f t="shared" si="159"/>
        <v>T11</v>
      </c>
      <c r="D858" s="953" t="str">
        <f t="shared" si="160"/>
        <v>D1</v>
      </c>
      <c r="E858" s="953">
        <f t="shared" si="161"/>
        <v>17</v>
      </c>
      <c r="F858" s="953">
        <f t="shared" si="162"/>
        <v>-2.5820000000000001E-3</v>
      </c>
      <c r="G858" s="953">
        <f t="shared" si="163"/>
        <v>-2.8499999999999999E-4</v>
      </c>
      <c r="H858" s="953">
        <f t="shared" si="164"/>
        <v>0</v>
      </c>
      <c r="I858" s="953">
        <f t="shared" si="165"/>
        <v>0</v>
      </c>
      <c r="J858" s="953">
        <f t="shared" si="166"/>
        <v>0</v>
      </c>
      <c r="K858" s="953">
        <f t="shared" si="167"/>
        <v>2.1999999999999999E-5</v>
      </c>
      <c r="L858" s="570" t="str">
        <f t="shared" si="168"/>
        <v>Modal 17</v>
      </c>
      <c r="M858" s="570">
        <f t="shared" si="169"/>
        <v>17</v>
      </c>
    </row>
    <row r="859" spans="1:13">
      <c r="A859" s="570" t="str">
        <f t="shared" si="158"/>
        <v>T1118</v>
      </c>
      <c r="C859" s="953" t="str">
        <f t="shared" si="159"/>
        <v>T11</v>
      </c>
      <c r="D859" s="953" t="str">
        <f t="shared" si="160"/>
        <v>D1</v>
      </c>
      <c r="E859" s="953">
        <f t="shared" si="161"/>
        <v>18</v>
      </c>
      <c r="F859" s="953">
        <f t="shared" si="162"/>
        <v>4.5300000000000001E-4</v>
      </c>
      <c r="G859" s="953">
        <f t="shared" si="163"/>
        <v>-5.3340000000000002E-3</v>
      </c>
      <c r="H859" s="953">
        <f t="shared" si="164"/>
        <v>0</v>
      </c>
      <c r="I859" s="953">
        <f t="shared" si="165"/>
        <v>0</v>
      </c>
      <c r="J859" s="953">
        <f t="shared" si="166"/>
        <v>0</v>
      </c>
      <c r="K859" s="953">
        <f t="shared" si="167"/>
        <v>3.8999999999999999E-5</v>
      </c>
      <c r="L859" s="570" t="str">
        <f t="shared" si="168"/>
        <v>Modal 18</v>
      </c>
      <c r="M859" s="570">
        <f t="shared" si="169"/>
        <v>18</v>
      </c>
    </row>
    <row r="860" spans="1:13">
      <c r="A860" s="570" t="str">
        <f t="shared" si="158"/>
        <v>T1119</v>
      </c>
      <c r="C860" s="953" t="str">
        <f t="shared" si="159"/>
        <v>T11</v>
      </c>
      <c r="D860" s="953" t="str">
        <f t="shared" si="160"/>
        <v>D1</v>
      </c>
      <c r="E860" s="953">
        <f t="shared" si="161"/>
        <v>19</v>
      </c>
      <c r="F860" s="953">
        <f t="shared" si="162"/>
        <v>4.2999999999999999E-4</v>
      </c>
      <c r="G860" s="953">
        <f t="shared" si="163"/>
        <v>-9.6900000000000003E-4</v>
      </c>
      <c r="H860" s="953">
        <f t="shared" si="164"/>
        <v>0</v>
      </c>
      <c r="I860" s="953">
        <f t="shared" si="165"/>
        <v>0</v>
      </c>
      <c r="J860" s="953">
        <f t="shared" si="166"/>
        <v>0</v>
      </c>
      <c r="K860" s="953">
        <f t="shared" si="167"/>
        <v>-1.2899999999999999E-4</v>
      </c>
      <c r="L860" s="570" t="str">
        <f t="shared" si="168"/>
        <v>Modal 19</v>
      </c>
      <c r="M860" s="570">
        <f t="shared" si="169"/>
        <v>19</v>
      </c>
    </row>
    <row r="861" spans="1:13">
      <c r="A861" s="570" t="str">
        <f t="shared" si="158"/>
        <v>T1120</v>
      </c>
      <c r="C861" s="953" t="str">
        <f t="shared" si="159"/>
        <v>T11</v>
      </c>
      <c r="D861" s="953" t="str">
        <f t="shared" si="160"/>
        <v>D1</v>
      </c>
      <c r="E861" s="953">
        <f t="shared" si="161"/>
        <v>20</v>
      </c>
      <c r="F861" s="953">
        <f t="shared" si="162"/>
        <v>-5.3429999999999997E-3</v>
      </c>
      <c r="G861" s="953">
        <f t="shared" si="163"/>
        <v>-5.3499999999999999E-4</v>
      </c>
      <c r="H861" s="953">
        <f t="shared" si="164"/>
        <v>0</v>
      </c>
      <c r="I861" s="953">
        <f t="shared" si="165"/>
        <v>0</v>
      </c>
      <c r="J861" s="953">
        <f t="shared" si="166"/>
        <v>0</v>
      </c>
      <c r="K861" s="953">
        <f t="shared" si="167"/>
        <v>2.0999999999999999E-5</v>
      </c>
      <c r="L861" s="570" t="str">
        <f t="shared" si="168"/>
        <v>Modal 20</v>
      </c>
      <c r="M861" s="570">
        <f t="shared" si="169"/>
        <v>20</v>
      </c>
    </row>
    <row r="862" spans="1:13">
      <c r="A862" s="570" t="str">
        <f t="shared" si="158"/>
        <v>T1121</v>
      </c>
      <c r="C862" s="953" t="str">
        <f t="shared" si="159"/>
        <v>T11</v>
      </c>
      <c r="D862" s="953" t="str">
        <f t="shared" si="160"/>
        <v>D1</v>
      </c>
      <c r="E862" s="953">
        <f t="shared" si="161"/>
        <v>21</v>
      </c>
      <c r="F862" s="953">
        <f t="shared" si="162"/>
        <v>6.2799999999999998E-4</v>
      </c>
      <c r="G862" s="953">
        <f t="shared" si="163"/>
        <v>-3.4489999999999998E-3</v>
      </c>
      <c r="H862" s="953">
        <f t="shared" si="164"/>
        <v>0</v>
      </c>
      <c r="I862" s="953">
        <f t="shared" si="165"/>
        <v>0</v>
      </c>
      <c r="J862" s="953">
        <f t="shared" si="166"/>
        <v>0</v>
      </c>
      <c r="K862" s="953">
        <f t="shared" si="167"/>
        <v>4.6E-5</v>
      </c>
      <c r="L862" s="570" t="str">
        <f t="shared" si="168"/>
        <v>Modal 21</v>
      </c>
      <c r="M862" s="570">
        <f t="shared" si="169"/>
        <v>21</v>
      </c>
    </row>
    <row r="863" spans="1:13">
      <c r="A863" s="570" t="str">
        <f t="shared" si="158"/>
        <v>T1122</v>
      </c>
      <c r="C863" s="953" t="str">
        <f t="shared" si="159"/>
        <v>T11</v>
      </c>
      <c r="D863" s="953" t="str">
        <f t="shared" si="160"/>
        <v>D1</v>
      </c>
      <c r="E863" s="953">
        <f t="shared" si="161"/>
        <v>22</v>
      </c>
      <c r="F863" s="953">
        <f t="shared" si="162"/>
        <v>2.415E-3</v>
      </c>
      <c r="G863" s="953">
        <f t="shared" si="163"/>
        <v>6.1799999999999995E-4</v>
      </c>
      <c r="H863" s="953">
        <f t="shared" si="164"/>
        <v>0</v>
      </c>
      <c r="I863" s="953">
        <f t="shared" si="165"/>
        <v>0</v>
      </c>
      <c r="J863" s="953">
        <f t="shared" si="166"/>
        <v>0</v>
      </c>
      <c r="K863" s="953">
        <f t="shared" si="167"/>
        <v>1.17E-4</v>
      </c>
      <c r="L863" s="570" t="str">
        <f t="shared" si="168"/>
        <v>Modal 22</v>
      </c>
      <c r="M863" s="570">
        <f t="shared" si="169"/>
        <v>22</v>
      </c>
    </row>
    <row r="864" spans="1:13">
      <c r="A864" s="570" t="str">
        <f t="shared" si="158"/>
        <v>T1123</v>
      </c>
      <c r="C864" s="953" t="str">
        <f t="shared" si="159"/>
        <v>T11</v>
      </c>
      <c r="D864" s="953" t="str">
        <f t="shared" si="160"/>
        <v>D1</v>
      </c>
      <c r="E864" s="953">
        <f t="shared" si="161"/>
        <v>23</v>
      </c>
      <c r="F864" s="953">
        <f t="shared" si="162"/>
        <v>-1.2780000000000001E-3</v>
      </c>
      <c r="G864" s="953">
        <f t="shared" si="163"/>
        <v>-8.5800000000000004E-4</v>
      </c>
      <c r="H864" s="953">
        <f t="shared" si="164"/>
        <v>0</v>
      </c>
      <c r="I864" s="953">
        <f t="shared" si="165"/>
        <v>0</v>
      </c>
      <c r="J864" s="953">
        <f t="shared" si="166"/>
        <v>0</v>
      </c>
      <c r="K864" s="953">
        <f t="shared" si="167"/>
        <v>8.1000000000000004E-5</v>
      </c>
      <c r="L864" s="570" t="str">
        <f t="shared" si="168"/>
        <v>Modal 23</v>
      </c>
      <c r="M864" s="570">
        <f t="shared" si="169"/>
        <v>23</v>
      </c>
    </row>
    <row r="865" spans="1:13">
      <c r="A865" s="570" t="str">
        <f t="shared" si="158"/>
        <v>T1124</v>
      </c>
      <c r="C865" s="953" t="str">
        <f t="shared" si="159"/>
        <v>T11</v>
      </c>
      <c r="D865" s="953" t="str">
        <f t="shared" si="160"/>
        <v>D1</v>
      </c>
      <c r="E865" s="953">
        <f t="shared" si="161"/>
        <v>24</v>
      </c>
      <c r="F865" s="953">
        <f t="shared" si="162"/>
        <v>5.4299999999999997E-4</v>
      </c>
      <c r="G865" s="953">
        <f t="shared" si="163"/>
        <v>-2.6570000000000001E-3</v>
      </c>
      <c r="H865" s="953">
        <f t="shared" si="164"/>
        <v>0</v>
      </c>
      <c r="I865" s="953">
        <f t="shared" si="165"/>
        <v>0</v>
      </c>
      <c r="J865" s="953">
        <f t="shared" si="166"/>
        <v>0</v>
      </c>
      <c r="K865" s="953">
        <f t="shared" si="167"/>
        <v>-4.1E-5</v>
      </c>
      <c r="L865" s="570" t="str">
        <f t="shared" si="168"/>
        <v>Modal 24</v>
      </c>
      <c r="M865" s="570">
        <f t="shared" si="169"/>
        <v>24</v>
      </c>
    </row>
    <row r="866" spans="1:13">
      <c r="A866" s="570" t="str">
        <f t="shared" si="158"/>
        <v>T1125</v>
      </c>
      <c r="C866" s="953" t="str">
        <f t="shared" si="159"/>
        <v>T11</v>
      </c>
      <c r="D866" s="953" t="str">
        <f t="shared" si="160"/>
        <v>D1</v>
      </c>
      <c r="E866" s="953">
        <f t="shared" si="161"/>
        <v>25</v>
      </c>
      <c r="F866" s="953">
        <f t="shared" si="162"/>
        <v>-4.9049999999999996E-3</v>
      </c>
      <c r="G866" s="953">
        <f t="shared" si="163"/>
        <v>3.8860000000000001E-3</v>
      </c>
      <c r="H866" s="953">
        <f t="shared" si="164"/>
        <v>0</v>
      </c>
      <c r="I866" s="953">
        <f t="shared" si="165"/>
        <v>0</v>
      </c>
      <c r="J866" s="953">
        <f t="shared" si="166"/>
        <v>0</v>
      </c>
      <c r="K866" s="953">
        <f t="shared" si="167"/>
        <v>4.5000000000000003E-5</v>
      </c>
      <c r="L866" s="570" t="str">
        <f t="shared" si="168"/>
        <v>Modal 25</v>
      </c>
      <c r="M866" s="570">
        <f t="shared" si="169"/>
        <v>25</v>
      </c>
    </row>
    <row r="867" spans="1:13">
      <c r="A867" s="570" t="str">
        <f t="shared" si="158"/>
        <v>T1126</v>
      </c>
      <c r="C867" s="953" t="str">
        <f t="shared" si="159"/>
        <v>T11</v>
      </c>
      <c r="D867" s="953" t="str">
        <f t="shared" si="160"/>
        <v>D1</v>
      </c>
      <c r="E867" s="953">
        <f t="shared" si="161"/>
        <v>26</v>
      </c>
      <c r="F867" s="953">
        <f t="shared" si="162"/>
        <v>-4.0940000000000004E-3</v>
      </c>
      <c r="G867" s="953">
        <f t="shared" si="163"/>
        <v>-4.2079999999999999E-3</v>
      </c>
      <c r="H867" s="953">
        <f t="shared" si="164"/>
        <v>0</v>
      </c>
      <c r="I867" s="953">
        <f t="shared" si="165"/>
        <v>0</v>
      </c>
      <c r="J867" s="953">
        <f t="shared" si="166"/>
        <v>0</v>
      </c>
      <c r="K867" s="953">
        <f t="shared" si="167"/>
        <v>1.8E-5</v>
      </c>
      <c r="L867" s="570" t="str">
        <f t="shared" si="168"/>
        <v>Modal 26</v>
      </c>
      <c r="M867" s="570">
        <f t="shared" si="169"/>
        <v>26</v>
      </c>
    </row>
    <row r="868" spans="1:13">
      <c r="A868" s="570" t="str">
        <f t="shared" si="158"/>
        <v>T1127</v>
      </c>
      <c r="C868" s="953" t="str">
        <f t="shared" si="159"/>
        <v>T11</v>
      </c>
      <c r="D868" s="953" t="str">
        <f t="shared" si="160"/>
        <v>D1</v>
      </c>
      <c r="E868" s="953">
        <f t="shared" si="161"/>
        <v>27</v>
      </c>
      <c r="F868" s="953">
        <f t="shared" si="162"/>
        <v>-1.14E-3</v>
      </c>
      <c r="G868" s="953">
        <f t="shared" si="163"/>
        <v>2.5149999999999999E-3</v>
      </c>
      <c r="H868" s="953">
        <f t="shared" si="164"/>
        <v>0</v>
      </c>
      <c r="I868" s="953">
        <f t="shared" si="165"/>
        <v>0</v>
      </c>
      <c r="J868" s="953">
        <f t="shared" si="166"/>
        <v>0</v>
      </c>
      <c r="K868" s="953">
        <f t="shared" si="167"/>
        <v>5.3999999999999998E-5</v>
      </c>
      <c r="L868" s="570" t="str">
        <f t="shared" si="168"/>
        <v>Modal 27</v>
      </c>
      <c r="M868" s="570">
        <f t="shared" si="169"/>
        <v>27</v>
      </c>
    </row>
    <row r="869" spans="1:13">
      <c r="A869" s="570" t="str">
        <f t="shared" si="158"/>
        <v>T1128</v>
      </c>
      <c r="C869" s="953" t="str">
        <f t="shared" si="159"/>
        <v>T11</v>
      </c>
      <c r="D869" s="953" t="str">
        <f t="shared" si="160"/>
        <v>D1</v>
      </c>
      <c r="E869" s="953">
        <f t="shared" si="161"/>
        <v>28</v>
      </c>
      <c r="F869" s="953">
        <f t="shared" si="162"/>
        <v>-1.9959999999999999E-3</v>
      </c>
      <c r="G869" s="953">
        <f t="shared" si="163"/>
        <v>-4.0369999999999998E-3</v>
      </c>
      <c r="H869" s="953">
        <f t="shared" si="164"/>
        <v>0</v>
      </c>
      <c r="I869" s="953">
        <f t="shared" si="165"/>
        <v>0</v>
      </c>
      <c r="J869" s="953">
        <f t="shared" si="166"/>
        <v>0</v>
      </c>
      <c r="K869" s="953">
        <f t="shared" si="167"/>
        <v>3.8000000000000002E-5</v>
      </c>
      <c r="L869" s="570" t="str">
        <f t="shared" si="168"/>
        <v>Modal 28</v>
      </c>
      <c r="M869" s="570">
        <f t="shared" si="169"/>
        <v>28</v>
      </c>
    </row>
    <row r="870" spans="1:13">
      <c r="A870" s="570" t="str">
        <f t="shared" si="158"/>
        <v>T1129</v>
      </c>
      <c r="C870" s="953" t="str">
        <f t="shared" si="159"/>
        <v>T11</v>
      </c>
      <c r="D870" s="953" t="str">
        <f t="shared" si="160"/>
        <v>D1</v>
      </c>
      <c r="E870" s="953">
        <f t="shared" si="161"/>
        <v>29</v>
      </c>
      <c r="F870" s="953">
        <f t="shared" si="162"/>
        <v>-1.7149999999999999E-3</v>
      </c>
      <c r="G870" s="953">
        <f t="shared" si="163"/>
        <v>-9.0000000000000006E-5</v>
      </c>
      <c r="H870" s="953">
        <f t="shared" si="164"/>
        <v>0</v>
      </c>
      <c r="I870" s="953">
        <f t="shared" si="165"/>
        <v>0</v>
      </c>
      <c r="J870" s="953">
        <f t="shared" si="166"/>
        <v>0</v>
      </c>
      <c r="K870" s="953">
        <f t="shared" si="167"/>
        <v>-5.8E-5</v>
      </c>
      <c r="L870" s="570" t="str">
        <f t="shared" si="168"/>
        <v>Modal 29</v>
      </c>
      <c r="M870" s="570">
        <f t="shared" si="169"/>
        <v>29</v>
      </c>
    </row>
    <row r="871" spans="1:13">
      <c r="A871" s="570" t="str">
        <f t="shared" si="158"/>
        <v>T1130</v>
      </c>
      <c r="C871" s="953" t="str">
        <f t="shared" si="159"/>
        <v>T11</v>
      </c>
      <c r="D871" s="953" t="str">
        <f t="shared" si="160"/>
        <v>D1</v>
      </c>
      <c r="E871" s="953">
        <f t="shared" si="161"/>
        <v>30</v>
      </c>
      <c r="F871" s="953">
        <f t="shared" si="162"/>
        <v>-4.3000000000000002E-5</v>
      </c>
      <c r="G871" s="953">
        <f t="shared" si="163"/>
        <v>1.121E-3</v>
      </c>
      <c r="H871" s="953">
        <f t="shared" si="164"/>
        <v>0</v>
      </c>
      <c r="I871" s="953">
        <f t="shared" si="165"/>
        <v>0</v>
      </c>
      <c r="J871" s="953">
        <f t="shared" si="166"/>
        <v>0</v>
      </c>
      <c r="K871" s="953">
        <f t="shared" si="167"/>
        <v>-2.8E-5</v>
      </c>
      <c r="L871" s="570" t="str">
        <f t="shared" si="168"/>
        <v>Modal 30</v>
      </c>
      <c r="M871" s="570">
        <f t="shared" si="169"/>
        <v>30</v>
      </c>
    </row>
    <row r="872" spans="1:13">
      <c r="A872" s="570" t="str">
        <f t="shared" si="158"/>
        <v>T101</v>
      </c>
      <c r="C872" s="953" t="str">
        <f t="shared" si="159"/>
        <v>T10</v>
      </c>
      <c r="D872" s="953" t="str">
        <f t="shared" si="160"/>
        <v>D1</v>
      </c>
      <c r="E872" s="953">
        <f t="shared" si="161"/>
        <v>1</v>
      </c>
      <c r="F872" s="953">
        <f t="shared" si="162"/>
        <v>-2.2699999999999999E-4</v>
      </c>
      <c r="G872" s="953">
        <f t="shared" si="163"/>
        <v>1.181E-3</v>
      </c>
      <c r="H872" s="953">
        <f t="shared" si="164"/>
        <v>0</v>
      </c>
      <c r="I872" s="953">
        <f t="shared" si="165"/>
        <v>0</v>
      </c>
      <c r="J872" s="953">
        <f t="shared" si="166"/>
        <v>0</v>
      </c>
      <c r="K872" s="953">
        <f t="shared" si="167"/>
        <v>1.4E-5</v>
      </c>
      <c r="L872" s="570" t="str">
        <f t="shared" si="168"/>
        <v>Modal 1</v>
      </c>
      <c r="M872" s="570">
        <f t="shared" si="169"/>
        <v>1</v>
      </c>
    </row>
    <row r="873" spans="1:13">
      <c r="A873" s="570" t="str">
        <f t="shared" si="158"/>
        <v>T102</v>
      </c>
      <c r="C873" s="953" t="str">
        <f t="shared" si="159"/>
        <v>T10</v>
      </c>
      <c r="D873" s="953" t="str">
        <f t="shared" si="160"/>
        <v>D1</v>
      </c>
      <c r="E873" s="953">
        <f t="shared" si="161"/>
        <v>2</v>
      </c>
      <c r="F873" s="953">
        <f t="shared" si="162"/>
        <v>-2.1900000000000001E-4</v>
      </c>
      <c r="G873" s="953">
        <f t="shared" si="163"/>
        <v>-2.5000000000000001E-4</v>
      </c>
      <c r="H873" s="953">
        <f t="shared" si="164"/>
        <v>0</v>
      </c>
      <c r="I873" s="953">
        <f t="shared" si="165"/>
        <v>0</v>
      </c>
      <c r="J873" s="953">
        <f t="shared" si="166"/>
        <v>0</v>
      </c>
      <c r="K873" s="953">
        <f t="shared" si="167"/>
        <v>7.7999999999999999E-5</v>
      </c>
      <c r="L873" s="570" t="str">
        <f t="shared" si="168"/>
        <v>Modal 2</v>
      </c>
      <c r="M873" s="570">
        <f t="shared" si="169"/>
        <v>2</v>
      </c>
    </row>
    <row r="874" spans="1:13">
      <c r="A874" s="570" t="str">
        <f t="shared" si="158"/>
        <v>T103</v>
      </c>
      <c r="C874" s="953" t="str">
        <f t="shared" si="159"/>
        <v>T10</v>
      </c>
      <c r="D874" s="953" t="str">
        <f t="shared" si="160"/>
        <v>D1</v>
      </c>
      <c r="E874" s="953">
        <f t="shared" si="161"/>
        <v>3</v>
      </c>
      <c r="F874" s="953">
        <f t="shared" si="162"/>
        <v>1.3420000000000001E-3</v>
      </c>
      <c r="G874" s="953">
        <f t="shared" si="163"/>
        <v>2.4399999999999999E-4</v>
      </c>
      <c r="H874" s="953">
        <f t="shared" si="164"/>
        <v>0</v>
      </c>
      <c r="I874" s="953">
        <f t="shared" si="165"/>
        <v>0</v>
      </c>
      <c r="J874" s="953">
        <f t="shared" si="166"/>
        <v>0</v>
      </c>
      <c r="K874" s="953">
        <f t="shared" si="167"/>
        <v>1.4E-5</v>
      </c>
      <c r="L874" s="570" t="str">
        <f t="shared" si="168"/>
        <v>Modal 3</v>
      </c>
      <c r="M874" s="570">
        <f t="shared" si="169"/>
        <v>3</v>
      </c>
    </row>
    <row r="875" spans="1:13">
      <c r="A875" s="570" t="str">
        <f t="shared" si="158"/>
        <v>T104</v>
      </c>
      <c r="C875" s="953" t="str">
        <f t="shared" si="159"/>
        <v>T10</v>
      </c>
      <c r="D875" s="953" t="str">
        <f t="shared" si="160"/>
        <v>D1</v>
      </c>
      <c r="E875" s="953">
        <f t="shared" si="161"/>
        <v>4</v>
      </c>
      <c r="F875" s="953">
        <f t="shared" si="162"/>
        <v>-6.5099999999999999E-4</v>
      </c>
      <c r="G875" s="953">
        <f t="shared" si="163"/>
        <v>2.5000000000000001E-5</v>
      </c>
      <c r="H875" s="953">
        <f t="shared" si="164"/>
        <v>0</v>
      </c>
      <c r="I875" s="953">
        <f t="shared" si="165"/>
        <v>0</v>
      </c>
      <c r="J875" s="953">
        <f t="shared" si="166"/>
        <v>0</v>
      </c>
      <c r="K875" s="953">
        <f t="shared" si="167"/>
        <v>2.24E-4</v>
      </c>
      <c r="L875" s="570" t="str">
        <f t="shared" si="168"/>
        <v>Modal 4</v>
      </c>
      <c r="M875" s="570">
        <f t="shared" si="169"/>
        <v>4</v>
      </c>
    </row>
    <row r="876" spans="1:13">
      <c r="A876" s="570" t="str">
        <f t="shared" si="158"/>
        <v>T105</v>
      </c>
      <c r="C876" s="953" t="str">
        <f t="shared" si="159"/>
        <v>T10</v>
      </c>
      <c r="D876" s="953" t="str">
        <f t="shared" si="160"/>
        <v>D1</v>
      </c>
      <c r="E876" s="953">
        <f t="shared" si="161"/>
        <v>5</v>
      </c>
      <c r="F876" s="953">
        <f t="shared" si="162"/>
        <v>5.2700000000000002E-4</v>
      </c>
      <c r="G876" s="953">
        <f t="shared" si="163"/>
        <v>-4.3109999999999997E-3</v>
      </c>
      <c r="H876" s="953">
        <f t="shared" si="164"/>
        <v>0</v>
      </c>
      <c r="I876" s="953">
        <f t="shared" si="165"/>
        <v>0</v>
      </c>
      <c r="J876" s="953">
        <f t="shared" si="166"/>
        <v>0</v>
      </c>
      <c r="K876" s="953">
        <f t="shared" si="167"/>
        <v>6.0000000000000002E-6</v>
      </c>
      <c r="L876" s="570" t="str">
        <f t="shared" si="168"/>
        <v>Modal 5</v>
      </c>
      <c r="M876" s="570">
        <f t="shared" si="169"/>
        <v>5</v>
      </c>
    </row>
    <row r="877" spans="1:13">
      <c r="A877" s="570" t="str">
        <f t="shared" si="158"/>
        <v>T106</v>
      </c>
      <c r="C877" s="953" t="str">
        <f t="shared" si="159"/>
        <v>T10</v>
      </c>
      <c r="D877" s="953" t="str">
        <f t="shared" si="160"/>
        <v>D1</v>
      </c>
      <c r="E877" s="953">
        <f t="shared" si="161"/>
        <v>6</v>
      </c>
      <c r="F877" s="953">
        <f t="shared" si="162"/>
        <v>-4.3239999999999997E-3</v>
      </c>
      <c r="G877" s="953">
        <f t="shared" si="163"/>
        <v>-5.5999999999999995E-4</v>
      </c>
      <c r="H877" s="953">
        <f t="shared" si="164"/>
        <v>0</v>
      </c>
      <c r="I877" s="953">
        <f t="shared" si="165"/>
        <v>0</v>
      </c>
      <c r="J877" s="953">
        <f t="shared" si="166"/>
        <v>0</v>
      </c>
      <c r="K877" s="953">
        <f t="shared" si="167"/>
        <v>-3.6999999999999998E-5</v>
      </c>
      <c r="L877" s="570" t="str">
        <f t="shared" si="168"/>
        <v>Modal 6</v>
      </c>
      <c r="M877" s="570">
        <f t="shared" si="169"/>
        <v>6</v>
      </c>
    </row>
    <row r="878" spans="1:13">
      <c r="A878" s="570" t="str">
        <f t="shared" si="158"/>
        <v>T107</v>
      </c>
      <c r="C878" s="953" t="str">
        <f t="shared" si="159"/>
        <v>T10</v>
      </c>
      <c r="D878" s="953" t="str">
        <f t="shared" si="160"/>
        <v>D1</v>
      </c>
      <c r="E878" s="953">
        <f t="shared" si="161"/>
        <v>7</v>
      </c>
      <c r="F878" s="953">
        <f t="shared" si="162"/>
        <v>7.9699999999999997E-4</v>
      </c>
      <c r="G878" s="953">
        <f t="shared" si="163"/>
        <v>3.1999999999999999E-5</v>
      </c>
      <c r="H878" s="953">
        <f t="shared" si="164"/>
        <v>0</v>
      </c>
      <c r="I878" s="953">
        <f t="shared" si="165"/>
        <v>0</v>
      </c>
      <c r="J878" s="953">
        <f t="shared" si="166"/>
        <v>0</v>
      </c>
      <c r="K878" s="953">
        <f t="shared" si="167"/>
        <v>-2.7700000000000001E-4</v>
      </c>
      <c r="L878" s="570" t="str">
        <f t="shared" si="168"/>
        <v>Modal 7</v>
      </c>
      <c r="M878" s="570">
        <f t="shared" si="169"/>
        <v>7</v>
      </c>
    </row>
    <row r="879" spans="1:13">
      <c r="A879" s="570" t="str">
        <f t="shared" si="158"/>
        <v>T108</v>
      </c>
      <c r="C879" s="953" t="str">
        <f t="shared" si="159"/>
        <v>T10</v>
      </c>
      <c r="D879" s="953" t="str">
        <f t="shared" si="160"/>
        <v>D1</v>
      </c>
      <c r="E879" s="953">
        <f t="shared" si="161"/>
        <v>8</v>
      </c>
      <c r="F879" s="953">
        <f t="shared" si="162"/>
        <v>6.0400000000000004E-4</v>
      </c>
      <c r="G879" s="953">
        <f t="shared" si="163"/>
        <v>-5.8979999999999996E-3</v>
      </c>
      <c r="H879" s="953">
        <f t="shared" si="164"/>
        <v>0</v>
      </c>
      <c r="I879" s="953">
        <f t="shared" si="165"/>
        <v>0</v>
      </c>
      <c r="J879" s="953">
        <f t="shared" si="166"/>
        <v>0</v>
      </c>
      <c r="K879" s="953">
        <f t="shared" si="167"/>
        <v>3.9999999999999998E-6</v>
      </c>
      <c r="L879" s="570" t="str">
        <f t="shared" si="168"/>
        <v>Modal 8</v>
      </c>
      <c r="M879" s="570">
        <f t="shared" si="169"/>
        <v>8</v>
      </c>
    </row>
    <row r="880" spans="1:13">
      <c r="A880" s="570" t="str">
        <f t="shared" si="158"/>
        <v>T109</v>
      </c>
      <c r="C880" s="953" t="str">
        <f t="shared" si="159"/>
        <v>T10</v>
      </c>
      <c r="D880" s="953" t="str">
        <f t="shared" si="160"/>
        <v>D1</v>
      </c>
      <c r="E880" s="953">
        <f t="shared" si="161"/>
        <v>9</v>
      </c>
      <c r="F880" s="953">
        <f t="shared" si="162"/>
        <v>1.4899999999999999E-4</v>
      </c>
      <c r="G880" s="953">
        <f t="shared" si="163"/>
        <v>3.9999999999999998E-6</v>
      </c>
      <c r="H880" s="953">
        <f t="shared" si="164"/>
        <v>0</v>
      </c>
      <c r="I880" s="953">
        <f t="shared" si="165"/>
        <v>0</v>
      </c>
      <c r="J880" s="953">
        <f t="shared" si="166"/>
        <v>0</v>
      </c>
      <c r="K880" s="953">
        <f t="shared" si="167"/>
        <v>1.84E-4</v>
      </c>
      <c r="L880" s="570" t="str">
        <f t="shared" si="168"/>
        <v>Modal 9</v>
      </c>
      <c r="M880" s="570">
        <f t="shared" si="169"/>
        <v>9</v>
      </c>
    </row>
    <row r="881" spans="1:13">
      <c r="A881" s="570" t="str">
        <f t="shared" si="158"/>
        <v>T1010</v>
      </c>
      <c r="C881" s="953" t="str">
        <f t="shared" si="159"/>
        <v>T10</v>
      </c>
      <c r="D881" s="953" t="str">
        <f t="shared" si="160"/>
        <v>D1</v>
      </c>
      <c r="E881" s="953">
        <f t="shared" si="161"/>
        <v>10</v>
      </c>
      <c r="F881" s="953">
        <f t="shared" si="162"/>
        <v>-5.816E-3</v>
      </c>
      <c r="G881" s="953">
        <f t="shared" si="163"/>
        <v>-5.7700000000000004E-4</v>
      </c>
      <c r="H881" s="953">
        <f t="shared" si="164"/>
        <v>0</v>
      </c>
      <c r="I881" s="953">
        <f t="shared" si="165"/>
        <v>0</v>
      </c>
      <c r="J881" s="953">
        <f t="shared" si="166"/>
        <v>0</v>
      </c>
      <c r="K881" s="953">
        <f t="shared" si="167"/>
        <v>-1.2E-5</v>
      </c>
      <c r="L881" s="570" t="str">
        <f t="shared" si="168"/>
        <v>Modal 10</v>
      </c>
      <c r="M881" s="570">
        <f t="shared" si="169"/>
        <v>10</v>
      </c>
    </row>
    <row r="882" spans="1:13">
      <c r="A882" s="570" t="str">
        <f t="shared" si="158"/>
        <v>T1011</v>
      </c>
      <c r="C882" s="953" t="str">
        <f t="shared" si="159"/>
        <v>T10</v>
      </c>
      <c r="D882" s="953" t="str">
        <f t="shared" si="160"/>
        <v>D1</v>
      </c>
      <c r="E882" s="953">
        <f t="shared" si="161"/>
        <v>11</v>
      </c>
      <c r="F882" s="953">
        <f t="shared" si="162"/>
        <v>-5.7000000000000003E-5</v>
      </c>
      <c r="G882" s="953">
        <f t="shared" si="163"/>
        <v>1.3370000000000001E-3</v>
      </c>
      <c r="H882" s="953">
        <f t="shared" si="164"/>
        <v>0</v>
      </c>
      <c r="I882" s="953">
        <f t="shared" si="165"/>
        <v>0</v>
      </c>
      <c r="J882" s="953">
        <f t="shared" si="166"/>
        <v>0</v>
      </c>
      <c r="K882" s="953">
        <f t="shared" si="167"/>
        <v>-2.0999999999999999E-5</v>
      </c>
      <c r="L882" s="570" t="str">
        <f t="shared" si="168"/>
        <v>Modal 11</v>
      </c>
      <c r="M882" s="570">
        <f t="shared" si="169"/>
        <v>11</v>
      </c>
    </row>
    <row r="883" spans="1:13">
      <c r="A883" s="570" t="str">
        <f t="shared" si="158"/>
        <v>T1012</v>
      </c>
      <c r="C883" s="953" t="str">
        <f t="shared" si="159"/>
        <v>T10</v>
      </c>
      <c r="D883" s="953" t="str">
        <f t="shared" si="160"/>
        <v>D1</v>
      </c>
      <c r="E883" s="953">
        <f t="shared" si="161"/>
        <v>12</v>
      </c>
      <c r="F883" s="953">
        <f t="shared" si="162"/>
        <v>3.9599999999999998E-4</v>
      </c>
      <c r="G883" s="953">
        <f t="shared" si="163"/>
        <v>-3.6809999999999998E-3</v>
      </c>
      <c r="H883" s="953">
        <f t="shared" si="164"/>
        <v>0</v>
      </c>
      <c r="I883" s="953">
        <f t="shared" si="165"/>
        <v>0</v>
      </c>
      <c r="J883" s="953">
        <f t="shared" si="166"/>
        <v>0</v>
      </c>
      <c r="K883" s="953">
        <f t="shared" si="167"/>
        <v>-3.0000000000000001E-6</v>
      </c>
      <c r="L883" s="570" t="str">
        <f t="shared" si="168"/>
        <v>Modal 12</v>
      </c>
      <c r="M883" s="570">
        <f t="shared" si="169"/>
        <v>12</v>
      </c>
    </row>
    <row r="884" spans="1:13">
      <c r="A884" s="570" t="str">
        <f t="shared" si="158"/>
        <v>T1013</v>
      </c>
      <c r="C884" s="953" t="str">
        <f t="shared" si="159"/>
        <v>T10</v>
      </c>
      <c r="D884" s="953" t="str">
        <f t="shared" si="160"/>
        <v>D1</v>
      </c>
      <c r="E884" s="953">
        <f t="shared" si="161"/>
        <v>13</v>
      </c>
      <c r="F884" s="953">
        <f t="shared" si="162"/>
        <v>3.7399999999999998E-3</v>
      </c>
      <c r="G884" s="953">
        <f t="shared" si="163"/>
        <v>3.48E-4</v>
      </c>
      <c r="H884" s="953">
        <f t="shared" si="164"/>
        <v>0</v>
      </c>
      <c r="I884" s="953">
        <f t="shared" si="165"/>
        <v>0</v>
      </c>
      <c r="J884" s="953">
        <f t="shared" si="166"/>
        <v>0</v>
      </c>
      <c r="K884" s="953">
        <f t="shared" si="167"/>
        <v>1.0000000000000001E-5</v>
      </c>
      <c r="L884" s="570" t="str">
        <f t="shared" si="168"/>
        <v>Modal 13</v>
      </c>
      <c r="M884" s="570">
        <f t="shared" si="169"/>
        <v>13</v>
      </c>
    </row>
    <row r="885" spans="1:13">
      <c r="A885" s="570" t="str">
        <f t="shared" si="158"/>
        <v>T1014</v>
      </c>
      <c r="C885" s="953" t="str">
        <f t="shared" si="159"/>
        <v>T10</v>
      </c>
      <c r="D885" s="953" t="str">
        <f t="shared" si="160"/>
        <v>D1</v>
      </c>
      <c r="E885" s="953">
        <f t="shared" si="161"/>
        <v>14</v>
      </c>
      <c r="F885" s="953">
        <f t="shared" si="162"/>
        <v>1.27E-4</v>
      </c>
      <c r="G885" s="953">
        <f t="shared" si="163"/>
        <v>-7.6000000000000004E-5</v>
      </c>
      <c r="H885" s="953">
        <f t="shared" si="164"/>
        <v>0</v>
      </c>
      <c r="I885" s="953">
        <f t="shared" si="165"/>
        <v>0</v>
      </c>
      <c r="J885" s="953">
        <f t="shared" si="166"/>
        <v>0</v>
      </c>
      <c r="K885" s="953">
        <f t="shared" si="167"/>
        <v>-2.1900000000000001E-4</v>
      </c>
      <c r="L885" s="570" t="str">
        <f t="shared" si="168"/>
        <v>Modal 14</v>
      </c>
      <c r="M885" s="570">
        <f t="shared" si="169"/>
        <v>14</v>
      </c>
    </row>
    <row r="886" spans="1:13">
      <c r="A886" s="570" t="str">
        <f t="shared" si="158"/>
        <v>T1015</v>
      </c>
      <c r="C886" s="953" t="str">
        <f t="shared" si="159"/>
        <v>T10</v>
      </c>
      <c r="D886" s="953" t="str">
        <f t="shared" si="160"/>
        <v>D1</v>
      </c>
      <c r="E886" s="953">
        <f t="shared" si="161"/>
        <v>15</v>
      </c>
      <c r="F886" s="953">
        <f t="shared" si="162"/>
        <v>-9.0000000000000002E-6</v>
      </c>
      <c r="G886" s="953">
        <f t="shared" si="163"/>
        <v>4.4099999999999999E-4</v>
      </c>
      <c r="H886" s="953">
        <f t="shared" si="164"/>
        <v>0</v>
      </c>
      <c r="I886" s="953">
        <f t="shared" si="165"/>
        <v>0</v>
      </c>
      <c r="J886" s="953">
        <f t="shared" si="166"/>
        <v>0</v>
      </c>
      <c r="K886" s="953">
        <f t="shared" si="167"/>
        <v>-9.9999999999999995E-7</v>
      </c>
      <c r="L886" s="570" t="str">
        <f t="shared" si="168"/>
        <v>Modal 15</v>
      </c>
      <c r="M886" s="570">
        <f t="shared" si="169"/>
        <v>15</v>
      </c>
    </row>
    <row r="887" spans="1:13">
      <c r="A887" s="570" t="str">
        <f t="shared" si="158"/>
        <v>T1016</v>
      </c>
      <c r="C887" s="953" t="str">
        <f t="shared" si="159"/>
        <v>T10</v>
      </c>
      <c r="D887" s="953" t="str">
        <f t="shared" si="160"/>
        <v>D1</v>
      </c>
      <c r="E887" s="953">
        <f t="shared" si="161"/>
        <v>16</v>
      </c>
      <c r="F887" s="953">
        <f t="shared" si="162"/>
        <v>-4.3000000000000002E-5</v>
      </c>
      <c r="G887" s="953">
        <f t="shared" si="163"/>
        <v>-1.45E-4</v>
      </c>
      <c r="H887" s="953">
        <f t="shared" si="164"/>
        <v>0</v>
      </c>
      <c r="I887" s="953">
        <f t="shared" si="165"/>
        <v>0</v>
      </c>
      <c r="J887" s="953">
        <f t="shared" si="166"/>
        <v>0</v>
      </c>
      <c r="K887" s="953">
        <f t="shared" si="167"/>
        <v>-2.31E-4</v>
      </c>
      <c r="L887" s="570" t="str">
        <f t="shared" si="168"/>
        <v>Modal 16</v>
      </c>
      <c r="M887" s="570">
        <f t="shared" si="169"/>
        <v>16</v>
      </c>
    </row>
    <row r="888" spans="1:13">
      <c r="A888" s="570" t="str">
        <f t="shared" si="158"/>
        <v>T1017</v>
      </c>
      <c r="C888" s="953" t="str">
        <f t="shared" si="159"/>
        <v>T10</v>
      </c>
      <c r="D888" s="953" t="str">
        <f t="shared" si="160"/>
        <v>D1</v>
      </c>
      <c r="E888" s="953">
        <f t="shared" si="161"/>
        <v>17</v>
      </c>
      <c r="F888" s="953">
        <f t="shared" si="162"/>
        <v>-7.4299999999999995E-4</v>
      </c>
      <c r="G888" s="953">
        <f t="shared" si="163"/>
        <v>-1.1E-4</v>
      </c>
      <c r="H888" s="953">
        <f t="shared" si="164"/>
        <v>0</v>
      </c>
      <c r="I888" s="953">
        <f t="shared" si="165"/>
        <v>0</v>
      </c>
      <c r="J888" s="953">
        <f t="shared" si="166"/>
        <v>0</v>
      </c>
      <c r="K888" s="953">
        <f t="shared" si="167"/>
        <v>3.0000000000000001E-5</v>
      </c>
      <c r="L888" s="570" t="str">
        <f t="shared" si="168"/>
        <v>Modal 17</v>
      </c>
      <c r="M888" s="570">
        <f t="shared" si="169"/>
        <v>17</v>
      </c>
    </row>
    <row r="889" spans="1:13">
      <c r="A889" s="570" t="str">
        <f t="shared" si="158"/>
        <v>T1018</v>
      </c>
      <c r="C889" s="953" t="str">
        <f t="shared" si="159"/>
        <v>T10</v>
      </c>
      <c r="D889" s="953" t="str">
        <f t="shared" si="160"/>
        <v>D1</v>
      </c>
      <c r="E889" s="953">
        <f t="shared" si="161"/>
        <v>18</v>
      </c>
      <c r="F889" s="953">
        <f t="shared" si="162"/>
        <v>3.4200000000000002E-4</v>
      </c>
      <c r="G889" s="953">
        <f t="shared" si="163"/>
        <v>-4.4799999999999996E-3</v>
      </c>
      <c r="H889" s="953">
        <f t="shared" si="164"/>
        <v>0</v>
      </c>
      <c r="I889" s="953">
        <f t="shared" si="165"/>
        <v>0</v>
      </c>
      <c r="J889" s="953">
        <f t="shared" si="166"/>
        <v>0</v>
      </c>
      <c r="K889" s="953">
        <f t="shared" si="167"/>
        <v>1.7E-5</v>
      </c>
      <c r="L889" s="570" t="str">
        <f t="shared" si="168"/>
        <v>Modal 18</v>
      </c>
      <c r="M889" s="570">
        <f t="shared" si="169"/>
        <v>18</v>
      </c>
    </row>
    <row r="890" spans="1:13">
      <c r="A890" s="570" t="str">
        <f t="shared" si="158"/>
        <v>T1019</v>
      </c>
      <c r="C890" s="953" t="str">
        <f t="shared" si="159"/>
        <v>T10</v>
      </c>
      <c r="D890" s="953" t="str">
        <f t="shared" si="160"/>
        <v>D1</v>
      </c>
      <c r="E890" s="953">
        <f t="shared" si="161"/>
        <v>19</v>
      </c>
      <c r="F890" s="953">
        <f t="shared" si="162"/>
        <v>4.2499999999999998E-4</v>
      </c>
      <c r="G890" s="953">
        <f t="shared" si="163"/>
        <v>-7.7399999999999995E-4</v>
      </c>
      <c r="H890" s="953">
        <f t="shared" si="164"/>
        <v>0</v>
      </c>
      <c r="I890" s="953">
        <f t="shared" si="165"/>
        <v>0</v>
      </c>
      <c r="J890" s="953">
        <f t="shared" si="166"/>
        <v>0</v>
      </c>
      <c r="K890" s="953">
        <f t="shared" si="167"/>
        <v>-1.9999999999999999E-6</v>
      </c>
      <c r="L890" s="570" t="str">
        <f t="shared" si="168"/>
        <v>Modal 19</v>
      </c>
      <c r="M890" s="570">
        <f t="shared" si="169"/>
        <v>19</v>
      </c>
    </row>
    <row r="891" spans="1:13">
      <c r="A891" s="570" t="str">
        <f t="shared" si="158"/>
        <v>T1020</v>
      </c>
      <c r="C891" s="953" t="str">
        <f t="shared" si="159"/>
        <v>T10</v>
      </c>
      <c r="D891" s="953" t="str">
        <f t="shared" si="160"/>
        <v>D1</v>
      </c>
      <c r="E891" s="953">
        <f t="shared" si="161"/>
        <v>20</v>
      </c>
      <c r="F891" s="953">
        <f t="shared" si="162"/>
        <v>-4.6880000000000003E-3</v>
      </c>
      <c r="G891" s="953">
        <f t="shared" si="163"/>
        <v>-5.3300000000000005E-4</v>
      </c>
      <c r="H891" s="953">
        <f t="shared" si="164"/>
        <v>0</v>
      </c>
      <c r="I891" s="953">
        <f t="shared" si="165"/>
        <v>0</v>
      </c>
      <c r="J891" s="953">
        <f t="shared" si="166"/>
        <v>0</v>
      </c>
      <c r="K891" s="953">
        <f t="shared" si="167"/>
        <v>3.6999999999999998E-5</v>
      </c>
      <c r="L891" s="570" t="str">
        <f t="shared" si="168"/>
        <v>Modal 20</v>
      </c>
      <c r="M891" s="570">
        <f t="shared" si="169"/>
        <v>20</v>
      </c>
    </row>
    <row r="892" spans="1:13">
      <c r="A892" s="570" t="str">
        <f t="shared" si="158"/>
        <v>T1021</v>
      </c>
      <c r="C892" s="953" t="str">
        <f t="shared" si="159"/>
        <v>T10</v>
      </c>
      <c r="D892" s="953" t="str">
        <f t="shared" si="160"/>
        <v>D1</v>
      </c>
      <c r="E892" s="953">
        <f t="shared" si="161"/>
        <v>21</v>
      </c>
      <c r="F892" s="953">
        <f t="shared" si="162"/>
        <v>6.6299999999999996E-4</v>
      </c>
      <c r="G892" s="953">
        <f t="shared" si="163"/>
        <v>-4.875E-3</v>
      </c>
      <c r="H892" s="953">
        <f t="shared" si="164"/>
        <v>0</v>
      </c>
      <c r="I892" s="953">
        <f t="shared" si="165"/>
        <v>0</v>
      </c>
      <c r="J892" s="953">
        <f t="shared" si="166"/>
        <v>0</v>
      </c>
      <c r="K892" s="953">
        <f t="shared" si="167"/>
        <v>5.5999999999999999E-5</v>
      </c>
      <c r="L892" s="570" t="str">
        <f t="shared" si="168"/>
        <v>Modal 21</v>
      </c>
      <c r="M892" s="570">
        <f t="shared" si="169"/>
        <v>21</v>
      </c>
    </row>
    <row r="893" spans="1:13">
      <c r="A893" s="570" t="str">
        <f t="shared" si="158"/>
        <v>T1022</v>
      </c>
      <c r="C893" s="953" t="str">
        <f t="shared" si="159"/>
        <v>T10</v>
      </c>
      <c r="D893" s="953" t="str">
        <f t="shared" si="160"/>
        <v>D1</v>
      </c>
      <c r="E893" s="953">
        <f t="shared" si="161"/>
        <v>22</v>
      </c>
      <c r="F893" s="953">
        <f t="shared" si="162"/>
        <v>3.339E-3</v>
      </c>
      <c r="G893" s="953">
        <f t="shared" si="163"/>
        <v>1.379E-3</v>
      </c>
      <c r="H893" s="953">
        <f t="shared" si="164"/>
        <v>0</v>
      </c>
      <c r="I893" s="953">
        <f t="shared" si="165"/>
        <v>0</v>
      </c>
      <c r="J893" s="953">
        <f t="shared" si="166"/>
        <v>0</v>
      </c>
      <c r="K893" s="953">
        <f t="shared" si="167"/>
        <v>7.1000000000000005E-5</v>
      </c>
      <c r="L893" s="570" t="str">
        <f t="shared" si="168"/>
        <v>Modal 22</v>
      </c>
      <c r="M893" s="570">
        <f t="shared" si="169"/>
        <v>22</v>
      </c>
    </row>
    <row r="894" spans="1:13">
      <c r="A894" s="570" t="str">
        <f t="shared" si="158"/>
        <v>T1023</v>
      </c>
      <c r="C894" s="953" t="str">
        <f t="shared" si="159"/>
        <v>T10</v>
      </c>
      <c r="D894" s="953" t="str">
        <f t="shared" si="160"/>
        <v>D1</v>
      </c>
      <c r="E894" s="953">
        <f t="shared" si="161"/>
        <v>23</v>
      </c>
      <c r="F894" s="953">
        <f t="shared" si="162"/>
        <v>-3.019E-3</v>
      </c>
      <c r="G894" s="953">
        <f t="shared" si="163"/>
        <v>1.593E-3</v>
      </c>
      <c r="H894" s="953">
        <f t="shared" si="164"/>
        <v>0</v>
      </c>
      <c r="I894" s="953">
        <f t="shared" si="165"/>
        <v>0</v>
      </c>
      <c r="J894" s="953">
        <f t="shared" si="166"/>
        <v>0</v>
      </c>
      <c r="K894" s="953">
        <f t="shared" si="167"/>
        <v>5.8999999999999998E-5</v>
      </c>
      <c r="L894" s="570" t="str">
        <f t="shared" si="168"/>
        <v>Modal 23</v>
      </c>
      <c r="M894" s="570">
        <f t="shared" si="169"/>
        <v>23</v>
      </c>
    </row>
    <row r="895" spans="1:13">
      <c r="A895" s="570" t="str">
        <f t="shared" si="158"/>
        <v>T1024</v>
      </c>
      <c r="C895" s="953" t="str">
        <f t="shared" si="159"/>
        <v>T10</v>
      </c>
      <c r="D895" s="953" t="str">
        <f t="shared" si="160"/>
        <v>D1</v>
      </c>
      <c r="E895" s="953">
        <f t="shared" si="161"/>
        <v>24</v>
      </c>
      <c r="F895" s="953">
        <f t="shared" si="162"/>
        <v>2.49E-3</v>
      </c>
      <c r="G895" s="953">
        <f t="shared" si="163"/>
        <v>-3.4299999999999999E-4</v>
      </c>
      <c r="H895" s="953">
        <f t="shared" si="164"/>
        <v>0</v>
      </c>
      <c r="I895" s="953">
        <f t="shared" si="165"/>
        <v>0</v>
      </c>
      <c r="J895" s="953">
        <f t="shared" si="166"/>
        <v>0</v>
      </c>
      <c r="K895" s="953">
        <f t="shared" si="167"/>
        <v>-2.5999999999999998E-5</v>
      </c>
      <c r="L895" s="570" t="str">
        <f t="shared" si="168"/>
        <v>Modal 24</v>
      </c>
      <c r="M895" s="570">
        <f t="shared" si="169"/>
        <v>24</v>
      </c>
    </row>
    <row r="896" spans="1:13">
      <c r="A896" s="570" t="str">
        <f t="shared" si="158"/>
        <v>T1025</v>
      </c>
      <c r="C896" s="953" t="str">
        <f t="shared" si="159"/>
        <v>T10</v>
      </c>
      <c r="D896" s="953" t="str">
        <f t="shared" si="160"/>
        <v>D1</v>
      </c>
      <c r="E896" s="953">
        <f t="shared" si="161"/>
        <v>25</v>
      </c>
      <c r="F896" s="953">
        <f t="shared" si="162"/>
        <v>-3.2599999999999999E-3</v>
      </c>
      <c r="G896" s="953">
        <f t="shared" si="163"/>
        <v>3.9820000000000003E-3</v>
      </c>
      <c r="H896" s="953">
        <f t="shared" si="164"/>
        <v>0</v>
      </c>
      <c r="I896" s="953">
        <f t="shared" si="165"/>
        <v>0</v>
      </c>
      <c r="J896" s="953">
        <f t="shared" si="166"/>
        <v>0</v>
      </c>
      <c r="K896" s="953">
        <f t="shared" si="167"/>
        <v>4.6999999999999997E-5</v>
      </c>
      <c r="L896" s="570" t="str">
        <f t="shared" si="168"/>
        <v>Modal 25</v>
      </c>
      <c r="M896" s="570">
        <f t="shared" si="169"/>
        <v>25</v>
      </c>
    </row>
    <row r="897" spans="1:13">
      <c r="A897" s="570" t="str">
        <f t="shared" si="158"/>
        <v>T1026</v>
      </c>
      <c r="C897" s="953" t="str">
        <f t="shared" si="159"/>
        <v>T10</v>
      </c>
      <c r="D897" s="953" t="str">
        <f t="shared" si="160"/>
        <v>D1</v>
      </c>
      <c r="E897" s="953">
        <f t="shared" si="161"/>
        <v>26</v>
      </c>
      <c r="F897" s="953">
        <f t="shared" si="162"/>
        <v>-3.6250000000000002E-3</v>
      </c>
      <c r="G897" s="953">
        <f t="shared" si="163"/>
        <v>-5.1310000000000001E-3</v>
      </c>
      <c r="H897" s="953">
        <f t="shared" si="164"/>
        <v>0</v>
      </c>
      <c r="I897" s="953">
        <f t="shared" si="165"/>
        <v>0</v>
      </c>
      <c r="J897" s="953">
        <f t="shared" si="166"/>
        <v>0</v>
      </c>
      <c r="K897" s="953">
        <f t="shared" si="167"/>
        <v>4.3999999999999999E-5</v>
      </c>
      <c r="L897" s="570" t="str">
        <f t="shared" si="168"/>
        <v>Modal 26</v>
      </c>
      <c r="M897" s="570">
        <f t="shared" si="169"/>
        <v>26</v>
      </c>
    </row>
    <row r="898" spans="1:13">
      <c r="A898" s="570" t="str">
        <f t="shared" ref="A898:A961" si="170">C898&amp;E898</f>
        <v>T1027</v>
      </c>
      <c r="C898" s="953" t="str">
        <f t="shared" ref="C898:C961" si="171">IF(Etabs="Etabs 9.7.4",IF(INDEX(Mode_1,ROW($E898),COLUMN(A$1))&lt;&gt;"",INDEX(Mode_1,ROW($E898),COLUMN(A$1)),""),IF(Etabs="Etabs 2013 trở lên",IF(INDEX(Mode_2,ROW($E900),COLUMN(A$1))&lt;&gt;"",INDEX(Mode_2,ROW($E900),COLUMN(A$1)),""),""))</f>
        <v>T10</v>
      </c>
      <c r="D898" s="953" t="str">
        <f t="shared" ref="D898:D961" si="172">IF(Etabs="Etabs 9.7.4",IF(INDEX(Mode_1,ROW($E898),COLUMN(B$1))&lt;&gt;"",INDEX(Mode_1,ROW($E898),COLUMN(B$1)),""),IF(Etabs="Etabs 2013 trở lên",IF(INDEX(Mode_2,ROW($E900),COLUMN(B$1))&lt;&gt;"",INDEX(Mode_2,ROW($E900),COLUMN(B$1)),""),""))</f>
        <v>D1</v>
      </c>
      <c r="E898" s="953">
        <f t="shared" ref="E898:E961" si="173">IF(Etabs="Etabs 9.7.4",IF(INDEX(Mode_1,ROW($E898),COLUMN(C$1))&lt;&gt;"",INDEX(Mode_1,ROW($E898),COLUMN(C$1)),""),IF(Etabs="Etabs 2013 trở lên",$M898,""))</f>
        <v>27</v>
      </c>
      <c r="F898" s="953">
        <f t="shared" ref="F898:F961" si="174">IF(Etabs="Etabs 9.7.4",IF(INDEX(Mode_1,ROW($E898),COLUMN(D$1))&lt;&gt;"",INDEX(Mode_1,ROW($E898),COLUMN(D$1)),""),IF(Etabs="Etabs 2013 trở lên",IF(INDEX(Mode_2,ROW($E900),COLUMN(D$1))&lt;&gt;"",INDEX(Mode_2,ROW($E900),COLUMN(D$1)),""),""))</f>
        <v>2.1679999999999998E-3</v>
      </c>
      <c r="G898" s="953">
        <f t="shared" ref="G898:G961" si="175">IF(Etabs="Etabs 9.7.4",IF(INDEX(Mode_1,ROW($E898),COLUMN(E$1))&lt;&gt;"",INDEX(Mode_1,ROW($E898),COLUMN(E$1)),""),IF(Etabs="Etabs 2013 trở lên",IF(INDEX(Mode_2,ROW($E900),COLUMN(E$1))&lt;&gt;"",INDEX(Mode_2,ROW($E900),COLUMN(E$1)),""),""))</f>
        <v>3.6000000000000002E-4</v>
      </c>
      <c r="H898" s="953">
        <f t="shared" ref="H898:H961" si="176">IF(Etabs="Etabs 9.7.4",IF(INDEX(Mode_1,ROW($E898),COLUMN(F$1))&lt;&gt;"",INDEX(Mode_1,ROW($E898),COLUMN(F$1)),""),IF(Etabs="Etabs 2013 trở lên",0,""))</f>
        <v>0</v>
      </c>
      <c r="I898" s="953">
        <f t="shared" ref="I898:I961" si="177">IF(Etabs="Etabs 9.7.4",IF(INDEX(Mode_1,ROW($E898),COLUMN(G$1))&lt;&gt;"",INDEX(Mode_1,ROW($E898),COLUMN(G$1)),""),IF(Etabs="Etabs 2013 trở lên",0,""))</f>
        <v>0</v>
      </c>
      <c r="J898" s="953">
        <f t="shared" ref="J898:J961" si="178">IF(Etabs="Etabs 9.7.4",IF(INDEX(Mode_1,ROW($E898),COLUMN(H$1))&lt;&gt;"",INDEX(Mode_1,ROW($E898),COLUMN(H$1)),""),IF(Etabs="Etabs 2013 trở lên",0,""))</f>
        <v>0</v>
      </c>
      <c r="K898" s="953">
        <f t="shared" ref="K898:K961" si="179">IF(Etabs="Etabs 9.7.4",IF(INDEX(Mode_1,ROW($E898),COLUMN(I$1))&lt;&gt;"",INDEX(Mode_1,ROW($E898),COLUMN(I$1)),""),IF(Etabs="Etabs 2013 trở lên",IF(INDEX(Mode_2,ROW($E900),COLUMN(F$1))&lt;&gt;"",INDEX(Mode_2,ROW($E900),COLUMN(F$1)),""),""))</f>
        <v>5.3000000000000001E-5</v>
      </c>
      <c r="L898" s="570" t="str">
        <f t="shared" ref="L898:L961" si="180">IF(Etabs="Etabs 9.7.4",IF(INDEX(Mode_1,ROW($E898),COLUMN(C$1))&lt;&gt;"",INDEX(Mode_1,ROW($E898),COLUMN(C$1)),""),IF(Etabs="Etabs 2013 trở lên",IF(INDEX(Mode_2,ROW($E900),COLUMN(C$1))&lt;&gt;"",INDEX(Mode_2,ROW($E900),COLUMN(C$1)),""),""))</f>
        <v>Modal 27</v>
      </c>
      <c r="M898" s="570">
        <f t="shared" si="169"/>
        <v>27</v>
      </c>
    </row>
    <row r="899" spans="1:13">
      <c r="A899" s="570" t="str">
        <f t="shared" si="170"/>
        <v>T1028</v>
      </c>
      <c r="C899" s="953" t="str">
        <f t="shared" si="171"/>
        <v>T10</v>
      </c>
      <c r="D899" s="953" t="str">
        <f t="shared" si="172"/>
        <v>D1</v>
      </c>
      <c r="E899" s="953">
        <f t="shared" si="173"/>
        <v>28</v>
      </c>
      <c r="F899" s="953">
        <f t="shared" si="174"/>
        <v>2.3900000000000001E-4</v>
      </c>
      <c r="G899" s="953">
        <f t="shared" si="175"/>
        <v>-1.3619999999999999E-3</v>
      </c>
      <c r="H899" s="953">
        <f t="shared" si="176"/>
        <v>0</v>
      </c>
      <c r="I899" s="953">
        <f t="shared" si="177"/>
        <v>0</v>
      </c>
      <c r="J899" s="953">
        <f t="shared" si="178"/>
        <v>0</v>
      </c>
      <c r="K899" s="953">
        <f t="shared" si="179"/>
        <v>4.8999999999999998E-5</v>
      </c>
      <c r="L899" s="570" t="str">
        <f t="shared" si="180"/>
        <v>Modal 28</v>
      </c>
      <c r="M899" s="570">
        <f t="shared" ref="M899:M962" si="181">IFERROR(VALUE(RIGHT(L899,LEN(L899)-6)),"")</f>
        <v>28</v>
      </c>
    </row>
    <row r="900" spans="1:13">
      <c r="A900" s="570" t="str">
        <f t="shared" si="170"/>
        <v>T1029</v>
      </c>
      <c r="C900" s="953" t="str">
        <f t="shared" si="171"/>
        <v>T10</v>
      </c>
      <c r="D900" s="953" t="str">
        <f t="shared" si="172"/>
        <v>D1</v>
      </c>
      <c r="E900" s="953">
        <f t="shared" si="173"/>
        <v>29</v>
      </c>
      <c r="F900" s="953">
        <f t="shared" si="174"/>
        <v>-3.7889999999999998E-3</v>
      </c>
      <c r="G900" s="953">
        <f t="shared" si="175"/>
        <v>1.3470000000000001E-3</v>
      </c>
      <c r="H900" s="953">
        <f t="shared" si="176"/>
        <v>0</v>
      </c>
      <c r="I900" s="953">
        <f t="shared" si="177"/>
        <v>0</v>
      </c>
      <c r="J900" s="953">
        <f t="shared" si="178"/>
        <v>0</v>
      </c>
      <c r="K900" s="953">
        <f t="shared" si="179"/>
        <v>-5.0000000000000002E-5</v>
      </c>
      <c r="L900" s="570" t="str">
        <f t="shared" si="180"/>
        <v>Modal 29</v>
      </c>
      <c r="M900" s="570">
        <f t="shared" si="181"/>
        <v>29</v>
      </c>
    </row>
    <row r="901" spans="1:13">
      <c r="A901" s="570" t="str">
        <f t="shared" si="170"/>
        <v>T1030</v>
      </c>
      <c r="C901" s="953" t="str">
        <f t="shared" si="171"/>
        <v>T10</v>
      </c>
      <c r="D901" s="953" t="str">
        <f t="shared" si="172"/>
        <v>D1</v>
      </c>
      <c r="E901" s="953">
        <f t="shared" si="173"/>
        <v>30</v>
      </c>
      <c r="F901" s="953">
        <f t="shared" si="174"/>
        <v>-1.397E-3</v>
      </c>
      <c r="G901" s="953">
        <f t="shared" si="175"/>
        <v>-2.0409999999999998E-3</v>
      </c>
      <c r="H901" s="953">
        <f t="shared" si="176"/>
        <v>0</v>
      </c>
      <c r="I901" s="953">
        <f t="shared" si="177"/>
        <v>0</v>
      </c>
      <c r="J901" s="953">
        <f t="shared" si="178"/>
        <v>0</v>
      </c>
      <c r="K901" s="953">
        <f t="shared" si="179"/>
        <v>-2.0999999999999999E-5</v>
      </c>
      <c r="L901" s="570" t="str">
        <f t="shared" si="180"/>
        <v>Modal 30</v>
      </c>
      <c r="M901" s="570">
        <f t="shared" si="181"/>
        <v>30</v>
      </c>
    </row>
    <row r="902" spans="1:13">
      <c r="A902" s="570" t="str">
        <f t="shared" si="170"/>
        <v>T91</v>
      </c>
      <c r="C902" s="953" t="str">
        <f t="shared" si="171"/>
        <v>T9</v>
      </c>
      <c r="D902" s="953" t="str">
        <f t="shared" si="172"/>
        <v>D1</v>
      </c>
      <c r="E902" s="953">
        <f t="shared" si="173"/>
        <v>1</v>
      </c>
      <c r="F902" s="953">
        <f t="shared" si="174"/>
        <v>-1.94E-4</v>
      </c>
      <c r="G902" s="953">
        <f t="shared" si="175"/>
        <v>1.0089999999999999E-3</v>
      </c>
      <c r="H902" s="953">
        <f t="shared" si="176"/>
        <v>0</v>
      </c>
      <c r="I902" s="953">
        <f t="shared" si="177"/>
        <v>0</v>
      </c>
      <c r="J902" s="953">
        <f t="shared" si="178"/>
        <v>0</v>
      </c>
      <c r="K902" s="953">
        <f t="shared" si="179"/>
        <v>1.2E-5</v>
      </c>
      <c r="L902" s="570" t="str">
        <f t="shared" si="180"/>
        <v>Modal 1</v>
      </c>
      <c r="M902" s="570">
        <f t="shared" si="181"/>
        <v>1</v>
      </c>
    </row>
    <row r="903" spans="1:13">
      <c r="A903" s="570" t="str">
        <f t="shared" si="170"/>
        <v>T92</v>
      </c>
      <c r="C903" s="953" t="str">
        <f t="shared" si="171"/>
        <v>T9</v>
      </c>
      <c r="D903" s="953" t="str">
        <f t="shared" si="172"/>
        <v>D1</v>
      </c>
      <c r="E903" s="953">
        <f t="shared" si="173"/>
        <v>2</v>
      </c>
      <c r="F903" s="953">
        <f t="shared" si="174"/>
        <v>-1.8900000000000001E-4</v>
      </c>
      <c r="G903" s="953">
        <f t="shared" si="175"/>
        <v>-2.13E-4</v>
      </c>
      <c r="H903" s="953">
        <f t="shared" si="176"/>
        <v>0</v>
      </c>
      <c r="I903" s="953">
        <f t="shared" si="177"/>
        <v>0</v>
      </c>
      <c r="J903" s="953">
        <f t="shared" si="178"/>
        <v>0</v>
      </c>
      <c r="K903" s="953">
        <f t="shared" si="179"/>
        <v>6.7999999999999999E-5</v>
      </c>
      <c r="L903" s="570" t="str">
        <f t="shared" si="180"/>
        <v>Modal 2</v>
      </c>
      <c r="M903" s="570">
        <f t="shared" si="181"/>
        <v>2</v>
      </c>
    </row>
    <row r="904" spans="1:13">
      <c r="A904" s="570" t="str">
        <f t="shared" si="170"/>
        <v>T93</v>
      </c>
      <c r="C904" s="953" t="str">
        <f t="shared" si="171"/>
        <v>T9</v>
      </c>
      <c r="D904" s="953" t="str">
        <f t="shared" si="172"/>
        <v>D1</v>
      </c>
      <c r="E904" s="953">
        <f t="shared" si="173"/>
        <v>3</v>
      </c>
      <c r="F904" s="953">
        <f t="shared" si="174"/>
        <v>1.155E-3</v>
      </c>
      <c r="G904" s="953">
        <f t="shared" si="175"/>
        <v>2.1100000000000001E-4</v>
      </c>
      <c r="H904" s="953">
        <f t="shared" si="176"/>
        <v>0</v>
      </c>
      <c r="I904" s="953">
        <f t="shared" si="177"/>
        <v>0</v>
      </c>
      <c r="J904" s="953">
        <f t="shared" si="178"/>
        <v>0</v>
      </c>
      <c r="K904" s="953">
        <f t="shared" si="179"/>
        <v>1.2999999999999999E-5</v>
      </c>
      <c r="L904" s="570" t="str">
        <f t="shared" si="180"/>
        <v>Modal 3</v>
      </c>
      <c r="M904" s="570">
        <f t="shared" si="181"/>
        <v>3</v>
      </c>
    </row>
    <row r="905" spans="1:13">
      <c r="A905" s="570" t="str">
        <f t="shared" si="170"/>
        <v>T94</v>
      </c>
      <c r="C905" s="953" t="str">
        <f t="shared" si="171"/>
        <v>T9</v>
      </c>
      <c r="D905" s="953" t="str">
        <f t="shared" si="172"/>
        <v>D1</v>
      </c>
      <c r="E905" s="953">
        <f t="shared" si="173"/>
        <v>4</v>
      </c>
      <c r="F905" s="953">
        <f t="shared" si="174"/>
        <v>-5.8699999999999996E-4</v>
      </c>
      <c r="G905" s="953">
        <f t="shared" si="175"/>
        <v>2.3E-5</v>
      </c>
      <c r="H905" s="953">
        <f t="shared" si="176"/>
        <v>0</v>
      </c>
      <c r="I905" s="953">
        <f t="shared" si="177"/>
        <v>0</v>
      </c>
      <c r="J905" s="953">
        <f t="shared" si="178"/>
        <v>0</v>
      </c>
      <c r="K905" s="953">
        <f t="shared" si="179"/>
        <v>2.04E-4</v>
      </c>
      <c r="L905" s="570" t="str">
        <f t="shared" si="180"/>
        <v>Modal 4</v>
      </c>
      <c r="M905" s="570">
        <f t="shared" si="181"/>
        <v>4</v>
      </c>
    </row>
    <row r="906" spans="1:13">
      <c r="A906" s="570" t="str">
        <f t="shared" si="170"/>
        <v>T95</v>
      </c>
      <c r="C906" s="953" t="str">
        <f t="shared" si="171"/>
        <v>T9</v>
      </c>
      <c r="D906" s="953" t="str">
        <f t="shared" si="172"/>
        <v>D1</v>
      </c>
      <c r="E906" s="953">
        <f t="shared" si="173"/>
        <v>5</v>
      </c>
      <c r="F906" s="953">
        <f t="shared" si="174"/>
        <v>4.75E-4</v>
      </c>
      <c r="G906" s="953">
        <f t="shared" si="175"/>
        <v>-3.8839999999999999E-3</v>
      </c>
      <c r="H906" s="953">
        <f t="shared" si="176"/>
        <v>0</v>
      </c>
      <c r="I906" s="953">
        <f t="shared" si="177"/>
        <v>0</v>
      </c>
      <c r="J906" s="953">
        <f t="shared" si="178"/>
        <v>0</v>
      </c>
      <c r="K906" s="953">
        <f t="shared" si="179"/>
        <v>6.0000000000000002E-6</v>
      </c>
      <c r="L906" s="570" t="str">
        <f t="shared" si="180"/>
        <v>Modal 5</v>
      </c>
      <c r="M906" s="570">
        <f t="shared" si="181"/>
        <v>5</v>
      </c>
    </row>
    <row r="907" spans="1:13">
      <c r="A907" s="570" t="str">
        <f t="shared" si="170"/>
        <v>T96</v>
      </c>
      <c r="C907" s="953" t="str">
        <f t="shared" si="171"/>
        <v>T9</v>
      </c>
      <c r="D907" s="953" t="str">
        <f t="shared" si="172"/>
        <v>D1</v>
      </c>
      <c r="E907" s="953">
        <f t="shared" si="173"/>
        <v>6</v>
      </c>
      <c r="F907" s="953">
        <f t="shared" si="174"/>
        <v>-3.9090000000000001E-3</v>
      </c>
      <c r="G907" s="953">
        <f t="shared" si="175"/>
        <v>-5.0799999999999999E-4</v>
      </c>
      <c r="H907" s="953">
        <f t="shared" si="176"/>
        <v>0</v>
      </c>
      <c r="I907" s="953">
        <f t="shared" si="177"/>
        <v>0</v>
      </c>
      <c r="J907" s="953">
        <f t="shared" si="178"/>
        <v>0</v>
      </c>
      <c r="K907" s="953">
        <f t="shared" si="179"/>
        <v>-3.4E-5</v>
      </c>
      <c r="L907" s="570" t="str">
        <f t="shared" si="180"/>
        <v>Modal 6</v>
      </c>
      <c r="M907" s="570">
        <f t="shared" si="181"/>
        <v>6</v>
      </c>
    </row>
    <row r="908" spans="1:13">
      <c r="A908" s="570" t="str">
        <f t="shared" si="170"/>
        <v>T97</v>
      </c>
      <c r="C908" s="953" t="str">
        <f t="shared" si="171"/>
        <v>T9</v>
      </c>
      <c r="D908" s="953" t="str">
        <f t="shared" si="172"/>
        <v>D1</v>
      </c>
      <c r="E908" s="953">
        <f t="shared" si="173"/>
        <v>7</v>
      </c>
      <c r="F908" s="953">
        <f t="shared" si="174"/>
        <v>7.7899999999999996E-4</v>
      </c>
      <c r="G908" s="953">
        <f t="shared" si="175"/>
        <v>2.8E-5</v>
      </c>
      <c r="H908" s="953">
        <f t="shared" si="176"/>
        <v>0</v>
      </c>
      <c r="I908" s="953">
        <f t="shared" si="177"/>
        <v>0</v>
      </c>
      <c r="J908" s="953">
        <f t="shared" si="178"/>
        <v>0</v>
      </c>
      <c r="K908" s="953">
        <f t="shared" si="179"/>
        <v>-2.7700000000000001E-4</v>
      </c>
      <c r="L908" s="570" t="str">
        <f t="shared" si="180"/>
        <v>Modal 7</v>
      </c>
      <c r="M908" s="570">
        <f t="shared" si="181"/>
        <v>7</v>
      </c>
    </row>
    <row r="909" spans="1:13">
      <c r="A909" s="570" t="str">
        <f t="shared" si="170"/>
        <v>T98</v>
      </c>
      <c r="C909" s="953" t="str">
        <f t="shared" si="171"/>
        <v>T9</v>
      </c>
      <c r="D909" s="953" t="str">
        <f t="shared" si="172"/>
        <v>D1</v>
      </c>
      <c r="E909" s="953">
        <f t="shared" si="173"/>
        <v>8</v>
      </c>
      <c r="F909" s="953">
        <f t="shared" si="174"/>
        <v>5.9500000000000004E-4</v>
      </c>
      <c r="G909" s="953">
        <f t="shared" si="175"/>
        <v>-5.8259999999999996E-3</v>
      </c>
      <c r="H909" s="953">
        <f t="shared" si="176"/>
        <v>0</v>
      </c>
      <c r="I909" s="953">
        <f t="shared" si="177"/>
        <v>0</v>
      </c>
      <c r="J909" s="953">
        <f t="shared" si="178"/>
        <v>0</v>
      </c>
      <c r="K909" s="953">
        <f t="shared" si="179"/>
        <v>3.0000000000000001E-6</v>
      </c>
      <c r="L909" s="570" t="str">
        <f t="shared" si="180"/>
        <v>Modal 8</v>
      </c>
      <c r="M909" s="570">
        <f t="shared" si="181"/>
        <v>8</v>
      </c>
    </row>
    <row r="910" spans="1:13">
      <c r="A910" s="570" t="str">
        <f t="shared" si="170"/>
        <v>T99</v>
      </c>
      <c r="C910" s="953" t="str">
        <f t="shared" si="171"/>
        <v>T9</v>
      </c>
      <c r="D910" s="953" t="str">
        <f t="shared" si="172"/>
        <v>D1</v>
      </c>
      <c r="E910" s="953">
        <f t="shared" si="173"/>
        <v>9</v>
      </c>
      <c r="F910" s="953">
        <f t="shared" si="174"/>
        <v>4.8000000000000001E-5</v>
      </c>
      <c r="G910" s="953">
        <f t="shared" si="175"/>
        <v>5.0000000000000004E-6</v>
      </c>
      <c r="H910" s="953">
        <f t="shared" si="176"/>
        <v>0</v>
      </c>
      <c r="I910" s="953">
        <f t="shared" si="177"/>
        <v>0</v>
      </c>
      <c r="J910" s="953">
        <f t="shared" si="178"/>
        <v>0</v>
      </c>
      <c r="K910" s="953">
        <f t="shared" si="179"/>
        <v>2.34E-4</v>
      </c>
      <c r="L910" s="570" t="str">
        <f t="shared" si="180"/>
        <v>Modal 9</v>
      </c>
      <c r="M910" s="570">
        <f t="shared" si="181"/>
        <v>9</v>
      </c>
    </row>
    <row r="911" spans="1:13">
      <c r="A911" s="570" t="str">
        <f t="shared" si="170"/>
        <v>T910</v>
      </c>
      <c r="C911" s="953" t="str">
        <f t="shared" si="171"/>
        <v>T9</v>
      </c>
      <c r="D911" s="953" t="str">
        <f t="shared" si="172"/>
        <v>D1</v>
      </c>
      <c r="E911" s="953">
        <f t="shared" si="173"/>
        <v>10</v>
      </c>
      <c r="F911" s="953">
        <f t="shared" si="174"/>
        <v>-5.7869999999999996E-3</v>
      </c>
      <c r="G911" s="953">
        <f t="shared" si="175"/>
        <v>-5.7700000000000004E-4</v>
      </c>
      <c r="H911" s="953">
        <f t="shared" si="176"/>
        <v>0</v>
      </c>
      <c r="I911" s="953">
        <f t="shared" si="177"/>
        <v>0</v>
      </c>
      <c r="J911" s="953">
        <f t="shared" si="178"/>
        <v>0</v>
      </c>
      <c r="K911" s="953">
        <f t="shared" si="179"/>
        <v>-7.9999999999999996E-6</v>
      </c>
      <c r="L911" s="570" t="str">
        <f t="shared" si="180"/>
        <v>Modal 10</v>
      </c>
      <c r="M911" s="570">
        <f t="shared" si="181"/>
        <v>10</v>
      </c>
    </row>
    <row r="912" spans="1:13">
      <c r="A912" s="570" t="str">
        <f t="shared" si="170"/>
        <v>T911</v>
      </c>
      <c r="C912" s="953" t="str">
        <f t="shared" si="171"/>
        <v>T9</v>
      </c>
      <c r="D912" s="953" t="str">
        <f t="shared" si="172"/>
        <v>D1</v>
      </c>
      <c r="E912" s="953">
        <f t="shared" si="173"/>
        <v>11</v>
      </c>
      <c r="F912" s="953">
        <f t="shared" si="174"/>
        <v>-2.1599999999999999E-4</v>
      </c>
      <c r="G912" s="953">
        <f t="shared" si="175"/>
        <v>1.6850000000000001E-3</v>
      </c>
      <c r="H912" s="953">
        <f t="shared" si="176"/>
        <v>0</v>
      </c>
      <c r="I912" s="953">
        <f t="shared" si="177"/>
        <v>0</v>
      </c>
      <c r="J912" s="953">
        <f t="shared" si="178"/>
        <v>0</v>
      </c>
      <c r="K912" s="953">
        <f t="shared" si="179"/>
        <v>6.8999999999999997E-5</v>
      </c>
      <c r="L912" s="570" t="str">
        <f t="shared" si="180"/>
        <v>Modal 11</v>
      </c>
      <c r="M912" s="570">
        <f t="shared" si="181"/>
        <v>11</v>
      </c>
    </row>
    <row r="913" spans="1:13">
      <c r="A913" s="570" t="str">
        <f t="shared" si="170"/>
        <v>T912</v>
      </c>
      <c r="C913" s="953" t="str">
        <f t="shared" si="171"/>
        <v>T9</v>
      </c>
      <c r="D913" s="953" t="str">
        <f t="shared" si="172"/>
        <v>D1</v>
      </c>
      <c r="E913" s="953">
        <f t="shared" si="173"/>
        <v>12</v>
      </c>
      <c r="F913" s="953">
        <f t="shared" si="174"/>
        <v>4.3899999999999999E-4</v>
      </c>
      <c r="G913" s="953">
        <f t="shared" si="175"/>
        <v>-4.6220000000000002E-3</v>
      </c>
      <c r="H913" s="953">
        <f t="shared" si="176"/>
        <v>0</v>
      </c>
      <c r="I913" s="953">
        <f t="shared" si="177"/>
        <v>0</v>
      </c>
      <c r="J913" s="953">
        <f t="shared" si="178"/>
        <v>0</v>
      </c>
      <c r="K913" s="953">
        <f t="shared" si="179"/>
        <v>3.1000000000000001E-5</v>
      </c>
      <c r="L913" s="570" t="str">
        <f t="shared" si="180"/>
        <v>Modal 12</v>
      </c>
      <c r="M913" s="570">
        <f t="shared" si="181"/>
        <v>12</v>
      </c>
    </row>
    <row r="914" spans="1:13">
      <c r="A914" s="570" t="str">
        <f t="shared" si="170"/>
        <v>T913</v>
      </c>
      <c r="C914" s="953" t="str">
        <f t="shared" si="171"/>
        <v>T9</v>
      </c>
      <c r="D914" s="953" t="str">
        <f t="shared" si="172"/>
        <v>D1</v>
      </c>
      <c r="E914" s="953">
        <f t="shared" si="173"/>
        <v>13</v>
      </c>
      <c r="F914" s="953">
        <f t="shared" si="174"/>
        <v>4.7800000000000004E-3</v>
      </c>
      <c r="G914" s="953">
        <f t="shared" si="175"/>
        <v>4.5600000000000003E-4</v>
      </c>
      <c r="H914" s="953">
        <f t="shared" si="176"/>
        <v>0</v>
      </c>
      <c r="I914" s="953">
        <f t="shared" si="177"/>
        <v>0</v>
      </c>
      <c r="J914" s="953">
        <f t="shared" si="178"/>
        <v>0</v>
      </c>
      <c r="K914" s="953">
        <f t="shared" si="179"/>
        <v>1.2E-5</v>
      </c>
      <c r="L914" s="570" t="str">
        <f t="shared" si="180"/>
        <v>Modal 13</v>
      </c>
      <c r="M914" s="570">
        <f t="shared" si="181"/>
        <v>13</v>
      </c>
    </row>
    <row r="915" spans="1:13">
      <c r="A915" s="570" t="str">
        <f t="shared" si="170"/>
        <v>T914</v>
      </c>
      <c r="C915" s="953" t="str">
        <f t="shared" si="171"/>
        <v>T9</v>
      </c>
      <c r="D915" s="953" t="str">
        <f t="shared" si="172"/>
        <v>D1</v>
      </c>
      <c r="E915" s="953">
        <f t="shared" si="173"/>
        <v>14</v>
      </c>
      <c r="F915" s="953">
        <f t="shared" si="174"/>
        <v>1.9000000000000001E-5</v>
      </c>
      <c r="G915" s="953">
        <f t="shared" si="175"/>
        <v>-5.3000000000000001E-5</v>
      </c>
      <c r="H915" s="953">
        <f t="shared" si="176"/>
        <v>0</v>
      </c>
      <c r="I915" s="953">
        <f t="shared" si="177"/>
        <v>0</v>
      </c>
      <c r="J915" s="953">
        <f t="shared" si="178"/>
        <v>0</v>
      </c>
      <c r="K915" s="953">
        <f t="shared" si="179"/>
        <v>-1.36E-4</v>
      </c>
      <c r="L915" s="570" t="str">
        <f t="shared" si="180"/>
        <v>Modal 14</v>
      </c>
      <c r="M915" s="570">
        <f t="shared" si="181"/>
        <v>14</v>
      </c>
    </row>
    <row r="916" spans="1:13">
      <c r="A916" s="570" t="str">
        <f t="shared" si="170"/>
        <v>T915</v>
      </c>
      <c r="C916" s="953" t="str">
        <f t="shared" si="171"/>
        <v>T9</v>
      </c>
      <c r="D916" s="953" t="str">
        <f t="shared" si="172"/>
        <v>D1</v>
      </c>
      <c r="E916" s="953">
        <f t="shared" si="173"/>
        <v>15</v>
      </c>
      <c r="F916" s="953">
        <f t="shared" si="174"/>
        <v>1.7799999999999999E-4</v>
      </c>
      <c r="G916" s="953">
        <f t="shared" si="175"/>
        <v>-1.529E-3</v>
      </c>
      <c r="H916" s="953">
        <f t="shared" si="176"/>
        <v>0</v>
      </c>
      <c r="I916" s="953">
        <f t="shared" si="177"/>
        <v>0</v>
      </c>
      <c r="J916" s="953">
        <f t="shared" si="178"/>
        <v>0</v>
      </c>
      <c r="K916" s="953">
        <f t="shared" si="179"/>
        <v>3.9999999999999998E-6</v>
      </c>
      <c r="L916" s="570" t="str">
        <f t="shared" si="180"/>
        <v>Modal 15</v>
      </c>
      <c r="M916" s="570">
        <f t="shared" si="181"/>
        <v>15</v>
      </c>
    </row>
    <row r="917" spans="1:13">
      <c r="A917" s="570" t="str">
        <f t="shared" si="170"/>
        <v>T916</v>
      </c>
      <c r="C917" s="953" t="str">
        <f t="shared" si="171"/>
        <v>T9</v>
      </c>
      <c r="D917" s="953" t="str">
        <f t="shared" si="172"/>
        <v>D1</v>
      </c>
      <c r="E917" s="953">
        <f t="shared" si="173"/>
        <v>16</v>
      </c>
      <c r="F917" s="953">
        <f t="shared" si="174"/>
        <v>1.7200000000000001E-4</v>
      </c>
      <c r="G917" s="953">
        <f t="shared" si="175"/>
        <v>-1.6000000000000001E-4</v>
      </c>
      <c r="H917" s="953">
        <f t="shared" si="176"/>
        <v>0</v>
      </c>
      <c r="I917" s="953">
        <f t="shared" si="177"/>
        <v>0</v>
      </c>
      <c r="J917" s="953">
        <f t="shared" si="178"/>
        <v>0</v>
      </c>
      <c r="K917" s="953">
        <f t="shared" si="179"/>
        <v>-2.52E-4</v>
      </c>
      <c r="L917" s="570" t="str">
        <f t="shared" si="180"/>
        <v>Modal 16</v>
      </c>
      <c r="M917" s="570">
        <f t="shared" si="181"/>
        <v>16</v>
      </c>
    </row>
    <row r="918" spans="1:13">
      <c r="A918" s="570" t="str">
        <f t="shared" si="170"/>
        <v>T917</v>
      </c>
      <c r="C918" s="953" t="str">
        <f t="shared" si="171"/>
        <v>T9</v>
      </c>
      <c r="D918" s="953" t="str">
        <f t="shared" si="172"/>
        <v>D1</v>
      </c>
      <c r="E918" s="953">
        <f t="shared" si="173"/>
        <v>17</v>
      </c>
      <c r="F918" s="953">
        <f t="shared" si="174"/>
        <v>1.206E-3</v>
      </c>
      <c r="G918" s="953">
        <f t="shared" si="175"/>
        <v>8.2999999999999998E-5</v>
      </c>
      <c r="H918" s="953">
        <f t="shared" si="176"/>
        <v>0</v>
      </c>
      <c r="I918" s="953">
        <f t="shared" si="177"/>
        <v>0</v>
      </c>
      <c r="J918" s="953">
        <f t="shared" si="178"/>
        <v>0</v>
      </c>
      <c r="K918" s="953">
        <f t="shared" si="179"/>
        <v>3.0000000000000001E-5</v>
      </c>
      <c r="L918" s="570" t="str">
        <f t="shared" si="180"/>
        <v>Modal 17</v>
      </c>
      <c r="M918" s="570">
        <f t="shared" si="181"/>
        <v>17</v>
      </c>
    </row>
    <row r="919" spans="1:13">
      <c r="A919" s="570" t="str">
        <f t="shared" si="170"/>
        <v>T918</v>
      </c>
      <c r="C919" s="953" t="str">
        <f t="shared" si="171"/>
        <v>T9</v>
      </c>
      <c r="D919" s="953" t="str">
        <f t="shared" si="172"/>
        <v>D1</v>
      </c>
      <c r="E919" s="953">
        <f t="shared" si="173"/>
        <v>18</v>
      </c>
      <c r="F919" s="953">
        <f t="shared" si="174"/>
        <v>1.65E-4</v>
      </c>
      <c r="G919" s="953">
        <f t="shared" si="175"/>
        <v>-2.8029999999999999E-3</v>
      </c>
      <c r="H919" s="953">
        <f t="shared" si="176"/>
        <v>0</v>
      </c>
      <c r="I919" s="953">
        <f t="shared" si="177"/>
        <v>0</v>
      </c>
      <c r="J919" s="953">
        <f t="shared" si="178"/>
        <v>0</v>
      </c>
      <c r="K919" s="953">
        <f t="shared" si="179"/>
        <v>-1.0000000000000001E-5</v>
      </c>
      <c r="L919" s="570" t="str">
        <f t="shared" si="180"/>
        <v>Modal 18</v>
      </c>
      <c r="M919" s="570">
        <f t="shared" si="181"/>
        <v>18</v>
      </c>
    </row>
    <row r="920" spans="1:13">
      <c r="A920" s="570" t="str">
        <f t="shared" si="170"/>
        <v>T919</v>
      </c>
      <c r="C920" s="953" t="str">
        <f t="shared" si="171"/>
        <v>T9</v>
      </c>
      <c r="D920" s="953" t="str">
        <f t="shared" si="172"/>
        <v>D1</v>
      </c>
      <c r="E920" s="953">
        <f t="shared" si="173"/>
        <v>19</v>
      </c>
      <c r="F920" s="953">
        <f t="shared" si="174"/>
        <v>3.4200000000000002E-4</v>
      </c>
      <c r="G920" s="953">
        <f t="shared" si="175"/>
        <v>-3.9500000000000001E-4</v>
      </c>
      <c r="H920" s="953">
        <f t="shared" si="176"/>
        <v>0</v>
      </c>
      <c r="I920" s="953">
        <f t="shared" si="177"/>
        <v>0</v>
      </c>
      <c r="J920" s="953">
        <f t="shared" si="178"/>
        <v>0</v>
      </c>
      <c r="K920" s="953">
        <f t="shared" si="179"/>
        <v>1.25E-4</v>
      </c>
      <c r="L920" s="570" t="str">
        <f t="shared" si="180"/>
        <v>Modal 19</v>
      </c>
      <c r="M920" s="570">
        <f t="shared" si="181"/>
        <v>19</v>
      </c>
    </row>
    <row r="921" spans="1:13">
      <c r="A921" s="570" t="str">
        <f t="shared" si="170"/>
        <v>T920</v>
      </c>
      <c r="C921" s="953" t="str">
        <f t="shared" si="171"/>
        <v>T9</v>
      </c>
      <c r="D921" s="953" t="str">
        <f t="shared" si="172"/>
        <v>D1</v>
      </c>
      <c r="E921" s="953">
        <f t="shared" si="173"/>
        <v>20</v>
      </c>
      <c r="F921" s="953">
        <f t="shared" si="174"/>
        <v>-3.1640000000000001E-3</v>
      </c>
      <c r="G921" s="953">
        <f t="shared" si="175"/>
        <v>-4.2700000000000002E-4</v>
      </c>
      <c r="H921" s="953">
        <f t="shared" si="176"/>
        <v>0</v>
      </c>
      <c r="I921" s="953">
        <f t="shared" si="177"/>
        <v>0</v>
      </c>
      <c r="J921" s="953">
        <f t="shared" si="178"/>
        <v>0</v>
      </c>
      <c r="K921" s="953">
        <f t="shared" si="179"/>
        <v>3.6000000000000001E-5</v>
      </c>
      <c r="L921" s="570" t="str">
        <f t="shared" si="180"/>
        <v>Modal 20</v>
      </c>
      <c r="M921" s="570">
        <f t="shared" si="181"/>
        <v>20</v>
      </c>
    </row>
    <row r="922" spans="1:13">
      <c r="A922" s="570" t="str">
        <f t="shared" si="170"/>
        <v>T921</v>
      </c>
      <c r="C922" s="953" t="str">
        <f t="shared" si="171"/>
        <v>T9</v>
      </c>
      <c r="D922" s="953" t="str">
        <f t="shared" si="172"/>
        <v>D1</v>
      </c>
      <c r="E922" s="953">
        <f t="shared" si="173"/>
        <v>21</v>
      </c>
      <c r="F922" s="953">
        <f t="shared" si="174"/>
        <v>5.8200000000000005E-4</v>
      </c>
      <c r="G922" s="953">
        <f t="shared" si="175"/>
        <v>-5.1079999999999997E-3</v>
      </c>
      <c r="H922" s="953">
        <f t="shared" si="176"/>
        <v>0</v>
      </c>
      <c r="I922" s="953">
        <f t="shared" si="177"/>
        <v>0</v>
      </c>
      <c r="J922" s="953">
        <f t="shared" si="178"/>
        <v>0</v>
      </c>
      <c r="K922" s="953">
        <f t="shared" si="179"/>
        <v>4.5000000000000003E-5</v>
      </c>
      <c r="L922" s="570" t="str">
        <f t="shared" si="180"/>
        <v>Modal 21</v>
      </c>
      <c r="M922" s="570">
        <f t="shared" si="181"/>
        <v>21</v>
      </c>
    </row>
    <row r="923" spans="1:13">
      <c r="A923" s="570" t="str">
        <f t="shared" si="170"/>
        <v>T922</v>
      </c>
      <c r="C923" s="953" t="str">
        <f t="shared" si="171"/>
        <v>T9</v>
      </c>
      <c r="D923" s="953" t="str">
        <f t="shared" si="172"/>
        <v>D1</v>
      </c>
      <c r="E923" s="953">
        <f t="shared" si="173"/>
        <v>22</v>
      </c>
      <c r="F923" s="953">
        <f t="shared" si="174"/>
        <v>3.676E-3</v>
      </c>
      <c r="G923" s="953">
        <f t="shared" si="175"/>
        <v>1.7049999999999999E-3</v>
      </c>
      <c r="H923" s="953">
        <f t="shared" si="176"/>
        <v>0</v>
      </c>
      <c r="I923" s="953">
        <f t="shared" si="177"/>
        <v>0</v>
      </c>
      <c r="J923" s="953">
        <f t="shared" si="178"/>
        <v>0</v>
      </c>
      <c r="K923" s="953">
        <f t="shared" si="179"/>
        <v>1.9999999999999999E-6</v>
      </c>
      <c r="L923" s="570" t="str">
        <f t="shared" si="180"/>
        <v>Modal 22</v>
      </c>
      <c r="M923" s="570">
        <f t="shared" si="181"/>
        <v>22</v>
      </c>
    </row>
    <row r="924" spans="1:13">
      <c r="A924" s="570" t="str">
        <f t="shared" si="170"/>
        <v>T923</v>
      </c>
      <c r="C924" s="953" t="str">
        <f t="shared" si="171"/>
        <v>T9</v>
      </c>
      <c r="D924" s="953" t="str">
        <f t="shared" si="172"/>
        <v>D1</v>
      </c>
      <c r="E924" s="953">
        <f t="shared" si="173"/>
        <v>23</v>
      </c>
      <c r="F924" s="953">
        <f t="shared" si="174"/>
        <v>-3.7090000000000001E-3</v>
      </c>
      <c r="G924" s="953">
        <f t="shared" si="175"/>
        <v>3.385E-3</v>
      </c>
      <c r="H924" s="953">
        <f t="shared" si="176"/>
        <v>0</v>
      </c>
      <c r="I924" s="953">
        <f t="shared" si="177"/>
        <v>0</v>
      </c>
      <c r="J924" s="953">
        <f t="shared" si="178"/>
        <v>0</v>
      </c>
      <c r="K924" s="953">
        <f t="shared" si="179"/>
        <v>1.5999999999999999E-5</v>
      </c>
      <c r="L924" s="570" t="str">
        <f t="shared" si="180"/>
        <v>Modal 23</v>
      </c>
      <c r="M924" s="570">
        <f t="shared" si="181"/>
        <v>23</v>
      </c>
    </row>
    <row r="925" spans="1:13">
      <c r="A925" s="570" t="str">
        <f t="shared" si="170"/>
        <v>T924</v>
      </c>
      <c r="C925" s="953" t="str">
        <f t="shared" si="171"/>
        <v>T9</v>
      </c>
      <c r="D925" s="953" t="str">
        <f t="shared" si="172"/>
        <v>D1</v>
      </c>
      <c r="E925" s="953">
        <f t="shared" si="173"/>
        <v>24</v>
      </c>
      <c r="F925" s="953">
        <f t="shared" si="174"/>
        <v>3.3440000000000002E-3</v>
      </c>
      <c r="G925" s="953">
        <f t="shared" si="175"/>
        <v>2.1080000000000001E-3</v>
      </c>
      <c r="H925" s="953">
        <f t="shared" si="176"/>
        <v>0</v>
      </c>
      <c r="I925" s="953">
        <f t="shared" si="177"/>
        <v>0</v>
      </c>
      <c r="J925" s="953">
        <f t="shared" si="178"/>
        <v>0</v>
      </c>
      <c r="K925" s="953">
        <f t="shared" si="179"/>
        <v>-1.0000000000000001E-5</v>
      </c>
      <c r="L925" s="570" t="str">
        <f t="shared" si="180"/>
        <v>Modal 24</v>
      </c>
      <c r="M925" s="570">
        <f t="shared" si="181"/>
        <v>24</v>
      </c>
    </row>
    <row r="926" spans="1:13">
      <c r="A926" s="570" t="str">
        <f t="shared" si="170"/>
        <v>T925</v>
      </c>
      <c r="C926" s="953" t="str">
        <f t="shared" si="171"/>
        <v>T9</v>
      </c>
      <c r="D926" s="953" t="str">
        <f t="shared" si="172"/>
        <v>D1</v>
      </c>
      <c r="E926" s="953">
        <f t="shared" si="173"/>
        <v>25</v>
      </c>
      <c r="F926" s="953">
        <f t="shared" si="174"/>
        <v>-1.4899999999999999E-4</v>
      </c>
      <c r="G926" s="953">
        <f t="shared" si="175"/>
        <v>2.1789999999999999E-3</v>
      </c>
      <c r="H926" s="953">
        <f t="shared" si="176"/>
        <v>0</v>
      </c>
      <c r="I926" s="953">
        <f t="shared" si="177"/>
        <v>0</v>
      </c>
      <c r="J926" s="953">
        <f t="shared" si="178"/>
        <v>0</v>
      </c>
      <c r="K926" s="953">
        <f t="shared" si="179"/>
        <v>3.0000000000000001E-5</v>
      </c>
      <c r="L926" s="570" t="str">
        <f t="shared" si="180"/>
        <v>Modal 25</v>
      </c>
      <c r="M926" s="570">
        <f t="shared" si="181"/>
        <v>25</v>
      </c>
    </row>
    <row r="927" spans="1:13">
      <c r="A927" s="570" t="str">
        <f t="shared" si="170"/>
        <v>T926</v>
      </c>
      <c r="C927" s="953" t="str">
        <f t="shared" si="171"/>
        <v>T9</v>
      </c>
      <c r="D927" s="953" t="str">
        <f t="shared" si="172"/>
        <v>D1</v>
      </c>
      <c r="E927" s="953">
        <f t="shared" si="173"/>
        <v>26</v>
      </c>
      <c r="F927" s="953">
        <f t="shared" si="174"/>
        <v>-1.4779999999999999E-3</v>
      </c>
      <c r="G927" s="953">
        <f t="shared" si="175"/>
        <v>-3.6189999999999998E-3</v>
      </c>
      <c r="H927" s="953">
        <f t="shared" si="176"/>
        <v>0</v>
      </c>
      <c r="I927" s="953">
        <f t="shared" si="177"/>
        <v>0</v>
      </c>
      <c r="J927" s="953">
        <f t="shared" si="178"/>
        <v>0</v>
      </c>
      <c r="K927" s="953">
        <f t="shared" si="179"/>
        <v>5.0000000000000002E-5</v>
      </c>
      <c r="L927" s="570" t="str">
        <f t="shared" si="180"/>
        <v>Modal 26</v>
      </c>
      <c r="M927" s="570">
        <f t="shared" si="181"/>
        <v>26</v>
      </c>
    </row>
    <row r="928" spans="1:13">
      <c r="A928" s="570" t="str">
        <f t="shared" si="170"/>
        <v>T927</v>
      </c>
      <c r="C928" s="953" t="str">
        <f t="shared" si="171"/>
        <v>T9</v>
      </c>
      <c r="D928" s="953" t="str">
        <f t="shared" si="172"/>
        <v>D1</v>
      </c>
      <c r="E928" s="953">
        <f t="shared" si="173"/>
        <v>27</v>
      </c>
      <c r="F928" s="953">
        <f t="shared" si="174"/>
        <v>4.9979999999999998E-3</v>
      </c>
      <c r="G928" s="953">
        <f t="shared" si="175"/>
        <v>-2.398E-3</v>
      </c>
      <c r="H928" s="953">
        <f t="shared" si="176"/>
        <v>0</v>
      </c>
      <c r="I928" s="953">
        <f t="shared" si="177"/>
        <v>0</v>
      </c>
      <c r="J928" s="953">
        <f t="shared" si="178"/>
        <v>0</v>
      </c>
      <c r="K928" s="953">
        <f t="shared" si="179"/>
        <v>3.0000000000000001E-5</v>
      </c>
      <c r="L928" s="570" t="str">
        <f t="shared" si="180"/>
        <v>Modal 27</v>
      </c>
      <c r="M928" s="570">
        <f t="shared" si="181"/>
        <v>27</v>
      </c>
    </row>
    <row r="929" spans="1:13">
      <c r="A929" s="570" t="str">
        <f t="shared" si="170"/>
        <v>T928</v>
      </c>
      <c r="C929" s="953" t="str">
        <f t="shared" si="171"/>
        <v>T9</v>
      </c>
      <c r="D929" s="953" t="str">
        <f t="shared" si="172"/>
        <v>D1</v>
      </c>
      <c r="E929" s="953">
        <f t="shared" si="173"/>
        <v>28</v>
      </c>
      <c r="F929" s="953">
        <f t="shared" si="174"/>
        <v>2.8289999999999999E-3</v>
      </c>
      <c r="G929" s="953">
        <f t="shared" si="175"/>
        <v>2.6779999999999998E-3</v>
      </c>
      <c r="H929" s="953">
        <f t="shared" si="176"/>
        <v>0</v>
      </c>
      <c r="I929" s="953">
        <f t="shared" si="177"/>
        <v>0</v>
      </c>
      <c r="J929" s="953">
        <f t="shared" si="178"/>
        <v>0</v>
      </c>
      <c r="K929" s="953">
        <f t="shared" si="179"/>
        <v>2.6999999999999999E-5</v>
      </c>
      <c r="L929" s="570" t="str">
        <f t="shared" si="180"/>
        <v>Modal 28</v>
      </c>
      <c r="M929" s="570">
        <f t="shared" si="181"/>
        <v>28</v>
      </c>
    </row>
    <row r="930" spans="1:13">
      <c r="A930" s="570" t="str">
        <f t="shared" si="170"/>
        <v>T929</v>
      </c>
      <c r="C930" s="953" t="str">
        <f t="shared" si="171"/>
        <v>T9</v>
      </c>
      <c r="D930" s="953" t="str">
        <f t="shared" si="172"/>
        <v>D1</v>
      </c>
      <c r="E930" s="953">
        <f t="shared" si="173"/>
        <v>29</v>
      </c>
      <c r="F930" s="953">
        <f t="shared" si="174"/>
        <v>-3.9269999999999999E-3</v>
      </c>
      <c r="G930" s="953">
        <f t="shared" si="175"/>
        <v>2.1069999999999999E-3</v>
      </c>
      <c r="H930" s="953">
        <f t="shared" si="176"/>
        <v>0</v>
      </c>
      <c r="I930" s="953">
        <f t="shared" si="177"/>
        <v>0</v>
      </c>
      <c r="J930" s="953">
        <f t="shared" si="178"/>
        <v>0</v>
      </c>
      <c r="K930" s="953">
        <f t="shared" si="179"/>
        <v>-2.0999999999999999E-5</v>
      </c>
      <c r="L930" s="570" t="str">
        <f t="shared" si="180"/>
        <v>Modal 29</v>
      </c>
      <c r="M930" s="570">
        <f t="shared" si="181"/>
        <v>29</v>
      </c>
    </row>
    <row r="931" spans="1:13">
      <c r="A931" s="570" t="str">
        <f t="shared" si="170"/>
        <v>T930</v>
      </c>
      <c r="C931" s="953" t="str">
        <f t="shared" si="171"/>
        <v>T9</v>
      </c>
      <c r="D931" s="953" t="str">
        <f t="shared" si="172"/>
        <v>D1</v>
      </c>
      <c r="E931" s="953">
        <f t="shared" si="173"/>
        <v>30</v>
      </c>
      <c r="F931" s="953">
        <f t="shared" si="174"/>
        <v>-2.14E-3</v>
      </c>
      <c r="G931" s="953">
        <f t="shared" si="175"/>
        <v>-4.3990000000000001E-3</v>
      </c>
      <c r="H931" s="953">
        <f t="shared" si="176"/>
        <v>0</v>
      </c>
      <c r="I931" s="953">
        <f t="shared" si="177"/>
        <v>0</v>
      </c>
      <c r="J931" s="953">
        <f t="shared" si="178"/>
        <v>0</v>
      </c>
      <c r="K931" s="953">
        <f t="shared" si="179"/>
        <v>5.0000000000000004E-6</v>
      </c>
      <c r="L931" s="570" t="str">
        <f t="shared" si="180"/>
        <v>Modal 30</v>
      </c>
      <c r="M931" s="570">
        <f t="shared" si="181"/>
        <v>30</v>
      </c>
    </row>
    <row r="932" spans="1:13">
      <c r="A932" s="570" t="str">
        <f t="shared" si="170"/>
        <v>T81</v>
      </c>
      <c r="C932" s="953" t="str">
        <f t="shared" si="171"/>
        <v>T8</v>
      </c>
      <c r="D932" s="953" t="str">
        <f t="shared" si="172"/>
        <v>D1</v>
      </c>
      <c r="E932" s="953">
        <f t="shared" si="173"/>
        <v>1</v>
      </c>
      <c r="F932" s="953">
        <f t="shared" si="174"/>
        <v>-1.6200000000000001E-4</v>
      </c>
      <c r="G932" s="953">
        <f t="shared" si="175"/>
        <v>8.4599999999999996E-4</v>
      </c>
      <c r="H932" s="953">
        <f t="shared" si="176"/>
        <v>0</v>
      </c>
      <c r="I932" s="953">
        <f t="shared" si="177"/>
        <v>0</v>
      </c>
      <c r="J932" s="953">
        <f t="shared" si="178"/>
        <v>0</v>
      </c>
      <c r="K932" s="953">
        <f t="shared" si="179"/>
        <v>1.0000000000000001E-5</v>
      </c>
      <c r="L932" s="570" t="str">
        <f t="shared" si="180"/>
        <v>Modal 1</v>
      </c>
      <c r="M932" s="570">
        <f t="shared" si="181"/>
        <v>1</v>
      </c>
    </row>
    <row r="933" spans="1:13">
      <c r="A933" s="570" t="str">
        <f t="shared" si="170"/>
        <v>T82</v>
      </c>
      <c r="C933" s="953" t="str">
        <f t="shared" si="171"/>
        <v>T8</v>
      </c>
      <c r="D933" s="953" t="str">
        <f t="shared" si="172"/>
        <v>D1</v>
      </c>
      <c r="E933" s="953">
        <f t="shared" si="173"/>
        <v>2</v>
      </c>
      <c r="F933" s="953">
        <f t="shared" si="174"/>
        <v>-1.6000000000000001E-4</v>
      </c>
      <c r="G933" s="953">
        <f t="shared" si="175"/>
        <v>-1.7899999999999999E-4</v>
      </c>
      <c r="H933" s="953">
        <f t="shared" si="176"/>
        <v>0</v>
      </c>
      <c r="I933" s="953">
        <f t="shared" si="177"/>
        <v>0</v>
      </c>
      <c r="J933" s="953">
        <f t="shared" si="178"/>
        <v>0</v>
      </c>
      <c r="K933" s="953">
        <f t="shared" si="179"/>
        <v>5.8E-5</v>
      </c>
      <c r="L933" s="570" t="str">
        <f t="shared" si="180"/>
        <v>Modal 2</v>
      </c>
      <c r="M933" s="570">
        <f t="shared" si="181"/>
        <v>2</v>
      </c>
    </row>
    <row r="934" spans="1:13">
      <c r="A934" s="570" t="str">
        <f t="shared" si="170"/>
        <v>T83</v>
      </c>
      <c r="C934" s="953" t="str">
        <f t="shared" si="171"/>
        <v>T8</v>
      </c>
      <c r="D934" s="953" t="str">
        <f t="shared" si="172"/>
        <v>D1</v>
      </c>
      <c r="E934" s="953">
        <f t="shared" si="173"/>
        <v>3</v>
      </c>
      <c r="F934" s="953">
        <f t="shared" si="174"/>
        <v>9.7599999999999998E-4</v>
      </c>
      <c r="G934" s="953">
        <f t="shared" si="175"/>
        <v>1.7899999999999999E-4</v>
      </c>
      <c r="H934" s="953">
        <f t="shared" si="176"/>
        <v>0</v>
      </c>
      <c r="I934" s="953">
        <f t="shared" si="177"/>
        <v>0</v>
      </c>
      <c r="J934" s="953">
        <f t="shared" si="178"/>
        <v>0</v>
      </c>
      <c r="K934" s="953">
        <f t="shared" si="179"/>
        <v>1.1E-5</v>
      </c>
      <c r="L934" s="570" t="str">
        <f t="shared" si="180"/>
        <v>Modal 3</v>
      </c>
      <c r="M934" s="570">
        <f t="shared" si="181"/>
        <v>3</v>
      </c>
    </row>
    <row r="935" spans="1:13">
      <c r="A935" s="570" t="str">
        <f t="shared" si="170"/>
        <v>T84</v>
      </c>
      <c r="C935" s="953" t="str">
        <f t="shared" si="171"/>
        <v>T8</v>
      </c>
      <c r="D935" s="953" t="str">
        <f t="shared" si="172"/>
        <v>D1</v>
      </c>
      <c r="E935" s="953">
        <f t="shared" si="173"/>
        <v>4</v>
      </c>
      <c r="F935" s="953">
        <f t="shared" si="174"/>
        <v>-5.1699999999999999E-4</v>
      </c>
      <c r="G935" s="953">
        <f t="shared" si="175"/>
        <v>2.1999999999999999E-5</v>
      </c>
      <c r="H935" s="953">
        <f t="shared" si="176"/>
        <v>0</v>
      </c>
      <c r="I935" s="953">
        <f t="shared" si="177"/>
        <v>0</v>
      </c>
      <c r="J935" s="953">
        <f t="shared" si="178"/>
        <v>0</v>
      </c>
      <c r="K935" s="953">
        <f t="shared" si="179"/>
        <v>1.8100000000000001E-4</v>
      </c>
      <c r="L935" s="570" t="str">
        <f t="shared" si="180"/>
        <v>Modal 4</v>
      </c>
      <c r="M935" s="570">
        <f t="shared" si="181"/>
        <v>4</v>
      </c>
    </row>
    <row r="936" spans="1:13">
      <c r="A936" s="570" t="str">
        <f t="shared" si="170"/>
        <v>T85</v>
      </c>
      <c r="C936" s="953" t="str">
        <f t="shared" si="171"/>
        <v>T8</v>
      </c>
      <c r="D936" s="953" t="str">
        <f t="shared" si="172"/>
        <v>D1</v>
      </c>
      <c r="E936" s="953">
        <f t="shared" si="173"/>
        <v>5</v>
      </c>
      <c r="F936" s="953">
        <f t="shared" si="174"/>
        <v>4.17E-4</v>
      </c>
      <c r="G936" s="953">
        <f t="shared" si="175"/>
        <v>-3.4220000000000001E-3</v>
      </c>
      <c r="H936" s="953">
        <f t="shared" si="176"/>
        <v>0</v>
      </c>
      <c r="I936" s="953">
        <f t="shared" si="177"/>
        <v>0</v>
      </c>
      <c r="J936" s="953">
        <f t="shared" si="178"/>
        <v>0</v>
      </c>
      <c r="K936" s="953">
        <f t="shared" si="179"/>
        <v>5.0000000000000004E-6</v>
      </c>
      <c r="L936" s="570" t="str">
        <f t="shared" si="180"/>
        <v>Modal 5</v>
      </c>
      <c r="M936" s="570">
        <f t="shared" si="181"/>
        <v>5</v>
      </c>
    </row>
    <row r="937" spans="1:13">
      <c r="A937" s="570" t="str">
        <f t="shared" si="170"/>
        <v>T86</v>
      </c>
      <c r="C937" s="953" t="str">
        <f t="shared" si="171"/>
        <v>T8</v>
      </c>
      <c r="D937" s="953" t="str">
        <f t="shared" si="172"/>
        <v>D1</v>
      </c>
      <c r="E937" s="953">
        <f t="shared" si="173"/>
        <v>6</v>
      </c>
      <c r="F937" s="953">
        <f t="shared" si="174"/>
        <v>-3.4559999999999999E-3</v>
      </c>
      <c r="G937" s="953">
        <f t="shared" si="175"/>
        <v>-4.5100000000000001E-4</v>
      </c>
      <c r="H937" s="953">
        <f t="shared" si="176"/>
        <v>0</v>
      </c>
      <c r="I937" s="953">
        <f t="shared" si="177"/>
        <v>0</v>
      </c>
      <c r="J937" s="953">
        <f t="shared" si="178"/>
        <v>0</v>
      </c>
      <c r="K937" s="953">
        <f t="shared" si="179"/>
        <v>-3.1000000000000001E-5</v>
      </c>
      <c r="L937" s="570" t="str">
        <f t="shared" si="180"/>
        <v>Modal 6</v>
      </c>
      <c r="M937" s="570">
        <f t="shared" si="181"/>
        <v>6</v>
      </c>
    </row>
    <row r="938" spans="1:13">
      <c r="A938" s="570" t="str">
        <f t="shared" si="170"/>
        <v>T87</v>
      </c>
      <c r="C938" s="953" t="str">
        <f t="shared" si="171"/>
        <v>T8</v>
      </c>
      <c r="D938" s="953" t="str">
        <f t="shared" si="172"/>
        <v>D1</v>
      </c>
      <c r="E938" s="953">
        <f t="shared" si="173"/>
        <v>7</v>
      </c>
      <c r="F938" s="953">
        <f t="shared" si="174"/>
        <v>7.3399999999999995E-4</v>
      </c>
      <c r="G938" s="953">
        <f t="shared" si="175"/>
        <v>2.4000000000000001E-5</v>
      </c>
      <c r="H938" s="953">
        <f t="shared" si="176"/>
        <v>0</v>
      </c>
      <c r="I938" s="953">
        <f t="shared" si="177"/>
        <v>0</v>
      </c>
      <c r="J938" s="953">
        <f t="shared" si="178"/>
        <v>0</v>
      </c>
      <c r="K938" s="953">
        <f t="shared" si="179"/>
        <v>-2.6600000000000001E-4</v>
      </c>
      <c r="L938" s="570" t="str">
        <f t="shared" si="180"/>
        <v>Modal 7</v>
      </c>
      <c r="M938" s="570">
        <f t="shared" si="181"/>
        <v>7</v>
      </c>
    </row>
    <row r="939" spans="1:13">
      <c r="A939" s="570" t="str">
        <f t="shared" si="170"/>
        <v>T88</v>
      </c>
      <c r="C939" s="953" t="str">
        <f t="shared" si="171"/>
        <v>T8</v>
      </c>
      <c r="D939" s="953" t="str">
        <f t="shared" si="172"/>
        <v>D1</v>
      </c>
      <c r="E939" s="953">
        <f t="shared" si="173"/>
        <v>8</v>
      </c>
      <c r="F939" s="953">
        <f t="shared" si="174"/>
        <v>5.6599999999999999E-4</v>
      </c>
      <c r="G939" s="953">
        <f t="shared" si="175"/>
        <v>-5.5529999999999998E-3</v>
      </c>
      <c r="H939" s="953">
        <f t="shared" si="176"/>
        <v>0</v>
      </c>
      <c r="I939" s="953">
        <f t="shared" si="177"/>
        <v>0</v>
      </c>
      <c r="J939" s="953">
        <f t="shared" si="178"/>
        <v>0</v>
      </c>
      <c r="K939" s="953">
        <f t="shared" si="179"/>
        <v>3.0000000000000001E-6</v>
      </c>
      <c r="L939" s="570" t="str">
        <f t="shared" si="180"/>
        <v>Modal 8</v>
      </c>
      <c r="M939" s="570">
        <f t="shared" si="181"/>
        <v>8</v>
      </c>
    </row>
    <row r="940" spans="1:13">
      <c r="A940" s="570" t="str">
        <f t="shared" si="170"/>
        <v>T89</v>
      </c>
      <c r="C940" s="953" t="str">
        <f t="shared" si="171"/>
        <v>T8</v>
      </c>
      <c r="D940" s="953" t="str">
        <f t="shared" si="172"/>
        <v>D1</v>
      </c>
      <c r="E940" s="953">
        <f t="shared" si="173"/>
        <v>9</v>
      </c>
      <c r="F940" s="953">
        <f t="shared" si="174"/>
        <v>-3.4E-5</v>
      </c>
      <c r="G940" s="953">
        <f t="shared" si="175"/>
        <v>6.0000000000000002E-6</v>
      </c>
      <c r="H940" s="953">
        <f t="shared" si="176"/>
        <v>0</v>
      </c>
      <c r="I940" s="953">
        <f t="shared" si="177"/>
        <v>0</v>
      </c>
      <c r="J940" s="953">
        <f t="shared" si="178"/>
        <v>0</v>
      </c>
      <c r="K940" s="953">
        <f t="shared" si="179"/>
        <v>2.6699999999999998E-4</v>
      </c>
      <c r="L940" s="570" t="str">
        <f t="shared" si="180"/>
        <v>Modal 9</v>
      </c>
      <c r="M940" s="570">
        <f t="shared" si="181"/>
        <v>9</v>
      </c>
    </row>
    <row r="941" spans="1:13">
      <c r="A941" s="570" t="str">
        <f t="shared" si="170"/>
        <v>T810</v>
      </c>
      <c r="C941" s="953" t="str">
        <f t="shared" si="171"/>
        <v>T8</v>
      </c>
      <c r="D941" s="953" t="str">
        <f t="shared" si="172"/>
        <v>D1</v>
      </c>
      <c r="E941" s="953">
        <f t="shared" si="173"/>
        <v>10</v>
      </c>
      <c r="F941" s="953">
        <f t="shared" si="174"/>
        <v>-5.5539999999999999E-3</v>
      </c>
      <c r="G941" s="953">
        <f t="shared" si="175"/>
        <v>-5.5599999999999996E-4</v>
      </c>
      <c r="H941" s="953">
        <f t="shared" si="176"/>
        <v>0</v>
      </c>
      <c r="I941" s="953">
        <f t="shared" si="177"/>
        <v>0</v>
      </c>
      <c r="J941" s="953">
        <f t="shared" si="178"/>
        <v>0</v>
      </c>
      <c r="K941" s="953">
        <f t="shared" si="179"/>
        <v>-5.0000000000000004E-6</v>
      </c>
      <c r="L941" s="570" t="str">
        <f t="shared" si="180"/>
        <v>Modal 10</v>
      </c>
      <c r="M941" s="570">
        <f t="shared" si="181"/>
        <v>10</v>
      </c>
    </row>
    <row r="942" spans="1:13">
      <c r="A942" s="570" t="str">
        <f t="shared" si="170"/>
        <v>T811</v>
      </c>
      <c r="C942" s="953" t="str">
        <f t="shared" si="171"/>
        <v>T8</v>
      </c>
      <c r="D942" s="953" t="str">
        <f t="shared" si="172"/>
        <v>D1</v>
      </c>
      <c r="E942" s="953">
        <f t="shared" si="173"/>
        <v>11</v>
      </c>
      <c r="F942" s="953">
        <f t="shared" si="174"/>
        <v>-3.5300000000000002E-4</v>
      </c>
      <c r="G942" s="953">
        <f t="shared" si="175"/>
        <v>1.9139999999999999E-3</v>
      </c>
      <c r="H942" s="953">
        <f t="shared" si="176"/>
        <v>0</v>
      </c>
      <c r="I942" s="953">
        <f t="shared" si="177"/>
        <v>0</v>
      </c>
      <c r="J942" s="953">
        <f t="shared" si="178"/>
        <v>0</v>
      </c>
      <c r="K942" s="953">
        <f t="shared" si="179"/>
        <v>1.5100000000000001E-4</v>
      </c>
      <c r="L942" s="570" t="str">
        <f t="shared" si="180"/>
        <v>Modal 11</v>
      </c>
      <c r="M942" s="570">
        <f t="shared" si="181"/>
        <v>11</v>
      </c>
    </row>
    <row r="943" spans="1:13">
      <c r="A943" s="570" t="str">
        <f t="shared" si="170"/>
        <v>T812</v>
      </c>
      <c r="C943" s="953" t="str">
        <f t="shared" si="171"/>
        <v>T8</v>
      </c>
      <c r="D943" s="953" t="str">
        <f t="shared" si="172"/>
        <v>D1</v>
      </c>
      <c r="E943" s="953">
        <f t="shared" si="173"/>
        <v>12</v>
      </c>
      <c r="F943" s="953">
        <f t="shared" si="174"/>
        <v>4.5300000000000001E-4</v>
      </c>
      <c r="G943" s="953">
        <f t="shared" si="175"/>
        <v>-5.2329999999999998E-3</v>
      </c>
      <c r="H943" s="953">
        <f t="shared" si="176"/>
        <v>0</v>
      </c>
      <c r="I943" s="953">
        <f t="shared" si="177"/>
        <v>0</v>
      </c>
      <c r="J943" s="953">
        <f t="shared" si="178"/>
        <v>0</v>
      </c>
      <c r="K943" s="953">
        <f t="shared" si="179"/>
        <v>6.0999999999999999E-5</v>
      </c>
      <c r="L943" s="570" t="str">
        <f t="shared" si="180"/>
        <v>Modal 12</v>
      </c>
      <c r="M943" s="570">
        <f t="shared" si="181"/>
        <v>12</v>
      </c>
    </row>
    <row r="944" spans="1:13">
      <c r="A944" s="570" t="str">
        <f t="shared" si="170"/>
        <v>T813</v>
      </c>
      <c r="C944" s="953" t="str">
        <f t="shared" si="171"/>
        <v>T8</v>
      </c>
      <c r="D944" s="953" t="str">
        <f t="shared" si="172"/>
        <v>D1</v>
      </c>
      <c r="E944" s="953">
        <f t="shared" si="173"/>
        <v>13</v>
      </c>
      <c r="F944" s="953">
        <f t="shared" si="174"/>
        <v>5.4790000000000004E-3</v>
      </c>
      <c r="G944" s="953">
        <f t="shared" si="175"/>
        <v>5.3200000000000003E-4</v>
      </c>
      <c r="H944" s="953">
        <f t="shared" si="176"/>
        <v>0</v>
      </c>
      <c r="I944" s="953">
        <f t="shared" si="177"/>
        <v>0</v>
      </c>
      <c r="J944" s="953">
        <f t="shared" si="178"/>
        <v>0</v>
      </c>
      <c r="K944" s="953">
        <f t="shared" si="179"/>
        <v>1.4E-5</v>
      </c>
      <c r="L944" s="570" t="str">
        <f t="shared" si="180"/>
        <v>Modal 13</v>
      </c>
      <c r="M944" s="570">
        <f t="shared" si="181"/>
        <v>13</v>
      </c>
    </row>
    <row r="945" spans="1:13">
      <c r="A945" s="570" t="str">
        <f t="shared" si="170"/>
        <v>T814</v>
      </c>
      <c r="C945" s="953" t="str">
        <f t="shared" si="171"/>
        <v>T8</v>
      </c>
      <c r="D945" s="953" t="str">
        <f t="shared" si="172"/>
        <v>D1</v>
      </c>
      <c r="E945" s="953">
        <f t="shared" si="173"/>
        <v>14</v>
      </c>
      <c r="F945" s="953">
        <f t="shared" si="174"/>
        <v>-1.12E-4</v>
      </c>
      <c r="G945" s="953">
        <f t="shared" si="175"/>
        <v>-2.5999999999999998E-5</v>
      </c>
      <c r="H945" s="953">
        <f t="shared" si="176"/>
        <v>0</v>
      </c>
      <c r="I945" s="953">
        <f t="shared" si="177"/>
        <v>0</v>
      </c>
      <c r="J945" s="953">
        <f t="shared" si="178"/>
        <v>0</v>
      </c>
      <c r="K945" s="953">
        <f t="shared" si="179"/>
        <v>-2.6999999999999999E-5</v>
      </c>
      <c r="L945" s="570" t="str">
        <f t="shared" si="180"/>
        <v>Modal 14</v>
      </c>
      <c r="M945" s="570">
        <f t="shared" si="181"/>
        <v>14</v>
      </c>
    </row>
    <row r="946" spans="1:13">
      <c r="A946" s="570" t="str">
        <f t="shared" si="170"/>
        <v>T815</v>
      </c>
      <c r="C946" s="953" t="str">
        <f t="shared" si="171"/>
        <v>T8</v>
      </c>
      <c r="D946" s="953" t="str">
        <f t="shared" si="172"/>
        <v>D1</v>
      </c>
      <c r="E946" s="953">
        <f t="shared" si="173"/>
        <v>15</v>
      </c>
      <c r="F946" s="953">
        <f t="shared" si="174"/>
        <v>3.4600000000000001E-4</v>
      </c>
      <c r="G946" s="953">
        <f t="shared" si="175"/>
        <v>-3.3310000000000002E-3</v>
      </c>
      <c r="H946" s="953">
        <f t="shared" si="176"/>
        <v>0</v>
      </c>
      <c r="I946" s="953">
        <f t="shared" si="177"/>
        <v>0</v>
      </c>
      <c r="J946" s="953">
        <f t="shared" si="178"/>
        <v>0</v>
      </c>
      <c r="K946" s="953">
        <f t="shared" si="179"/>
        <v>7.9999999999999996E-6</v>
      </c>
      <c r="L946" s="570" t="str">
        <f t="shared" si="180"/>
        <v>Modal 15</v>
      </c>
      <c r="M946" s="570">
        <f t="shared" si="181"/>
        <v>15</v>
      </c>
    </row>
    <row r="947" spans="1:13">
      <c r="A947" s="570" t="str">
        <f t="shared" si="170"/>
        <v>T816</v>
      </c>
      <c r="C947" s="953" t="str">
        <f t="shared" si="171"/>
        <v>T8</v>
      </c>
      <c r="D947" s="953" t="str">
        <f t="shared" si="172"/>
        <v>D1</v>
      </c>
      <c r="E947" s="953">
        <f t="shared" si="173"/>
        <v>16</v>
      </c>
      <c r="F947" s="953">
        <f t="shared" si="174"/>
        <v>3.3E-4</v>
      </c>
      <c r="G947" s="953">
        <f t="shared" si="175"/>
        <v>-1.6100000000000001E-4</v>
      </c>
      <c r="H947" s="953">
        <f t="shared" si="176"/>
        <v>0</v>
      </c>
      <c r="I947" s="953">
        <f t="shared" si="177"/>
        <v>0</v>
      </c>
      <c r="J947" s="953">
        <f t="shared" si="178"/>
        <v>0</v>
      </c>
      <c r="K947" s="953">
        <f t="shared" si="179"/>
        <v>-2.1000000000000001E-4</v>
      </c>
      <c r="L947" s="570" t="str">
        <f t="shared" si="180"/>
        <v>Modal 16</v>
      </c>
      <c r="M947" s="570">
        <f t="shared" si="181"/>
        <v>16</v>
      </c>
    </row>
    <row r="948" spans="1:13">
      <c r="A948" s="570" t="str">
        <f t="shared" si="170"/>
        <v>T817</v>
      </c>
      <c r="C948" s="953" t="str">
        <f t="shared" si="171"/>
        <v>T8</v>
      </c>
      <c r="D948" s="953" t="str">
        <f t="shared" si="172"/>
        <v>D1</v>
      </c>
      <c r="E948" s="953">
        <f t="shared" si="173"/>
        <v>17</v>
      </c>
      <c r="F948" s="953">
        <f t="shared" si="174"/>
        <v>3.0300000000000001E-3</v>
      </c>
      <c r="G948" s="953">
        <f t="shared" si="175"/>
        <v>2.7099999999999997E-4</v>
      </c>
      <c r="H948" s="953">
        <f t="shared" si="176"/>
        <v>0</v>
      </c>
      <c r="I948" s="953">
        <f t="shared" si="177"/>
        <v>0</v>
      </c>
      <c r="J948" s="953">
        <f t="shared" si="178"/>
        <v>0</v>
      </c>
      <c r="K948" s="953">
        <f t="shared" si="179"/>
        <v>2.3E-5</v>
      </c>
      <c r="L948" s="570" t="str">
        <f t="shared" si="180"/>
        <v>Modal 17</v>
      </c>
      <c r="M948" s="570">
        <f t="shared" si="181"/>
        <v>17</v>
      </c>
    </row>
    <row r="949" spans="1:13">
      <c r="A949" s="570" t="str">
        <f t="shared" si="170"/>
        <v>T818</v>
      </c>
      <c r="C949" s="953" t="str">
        <f t="shared" si="171"/>
        <v>T8</v>
      </c>
      <c r="D949" s="953" t="str">
        <f t="shared" si="172"/>
        <v>D1</v>
      </c>
      <c r="E949" s="953">
        <f t="shared" si="173"/>
        <v>18</v>
      </c>
      <c r="F949" s="953">
        <f t="shared" si="174"/>
        <v>-5.0000000000000002E-5</v>
      </c>
      <c r="G949" s="953">
        <f t="shared" si="175"/>
        <v>-6.0400000000000004E-4</v>
      </c>
      <c r="H949" s="953">
        <f t="shared" si="176"/>
        <v>0</v>
      </c>
      <c r="I949" s="953">
        <f t="shared" si="177"/>
        <v>0</v>
      </c>
      <c r="J949" s="953">
        <f t="shared" si="178"/>
        <v>0</v>
      </c>
      <c r="K949" s="953">
        <f t="shared" si="179"/>
        <v>-3.4E-5</v>
      </c>
      <c r="L949" s="570" t="str">
        <f t="shared" si="180"/>
        <v>Modal 18</v>
      </c>
      <c r="M949" s="570">
        <f t="shared" si="181"/>
        <v>18</v>
      </c>
    </row>
    <row r="950" spans="1:13">
      <c r="A950" s="570" t="str">
        <f t="shared" si="170"/>
        <v>T819</v>
      </c>
      <c r="C950" s="953" t="str">
        <f t="shared" si="171"/>
        <v>T8</v>
      </c>
      <c r="D950" s="953" t="str">
        <f t="shared" si="172"/>
        <v>D1</v>
      </c>
      <c r="E950" s="953">
        <f t="shared" si="173"/>
        <v>19</v>
      </c>
      <c r="F950" s="953">
        <f t="shared" si="174"/>
        <v>2.23E-4</v>
      </c>
      <c r="G950" s="953">
        <f t="shared" si="175"/>
        <v>1.07E-4</v>
      </c>
      <c r="H950" s="953">
        <f t="shared" si="176"/>
        <v>0</v>
      </c>
      <c r="I950" s="953">
        <f t="shared" si="177"/>
        <v>0</v>
      </c>
      <c r="J950" s="953">
        <f t="shared" si="178"/>
        <v>0</v>
      </c>
      <c r="K950" s="953">
        <f t="shared" si="179"/>
        <v>2.13E-4</v>
      </c>
      <c r="L950" s="570" t="str">
        <f t="shared" si="180"/>
        <v>Modal 19</v>
      </c>
      <c r="M950" s="570">
        <f t="shared" si="181"/>
        <v>19</v>
      </c>
    </row>
    <row r="951" spans="1:13">
      <c r="A951" s="570" t="str">
        <f t="shared" si="170"/>
        <v>T820</v>
      </c>
      <c r="C951" s="953" t="str">
        <f t="shared" si="171"/>
        <v>T8</v>
      </c>
      <c r="D951" s="953" t="str">
        <f t="shared" si="172"/>
        <v>D1</v>
      </c>
      <c r="E951" s="953">
        <f t="shared" si="173"/>
        <v>20</v>
      </c>
      <c r="F951" s="953">
        <f t="shared" si="174"/>
        <v>-1.0449999999999999E-3</v>
      </c>
      <c r="G951" s="953">
        <f t="shared" si="175"/>
        <v>-2.32E-4</v>
      </c>
      <c r="H951" s="953">
        <f t="shared" si="176"/>
        <v>0</v>
      </c>
      <c r="I951" s="953">
        <f t="shared" si="177"/>
        <v>0</v>
      </c>
      <c r="J951" s="953">
        <f t="shared" si="178"/>
        <v>0</v>
      </c>
      <c r="K951" s="953">
        <f t="shared" si="179"/>
        <v>2.0000000000000002E-5</v>
      </c>
      <c r="L951" s="570" t="str">
        <f t="shared" si="180"/>
        <v>Modal 20</v>
      </c>
      <c r="M951" s="570">
        <f t="shared" si="181"/>
        <v>20</v>
      </c>
    </row>
    <row r="952" spans="1:13">
      <c r="A952" s="570" t="str">
        <f t="shared" si="170"/>
        <v>T821</v>
      </c>
      <c r="C952" s="953" t="str">
        <f t="shared" si="171"/>
        <v>T8</v>
      </c>
      <c r="D952" s="953" t="str">
        <f t="shared" si="172"/>
        <v>D1</v>
      </c>
      <c r="E952" s="953">
        <f t="shared" si="173"/>
        <v>21</v>
      </c>
      <c r="F952" s="953">
        <f t="shared" si="174"/>
        <v>3.8400000000000001E-4</v>
      </c>
      <c r="G952" s="953">
        <f t="shared" si="175"/>
        <v>-4.091E-3</v>
      </c>
      <c r="H952" s="953">
        <f t="shared" si="176"/>
        <v>0</v>
      </c>
      <c r="I952" s="953">
        <f t="shared" si="177"/>
        <v>0</v>
      </c>
      <c r="J952" s="953">
        <f t="shared" si="178"/>
        <v>0</v>
      </c>
      <c r="K952" s="953">
        <f t="shared" si="179"/>
        <v>1.7E-5</v>
      </c>
      <c r="L952" s="570" t="str">
        <f t="shared" si="180"/>
        <v>Modal 21</v>
      </c>
      <c r="M952" s="570">
        <f t="shared" si="181"/>
        <v>21</v>
      </c>
    </row>
    <row r="953" spans="1:13">
      <c r="A953" s="570" t="str">
        <f t="shared" si="170"/>
        <v>T822</v>
      </c>
      <c r="C953" s="953" t="str">
        <f t="shared" si="171"/>
        <v>T8</v>
      </c>
      <c r="D953" s="953" t="str">
        <f t="shared" si="172"/>
        <v>D1</v>
      </c>
      <c r="E953" s="953">
        <f t="shared" si="173"/>
        <v>22</v>
      </c>
      <c r="F953" s="953">
        <f t="shared" si="174"/>
        <v>3.2599999999999999E-3</v>
      </c>
      <c r="G953" s="953">
        <f t="shared" si="175"/>
        <v>1.516E-3</v>
      </c>
      <c r="H953" s="953">
        <f t="shared" si="176"/>
        <v>0</v>
      </c>
      <c r="I953" s="953">
        <f t="shared" si="177"/>
        <v>0</v>
      </c>
      <c r="J953" s="953">
        <f t="shared" si="178"/>
        <v>0</v>
      </c>
      <c r="K953" s="953">
        <f t="shared" si="179"/>
        <v>-6.2000000000000003E-5</v>
      </c>
      <c r="L953" s="570" t="str">
        <f t="shared" si="180"/>
        <v>Modal 22</v>
      </c>
      <c r="M953" s="570">
        <f t="shared" si="181"/>
        <v>22</v>
      </c>
    </row>
    <row r="954" spans="1:13">
      <c r="A954" s="570" t="str">
        <f t="shared" si="170"/>
        <v>T823</v>
      </c>
      <c r="C954" s="953" t="str">
        <f t="shared" si="171"/>
        <v>T8</v>
      </c>
      <c r="D954" s="953" t="str">
        <f t="shared" si="172"/>
        <v>D1</v>
      </c>
      <c r="E954" s="953">
        <f t="shared" si="173"/>
        <v>23</v>
      </c>
      <c r="F954" s="953">
        <f t="shared" si="174"/>
        <v>-3.2620000000000001E-3</v>
      </c>
      <c r="G954" s="953">
        <f t="shared" si="175"/>
        <v>3.9420000000000002E-3</v>
      </c>
      <c r="H954" s="953">
        <f t="shared" si="176"/>
        <v>0</v>
      </c>
      <c r="I954" s="953">
        <f t="shared" si="177"/>
        <v>0</v>
      </c>
      <c r="J954" s="953">
        <f t="shared" si="178"/>
        <v>0</v>
      </c>
      <c r="K954" s="953">
        <f t="shared" si="179"/>
        <v>-3.1999999999999999E-5</v>
      </c>
      <c r="L954" s="570" t="str">
        <f t="shared" si="180"/>
        <v>Modal 23</v>
      </c>
      <c r="M954" s="570">
        <f t="shared" si="181"/>
        <v>23</v>
      </c>
    </row>
    <row r="955" spans="1:13">
      <c r="A955" s="570" t="str">
        <f t="shared" si="170"/>
        <v>T824</v>
      </c>
      <c r="C955" s="953" t="str">
        <f t="shared" si="171"/>
        <v>T8</v>
      </c>
      <c r="D955" s="953" t="str">
        <f t="shared" si="172"/>
        <v>D1</v>
      </c>
      <c r="E955" s="953">
        <f t="shared" si="173"/>
        <v>24</v>
      </c>
      <c r="F955" s="953">
        <f t="shared" si="174"/>
        <v>3.0049999999999999E-3</v>
      </c>
      <c r="G955" s="953">
        <f t="shared" si="175"/>
        <v>3.803E-3</v>
      </c>
      <c r="H955" s="953">
        <f t="shared" si="176"/>
        <v>0</v>
      </c>
      <c r="I955" s="953">
        <f t="shared" si="177"/>
        <v>0</v>
      </c>
      <c r="J955" s="953">
        <f t="shared" si="178"/>
        <v>0</v>
      </c>
      <c r="K955" s="953">
        <f t="shared" si="179"/>
        <v>7.9999999999999996E-6</v>
      </c>
      <c r="L955" s="570" t="str">
        <f t="shared" si="180"/>
        <v>Modal 24</v>
      </c>
      <c r="M955" s="570">
        <f t="shared" si="181"/>
        <v>24</v>
      </c>
    </row>
    <row r="956" spans="1:13">
      <c r="A956" s="570" t="str">
        <f t="shared" si="170"/>
        <v>T825</v>
      </c>
      <c r="C956" s="953" t="str">
        <f t="shared" si="171"/>
        <v>T8</v>
      </c>
      <c r="D956" s="953" t="str">
        <f t="shared" si="172"/>
        <v>D1</v>
      </c>
      <c r="E956" s="953">
        <f t="shared" si="173"/>
        <v>25</v>
      </c>
      <c r="F956" s="953">
        <f t="shared" si="174"/>
        <v>3.2049999999999999E-3</v>
      </c>
      <c r="G956" s="953">
        <f t="shared" si="175"/>
        <v>-7.7399999999999995E-4</v>
      </c>
      <c r="H956" s="953">
        <f t="shared" si="176"/>
        <v>0</v>
      </c>
      <c r="I956" s="953">
        <f t="shared" si="177"/>
        <v>0</v>
      </c>
      <c r="J956" s="953">
        <f t="shared" si="178"/>
        <v>0</v>
      </c>
      <c r="K956" s="953">
        <f t="shared" si="179"/>
        <v>3.9099999999999999E-8</v>
      </c>
      <c r="L956" s="570" t="str">
        <f t="shared" si="180"/>
        <v>Modal 25</v>
      </c>
      <c r="M956" s="570">
        <f t="shared" si="181"/>
        <v>25</v>
      </c>
    </row>
    <row r="957" spans="1:13">
      <c r="A957" s="570" t="str">
        <f t="shared" si="170"/>
        <v>T826</v>
      </c>
      <c r="C957" s="953" t="str">
        <f t="shared" si="171"/>
        <v>T8</v>
      </c>
      <c r="D957" s="953" t="str">
        <f t="shared" si="172"/>
        <v>D1</v>
      </c>
      <c r="E957" s="953">
        <f t="shared" si="173"/>
        <v>26</v>
      </c>
      <c r="F957" s="953">
        <f t="shared" si="174"/>
        <v>1.4630000000000001E-3</v>
      </c>
      <c r="G957" s="953">
        <f t="shared" si="175"/>
        <v>-2.24E-4</v>
      </c>
      <c r="H957" s="953">
        <f t="shared" si="176"/>
        <v>0</v>
      </c>
      <c r="I957" s="953">
        <f t="shared" si="177"/>
        <v>0</v>
      </c>
      <c r="J957" s="953">
        <f t="shared" si="178"/>
        <v>0</v>
      </c>
      <c r="K957" s="953">
        <f t="shared" si="179"/>
        <v>2.3E-5</v>
      </c>
      <c r="L957" s="570" t="str">
        <f t="shared" si="180"/>
        <v>Modal 26</v>
      </c>
      <c r="M957" s="570">
        <f t="shared" si="181"/>
        <v>26</v>
      </c>
    </row>
    <row r="958" spans="1:13">
      <c r="A958" s="570" t="str">
        <f t="shared" si="170"/>
        <v>T827</v>
      </c>
      <c r="C958" s="953" t="str">
        <f t="shared" si="171"/>
        <v>T8</v>
      </c>
      <c r="D958" s="953" t="str">
        <f t="shared" si="172"/>
        <v>D1</v>
      </c>
      <c r="E958" s="953">
        <f t="shared" si="173"/>
        <v>27</v>
      </c>
      <c r="F958" s="953">
        <f t="shared" si="174"/>
        <v>5.6620000000000004E-3</v>
      </c>
      <c r="G958" s="953">
        <f t="shared" si="175"/>
        <v>-4.1489999999999999E-3</v>
      </c>
      <c r="H958" s="953">
        <f t="shared" si="176"/>
        <v>0</v>
      </c>
      <c r="I958" s="953">
        <f t="shared" si="177"/>
        <v>0</v>
      </c>
      <c r="J958" s="953">
        <f t="shared" si="178"/>
        <v>0</v>
      </c>
      <c r="K958" s="953">
        <f t="shared" si="179"/>
        <v>-6.0000000000000002E-6</v>
      </c>
      <c r="L958" s="570" t="str">
        <f t="shared" si="180"/>
        <v>Modal 27</v>
      </c>
      <c r="M958" s="570">
        <f t="shared" si="181"/>
        <v>27</v>
      </c>
    </row>
    <row r="959" spans="1:13">
      <c r="A959" s="570" t="str">
        <f t="shared" si="170"/>
        <v>T828</v>
      </c>
      <c r="C959" s="953" t="str">
        <f t="shared" si="171"/>
        <v>T8</v>
      </c>
      <c r="D959" s="953" t="str">
        <f t="shared" si="172"/>
        <v>D1</v>
      </c>
      <c r="E959" s="953">
        <f t="shared" si="173"/>
        <v>28</v>
      </c>
      <c r="F959" s="953">
        <f t="shared" si="174"/>
        <v>4.3080000000000002E-3</v>
      </c>
      <c r="G959" s="953">
        <f t="shared" si="175"/>
        <v>5.757E-3</v>
      </c>
      <c r="H959" s="953">
        <f t="shared" si="176"/>
        <v>0</v>
      </c>
      <c r="I959" s="953">
        <f t="shared" si="177"/>
        <v>0</v>
      </c>
      <c r="J959" s="953">
        <f t="shared" si="178"/>
        <v>0</v>
      </c>
      <c r="K959" s="953">
        <f t="shared" si="179"/>
        <v>-1.9000000000000001E-5</v>
      </c>
      <c r="L959" s="570" t="str">
        <f t="shared" si="180"/>
        <v>Modal 28</v>
      </c>
      <c r="M959" s="570">
        <f t="shared" si="181"/>
        <v>28</v>
      </c>
    </row>
    <row r="960" spans="1:13">
      <c r="A960" s="570" t="str">
        <f t="shared" si="170"/>
        <v>T829</v>
      </c>
      <c r="C960" s="953" t="str">
        <f t="shared" si="171"/>
        <v>T8</v>
      </c>
      <c r="D960" s="953" t="str">
        <f t="shared" si="172"/>
        <v>D1</v>
      </c>
      <c r="E960" s="953">
        <f t="shared" si="173"/>
        <v>29</v>
      </c>
      <c r="F960" s="953">
        <f t="shared" si="174"/>
        <v>-1.341E-3</v>
      </c>
      <c r="G960" s="953">
        <f t="shared" si="175"/>
        <v>1.3680000000000001E-3</v>
      </c>
      <c r="H960" s="953">
        <f t="shared" si="176"/>
        <v>0</v>
      </c>
      <c r="I960" s="953">
        <f t="shared" si="177"/>
        <v>0</v>
      </c>
      <c r="J960" s="953">
        <f t="shared" si="178"/>
        <v>0</v>
      </c>
      <c r="K960" s="953">
        <f t="shared" si="179"/>
        <v>1.5E-5</v>
      </c>
      <c r="L960" s="570" t="str">
        <f t="shared" si="180"/>
        <v>Modal 29</v>
      </c>
      <c r="M960" s="570">
        <f t="shared" si="181"/>
        <v>29</v>
      </c>
    </row>
    <row r="961" spans="1:13">
      <c r="A961" s="570" t="str">
        <f t="shared" si="170"/>
        <v>T830</v>
      </c>
      <c r="C961" s="953" t="str">
        <f t="shared" si="171"/>
        <v>T8</v>
      </c>
      <c r="D961" s="953" t="str">
        <f t="shared" si="172"/>
        <v>D1</v>
      </c>
      <c r="E961" s="953">
        <f t="shared" si="173"/>
        <v>30</v>
      </c>
      <c r="F961" s="953">
        <f t="shared" si="174"/>
        <v>-1.4679999999999999E-3</v>
      </c>
      <c r="G961" s="953">
        <f t="shared" si="175"/>
        <v>-3.7759999999999998E-3</v>
      </c>
      <c r="H961" s="953">
        <f t="shared" si="176"/>
        <v>0</v>
      </c>
      <c r="I961" s="953">
        <f t="shared" si="177"/>
        <v>0</v>
      </c>
      <c r="J961" s="953">
        <f t="shared" si="178"/>
        <v>0</v>
      </c>
      <c r="K961" s="953">
        <f t="shared" si="179"/>
        <v>3.0000000000000001E-5</v>
      </c>
      <c r="L961" s="570" t="str">
        <f t="shared" si="180"/>
        <v>Modal 30</v>
      </c>
      <c r="M961" s="570">
        <f t="shared" si="181"/>
        <v>30</v>
      </c>
    </row>
    <row r="962" spans="1:13">
      <c r="A962" s="570" t="str">
        <f t="shared" ref="A962:A1029" si="182">C962&amp;E962</f>
        <v>T71</v>
      </c>
      <c r="C962" s="953" t="str">
        <f t="shared" ref="C962:C1025" si="183">IF(Etabs="Etabs 9.7.4",IF(INDEX(Mode_1,ROW($E962),COLUMN(A$1))&lt;&gt;"",INDEX(Mode_1,ROW($E962),COLUMN(A$1)),""),IF(Etabs="Etabs 2013 trở lên",IF(INDEX(Mode_2,ROW($E964),COLUMN(A$1))&lt;&gt;"",INDEX(Mode_2,ROW($E964),COLUMN(A$1)),""),""))</f>
        <v>T7</v>
      </c>
      <c r="D962" s="953" t="str">
        <f t="shared" ref="D962:D1025" si="184">IF(Etabs="Etabs 9.7.4",IF(INDEX(Mode_1,ROW($E962),COLUMN(B$1))&lt;&gt;"",INDEX(Mode_1,ROW($E962),COLUMN(B$1)),""),IF(Etabs="Etabs 2013 trở lên",IF(INDEX(Mode_2,ROW($E964),COLUMN(B$1))&lt;&gt;"",INDEX(Mode_2,ROW($E964),COLUMN(B$1)),""),""))</f>
        <v>D1</v>
      </c>
      <c r="E962" s="953">
        <f t="shared" ref="E962:E1025" si="185">IF(Etabs="Etabs 9.7.4",IF(INDEX(Mode_1,ROW($E962),COLUMN(C$1))&lt;&gt;"",INDEX(Mode_1,ROW($E962),COLUMN(C$1)),""),IF(Etabs="Etabs 2013 trở lên",$M962,""))</f>
        <v>1</v>
      </c>
      <c r="F962" s="953">
        <f t="shared" ref="F962:F1025" si="186">IF(Etabs="Etabs 9.7.4",IF(INDEX(Mode_1,ROW($E962),COLUMN(D$1))&lt;&gt;"",INDEX(Mode_1,ROW($E962),COLUMN(D$1)),""),IF(Etabs="Etabs 2013 trở lên",IF(INDEX(Mode_2,ROW($E964),COLUMN(D$1))&lt;&gt;"",INDEX(Mode_2,ROW($E964),COLUMN(D$1)),""),""))</f>
        <v>-1.3300000000000001E-4</v>
      </c>
      <c r="G962" s="953">
        <f t="shared" ref="G962:G1025" si="187">IF(Etabs="Etabs 9.7.4",IF(INDEX(Mode_1,ROW($E962),COLUMN(E$1))&lt;&gt;"",INDEX(Mode_1,ROW($E962),COLUMN(E$1)),""),IF(Etabs="Etabs 2013 trở lên",IF(INDEX(Mode_2,ROW($E964),COLUMN(E$1))&lt;&gt;"",INDEX(Mode_2,ROW($E964),COLUMN(E$1)),""),""))</f>
        <v>6.9099999999999999E-4</v>
      </c>
      <c r="H962" s="953">
        <f t="shared" ref="H962:H1025" si="188">IF(Etabs="Etabs 9.7.4",IF(INDEX(Mode_1,ROW($E962),COLUMN(F$1))&lt;&gt;"",INDEX(Mode_1,ROW($E962),COLUMN(F$1)),""),IF(Etabs="Etabs 2013 trở lên",0,""))</f>
        <v>0</v>
      </c>
      <c r="I962" s="953">
        <f t="shared" ref="I962:I1025" si="189">IF(Etabs="Etabs 9.7.4",IF(INDEX(Mode_1,ROW($E962),COLUMN(G$1))&lt;&gt;"",INDEX(Mode_1,ROW($E962),COLUMN(G$1)),""),IF(Etabs="Etabs 2013 trở lên",0,""))</f>
        <v>0</v>
      </c>
      <c r="J962" s="953">
        <f t="shared" ref="J962:J1025" si="190">IF(Etabs="Etabs 9.7.4",IF(INDEX(Mode_1,ROW($E962),COLUMN(H$1))&lt;&gt;"",INDEX(Mode_1,ROW($E962),COLUMN(H$1)),""),IF(Etabs="Etabs 2013 trở lên",0,""))</f>
        <v>0</v>
      </c>
      <c r="K962" s="953">
        <f t="shared" ref="K962:K1025" si="191">IF(Etabs="Etabs 9.7.4",IF(INDEX(Mode_1,ROW($E962),COLUMN(I$1))&lt;&gt;"",INDEX(Mode_1,ROW($E962),COLUMN(I$1)),""),IF(Etabs="Etabs 2013 trở lên",IF(INDEX(Mode_2,ROW($E964),COLUMN(F$1))&lt;&gt;"",INDEX(Mode_2,ROW($E964),COLUMN(F$1)),""),""))</f>
        <v>7.9999999999999996E-6</v>
      </c>
      <c r="L962" s="570" t="str">
        <f t="shared" ref="L962:L1025" si="192">IF(Etabs="Etabs 9.7.4",IF(INDEX(Mode_1,ROW($E962),COLUMN(C$1))&lt;&gt;"",INDEX(Mode_1,ROW($E962),COLUMN(C$1)),""),IF(Etabs="Etabs 2013 trở lên",IF(INDEX(Mode_2,ROW($E964),COLUMN(C$1))&lt;&gt;"",INDEX(Mode_2,ROW($E964),COLUMN(C$1)),""),""))</f>
        <v>Modal 1</v>
      </c>
      <c r="M962" s="570">
        <f t="shared" si="181"/>
        <v>1</v>
      </c>
    </row>
    <row r="963" spans="1:13">
      <c r="A963" s="570" t="str">
        <f t="shared" si="182"/>
        <v>T72</v>
      </c>
      <c r="C963" s="953" t="str">
        <f t="shared" si="183"/>
        <v>T7</v>
      </c>
      <c r="D963" s="953" t="str">
        <f t="shared" si="184"/>
        <v>D1</v>
      </c>
      <c r="E963" s="953">
        <f t="shared" si="185"/>
        <v>2</v>
      </c>
      <c r="F963" s="953">
        <f t="shared" si="186"/>
        <v>-1.3200000000000001E-4</v>
      </c>
      <c r="G963" s="953">
        <f t="shared" si="187"/>
        <v>-1.46E-4</v>
      </c>
      <c r="H963" s="953">
        <f t="shared" si="188"/>
        <v>0</v>
      </c>
      <c r="I963" s="953">
        <f t="shared" si="189"/>
        <v>0</v>
      </c>
      <c r="J963" s="953">
        <f t="shared" si="190"/>
        <v>0</v>
      </c>
      <c r="K963" s="953">
        <f t="shared" si="191"/>
        <v>4.8000000000000001E-5</v>
      </c>
      <c r="L963" s="570" t="str">
        <f t="shared" si="192"/>
        <v>Modal 2</v>
      </c>
      <c r="M963" s="570">
        <f t="shared" ref="M963:M1026" si="193">IFERROR(VALUE(RIGHT(L963,LEN(L963)-6)),"")</f>
        <v>2</v>
      </c>
    </row>
    <row r="964" spans="1:13">
      <c r="A964" s="570" t="str">
        <f t="shared" si="182"/>
        <v>T73</v>
      </c>
      <c r="C964" s="953" t="str">
        <f t="shared" si="183"/>
        <v>T7</v>
      </c>
      <c r="D964" s="953" t="str">
        <f t="shared" si="184"/>
        <v>D1</v>
      </c>
      <c r="E964" s="953">
        <f t="shared" si="185"/>
        <v>3</v>
      </c>
      <c r="F964" s="953">
        <f t="shared" si="186"/>
        <v>8.0500000000000005E-4</v>
      </c>
      <c r="G964" s="953">
        <f t="shared" si="187"/>
        <v>1.4899999999999999E-4</v>
      </c>
      <c r="H964" s="953">
        <f t="shared" si="188"/>
        <v>0</v>
      </c>
      <c r="I964" s="953">
        <f t="shared" si="189"/>
        <v>0</v>
      </c>
      <c r="J964" s="953">
        <f t="shared" si="190"/>
        <v>0</v>
      </c>
      <c r="K964" s="953">
        <f t="shared" si="191"/>
        <v>9.0000000000000002E-6</v>
      </c>
      <c r="L964" s="570" t="str">
        <f t="shared" si="192"/>
        <v>Modal 3</v>
      </c>
      <c r="M964" s="570">
        <f t="shared" si="193"/>
        <v>3</v>
      </c>
    </row>
    <row r="965" spans="1:13">
      <c r="A965" s="570" t="str">
        <f t="shared" si="182"/>
        <v>T74</v>
      </c>
      <c r="C965" s="953" t="str">
        <f t="shared" si="183"/>
        <v>T7</v>
      </c>
      <c r="D965" s="953" t="str">
        <f t="shared" si="184"/>
        <v>D1</v>
      </c>
      <c r="E965" s="953">
        <f t="shared" si="185"/>
        <v>4</v>
      </c>
      <c r="F965" s="953">
        <f t="shared" si="186"/>
        <v>-4.4200000000000001E-4</v>
      </c>
      <c r="G965" s="953">
        <f t="shared" si="187"/>
        <v>2.0000000000000002E-5</v>
      </c>
      <c r="H965" s="953">
        <f t="shared" si="188"/>
        <v>0</v>
      </c>
      <c r="I965" s="953">
        <f t="shared" si="189"/>
        <v>0</v>
      </c>
      <c r="J965" s="953">
        <f t="shared" si="190"/>
        <v>0</v>
      </c>
      <c r="K965" s="953">
        <f t="shared" si="191"/>
        <v>1.56E-4</v>
      </c>
      <c r="L965" s="570" t="str">
        <f t="shared" si="192"/>
        <v>Modal 4</v>
      </c>
      <c r="M965" s="570">
        <f t="shared" si="193"/>
        <v>4</v>
      </c>
    </row>
    <row r="966" spans="1:13">
      <c r="A966" s="570" t="str">
        <f t="shared" si="182"/>
        <v>T75</v>
      </c>
      <c r="C966" s="953" t="str">
        <f t="shared" si="183"/>
        <v>T7</v>
      </c>
      <c r="D966" s="953" t="str">
        <f t="shared" si="184"/>
        <v>D1</v>
      </c>
      <c r="E966" s="953">
        <f t="shared" si="185"/>
        <v>5</v>
      </c>
      <c r="F966" s="953">
        <f t="shared" si="186"/>
        <v>3.5799999999999997E-4</v>
      </c>
      <c r="G966" s="953">
        <f t="shared" si="187"/>
        <v>-2.934E-3</v>
      </c>
      <c r="H966" s="953">
        <f t="shared" si="188"/>
        <v>0</v>
      </c>
      <c r="I966" s="953">
        <f t="shared" si="189"/>
        <v>0</v>
      </c>
      <c r="J966" s="953">
        <f t="shared" si="190"/>
        <v>0</v>
      </c>
      <c r="K966" s="953">
        <f t="shared" si="191"/>
        <v>3.9999999999999998E-6</v>
      </c>
      <c r="L966" s="570" t="str">
        <f t="shared" si="192"/>
        <v>Modal 5</v>
      </c>
      <c r="M966" s="570">
        <f t="shared" si="193"/>
        <v>5</v>
      </c>
    </row>
    <row r="967" spans="1:13">
      <c r="A967" s="570" t="str">
        <f t="shared" si="182"/>
        <v>T76</v>
      </c>
      <c r="C967" s="953" t="str">
        <f t="shared" si="183"/>
        <v>T7</v>
      </c>
      <c r="D967" s="953" t="str">
        <f t="shared" si="184"/>
        <v>D1</v>
      </c>
      <c r="E967" s="953">
        <f t="shared" si="185"/>
        <v>6</v>
      </c>
      <c r="F967" s="953">
        <f t="shared" si="186"/>
        <v>-2.9759999999999999E-3</v>
      </c>
      <c r="G967" s="953">
        <f t="shared" si="187"/>
        <v>-3.8999999999999999E-4</v>
      </c>
      <c r="H967" s="953">
        <f t="shared" si="188"/>
        <v>0</v>
      </c>
      <c r="I967" s="953">
        <f t="shared" si="189"/>
        <v>0</v>
      </c>
      <c r="J967" s="953">
        <f t="shared" si="190"/>
        <v>0</v>
      </c>
      <c r="K967" s="953">
        <f t="shared" si="191"/>
        <v>-2.8E-5</v>
      </c>
      <c r="L967" s="570" t="str">
        <f t="shared" si="192"/>
        <v>Modal 6</v>
      </c>
      <c r="M967" s="570">
        <f t="shared" si="193"/>
        <v>6</v>
      </c>
    </row>
    <row r="968" spans="1:13">
      <c r="A968" s="570" t="str">
        <f t="shared" si="182"/>
        <v>T77</v>
      </c>
      <c r="C968" s="953" t="str">
        <f t="shared" si="183"/>
        <v>T7</v>
      </c>
      <c r="D968" s="953" t="str">
        <f t="shared" si="184"/>
        <v>D1</v>
      </c>
      <c r="E968" s="953">
        <f t="shared" si="185"/>
        <v>7</v>
      </c>
      <c r="F968" s="953">
        <f t="shared" si="186"/>
        <v>6.6500000000000001E-4</v>
      </c>
      <c r="G968" s="953">
        <f t="shared" si="187"/>
        <v>1.9000000000000001E-5</v>
      </c>
      <c r="H968" s="953">
        <f t="shared" si="188"/>
        <v>0</v>
      </c>
      <c r="I968" s="953">
        <f t="shared" si="189"/>
        <v>0</v>
      </c>
      <c r="J968" s="953">
        <f t="shared" si="190"/>
        <v>0</v>
      </c>
      <c r="K968" s="953">
        <f t="shared" si="191"/>
        <v>-2.4600000000000002E-4</v>
      </c>
      <c r="L968" s="570" t="str">
        <f t="shared" si="192"/>
        <v>Modal 7</v>
      </c>
      <c r="M968" s="570">
        <f t="shared" si="193"/>
        <v>7</v>
      </c>
    </row>
    <row r="969" spans="1:13">
      <c r="A969" s="570" t="str">
        <f t="shared" si="182"/>
        <v>T78</v>
      </c>
      <c r="C969" s="953" t="str">
        <f t="shared" si="183"/>
        <v>T7</v>
      </c>
      <c r="D969" s="953" t="str">
        <f t="shared" si="184"/>
        <v>D1</v>
      </c>
      <c r="E969" s="953">
        <f t="shared" si="185"/>
        <v>8</v>
      </c>
      <c r="F969" s="953">
        <f t="shared" si="186"/>
        <v>5.1800000000000001E-4</v>
      </c>
      <c r="G969" s="953">
        <f t="shared" si="187"/>
        <v>-5.097E-3</v>
      </c>
      <c r="H969" s="953">
        <f t="shared" si="188"/>
        <v>0</v>
      </c>
      <c r="I969" s="953">
        <f t="shared" si="189"/>
        <v>0</v>
      </c>
      <c r="J969" s="953">
        <f t="shared" si="190"/>
        <v>0</v>
      </c>
      <c r="K969" s="953">
        <f t="shared" si="191"/>
        <v>1.9999999999999999E-6</v>
      </c>
      <c r="L969" s="570" t="str">
        <f t="shared" si="192"/>
        <v>Modal 8</v>
      </c>
      <c r="M969" s="570">
        <f t="shared" si="193"/>
        <v>8</v>
      </c>
    </row>
    <row r="970" spans="1:13">
      <c r="A970" s="570" t="str">
        <f t="shared" si="182"/>
        <v>T79</v>
      </c>
      <c r="C970" s="953" t="str">
        <f t="shared" si="183"/>
        <v>T7</v>
      </c>
      <c r="D970" s="953" t="str">
        <f t="shared" si="184"/>
        <v>D1</v>
      </c>
      <c r="E970" s="953">
        <f t="shared" si="185"/>
        <v>9</v>
      </c>
      <c r="F970" s="953">
        <f t="shared" si="186"/>
        <v>-9.2E-5</v>
      </c>
      <c r="G970" s="953">
        <f t="shared" si="187"/>
        <v>7.9999999999999996E-6</v>
      </c>
      <c r="H970" s="953">
        <f t="shared" si="188"/>
        <v>0</v>
      </c>
      <c r="I970" s="953">
        <f t="shared" si="189"/>
        <v>0</v>
      </c>
      <c r="J970" s="953">
        <f t="shared" si="190"/>
        <v>0</v>
      </c>
      <c r="K970" s="953">
        <f t="shared" si="191"/>
        <v>2.7900000000000001E-4</v>
      </c>
      <c r="L970" s="570" t="str">
        <f t="shared" si="192"/>
        <v>Modal 9</v>
      </c>
      <c r="M970" s="570">
        <f t="shared" si="193"/>
        <v>9</v>
      </c>
    </row>
    <row r="971" spans="1:13">
      <c r="A971" s="570" t="str">
        <f t="shared" si="182"/>
        <v>T710</v>
      </c>
      <c r="C971" s="953" t="str">
        <f t="shared" si="183"/>
        <v>T7</v>
      </c>
      <c r="D971" s="953" t="str">
        <f t="shared" si="184"/>
        <v>D1</v>
      </c>
      <c r="E971" s="953">
        <f t="shared" si="185"/>
        <v>10</v>
      </c>
      <c r="F971" s="953">
        <f t="shared" si="186"/>
        <v>-5.1330000000000004E-3</v>
      </c>
      <c r="G971" s="953">
        <f t="shared" si="187"/>
        <v>-5.1699999999999999E-4</v>
      </c>
      <c r="H971" s="953">
        <f t="shared" si="188"/>
        <v>0</v>
      </c>
      <c r="I971" s="953">
        <f t="shared" si="189"/>
        <v>0</v>
      </c>
      <c r="J971" s="953">
        <f t="shared" si="190"/>
        <v>0</v>
      </c>
      <c r="K971" s="953">
        <f t="shared" si="191"/>
        <v>-1.9999999999999999E-6</v>
      </c>
      <c r="L971" s="570" t="str">
        <f t="shared" si="192"/>
        <v>Modal 10</v>
      </c>
      <c r="M971" s="570">
        <f t="shared" si="193"/>
        <v>10</v>
      </c>
    </row>
    <row r="972" spans="1:13">
      <c r="A972" s="570" t="str">
        <f t="shared" si="182"/>
        <v>T711</v>
      </c>
      <c r="C972" s="953" t="str">
        <f t="shared" si="183"/>
        <v>T7</v>
      </c>
      <c r="D972" s="953" t="str">
        <f t="shared" si="184"/>
        <v>D1</v>
      </c>
      <c r="E972" s="953">
        <f t="shared" si="185"/>
        <v>11</v>
      </c>
      <c r="F972" s="953">
        <f t="shared" si="186"/>
        <v>-4.5100000000000001E-4</v>
      </c>
      <c r="G972" s="953">
        <f t="shared" si="187"/>
        <v>2.0100000000000001E-3</v>
      </c>
      <c r="H972" s="953">
        <f t="shared" si="188"/>
        <v>0</v>
      </c>
      <c r="I972" s="953">
        <f t="shared" si="189"/>
        <v>0</v>
      </c>
      <c r="J972" s="953">
        <f t="shared" si="190"/>
        <v>0</v>
      </c>
      <c r="K972" s="953">
        <f t="shared" si="191"/>
        <v>2.14E-4</v>
      </c>
      <c r="L972" s="570" t="str">
        <f t="shared" si="192"/>
        <v>Modal 11</v>
      </c>
      <c r="M972" s="570">
        <f t="shared" si="193"/>
        <v>11</v>
      </c>
    </row>
    <row r="973" spans="1:13">
      <c r="A973" s="570" t="str">
        <f t="shared" si="182"/>
        <v>T712</v>
      </c>
      <c r="C973" s="953" t="str">
        <f t="shared" si="183"/>
        <v>T7</v>
      </c>
      <c r="D973" s="953" t="str">
        <f t="shared" si="184"/>
        <v>D1</v>
      </c>
      <c r="E973" s="953">
        <f t="shared" si="185"/>
        <v>12</v>
      </c>
      <c r="F973" s="953">
        <f t="shared" si="186"/>
        <v>4.4099999999999999E-4</v>
      </c>
      <c r="G973" s="953">
        <f t="shared" si="187"/>
        <v>-5.476E-3</v>
      </c>
      <c r="H973" s="953">
        <f t="shared" si="188"/>
        <v>0</v>
      </c>
      <c r="I973" s="953">
        <f t="shared" si="189"/>
        <v>0</v>
      </c>
      <c r="J973" s="953">
        <f t="shared" si="190"/>
        <v>0</v>
      </c>
      <c r="K973" s="953">
        <f t="shared" si="191"/>
        <v>8.3999999999999995E-5</v>
      </c>
      <c r="L973" s="570" t="str">
        <f t="shared" si="192"/>
        <v>Modal 12</v>
      </c>
      <c r="M973" s="570">
        <f t="shared" si="193"/>
        <v>12</v>
      </c>
    </row>
    <row r="974" spans="1:13">
      <c r="A974" s="570" t="str">
        <f t="shared" si="182"/>
        <v>T713</v>
      </c>
      <c r="C974" s="953" t="str">
        <f t="shared" si="183"/>
        <v>T7</v>
      </c>
      <c r="D974" s="953" t="str">
        <f t="shared" si="184"/>
        <v>D1</v>
      </c>
      <c r="E974" s="953">
        <f t="shared" si="185"/>
        <v>13</v>
      </c>
      <c r="F974" s="953">
        <f t="shared" si="186"/>
        <v>5.7920000000000003E-3</v>
      </c>
      <c r="G974" s="953">
        <f t="shared" si="187"/>
        <v>5.6999999999999998E-4</v>
      </c>
      <c r="H974" s="953">
        <f t="shared" si="188"/>
        <v>0</v>
      </c>
      <c r="I974" s="953">
        <f t="shared" si="189"/>
        <v>0</v>
      </c>
      <c r="J974" s="953">
        <f t="shared" si="190"/>
        <v>0</v>
      </c>
      <c r="K974" s="953">
        <f t="shared" si="191"/>
        <v>1.7E-5</v>
      </c>
      <c r="L974" s="570" t="str">
        <f t="shared" si="192"/>
        <v>Modal 13</v>
      </c>
      <c r="M974" s="570">
        <f t="shared" si="193"/>
        <v>13</v>
      </c>
    </row>
    <row r="975" spans="1:13">
      <c r="A975" s="570" t="str">
        <f t="shared" si="182"/>
        <v>T714</v>
      </c>
      <c r="C975" s="953" t="str">
        <f t="shared" si="183"/>
        <v>T7</v>
      </c>
      <c r="D975" s="953" t="str">
        <f t="shared" si="184"/>
        <v>D1</v>
      </c>
      <c r="E975" s="953">
        <f t="shared" si="185"/>
        <v>14</v>
      </c>
      <c r="F975" s="953">
        <f t="shared" si="186"/>
        <v>-2.3900000000000001E-4</v>
      </c>
      <c r="G975" s="953">
        <f t="shared" si="187"/>
        <v>3.0000000000000001E-6</v>
      </c>
      <c r="H975" s="953">
        <f t="shared" si="188"/>
        <v>0</v>
      </c>
      <c r="I975" s="953">
        <f t="shared" si="189"/>
        <v>0</v>
      </c>
      <c r="J975" s="953">
        <f t="shared" si="190"/>
        <v>0</v>
      </c>
      <c r="K975" s="953">
        <f t="shared" si="191"/>
        <v>8.6000000000000003E-5</v>
      </c>
      <c r="L975" s="570" t="str">
        <f t="shared" si="192"/>
        <v>Modal 14</v>
      </c>
      <c r="M975" s="570">
        <f t="shared" si="193"/>
        <v>14</v>
      </c>
    </row>
    <row r="976" spans="1:13">
      <c r="A976" s="570" t="str">
        <f t="shared" si="182"/>
        <v>T715</v>
      </c>
      <c r="C976" s="953" t="str">
        <f t="shared" si="183"/>
        <v>T7</v>
      </c>
      <c r="D976" s="953" t="str">
        <f t="shared" si="184"/>
        <v>D1</v>
      </c>
      <c r="E976" s="953">
        <f t="shared" si="185"/>
        <v>15</v>
      </c>
      <c r="F976" s="953">
        <f t="shared" si="186"/>
        <v>4.75E-4</v>
      </c>
      <c r="G976" s="953">
        <f t="shared" si="187"/>
        <v>-4.7499999999999999E-3</v>
      </c>
      <c r="H976" s="953">
        <f t="shared" si="188"/>
        <v>0</v>
      </c>
      <c r="I976" s="953">
        <f t="shared" si="189"/>
        <v>0</v>
      </c>
      <c r="J976" s="953">
        <f t="shared" si="190"/>
        <v>0</v>
      </c>
      <c r="K976" s="953">
        <f t="shared" si="191"/>
        <v>1.0000000000000001E-5</v>
      </c>
      <c r="L976" s="570" t="str">
        <f t="shared" si="192"/>
        <v>Modal 15</v>
      </c>
      <c r="M976" s="570">
        <f t="shared" si="193"/>
        <v>15</v>
      </c>
    </row>
    <row r="977" spans="1:13">
      <c r="A977" s="570" t="str">
        <f t="shared" si="182"/>
        <v>T716</v>
      </c>
      <c r="C977" s="953" t="str">
        <f t="shared" si="183"/>
        <v>T7</v>
      </c>
      <c r="D977" s="953" t="str">
        <f t="shared" si="184"/>
        <v>D1</v>
      </c>
      <c r="E977" s="953">
        <f t="shared" si="185"/>
        <v>16</v>
      </c>
      <c r="F977" s="953">
        <f t="shared" si="186"/>
        <v>4.15E-4</v>
      </c>
      <c r="G977" s="953">
        <f t="shared" si="187"/>
        <v>-1.4200000000000001E-4</v>
      </c>
      <c r="H977" s="953">
        <f t="shared" si="188"/>
        <v>0</v>
      </c>
      <c r="I977" s="953">
        <f t="shared" si="189"/>
        <v>0</v>
      </c>
      <c r="J977" s="953">
        <f t="shared" si="190"/>
        <v>0</v>
      </c>
      <c r="K977" s="953">
        <f t="shared" si="191"/>
        <v>-1.16E-4</v>
      </c>
      <c r="L977" s="570" t="str">
        <f t="shared" si="192"/>
        <v>Modal 16</v>
      </c>
      <c r="M977" s="570">
        <f t="shared" si="193"/>
        <v>16</v>
      </c>
    </row>
    <row r="978" spans="1:13">
      <c r="A978" s="570" t="str">
        <f t="shared" si="182"/>
        <v>T717</v>
      </c>
      <c r="C978" s="953" t="str">
        <f t="shared" si="183"/>
        <v>T7</v>
      </c>
      <c r="D978" s="953" t="str">
        <f t="shared" si="184"/>
        <v>D1</v>
      </c>
      <c r="E978" s="953">
        <f t="shared" si="185"/>
        <v>17</v>
      </c>
      <c r="F978" s="953">
        <f t="shared" si="186"/>
        <v>4.5110000000000003E-3</v>
      </c>
      <c r="G978" s="953">
        <f t="shared" si="187"/>
        <v>4.2999999999999999E-4</v>
      </c>
      <c r="H978" s="953">
        <f t="shared" si="188"/>
        <v>0</v>
      </c>
      <c r="I978" s="953">
        <f t="shared" si="189"/>
        <v>0</v>
      </c>
      <c r="J978" s="953">
        <f t="shared" si="190"/>
        <v>0</v>
      </c>
      <c r="K978" s="953">
        <f t="shared" si="191"/>
        <v>1.2E-5</v>
      </c>
      <c r="L978" s="570" t="str">
        <f t="shared" si="192"/>
        <v>Modal 17</v>
      </c>
      <c r="M978" s="570">
        <f t="shared" si="193"/>
        <v>17</v>
      </c>
    </row>
    <row r="979" spans="1:13">
      <c r="A979" s="570" t="str">
        <f t="shared" si="182"/>
        <v>T718</v>
      </c>
      <c r="C979" s="953" t="str">
        <f t="shared" si="183"/>
        <v>T7</v>
      </c>
      <c r="D979" s="953" t="str">
        <f t="shared" si="184"/>
        <v>D1</v>
      </c>
      <c r="E979" s="953">
        <f t="shared" si="185"/>
        <v>18</v>
      </c>
      <c r="F979" s="953">
        <f t="shared" si="186"/>
        <v>-2.6600000000000001E-4</v>
      </c>
      <c r="G979" s="953">
        <f t="shared" si="187"/>
        <v>1.725E-3</v>
      </c>
      <c r="H979" s="953">
        <f t="shared" si="188"/>
        <v>0</v>
      </c>
      <c r="I979" s="953">
        <f t="shared" si="189"/>
        <v>0</v>
      </c>
      <c r="J979" s="953">
        <f t="shared" si="190"/>
        <v>0</v>
      </c>
      <c r="K979" s="953">
        <f t="shared" si="191"/>
        <v>-4.8000000000000001E-5</v>
      </c>
      <c r="L979" s="570" t="str">
        <f t="shared" si="192"/>
        <v>Modal 18</v>
      </c>
      <c r="M979" s="570">
        <f t="shared" si="193"/>
        <v>18</v>
      </c>
    </row>
    <row r="980" spans="1:13">
      <c r="A980" s="570" t="str">
        <f t="shared" si="182"/>
        <v>T719</v>
      </c>
      <c r="C980" s="953" t="str">
        <f t="shared" si="183"/>
        <v>T7</v>
      </c>
      <c r="D980" s="953" t="str">
        <f t="shared" si="184"/>
        <v>D1</v>
      </c>
      <c r="E980" s="953">
        <f t="shared" si="185"/>
        <v>19</v>
      </c>
      <c r="F980" s="953">
        <f t="shared" si="186"/>
        <v>1.13E-4</v>
      </c>
      <c r="G980" s="953">
        <f t="shared" si="187"/>
        <v>6.1200000000000002E-4</v>
      </c>
      <c r="H980" s="953">
        <f t="shared" si="188"/>
        <v>0</v>
      </c>
      <c r="I980" s="953">
        <f t="shared" si="189"/>
        <v>0</v>
      </c>
      <c r="J980" s="953">
        <f t="shared" si="190"/>
        <v>0</v>
      </c>
      <c r="K980" s="953">
        <f t="shared" si="191"/>
        <v>2.34E-4</v>
      </c>
      <c r="L980" s="570" t="str">
        <f t="shared" si="192"/>
        <v>Modal 19</v>
      </c>
      <c r="M980" s="570">
        <f t="shared" si="193"/>
        <v>19</v>
      </c>
    </row>
    <row r="981" spans="1:13">
      <c r="A981" s="570" t="str">
        <f t="shared" si="182"/>
        <v>T720</v>
      </c>
      <c r="C981" s="953" t="str">
        <f t="shared" si="183"/>
        <v>T7</v>
      </c>
      <c r="D981" s="953" t="str">
        <f t="shared" si="184"/>
        <v>D1</v>
      </c>
      <c r="E981" s="953">
        <f t="shared" si="185"/>
        <v>20</v>
      </c>
      <c r="F981" s="953">
        <f t="shared" si="186"/>
        <v>1.284E-3</v>
      </c>
      <c r="G981" s="953">
        <f t="shared" si="187"/>
        <v>1.7E-5</v>
      </c>
      <c r="H981" s="953">
        <f t="shared" si="188"/>
        <v>0</v>
      </c>
      <c r="I981" s="953">
        <f t="shared" si="189"/>
        <v>0</v>
      </c>
      <c r="J981" s="953">
        <f t="shared" si="190"/>
        <v>0</v>
      </c>
      <c r="K981" s="953">
        <f t="shared" si="191"/>
        <v>-3.9999999999999998E-6</v>
      </c>
      <c r="L981" s="570" t="str">
        <f t="shared" si="192"/>
        <v>Modal 20</v>
      </c>
      <c r="M981" s="570">
        <f t="shared" si="193"/>
        <v>20</v>
      </c>
    </row>
    <row r="982" spans="1:13">
      <c r="A982" s="570" t="str">
        <f t="shared" si="182"/>
        <v>T721</v>
      </c>
      <c r="C982" s="953" t="str">
        <f t="shared" si="183"/>
        <v>T7</v>
      </c>
      <c r="D982" s="953" t="str">
        <f t="shared" si="184"/>
        <v>D1</v>
      </c>
      <c r="E982" s="953">
        <f t="shared" si="185"/>
        <v>21</v>
      </c>
      <c r="F982" s="953">
        <f t="shared" si="186"/>
        <v>7.7000000000000001E-5</v>
      </c>
      <c r="G982" s="953">
        <f t="shared" si="187"/>
        <v>-2.0460000000000001E-3</v>
      </c>
      <c r="H982" s="953">
        <f t="shared" si="188"/>
        <v>0</v>
      </c>
      <c r="I982" s="953">
        <f t="shared" si="189"/>
        <v>0</v>
      </c>
      <c r="J982" s="953">
        <f t="shared" si="190"/>
        <v>0</v>
      </c>
      <c r="K982" s="953">
        <f t="shared" si="191"/>
        <v>-1.8E-5</v>
      </c>
      <c r="L982" s="570" t="str">
        <f t="shared" si="192"/>
        <v>Modal 21</v>
      </c>
      <c r="M982" s="570">
        <f t="shared" si="193"/>
        <v>21</v>
      </c>
    </row>
    <row r="983" spans="1:13">
      <c r="A983" s="570" t="str">
        <f t="shared" si="182"/>
        <v>T722</v>
      </c>
      <c r="C983" s="953" t="str">
        <f t="shared" si="183"/>
        <v>T7</v>
      </c>
      <c r="D983" s="953" t="str">
        <f t="shared" si="184"/>
        <v>D1</v>
      </c>
      <c r="E983" s="953">
        <f t="shared" si="185"/>
        <v>22</v>
      </c>
      <c r="F983" s="953">
        <f t="shared" si="186"/>
        <v>1.9849999999999998E-3</v>
      </c>
      <c r="G983" s="953">
        <f t="shared" si="187"/>
        <v>9.1399999999999999E-4</v>
      </c>
      <c r="H983" s="953">
        <f t="shared" si="188"/>
        <v>0</v>
      </c>
      <c r="I983" s="953">
        <f t="shared" si="189"/>
        <v>0</v>
      </c>
      <c r="J983" s="953">
        <f t="shared" si="190"/>
        <v>0</v>
      </c>
      <c r="K983" s="953">
        <f t="shared" si="191"/>
        <v>-9.6000000000000002E-5</v>
      </c>
      <c r="L983" s="570" t="str">
        <f t="shared" si="192"/>
        <v>Modal 22</v>
      </c>
      <c r="M983" s="570">
        <f t="shared" si="193"/>
        <v>22</v>
      </c>
    </row>
    <row r="984" spans="1:13">
      <c r="A984" s="570" t="str">
        <f t="shared" si="182"/>
        <v>T723</v>
      </c>
      <c r="C984" s="953" t="str">
        <f t="shared" si="183"/>
        <v>T7</v>
      </c>
      <c r="D984" s="953" t="str">
        <f t="shared" si="184"/>
        <v>D1</v>
      </c>
      <c r="E984" s="953">
        <f t="shared" si="185"/>
        <v>23</v>
      </c>
      <c r="F984" s="953">
        <f t="shared" si="186"/>
        <v>-2.029E-3</v>
      </c>
      <c r="G984" s="953">
        <f t="shared" si="187"/>
        <v>3.2130000000000001E-3</v>
      </c>
      <c r="H984" s="953">
        <f t="shared" si="188"/>
        <v>0</v>
      </c>
      <c r="I984" s="953">
        <f t="shared" si="189"/>
        <v>0</v>
      </c>
      <c r="J984" s="953">
        <f t="shared" si="190"/>
        <v>0</v>
      </c>
      <c r="K984" s="953">
        <f t="shared" si="191"/>
        <v>-6.7999999999999999E-5</v>
      </c>
      <c r="L984" s="570" t="str">
        <f t="shared" si="192"/>
        <v>Modal 23</v>
      </c>
      <c r="M984" s="570">
        <f t="shared" si="193"/>
        <v>23</v>
      </c>
    </row>
    <row r="985" spans="1:13">
      <c r="A985" s="570" t="str">
        <f t="shared" si="182"/>
        <v>T724</v>
      </c>
      <c r="C985" s="953" t="str">
        <f t="shared" si="183"/>
        <v>T7</v>
      </c>
      <c r="D985" s="953" t="str">
        <f t="shared" si="184"/>
        <v>D1</v>
      </c>
      <c r="E985" s="953">
        <f t="shared" si="185"/>
        <v>24</v>
      </c>
      <c r="F985" s="953">
        <f t="shared" si="186"/>
        <v>1.933E-3</v>
      </c>
      <c r="G985" s="953">
        <f t="shared" si="187"/>
        <v>4.1310000000000001E-3</v>
      </c>
      <c r="H985" s="953">
        <f t="shared" si="188"/>
        <v>0</v>
      </c>
      <c r="I985" s="953">
        <f t="shared" si="189"/>
        <v>0</v>
      </c>
      <c r="J985" s="953">
        <f t="shared" si="190"/>
        <v>0</v>
      </c>
      <c r="K985" s="953">
        <f t="shared" si="191"/>
        <v>2.8E-5</v>
      </c>
      <c r="L985" s="570" t="str">
        <f t="shared" si="192"/>
        <v>Modal 24</v>
      </c>
      <c r="M985" s="570">
        <f t="shared" si="193"/>
        <v>24</v>
      </c>
    </row>
    <row r="986" spans="1:13">
      <c r="A986" s="570" t="str">
        <f t="shared" si="182"/>
        <v>T725</v>
      </c>
      <c r="C986" s="953" t="str">
        <f t="shared" si="183"/>
        <v>T7</v>
      </c>
      <c r="D986" s="953" t="str">
        <f t="shared" si="184"/>
        <v>D1</v>
      </c>
      <c r="E986" s="953">
        <f t="shared" si="185"/>
        <v>25</v>
      </c>
      <c r="F986" s="953">
        <f t="shared" si="186"/>
        <v>5.3239999999999997E-3</v>
      </c>
      <c r="G986" s="953">
        <f t="shared" si="187"/>
        <v>-3.4259999999999998E-3</v>
      </c>
      <c r="H986" s="953">
        <f t="shared" si="188"/>
        <v>0</v>
      </c>
      <c r="I986" s="953">
        <f t="shared" si="189"/>
        <v>0</v>
      </c>
      <c r="J986" s="953">
        <f t="shared" si="190"/>
        <v>0</v>
      </c>
      <c r="K986" s="953">
        <f t="shared" si="191"/>
        <v>-3.0000000000000001E-5</v>
      </c>
      <c r="L986" s="570" t="str">
        <f t="shared" si="192"/>
        <v>Modal 25</v>
      </c>
      <c r="M986" s="570">
        <f t="shared" si="193"/>
        <v>25</v>
      </c>
    </row>
    <row r="987" spans="1:13">
      <c r="A987" s="570" t="str">
        <f t="shared" si="182"/>
        <v>T726</v>
      </c>
      <c r="C987" s="953" t="str">
        <f t="shared" si="183"/>
        <v>T7</v>
      </c>
      <c r="D987" s="953" t="str">
        <f t="shared" si="184"/>
        <v>D1</v>
      </c>
      <c r="E987" s="953">
        <f t="shared" si="185"/>
        <v>26</v>
      </c>
      <c r="F987" s="953">
        <f t="shared" si="186"/>
        <v>3.7950000000000002E-3</v>
      </c>
      <c r="G987" s="953">
        <f t="shared" si="187"/>
        <v>3.4329999999999999E-3</v>
      </c>
      <c r="H987" s="953">
        <f t="shared" si="188"/>
        <v>0</v>
      </c>
      <c r="I987" s="953">
        <f t="shared" si="189"/>
        <v>0</v>
      </c>
      <c r="J987" s="953">
        <f t="shared" si="190"/>
        <v>0</v>
      </c>
      <c r="K987" s="953">
        <f t="shared" si="191"/>
        <v>-2.5999999999999998E-5</v>
      </c>
      <c r="L987" s="570" t="str">
        <f t="shared" si="192"/>
        <v>Modal 26</v>
      </c>
      <c r="M987" s="570">
        <f t="shared" si="193"/>
        <v>26</v>
      </c>
    </row>
    <row r="988" spans="1:13">
      <c r="A988" s="570" t="str">
        <f t="shared" si="182"/>
        <v>T727</v>
      </c>
      <c r="C988" s="953" t="str">
        <f t="shared" si="183"/>
        <v>T7</v>
      </c>
      <c r="D988" s="953" t="str">
        <f t="shared" si="184"/>
        <v>D1</v>
      </c>
      <c r="E988" s="953">
        <f t="shared" si="185"/>
        <v>27</v>
      </c>
      <c r="F988" s="953">
        <f t="shared" si="186"/>
        <v>3.2399999999999998E-3</v>
      </c>
      <c r="G988" s="953">
        <f t="shared" si="187"/>
        <v>-3.4859999999999999E-3</v>
      </c>
      <c r="H988" s="953">
        <f t="shared" si="188"/>
        <v>0</v>
      </c>
      <c r="I988" s="953">
        <f t="shared" si="189"/>
        <v>0</v>
      </c>
      <c r="J988" s="953">
        <f t="shared" si="190"/>
        <v>0</v>
      </c>
      <c r="K988" s="953">
        <f t="shared" si="191"/>
        <v>-3.8000000000000002E-5</v>
      </c>
      <c r="L988" s="570" t="str">
        <f t="shared" si="192"/>
        <v>Modal 27</v>
      </c>
      <c r="M988" s="570">
        <f t="shared" si="193"/>
        <v>27</v>
      </c>
    </row>
    <row r="989" spans="1:13">
      <c r="A989" s="570" t="str">
        <f t="shared" si="182"/>
        <v>T728</v>
      </c>
      <c r="C989" s="953" t="str">
        <f t="shared" si="183"/>
        <v>T7</v>
      </c>
      <c r="D989" s="953" t="str">
        <f t="shared" si="184"/>
        <v>D1</v>
      </c>
      <c r="E989" s="953">
        <f t="shared" si="185"/>
        <v>28</v>
      </c>
      <c r="F989" s="953">
        <f t="shared" si="186"/>
        <v>3.4429999999999999E-3</v>
      </c>
      <c r="G989" s="953">
        <f t="shared" si="187"/>
        <v>5.5389999999999997E-3</v>
      </c>
      <c r="H989" s="953">
        <f t="shared" si="188"/>
        <v>0</v>
      </c>
      <c r="I989" s="953">
        <f t="shared" si="189"/>
        <v>0</v>
      </c>
      <c r="J989" s="953">
        <f t="shared" si="190"/>
        <v>0</v>
      </c>
      <c r="K989" s="953">
        <f t="shared" si="191"/>
        <v>-5.3999999999999998E-5</v>
      </c>
      <c r="L989" s="570" t="str">
        <f t="shared" si="192"/>
        <v>Modal 28</v>
      </c>
      <c r="M989" s="570">
        <f t="shared" si="193"/>
        <v>28</v>
      </c>
    </row>
    <row r="990" spans="1:13">
      <c r="A990" s="570" t="str">
        <f t="shared" si="182"/>
        <v>T729</v>
      </c>
      <c r="C990" s="953" t="str">
        <f t="shared" si="183"/>
        <v>T7</v>
      </c>
      <c r="D990" s="953" t="str">
        <f t="shared" si="184"/>
        <v>D1</v>
      </c>
      <c r="E990" s="953">
        <f t="shared" si="185"/>
        <v>29</v>
      </c>
      <c r="F990" s="953">
        <f t="shared" si="186"/>
        <v>3.101E-3</v>
      </c>
      <c r="G990" s="953">
        <f t="shared" si="187"/>
        <v>-8.0199999999999998E-4</v>
      </c>
      <c r="H990" s="953">
        <f t="shared" si="188"/>
        <v>0</v>
      </c>
      <c r="I990" s="953">
        <f t="shared" si="189"/>
        <v>0</v>
      </c>
      <c r="J990" s="953">
        <f t="shared" si="190"/>
        <v>0</v>
      </c>
      <c r="K990" s="953">
        <f t="shared" si="191"/>
        <v>4.0000000000000003E-5</v>
      </c>
      <c r="L990" s="570" t="str">
        <f t="shared" si="192"/>
        <v>Modal 29</v>
      </c>
      <c r="M990" s="570">
        <f t="shared" si="193"/>
        <v>29</v>
      </c>
    </row>
    <row r="991" spans="1:13">
      <c r="A991" s="570" t="str">
        <f t="shared" si="182"/>
        <v>T730</v>
      </c>
      <c r="C991" s="953" t="str">
        <f t="shared" si="183"/>
        <v>T7</v>
      </c>
      <c r="D991" s="953" t="str">
        <f t="shared" si="184"/>
        <v>D1</v>
      </c>
      <c r="E991" s="953">
        <f t="shared" si="185"/>
        <v>30</v>
      </c>
      <c r="F991" s="953">
        <f t="shared" si="186"/>
        <v>6.6E-4</v>
      </c>
      <c r="G991" s="953">
        <f t="shared" si="187"/>
        <v>3.7300000000000001E-4</v>
      </c>
      <c r="H991" s="953">
        <f t="shared" si="188"/>
        <v>0</v>
      </c>
      <c r="I991" s="953">
        <f t="shared" si="189"/>
        <v>0</v>
      </c>
      <c r="J991" s="953">
        <f t="shared" si="190"/>
        <v>0</v>
      </c>
      <c r="K991" s="953">
        <f t="shared" si="191"/>
        <v>2.6999999999999999E-5</v>
      </c>
      <c r="L991" s="570" t="str">
        <f t="shared" si="192"/>
        <v>Modal 30</v>
      </c>
      <c r="M991" s="570">
        <f t="shared" si="193"/>
        <v>30</v>
      </c>
    </row>
    <row r="992" spans="1:13">
      <c r="A992" s="570" t="str">
        <f t="shared" si="182"/>
        <v>T61</v>
      </c>
      <c r="C992" s="953" t="str">
        <f t="shared" si="183"/>
        <v>T6</v>
      </c>
      <c r="D992" s="953" t="str">
        <f t="shared" si="184"/>
        <v>D1</v>
      </c>
      <c r="E992" s="953">
        <f t="shared" si="185"/>
        <v>1</v>
      </c>
      <c r="F992" s="953">
        <f t="shared" si="186"/>
        <v>-1.05E-4</v>
      </c>
      <c r="G992" s="953">
        <f t="shared" si="187"/>
        <v>5.4799999999999998E-4</v>
      </c>
      <c r="H992" s="953">
        <f t="shared" si="188"/>
        <v>0</v>
      </c>
      <c r="I992" s="953">
        <f t="shared" si="189"/>
        <v>0</v>
      </c>
      <c r="J992" s="953">
        <f t="shared" si="190"/>
        <v>0</v>
      </c>
      <c r="K992" s="953">
        <f t="shared" si="191"/>
        <v>6.9999999999999999E-6</v>
      </c>
      <c r="L992" s="570" t="str">
        <f t="shared" si="192"/>
        <v>Modal 1</v>
      </c>
      <c r="M992" s="570">
        <f t="shared" si="193"/>
        <v>1</v>
      </c>
    </row>
    <row r="993" spans="1:13">
      <c r="A993" s="570" t="str">
        <f t="shared" si="182"/>
        <v>T62</v>
      </c>
      <c r="C993" s="953" t="str">
        <f t="shared" si="183"/>
        <v>T6</v>
      </c>
      <c r="D993" s="953" t="str">
        <f t="shared" si="184"/>
        <v>D1</v>
      </c>
      <c r="E993" s="953">
        <f t="shared" si="185"/>
        <v>2</v>
      </c>
      <c r="F993" s="953">
        <f t="shared" si="186"/>
        <v>-1.06E-4</v>
      </c>
      <c r="G993" s="953">
        <f t="shared" si="187"/>
        <v>-1.16E-4</v>
      </c>
      <c r="H993" s="953">
        <f t="shared" si="188"/>
        <v>0</v>
      </c>
      <c r="I993" s="953">
        <f t="shared" si="189"/>
        <v>0</v>
      </c>
      <c r="J993" s="953">
        <f t="shared" si="190"/>
        <v>0</v>
      </c>
      <c r="K993" s="953">
        <f t="shared" si="191"/>
        <v>3.8999999999999999E-5</v>
      </c>
      <c r="L993" s="570" t="str">
        <f t="shared" si="192"/>
        <v>Modal 2</v>
      </c>
      <c r="M993" s="570">
        <f t="shared" si="193"/>
        <v>2</v>
      </c>
    </row>
    <row r="994" spans="1:13">
      <c r="A994" s="570" t="str">
        <f t="shared" si="182"/>
        <v>T63</v>
      </c>
      <c r="C994" s="953" t="str">
        <f t="shared" si="183"/>
        <v>T6</v>
      </c>
      <c r="D994" s="953" t="str">
        <f t="shared" si="184"/>
        <v>D1</v>
      </c>
      <c r="E994" s="953">
        <f t="shared" si="185"/>
        <v>3</v>
      </c>
      <c r="F994" s="953">
        <f t="shared" si="186"/>
        <v>6.4400000000000004E-4</v>
      </c>
      <c r="G994" s="953">
        <f t="shared" si="187"/>
        <v>1.2E-4</v>
      </c>
      <c r="H994" s="953">
        <f t="shared" si="188"/>
        <v>0</v>
      </c>
      <c r="I994" s="953">
        <f t="shared" si="189"/>
        <v>0</v>
      </c>
      <c r="J994" s="953">
        <f t="shared" si="190"/>
        <v>0</v>
      </c>
      <c r="K994" s="953">
        <f t="shared" si="191"/>
        <v>6.9999999999999999E-6</v>
      </c>
      <c r="L994" s="570" t="str">
        <f t="shared" si="192"/>
        <v>Modal 3</v>
      </c>
      <c r="M994" s="570">
        <f t="shared" si="193"/>
        <v>3</v>
      </c>
    </row>
    <row r="995" spans="1:13">
      <c r="A995" s="570" t="str">
        <f t="shared" si="182"/>
        <v>T64</v>
      </c>
      <c r="C995" s="953" t="str">
        <f t="shared" si="183"/>
        <v>T6</v>
      </c>
      <c r="D995" s="953" t="str">
        <f t="shared" si="184"/>
        <v>D1</v>
      </c>
      <c r="E995" s="953">
        <f t="shared" si="185"/>
        <v>4</v>
      </c>
      <c r="F995" s="953">
        <f t="shared" si="186"/>
        <v>-3.6400000000000001E-4</v>
      </c>
      <c r="G995" s="953">
        <f t="shared" si="187"/>
        <v>1.8E-5</v>
      </c>
      <c r="H995" s="953">
        <f t="shared" si="188"/>
        <v>0</v>
      </c>
      <c r="I995" s="953">
        <f t="shared" si="189"/>
        <v>0</v>
      </c>
      <c r="J995" s="953">
        <f t="shared" si="190"/>
        <v>0</v>
      </c>
      <c r="K995" s="953">
        <f t="shared" si="191"/>
        <v>1.2999999999999999E-4</v>
      </c>
      <c r="L995" s="570" t="str">
        <f t="shared" si="192"/>
        <v>Modal 4</v>
      </c>
      <c r="M995" s="570">
        <f t="shared" si="193"/>
        <v>4</v>
      </c>
    </row>
    <row r="996" spans="1:13">
      <c r="A996" s="570" t="str">
        <f t="shared" si="182"/>
        <v>T65</v>
      </c>
      <c r="C996" s="953" t="str">
        <f t="shared" si="183"/>
        <v>T6</v>
      </c>
      <c r="D996" s="953" t="str">
        <f t="shared" si="184"/>
        <v>D1</v>
      </c>
      <c r="E996" s="953">
        <f t="shared" si="185"/>
        <v>5</v>
      </c>
      <c r="F996" s="953">
        <f t="shared" si="186"/>
        <v>2.9599999999999998E-4</v>
      </c>
      <c r="G996" s="953">
        <f t="shared" si="187"/>
        <v>-2.4320000000000001E-3</v>
      </c>
      <c r="H996" s="953">
        <f t="shared" si="188"/>
        <v>0</v>
      </c>
      <c r="I996" s="953">
        <f t="shared" si="189"/>
        <v>0</v>
      </c>
      <c r="J996" s="953">
        <f t="shared" si="190"/>
        <v>0</v>
      </c>
      <c r="K996" s="953">
        <f t="shared" si="191"/>
        <v>3.0000000000000001E-6</v>
      </c>
      <c r="L996" s="570" t="str">
        <f t="shared" si="192"/>
        <v>Modal 5</v>
      </c>
      <c r="M996" s="570">
        <f t="shared" si="193"/>
        <v>5</v>
      </c>
    </row>
    <row r="997" spans="1:13">
      <c r="A997" s="570" t="str">
        <f t="shared" si="182"/>
        <v>T66</v>
      </c>
      <c r="C997" s="953" t="str">
        <f t="shared" si="183"/>
        <v>T6</v>
      </c>
      <c r="D997" s="953" t="str">
        <f t="shared" si="184"/>
        <v>D1</v>
      </c>
      <c r="E997" s="953">
        <f t="shared" si="185"/>
        <v>6</v>
      </c>
      <c r="F997" s="953">
        <f t="shared" si="186"/>
        <v>-2.4789999999999999E-3</v>
      </c>
      <c r="G997" s="953">
        <f t="shared" si="187"/>
        <v>-3.2699999999999998E-4</v>
      </c>
      <c r="H997" s="953">
        <f t="shared" si="188"/>
        <v>0</v>
      </c>
      <c r="I997" s="953">
        <f t="shared" si="189"/>
        <v>0</v>
      </c>
      <c r="J997" s="953">
        <f t="shared" si="190"/>
        <v>0</v>
      </c>
      <c r="K997" s="953">
        <f t="shared" si="191"/>
        <v>-2.4000000000000001E-5</v>
      </c>
      <c r="L997" s="570" t="str">
        <f t="shared" si="192"/>
        <v>Modal 6</v>
      </c>
      <c r="M997" s="570">
        <f t="shared" si="193"/>
        <v>6</v>
      </c>
    </row>
    <row r="998" spans="1:13">
      <c r="A998" s="570" t="str">
        <f t="shared" si="182"/>
        <v>T67</v>
      </c>
      <c r="C998" s="953" t="str">
        <f t="shared" si="183"/>
        <v>T6</v>
      </c>
      <c r="D998" s="953" t="str">
        <f t="shared" si="184"/>
        <v>D1</v>
      </c>
      <c r="E998" s="953">
        <f t="shared" si="185"/>
        <v>7</v>
      </c>
      <c r="F998" s="953">
        <f t="shared" si="186"/>
        <v>5.7600000000000001E-4</v>
      </c>
      <c r="G998" s="953">
        <f t="shared" si="187"/>
        <v>1.2999999999999999E-5</v>
      </c>
      <c r="H998" s="953">
        <f t="shared" si="188"/>
        <v>0</v>
      </c>
      <c r="I998" s="953">
        <f t="shared" si="189"/>
        <v>0</v>
      </c>
      <c r="J998" s="953">
        <f t="shared" si="190"/>
        <v>0</v>
      </c>
      <c r="K998" s="953">
        <f t="shared" si="191"/>
        <v>-2.1699999999999999E-4</v>
      </c>
      <c r="L998" s="570" t="str">
        <f t="shared" si="192"/>
        <v>Modal 7</v>
      </c>
      <c r="M998" s="570">
        <f t="shared" si="193"/>
        <v>7</v>
      </c>
    </row>
    <row r="999" spans="1:13">
      <c r="A999" s="570" t="str">
        <f t="shared" si="182"/>
        <v>T68</v>
      </c>
      <c r="C999" s="953" t="str">
        <f t="shared" si="183"/>
        <v>T6</v>
      </c>
      <c r="D999" s="953" t="str">
        <f t="shared" si="184"/>
        <v>D1</v>
      </c>
      <c r="E999" s="953">
        <f t="shared" si="185"/>
        <v>8</v>
      </c>
      <c r="F999" s="953">
        <f t="shared" si="186"/>
        <v>4.5399999999999998E-4</v>
      </c>
      <c r="G999" s="953">
        <f t="shared" si="187"/>
        <v>-4.483E-3</v>
      </c>
      <c r="H999" s="953">
        <f t="shared" si="188"/>
        <v>0</v>
      </c>
      <c r="I999" s="953">
        <f t="shared" si="189"/>
        <v>0</v>
      </c>
      <c r="J999" s="953">
        <f t="shared" si="190"/>
        <v>0</v>
      </c>
      <c r="K999" s="953">
        <f t="shared" si="191"/>
        <v>1.9999999999999999E-6</v>
      </c>
      <c r="L999" s="570" t="str">
        <f t="shared" si="192"/>
        <v>Modal 8</v>
      </c>
      <c r="M999" s="570">
        <f t="shared" si="193"/>
        <v>8</v>
      </c>
    </row>
    <row r="1000" spans="1:13">
      <c r="A1000" s="570" t="str">
        <f t="shared" si="182"/>
        <v>T69</v>
      </c>
      <c r="C1000" s="953" t="str">
        <f t="shared" si="183"/>
        <v>T6</v>
      </c>
      <c r="D1000" s="953" t="str">
        <f t="shared" si="184"/>
        <v>D1</v>
      </c>
      <c r="E1000" s="953">
        <f t="shared" si="185"/>
        <v>9</v>
      </c>
      <c r="F1000" s="953">
        <f t="shared" si="186"/>
        <v>-1.2300000000000001E-4</v>
      </c>
      <c r="G1000" s="953">
        <f t="shared" si="187"/>
        <v>1.1E-5</v>
      </c>
      <c r="H1000" s="953">
        <f t="shared" si="188"/>
        <v>0</v>
      </c>
      <c r="I1000" s="953">
        <f t="shared" si="189"/>
        <v>0</v>
      </c>
      <c r="J1000" s="953">
        <f t="shared" si="190"/>
        <v>0</v>
      </c>
      <c r="K1000" s="953">
        <f t="shared" si="191"/>
        <v>2.72E-4</v>
      </c>
      <c r="L1000" s="570" t="str">
        <f t="shared" si="192"/>
        <v>Modal 9</v>
      </c>
      <c r="M1000" s="570">
        <f t="shared" si="193"/>
        <v>9</v>
      </c>
    </row>
    <row r="1001" spans="1:13">
      <c r="A1001" s="570" t="str">
        <f t="shared" si="182"/>
        <v>T610</v>
      </c>
      <c r="C1001" s="953" t="str">
        <f t="shared" si="183"/>
        <v>T6</v>
      </c>
      <c r="D1001" s="953" t="str">
        <f t="shared" si="184"/>
        <v>D1</v>
      </c>
      <c r="E1001" s="953">
        <f t="shared" si="185"/>
        <v>10</v>
      </c>
      <c r="F1001" s="953">
        <f t="shared" si="186"/>
        <v>-4.5469999999999998E-3</v>
      </c>
      <c r="G1001" s="953">
        <f t="shared" si="187"/>
        <v>-4.6099999999999998E-4</v>
      </c>
      <c r="H1001" s="953">
        <f t="shared" si="188"/>
        <v>0</v>
      </c>
      <c r="I1001" s="953">
        <f t="shared" si="189"/>
        <v>0</v>
      </c>
      <c r="J1001" s="953">
        <f t="shared" si="190"/>
        <v>0</v>
      </c>
      <c r="K1001" s="953">
        <f t="shared" si="191"/>
        <v>-9.9999999999999995E-7</v>
      </c>
      <c r="L1001" s="570" t="str">
        <f t="shared" si="192"/>
        <v>Modal 10</v>
      </c>
      <c r="M1001" s="570">
        <f t="shared" si="193"/>
        <v>10</v>
      </c>
    </row>
    <row r="1002" spans="1:13">
      <c r="A1002" s="570" t="str">
        <f t="shared" si="182"/>
        <v>T611</v>
      </c>
      <c r="C1002" s="953" t="str">
        <f t="shared" si="183"/>
        <v>T6</v>
      </c>
      <c r="D1002" s="953" t="str">
        <f t="shared" si="184"/>
        <v>D1</v>
      </c>
      <c r="E1002" s="953">
        <f t="shared" si="185"/>
        <v>11</v>
      </c>
      <c r="F1002" s="953">
        <f t="shared" si="186"/>
        <v>-4.9799999999999996E-4</v>
      </c>
      <c r="G1002" s="953">
        <f t="shared" si="187"/>
        <v>1.9680000000000001E-3</v>
      </c>
      <c r="H1002" s="953">
        <f t="shared" si="188"/>
        <v>0</v>
      </c>
      <c r="I1002" s="953">
        <f t="shared" si="189"/>
        <v>0</v>
      </c>
      <c r="J1002" s="953">
        <f t="shared" si="190"/>
        <v>0</v>
      </c>
      <c r="K1002" s="953">
        <f t="shared" si="191"/>
        <v>2.52E-4</v>
      </c>
      <c r="L1002" s="570" t="str">
        <f t="shared" si="192"/>
        <v>Modal 11</v>
      </c>
      <c r="M1002" s="570">
        <f t="shared" si="193"/>
        <v>11</v>
      </c>
    </row>
    <row r="1003" spans="1:13">
      <c r="A1003" s="570" t="str">
        <f t="shared" si="182"/>
        <v>T612</v>
      </c>
      <c r="C1003" s="953" t="str">
        <f t="shared" si="183"/>
        <v>T6</v>
      </c>
      <c r="D1003" s="953" t="str">
        <f t="shared" si="184"/>
        <v>D1</v>
      </c>
      <c r="E1003" s="953">
        <f t="shared" si="185"/>
        <v>12</v>
      </c>
      <c r="F1003" s="953">
        <f t="shared" si="186"/>
        <v>4.06E-4</v>
      </c>
      <c r="G1003" s="953">
        <f t="shared" si="187"/>
        <v>-5.3420000000000004E-3</v>
      </c>
      <c r="H1003" s="953">
        <f t="shared" si="188"/>
        <v>0</v>
      </c>
      <c r="I1003" s="953">
        <f t="shared" si="189"/>
        <v>0</v>
      </c>
      <c r="J1003" s="953">
        <f t="shared" si="190"/>
        <v>0</v>
      </c>
      <c r="K1003" s="953">
        <f t="shared" si="191"/>
        <v>9.7999999999999997E-5</v>
      </c>
      <c r="L1003" s="570" t="str">
        <f t="shared" si="192"/>
        <v>Modal 12</v>
      </c>
      <c r="M1003" s="570">
        <f t="shared" si="193"/>
        <v>12</v>
      </c>
    </row>
    <row r="1004" spans="1:13">
      <c r="A1004" s="570" t="str">
        <f t="shared" si="182"/>
        <v>T613</v>
      </c>
      <c r="C1004" s="953" t="str">
        <f t="shared" si="183"/>
        <v>T6</v>
      </c>
      <c r="D1004" s="953" t="str">
        <f t="shared" si="184"/>
        <v>D1</v>
      </c>
      <c r="E1004" s="953">
        <f t="shared" si="185"/>
        <v>13</v>
      </c>
      <c r="F1004" s="953">
        <f t="shared" si="186"/>
        <v>5.7039999999999999E-3</v>
      </c>
      <c r="G1004" s="953">
        <f t="shared" si="187"/>
        <v>5.6999999999999998E-4</v>
      </c>
      <c r="H1004" s="953">
        <f t="shared" si="188"/>
        <v>0</v>
      </c>
      <c r="I1004" s="953">
        <f t="shared" si="189"/>
        <v>0</v>
      </c>
      <c r="J1004" s="953">
        <f t="shared" si="190"/>
        <v>0</v>
      </c>
      <c r="K1004" s="953">
        <f t="shared" si="191"/>
        <v>1.9000000000000001E-5</v>
      </c>
      <c r="L1004" s="570" t="str">
        <f t="shared" si="192"/>
        <v>Modal 13</v>
      </c>
      <c r="M1004" s="570">
        <f t="shared" si="193"/>
        <v>13</v>
      </c>
    </row>
    <row r="1005" spans="1:13">
      <c r="A1005" s="570" t="str">
        <f t="shared" si="182"/>
        <v>T614</v>
      </c>
      <c r="C1005" s="953" t="str">
        <f t="shared" si="183"/>
        <v>T6</v>
      </c>
      <c r="D1005" s="953" t="str">
        <f t="shared" si="184"/>
        <v>D1</v>
      </c>
      <c r="E1005" s="953">
        <f t="shared" si="185"/>
        <v>14</v>
      </c>
      <c r="F1005" s="953">
        <f t="shared" si="186"/>
        <v>-3.3799999999999998E-4</v>
      </c>
      <c r="G1005" s="953">
        <f t="shared" si="187"/>
        <v>3.1999999999999999E-5</v>
      </c>
      <c r="H1005" s="953">
        <f t="shared" si="188"/>
        <v>0</v>
      </c>
      <c r="I1005" s="953">
        <f t="shared" si="189"/>
        <v>0</v>
      </c>
      <c r="J1005" s="953">
        <f t="shared" si="190"/>
        <v>0</v>
      </c>
      <c r="K1005" s="953">
        <f t="shared" si="191"/>
        <v>1.85E-4</v>
      </c>
      <c r="L1005" s="570" t="str">
        <f t="shared" si="192"/>
        <v>Modal 14</v>
      </c>
      <c r="M1005" s="570">
        <f t="shared" si="193"/>
        <v>14</v>
      </c>
    </row>
    <row r="1006" spans="1:13">
      <c r="A1006" s="570" t="str">
        <f t="shared" si="182"/>
        <v>T615</v>
      </c>
      <c r="C1006" s="953" t="str">
        <f t="shared" si="183"/>
        <v>T6</v>
      </c>
      <c r="D1006" s="953" t="str">
        <f t="shared" si="184"/>
        <v>D1</v>
      </c>
      <c r="E1006" s="953">
        <f t="shared" si="185"/>
        <v>15</v>
      </c>
      <c r="F1006" s="953">
        <f t="shared" si="186"/>
        <v>5.5000000000000003E-4</v>
      </c>
      <c r="G1006" s="953">
        <f t="shared" si="187"/>
        <v>-5.6210000000000001E-3</v>
      </c>
      <c r="H1006" s="953">
        <f t="shared" si="188"/>
        <v>0</v>
      </c>
      <c r="I1006" s="953">
        <f t="shared" si="189"/>
        <v>0</v>
      </c>
      <c r="J1006" s="953">
        <f t="shared" si="190"/>
        <v>0</v>
      </c>
      <c r="K1006" s="953">
        <f t="shared" si="191"/>
        <v>1.1E-5</v>
      </c>
      <c r="L1006" s="570" t="str">
        <f t="shared" si="192"/>
        <v>Modal 15</v>
      </c>
      <c r="M1006" s="570">
        <f t="shared" si="193"/>
        <v>15</v>
      </c>
    </row>
    <row r="1007" spans="1:13">
      <c r="A1007" s="570" t="str">
        <f t="shared" si="182"/>
        <v>T616</v>
      </c>
      <c r="C1007" s="953" t="str">
        <f t="shared" si="183"/>
        <v>T6</v>
      </c>
      <c r="D1007" s="953" t="str">
        <f t="shared" si="184"/>
        <v>D1</v>
      </c>
      <c r="E1007" s="953">
        <f t="shared" si="185"/>
        <v>16</v>
      </c>
      <c r="F1007" s="953">
        <f t="shared" si="186"/>
        <v>4.2900000000000002E-4</v>
      </c>
      <c r="G1007" s="953">
        <f t="shared" si="187"/>
        <v>-9.8999999999999994E-5</v>
      </c>
      <c r="H1007" s="953">
        <f t="shared" si="188"/>
        <v>0</v>
      </c>
      <c r="I1007" s="953">
        <f t="shared" si="189"/>
        <v>0</v>
      </c>
      <c r="J1007" s="953">
        <f t="shared" si="190"/>
        <v>0</v>
      </c>
      <c r="K1007" s="953">
        <f t="shared" si="191"/>
        <v>6.9999999999999999E-6</v>
      </c>
      <c r="L1007" s="570" t="str">
        <f t="shared" si="192"/>
        <v>Modal 16</v>
      </c>
      <c r="M1007" s="570">
        <f t="shared" si="193"/>
        <v>16</v>
      </c>
    </row>
    <row r="1008" spans="1:13">
      <c r="A1008" s="570" t="str">
        <f t="shared" si="182"/>
        <v>T617</v>
      </c>
      <c r="C1008" s="953" t="str">
        <f t="shared" si="183"/>
        <v>T6</v>
      </c>
      <c r="D1008" s="953" t="str">
        <f t="shared" si="184"/>
        <v>D1</v>
      </c>
      <c r="E1008" s="953">
        <f t="shared" si="185"/>
        <v>17</v>
      </c>
      <c r="F1008" s="953">
        <f t="shared" si="186"/>
        <v>5.4749999999999998E-3</v>
      </c>
      <c r="G1008" s="953">
        <f t="shared" si="187"/>
        <v>5.3899999999999998E-4</v>
      </c>
      <c r="H1008" s="953">
        <f t="shared" si="188"/>
        <v>0</v>
      </c>
      <c r="I1008" s="953">
        <f t="shared" si="189"/>
        <v>0</v>
      </c>
      <c r="J1008" s="953">
        <f t="shared" si="190"/>
        <v>0</v>
      </c>
      <c r="K1008" s="953">
        <f t="shared" si="191"/>
        <v>-4.1559999999999999E-7</v>
      </c>
      <c r="L1008" s="570" t="str">
        <f t="shared" si="192"/>
        <v>Modal 17</v>
      </c>
      <c r="M1008" s="570">
        <f t="shared" si="193"/>
        <v>17</v>
      </c>
    </row>
    <row r="1009" spans="1:13">
      <c r="A1009" s="570" t="str">
        <f t="shared" si="182"/>
        <v>T618</v>
      </c>
      <c r="C1009" s="953" t="str">
        <f t="shared" si="183"/>
        <v>T6</v>
      </c>
      <c r="D1009" s="953" t="str">
        <f t="shared" si="184"/>
        <v>D1</v>
      </c>
      <c r="E1009" s="953">
        <f t="shared" si="185"/>
        <v>18</v>
      </c>
      <c r="F1009" s="953">
        <f t="shared" si="186"/>
        <v>-4.46E-4</v>
      </c>
      <c r="G1009" s="953">
        <f t="shared" si="187"/>
        <v>3.7680000000000001E-3</v>
      </c>
      <c r="H1009" s="953">
        <f t="shared" si="188"/>
        <v>0</v>
      </c>
      <c r="I1009" s="953">
        <f t="shared" si="189"/>
        <v>0</v>
      </c>
      <c r="J1009" s="953">
        <f t="shared" si="190"/>
        <v>0</v>
      </c>
      <c r="K1009" s="953">
        <f t="shared" si="191"/>
        <v>-4.6999999999999997E-5</v>
      </c>
      <c r="L1009" s="570" t="str">
        <f t="shared" si="192"/>
        <v>Modal 18</v>
      </c>
      <c r="M1009" s="570">
        <f t="shared" si="193"/>
        <v>18</v>
      </c>
    </row>
    <row r="1010" spans="1:13">
      <c r="A1010" s="570" t="str">
        <f t="shared" si="182"/>
        <v>T619</v>
      </c>
      <c r="C1010" s="953" t="str">
        <f t="shared" si="183"/>
        <v>T6</v>
      </c>
      <c r="D1010" s="953" t="str">
        <f t="shared" si="184"/>
        <v>D1</v>
      </c>
      <c r="E1010" s="953">
        <f t="shared" si="185"/>
        <v>19</v>
      </c>
      <c r="F1010" s="953">
        <f t="shared" si="186"/>
        <v>4.1E-5</v>
      </c>
      <c r="G1010" s="953">
        <f t="shared" si="187"/>
        <v>9.7999999999999997E-4</v>
      </c>
      <c r="H1010" s="953">
        <f t="shared" si="188"/>
        <v>0</v>
      </c>
      <c r="I1010" s="953">
        <f t="shared" si="189"/>
        <v>0</v>
      </c>
      <c r="J1010" s="953">
        <f t="shared" si="190"/>
        <v>0</v>
      </c>
      <c r="K1010" s="953">
        <f t="shared" si="191"/>
        <v>1.8200000000000001E-4</v>
      </c>
      <c r="L1010" s="570" t="str">
        <f t="shared" si="192"/>
        <v>Modal 19</v>
      </c>
      <c r="M1010" s="570">
        <f t="shared" si="193"/>
        <v>19</v>
      </c>
    </row>
    <row r="1011" spans="1:13">
      <c r="A1011" s="570" t="str">
        <f t="shared" si="182"/>
        <v>T620</v>
      </c>
      <c r="C1011" s="953" t="str">
        <f t="shared" si="183"/>
        <v>T6</v>
      </c>
      <c r="D1011" s="953" t="str">
        <f t="shared" si="184"/>
        <v>D1</v>
      </c>
      <c r="E1011" s="953">
        <f t="shared" si="185"/>
        <v>20</v>
      </c>
      <c r="F1011" s="953">
        <f t="shared" si="186"/>
        <v>3.3999999999999998E-3</v>
      </c>
      <c r="G1011" s="953">
        <f t="shared" si="187"/>
        <v>2.6800000000000001E-4</v>
      </c>
      <c r="H1011" s="953">
        <f t="shared" si="188"/>
        <v>0</v>
      </c>
      <c r="I1011" s="953">
        <f t="shared" si="189"/>
        <v>0</v>
      </c>
      <c r="J1011" s="953">
        <f t="shared" si="190"/>
        <v>0</v>
      </c>
      <c r="K1011" s="953">
        <f t="shared" si="191"/>
        <v>-2.6999999999999999E-5</v>
      </c>
      <c r="L1011" s="570" t="str">
        <f t="shared" si="192"/>
        <v>Modal 20</v>
      </c>
      <c r="M1011" s="570">
        <f t="shared" si="193"/>
        <v>20</v>
      </c>
    </row>
    <row r="1012" spans="1:13">
      <c r="A1012" s="570" t="str">
        <f t="shared" si="182"/>
        <v>T621</v>
      </c>
      <c r="C1012" s="953" t="str">
        <f t="shared" si="183"/>
        <v>T6</v>
      </c>
      <c r="D1012" s="953" t="str">
        <f t="shared" si="184"/>
        <v>D1</v>
      </c>
      <c r="E1012" s="953">
        <f t="shared" si="185"/>
        <v>21</v>
      </c>
      <c r="F1012" s="953">
        <f t="shared" si="186"/>
        <v>-2.99E-4</v>
      </c>
      <c r="G1012" s="953">
        <f t="shared" si="187"/>
        <v>5.6099999999999998E-4</v>
      </c>
      <c r="H1012" s="953">
        <f t="shared" si="188"/>
        <v>0</v>
      </c>
      <c r="I1012" s="953">
        <f t="shared" si="189"/>
        <v>0</v>
      </c>
      <c r="J1012" s="953">
        <f t="shared" si="190"/>
        <v>0</v>
      </c>
      <c r="K1012" s="953">
        <f t="shared" si="191"/>
        <v>-4.8000000000000001E-5</v>
      </c>
      <c r="L1012" s="570" t="str">
        <f t="shared" si="192"/>
        <v>Modal 21</v>
      </c>
      <c r="M1012" s="570">
        <f t="shared" si="193"/>
        <v>21</v>
      </c>
    </row>
    <row r="1013" spans="1:13">
      <c r="A1013" s="570" t="str">
        <f t="shared" si="182"/>
        <v>T622</v>
      </c>
      <c r="C1013" s="953" t="str">
        <f t="shared" si="183"/>
        <v>T6</v>
      </c>
      <c r="D1013" s="953" t="str">
        <f t="shared" si="184"/>
        <v>D1</v>
      </c>
      <c r="E1013" s="953">
        <f t="shared" si="185"/>
        <v>22</v>
      </c>
      <c r="F1013" s="953">
        <f t="shared" si="186"/>
        <v>-3.6000000000000001E-5</v>
      </c>
      <c r="G1013" s="953">
        <f t="shared" si="187"/>
        <v>1.08E-4</v>
      </c>
      <c r="H1013" s="953">
        <f t="shared" si="188"/>
        <v>0</v>
      </c>
      <c r="I1013" s="953">
        <f t="shared" si="189"/>
        <v>0</v>
      </c>
      <c r="J1013" s="953">
        <f t="shared" si="190"/>
        <v>0</v>
      </c>
      <c r="K1013" s="953">
        <f t="shared" si="191"/>
        <v>-9.0000000000000006E-5</v>
      </c>
      <c r="L1013" s="570" t="str">
        <f t="shared" si="192"/>
        <v>Modal 22</v>
      </c>
      <c r="M1013" s="570">
        <f t="shared" si="193"/>
        <v>22</v>
      </c>
    </row>
    <row r="1014" spans="1:13">
      <c r="A1014" s="570" t="str">
        <f t="shared" si="182"/>
        <v>T623</v>
      </c>
      <c r="C1014" s="953" t="str">
        <f t="shared" si="183"/>
        <v>T6</v>
      </c>
      <c r="D1014" s="953" t="str">
        <f t="shared" si="184"/>
        <v>D1</v>
      </c>
      <c r="E1014" s="953">
        <f t="shared" si="185"/>
        <v>23</v>
      </c>
      <c r="F1014" s="953">
        <f t="shared" si="186"/>
        <v>-5.4000000000000001E-4</v>
      </c>
      <c r="G1014" s="953">
        <f t="shared" si="187"/>
        <v>1.5950000000000001E-3</v>
      </c>
      <c r="H1014" s="953">
        <f t="shared" si="188"/>
        <v>0</v>
      </c>
      <c r="I1014" s="953">
        <f t="shared" si="189"/>
        <v>0</v>
      </c>
      <c r="J1014" s="953">
        <f t="shared" si="190"/>
        <v>0</v>
      </c>
      <c r="K1014" s="953">
        <f t="shared" si="191"/>
        <v>-7.8999999999999996E-5</v>
      </c>
      <c r="L1014" s="570" t="str">
        <f t="shared" si="192"/>
        <v>Modal 23</v>
      </c>
      <c r="M1014" s="570">
        <f t="shared" si="193"/>
        <v>23</v>
      </c>
    </row>
    <row r="1015" spans="1:13">
      <c r="A1015" s="570" t="str">
        <f t="shared" si="182"/>
        <v>T624</v>
      </c>
      <c r="C1015" s="953" t="str">
        <f t="shared" si="183"/>
        <v>T6</v>
      </c>
      <c r="D1015" s="953" t="str">
        <f t="shared" si="184"/>
        <v>D1</v>
      </c>
      <c r="E1015" s="953">
        <f t="shared" si="185"/>
        <v>24</v>
      </c>
      <c r="F1015" s="953">
        <f t="shared" si="186"/>
        <v>7.76E-4</v>
      </c>
      <c r="G1015" s="953">
        <f t="shared" si="187"/>
        <v>3.0040000000000002E-3</v>
      </c>
      <c r="H1015" s="953">
        <f t="shared" si="188"/>
        <v>0</v>
      </c>
      <c r="I1015" s="953">
        <f t="shared" si="189"/>
        <v>0</v>
      </c>
      <c r="J1015" s="953">
        <f t="shared" si="190"/>
        <v>0</v>
      </c>
      <c r="K1015" s="953">
        <f t="shared" si="191"/>
        <v>4.6999999999999997E-5</v>
      </c>
      <c r="L1015" s="570" t="str">
        <f t="shared" si="192"/>
        <v>Modal 24</v>
      </c>
      <c r="M1015" s="570">
        <f t="shared" si="193"/>
        <v>24</v>
      </c>
    </row>
    <row r="1016" spans="1:13">
      <c r="A1016" s="570" t="str">
        <f t="shared" si="182"/>
        <v>T625</v>
      </c>
      <c r="C1016" s="953" t="str">
        <f t="shared" si="183"/>
        <v>T6</v>
      </c>
      <c r="D1016" s="953" t="str">
        <f t="shared" si="184"/>
        <v>D1</v>
      </c>
      <c r="E1016" s="953">
        <f t="shared" si="185"/>
        <v>25</v>
      </c>
      <c r="F1016" s="953">
        <f t="shared" si="186"/>
        <v>5.1980000000000004E-3</v>
      </c>
      <c r="G1016" s="953">
        <f t="shared" si="187"/>
        <v>-4.3740000000000003E-3</v>
      </c>
      <c r="H1016" s="953">
        <f t="shared" si="188"/>
        <v>0</v>
      </c>
      <c r="I1016" s="953">
        <f t="shared" si="189"/>
        <v>0</v>
      </c>
      <c r="J1016" s="953">
        <f t="shared" si="190"/>
        <v>0</v>
      </c>
      <c r="K1016" s="953">
        <f t="shared" si="191"/>
        <v>-4.8000000000000001E-5</v>
      </c>
      <c r="L1016" s="570" t="str">
        <f t="shared" si="192"/>
        <v>Modal 25</v>
      </c>
      <c r="M1016" s="570">
        <f t="shared" si="193"/>
        <v>25</v>
      </c>
    </row>
    <row r="1017" spans="1:13">
      <c r="A1017" s="570" t="str">
        <f t="shared" si="182"/>
        <v>T626</v>
      </c>
      <c r="C1017" s="953" t="str">
        <f t="shared" si="183"/>
        <v>T6</v>
      </c>
      <c r="D1017" s="953" t="str">
        <f t="shared" si="184"/>
        <v>D1</v>
      </c>
      <c r="E1017" s="953">
        <f t="shared" si="185"/>
        <v>26</v>
      </c>
      <c r="F1017" s="953">
        <f t="shared" si="186"/>
        <v>4.3210000000000002E-3</v>
      </c>
      <c r="G1017" s="953">
        <f t="shared" si="187"/>
        <v>5.4409999999999997E-3</v>
      </c>
      <c r="H1017" s="953">
        <f t="shared" si="188"/>
        <v>0</v>
      </c>
      <c r="I1017" s="953">
        <f t="shared" si="189"/>
        <v>0</v>
      </c>
      <c r="J1017" s="953">
        <f t="shared" si="190"/>
        <v>0</v>
      </c>
      <c r="K1017" s="953">
        <f t="shared" si="191"/>
        <v>-6.3999999999999997E-5</v>
      </c>
      <c r="L1017" s="570" t="str">
        <f t="shared" si="192"/>
        <v>Modal 26</v>
      </c>
      <c r="M1017" s="570">
        <f t="shared" si="193"/>
        <v>26</v>
      </c>
    </row>
    <row r="1018" spans="1:13">
      <c r="A1018" s="570" t="str">
        <f t="shared" si="182"/>
        <v>T627</v>
      </c>
      <c r="C1018" s="953" t="str">
        <f t="shared" si="183"/>
        <v>T6</v>
      </c>
      <c r="D1018" s="953" t="str">
        <f t="shared" si="184"/>
        <v>D1</v>
      </c>
      <c r="E1018" s="953">
        <f t="shared" si="185"/>
        <v>27</v>
      </c>
      <c r="F1018" s="953">
        <f t="shared" si="186"/>
        <v>-1.567E-3</v>
      </c>
      <c r="G1018" s="953">
        <f t="shared" si="187"/>
        <v>-2.9E-4</v>
      </c>
      <c r="H1018" s="953">
        <f t="shared" si="188"/>
        <v>0</v>
      </c>
      <c r="I1018" s="953">
        <f t="shared" si="189"/>
        <v>0</v>
      </c>
      <c r="J1018" s="953">
        <f t="shared" si="190"/>
        <v>0</v>
      </c>
      <c r="K1018" s="953">
        <f t="shared" si="191"/>
        <v>-5.3999999999999998E-5</v>
      </c>
      <c r="L1018" s="570" t="str">
        <f t="shared" si="192"/>
        <v>Modal 27</v>
      </c>
      <c r="M1018" s="570">
        <f t="shared" si="193"/>
        <v>27</v>
      </c>
    </row>
    <row r="1019" spans="1:13">
      <c r="A1019" s="570" t="str">
        <f t="shared" si="182"/>
        <v>T628</v>
      </c>
      <c r="C1019" s="953" t="str">
        <f t="shared" si="183"/>
        <v>T6</v>
      </c>
      <c r="D1019" s="953" t="str">
        <f t="shared" si="184"/>
        <v>D1</v>
      </c>
      <c r="E1019" s="953">
        <f t="shared" si="185"/>
        <v>28</v>
      </c>
      <c r="F1019" s="953">
        <f t="shared" si="186"/>
        <v>1.7799999999999999E-4</v>
      </c>
      <c r="G1019" s="953">
        <f t="shared" si="187"/>
        <v>1.366E-3</v>
      </c>
      <c r="H1019" s="953">
        <f t="shared" si="188"/>
        <v>0</v>
      </c>
      <c r="I1019" s="953">
        <f t="shared" si="189"/>
        <v>0</v>
      </c>
      <c r="J1019" s="953">
        <f t="shared" si="190"/>
        <v>0</v>
      </c>
      <c r="K1019" s="953">
        <f t="shared" si="191"/>
        <v>-4.6999999999999997E-5</v>
      </c>
      <c r="L1019" s="570" t="str">
        <f t="shared" si="192"/>
        <v>Modal 28</v>
      </c>
      <c r="M1019" s="570">
        <f t="shared" si="193"/>
        <v>28</v>
      </c>
    </row>
    <row r="1020" spans="1:13">
      <c r="A1020" s="570" t="str">
        <f t="shared" si="182"/>
        <v>T629</v>
      </c>
      <c r="C1020" s="953" t="str">
        <f t="shared" si="183"/>
        <v>T6</v>
      </c>
      <c r="D1020" s="953" t="str">
        <f t="shared" si="184"/>
        <v>D1</v>
      </c>
      <c r="E1020" s="953">
        <f t="shared" si="185"/>
        <v>29</v>
      </c>
      <c r="F1020" s="953">
        <f t="shared" si="186"/>
        <v>6.6220000000000003E-3</v>
      </c>
      <c r="G1020" s="953">
        <f t="shared" si="187"/>
        <v>-3.0130000000000001E-3</v>
      </c>
      <c r="H1020" s="953">
        <f t="shared" si="188"/>
        <v>0</v>
      </c>
      <c r="I1020" s="953">
        <f t="shared" si="189"/>
        <v>0</v>
      </c>
      <c r="J1020" s="953">
        <f t="shared" si="190"/>
        <v>0</v>
      </c>
      <c r="K1020" s="953">
        <f t="shared" si="191"/>
        <v>4.6999999999999997E-5</v>
      </c>
      <c r="L1020" s="570" t="str">
        <f t="shared" si="192"/>
        <v>Modal 29</v>
      </c>
      <c r="M1020" s="570">
        <f t="shared" si="193"/>
        <v>29</v>
      </c>
    </row>
    <row r="1021" spans="1:13">
      <c r="A1021" s="570" t="str">
        <f t="shared" si="182"/>
        <v>T630</v>
      </c>
      <c r="C1021" s="953" t="str">
        <f t="shared" si="183"/>
        <v>T6</v>
      </c>
      <c r="D1021" s="953" t="str">
        <f t="shared" si="184"/>
        <v>D1</v>
      </c>
      <c r="E1021" s="953">
        <f t="shared" si="185"/>
        <v>30</v>
      </c>
      <c r="F1021" s="953">
        <f t="shared" si="186"/>
        <v>3.029E-3</v>
      </c>
      <c r="G1021" s="953">
        <f t="shared" si="187"/>
        <v>5.5950000000000001E-3</v>
      </c>
      <c r="H1021" s="953">
        <f t="shared" si="188"/>
        <v>0</v>
      </c>
      <c r="I1021" s="953">
        <f t="shared" si="189"/>
        <v>0</v>
      </c>
      <c r="J1021" s="953">
        <f t="shared" si="190"/>
        <v>0</v>
      </c>
      <c r="K1021" s="953">
        <f t="shared" si="191"/>
        <v>-6.0000000000000002E-6</v>
      </c>
      <c r="L1021" s="570" t="str">
        <f t="shared" si="192"/>
        <v>Modal 30</v>
      </c>
      <c r="M1021" s="570">
        <f t="shared" si="193"/>
        <v>30</v>
      </c>
    </row>
    <row r="1022" spans="1:13">
      <c r="A1022" s="570" t="str">
        <f t="shared" si="182"/>
        <v>T51</v>
      </c>
      <c r="C1022" s="953" t="str">
        <f t="shared" si="183"/>
        <v>T5</v>
      </c>
      <c r="D1022" s="953" t="str">
        <f t="shared" si="184"/>
        <v>D1</v>
      </c>
      <c r="E1022" s="953">
        <f t="shared" si="185"/>
        <v>1</v>
      </c>
      <c r="F1022" s="953">
        <f t="shared" si="186"/>
        <v>-8.0000000000000007E-5</v>
      </c>
      <c r="G1022" s="953">
        <f t="shared" si="187"/>
        <v>4.1599999999999997E-4</v>
      </c>
      <c r="H1022" s="953">
        <f t="shared" si="188"/>
        <v>0</v>
      </c>
      <c r="I1022" s="953">
        <f t="shared" si="189"/>
        <v>0</v>
      </c>
      <c r="J1022" s="953">
        <f t="shared" si="190"/>
        <v>0</v>
      </c>
      <c r="K1022" s="953">
        <f t="shared" si="191"/>
        <v>5.0000000000000004E-6</v>
      </c>
      <c r="L1022" s="570" t="str">
        <f t="shared" si="192"/>
        <v>Modal 1</v>
      </c>
      <c r="M1022" s="570">
        <f t="shared" si="193"/>
        <v>1</v>
      </c>
    </row>
    <row r="1023" spans="1:13">
      <c r="A1023" s="570" t="str">
        <f t="shared" si="182"/>
        <v>T52</v>
      </c>
      <c r="C1023" s="953" t="str">
        <f t="shared" si="183"/>
        <v>T5</v>
      </c>
      <c r="D1023" s="953" t="str">
        <f t="shared" si="184"/>
        <v>D1</v>
      </c>
      <c r="E1023" s="953">
        <f t="shared" si="185"/>
        <v>2</v>
      </c>
      <c r="F1023" s="953">
        <f t="shared" si="186"/>
        <v>-8.1000000000000004E-5</v>
      </c>
      <c r="G1023" s="953">
        <f t="shared" si="187"/>
        <v>-8.7999999999999998E-5</v>
      </c>
      <c r="H1023" s="953">
        <f t="shared" si="188"/>
        <v>0</v>
      </c>
      <c r="I1023" s="953">
        <f t="shared" si="189"/>
        <v>0</v>
      </c>
      <c r="J1023" s="953">
        <f t="shared" si="190"/>
        <v>0</v>
      </c>
      <c r="K1023" s="953">
        <f t="shared" si="191"/>
        <v>3.0000000000000001E-5</v>
      </c>
      <c r="L1023" s="570" t="str">
        <f t="shared" si="192"/>
        <v>Modal 2</v>
      </c>
      <c r="M1023" s="570">
        <f t="shared" si="193"/>
        <v>2</v>
      </c>
    </row>
    <row r="1024" spans="1:13">
      <c r="A1024" s="570" t="str">
        <f t="shared" si="182"/>
        <v>T53</v>
      </c>
      <c r="C1024" s="953" t="str">
        <f t="shared" si="183"/>
        <v>T5</v>
      </c>
      <c r="D1024" s="953" t="str">
        <f t="shared" si="184"/>
        <v>D1</v>
      </c>
      <c r="E1024" s="953">
        <f t="shared" si="185"/>
        <v>3</v>
      </c>
      <c r="F1024" s="953">
        <f t="shared" si="186"/>
        <v>4.95E-4</v>
      </c>
      <c r="G1024" s="953">
        <f t="shared" si="187"/>
        <v>9.2999999999999997E-5</v>
      </c>
      <c r="H1024" s="953">
        <f t="shared" si="188"/>
        <v>0</v>
      </c>
      <c r="I1024" s="953">
        <f t="shared" si="189"/>
        <v>0</v>
      </c>
      <c r="J1024" s="953">
        <f t="shared" si="190"/>
        <v>0</v>
      </c>
      <c r="K1024" s="953">
        <f t="shared" si="191"/>
        <v>6.0000000000000002E-6</v>
      </c>
      <c r="L1024" s="570" t="str">
        <f t="shared" si="192"/>
        <v>Modal 3</v>
      </c>
      <c r="M1024" s="570">
        <f t="shared" si="193"/>
        <v>3</v>
      </c>
    </row>
    <row r="1025" spans="1:13">
      <c r="A1025" s="570" t="str">
        <f t="shared" si="182"/>
        <v>T54</v>
      </c>
      <c r="C1025" s="953" t="str">
        <f t="shared" si="183"/>
        <v>T5</v>
      </c>
      <c r="D1025" s="953" t="str">
        <f t="shared" si="184"/>
        <v>D1</v>
      </c>
      <c r="E1025" s="953">
        <f t="shared" si="185"/>
        <v>4</v>
      </c>
      <c r="F1025" s="953">
        <f t="shared" si="186"/>
        <v>-2.8600000000000001E-4</v>
      </c>
      <c r="G1025" s="953">
        <f t="shared" si="187"/>
        <v>1.5E-5</v>
      </c>
      <c r="H1025" s="953">
        <f t="shared" si="188"/>
        <v>0</v>
      </c>
      <c r="I1025" s="953">
        <f t="shared" si="189"/>
        <v>0</v>
      </c>
      <c r="J1025" s="953">
        <f t="shared" si="190"/>
        <v>0</v>
      </c>
      <c r="K1025" s="953">
        <f t="shared" si="191"/>
        <v>1.03E-4</v>
      </c>
      <c r="L1025" s="570" t="str">
        <f t="shared" si="192"/>
        <v>Modal 4</v>
      </c>
      <c r="M1025" s="570">
        <f t="shared" si="193"/>
        <v>4</v>
      </c>
    </row>
    <row r="1026" spans="1:13">
      <c r="A1026" s="570" t="str">
        <f t="shared" si="182"/>
        <v>T55</v>
      </c>
      <c r="C1026" s="953" t="str">
        <f t="shared" ref="C1026:C1089" si="194">IF(Etabs="Etabs 9.7.4",IF(INDEX(Mode_1,ROW($E1026),COLUMN(A$1))&lt;&gt;"",INDEX(Mode_1,ROW($E1026),COLUMN(A$1)),""),IF(Etabs="Etabs 2013 trở lên",IF(INDEX(Mode_2,ROW($E1028),COLUMN(A$1))&lt;&gt;"",INDEX(Mode_2,ROW($E1028),COLUMN(A$1)),""),""))</f>
        <v>T5</v>
      </c>
      <c r="D1026" s="953" t="str">
        <f t="shared" ref="D1026:D1089" si="195">IF(Etabs="Etabs 9.7.4",IF(INDEX(Mode_1,ROW($E1026),COLUMN(B$1))&lt;&gt;"",INDEX(Mode_1,ROW($E1026),COLUMN(B$1)),""),IF(Etabs="Etabs 2013 trở lên",IF(INDEX(Mode_2,ROW($E1028),COLUMN(B$1))&lt;&gt;"",INDEX(Mode_2,ROW($E1028),COLUMN(B$1)),""),""))</f>
        <v>D1</v>
      </c>
      <c r="E1026" s="953">
        <f t="shared" ref="E1026:E1089" si="196">IF(Etabs="Etabs 9.7.4",IF(INDEX(Mode_1,ROW($E1026),COLUMN(C$1))&lt;&gt;"",INDEX(Mode_1,ROW($E1026),COLUMN(C$1)),""),IF(Etabs="Etabs 2013 trở lên",$M1026,""))</f>
        <v>5</v>
      </c>
      <c r="F1026" s="953">
        <f t="shared" ref="F1026:F1089" si="197">IF(Etabs="Etabs 9.7.4",IF(INDEX(Mode_1,ROW($E1026),COLUMN(D$1))&lt;&gt;"",INDEX(Mode_1,ROW($E1026),COLUMN(D$1)),""),IF(Etabs="Etabs 2013 trở lên",IF(INDEX(Mode_2,ROW($E1028),COLUMN(D$1))&lt;&gt;"",INDEX(Mode_2,ROW($E1028),COLUMN(D$1)),""),""))</f>
        <v>2.3499999999999999E-4</v>
      </c>
      <c r="G1026" s="953">
        <f t="shared" ref="G1026:G1089" si="198">IF(Etabs="Etabs 9.7.4",IF(INDEX(Mode_1,ROW($E1026),COLUMN(E$1))&lt;&gt;"",INDEX(Mode_1,ROW($E1026),COLUMN(E$1)),""),IF(Etabs="Etabs 2013 trở lên",IF(INDEX(Mode_2,ROW($E1028),COLUMN(E$1))&lt;&gt;"",INDEX(Mode_2,ROW($E1028),COLUMN(E$1)),""),""))</f>
        <v>-1.931E-3</v>
      </c>
      <c r="H1026" s="953">
        <f t="shared" ref="H1026:H1089" si="199">IF(Etabs="Etabs 9.7.4",IF(INDEX(Mode_1,ROW($E1026),COLUMN(F$1))&lt;&gt;"",INDEX(Mode_1,ROW($E1026),COLUMN(F$1)),""),IF(Etabs="Etabs 2013 trở lên",0,""))</f>
        <v>0</v>
      </c>
      <c r="I1026" s="953">
        <f t="shared" ref="I1026:I1089" si="200">IF(Etabs="Etabs 9.7.4",IF(INDEX(Mode_1,ROW($E1026),COLUMN(G$1))&lt;&gt;"",INDEX(Mode_1,ROW($E1026),COLUMN(G$1)),""),IF(Etabs="Etabs 2013 trở lên",0,""))</f>
        <v>0</v>
      </c>
      <c r="J1026" s="953">
        <f t="shared" ref="J1026:J1089" si="201">IF(Etabs="Etabs 9.7.4",IF(INDEX(Mode_1,ROW($E1026),COLUMN(H$1))&lt;&gt;"",INDEX(Mode_1,ROW($E1026),COLUMN(H$1)),""),IF(Etabs="Etabs 2013 trở lên",0,""))</f>
        <v>0</v>
      </c>
      <c r="K1026" s="953">
        <f t="shared" ref="K1026:K1089" si="202">IF(Etabs="Etabs 9.7.4",IF(INDEX(Mode_1,ROW($E1026),COLUMN(I$1))&lt;&gt;"",INDEX(Mode_1,ROW($E1026),COLUMN(I$1)),""),IF(Etabs="Etabs 2013 trở lên",IF(INDEX(Mode_2,ROW($E1028),COLUMN(F$1))&lt;&gt;"",INDEX(Mode_2,ROW($E1028),COLUMN(F$1)),""),""))</f>
        <v>1.9999999999999999E-6</v>
      </c>
      <c r="L1026" s="570" t="str">
        <f t="shared" ref="L1026:L1089" si="203">IF(Etabs="Etabs 9.7.4",IF(INDEX(Mode_1,ROW($E1026),COLUMN(C$1))&lt;&gt;"",INDEX(Mode_1,ROW($E1026),COLUMN(C$1)),""),IF(Etabs="Etabs 2013 trở lên",IF(INDEX(Mode_2,ROW($E1028),COLUMN(C$1))&lt;&gt;"",INDEX(Mode_2,ROW($E1028),COLUMN(C$1)),""),""))</f>
        <v>Modal 5</v>
      </c>
      <c r="M1026" s="570">
        <f t="shared" si="193"/>
        <v>5</v>
      </c>
    </row>
    <row r="1027" spans="1:13">
      <c r="A1027" s="570" t="str">
        <f t="shared" si="182"/>
        <v>T56</v>
      </c>
      <c r="C1027" s="953" t="str">
        <f t="shared" si="194"/>
        <v>T5</v>
      </c>
      <c r="D1027" s="953" t="str">
        <f t="shared" si="195"/>
        <v>D1</v>
      </c>
      <c r="E1027" s="953">
        <f t="shared" si="196"/>
        <v>6</v>
      </c>
      <c r="F1027" s="953">
        <f t="shared" si="197"/>
        <v>-1.98E-3</v>
      </c>
      <c r="G1027" s="953">
        <f t="shared" si="198"/>
        <v>-2.6200000000000003E-4</v>
      </c>
      <c r="H1027" s="953">
        <f t="shared" si="199"/>
        <v>0</v>
      </c>
      <c r="I1027" s="953">
        <f t="shared" si="200"/>
        <v>0</v>
      </c>
      <c r="J1027" s="953">
        <f t="shared" si="201"/>
        <v>0</v>
      </c>
      <c r="K1027" s="953">
        <f t="shared" si="202"/>
        <v>-2.0000000000000002E-5</v>
      </c>
      <c r="L1027" s="570" t="str">
        <f t="shared" si="203"/>
        <v>Modal 6</v>
      </c>
      <c r="M1027" s="570">
        <f t="shared" ref="M1027:M1090" si="204">IFERROR(VALUE(RIGHT(L1027,LEN(L1027)-6)),"")</f>
        <v>6</v>
      </c>
    </row>
    <row r="1028" spans="1:13">
      <c r="A1028" s="570" t="str">
        <f t="shared" si="182"/>
        <v>T57</v>
      </c>
      <c r="C1028" s="953" t="str">
        <f t="shared" si="194"/>
        <v>T5</v>
      </c>
      <c r="D1028" s="953" t="str">
        <f t="shared" si="195"/>
        <v>D1</v>
      </c>
      <c r="E1028" s="953">
        <f t="shared" si="196"/>
        <v>7</v>
      </c>
      <c r="F1028" s="953">
        <f t="shared" si="197"/>
        <v>4.7199999999999998E-4</v>
      </c>
      <c r="G1028" s="953">
        <f t="shared" si="198"/>
        <v>7.9999999999999996E-6</v>
      </c>
      <c r="H1028" s="953">
        <f t="shared" si="199"/>
        <v>0</v>
      </c>
      <c r="I1028" s="953">
        <f t="shared" si="200"/>
        <v>0</v>
      </c>
      <c r="J1028" s="953">
        <f t="shared" si="201"/>
        <v>0</v>
      </c>
      <c r="K1028" s="953">
        <f t="shared" si="202"/>
        <v>-1.8000000000000001E-4</v>
      </c>
      <c r="L1028" s="570" t="str">
        <f t="shared" si="203"/>
        <v>Modal 7</v>
      </c>
      <c r="M1028" s="570">
        <f t="shared" si="204"/>
        <v>7</v>
      </c>
    </row>
    <row r="1029" spans="1:13">
      <c r="A1029" s="570" t="str">
        <f t="shared" si="182"/>
        <v>T58</v>
      </c>
      <c r="C1029" s="953" t="str">
        <f t="shared" si="194"/>
        <v>T5</v>
      </c>
      <c r="D1029" s="953" t="str">
        <f t="shared" si="195"/>
        <v>D1</v>
      </c>
      <c r="E1029" s="953">
        <f t="shared" si="196"/>
        <v>8</v>
      </c>
      <c r="F1029" s="953">
        <f t="shared" si="197"/>
        <v>3.7800000000000003E-4</v>
      </c>
      <c r="G1029" s="953">
        <f t="shared" si="198"/>
        <v>-3.748E-3</v>
      </c>
      <c r="H1029" s="953">
        <f t="shared" si="199"/>
        <v>0</v>
      </c>
      <c r="I1029" s="953">
        <f t="shared" si="200"/>
        <v>0</v>
      </c>
      <c r="J1029" s="953">
        <f t="shared" si="201"/>
        <v>0</v>
      </c>
      <c r="K1029" s="953">
        <f t="shared" si="202"/>
        <v>9.9999999999999995E-7</v>
      </c>
      <c r="L1029" s="570" t="str">
        <f t="shared" si="203"/>
        <v>Modal 8</v>
      </c>
      <c r="M1029" s="570">
        <f t="shared" si="204"/>
        <v>8</v>
      </c>
    </row>
    <row r="1030" spans="1:13">
      <c r="A1030" s="570" t="str">
        <f t="shared" ref="A1030:A1093" si="205">C1030&amp;E1030</f>
        <v>T59</v>
      </c>
      <c r="C1030" s="953" t="str">
        <f t="shared" si="194"/>
        <v>T5</v>
      </c>
      <c r="D1030" s="953" t="str">
        <f t="shared" si="195"/>
        <v>D1</v>
      </c>
      <c r="E1030" s="953">
        <f t="shared" si="196"/>
        <v>9</v>
      </c>
      <c r="F1030" s="953">
        <f t="shared" si="197"/>
        <v>-1.2799999999999999E-4</v>
      </c>
      <c r="G1030" s="953">
        <f t="shared" si="198"/>
        <v>1.5E-5</v>
      </c>
      <c r="H1030" s="953">
        <f t="shared" si="199"/>
        <v>0</v>
      </c>
      <c r="I1030" s="953">
        <f t="shared" si="200"/>
        <v>0</v>
      </c>
      <c r="J1030" s="953">
        <f t="shared" si="201"/>
        <v>0</v>
      </c>
      <c r="K1030" s="953">
        <f t="shared" si="202"/>
        <v>2.4499999999999999E-4</v>
      </c>
      <c r="L1030" s="570" t="str">
        <f t="shared" si="203"/>
        <v>Modal 9</v>
      </c>
      <c r="M1030" s="570">
        <f t="shared" si="204"/>
        <v>9</v>
      </c>
    </row>
    <row r="1031" spans="1:13">
      <c r="A1031" s="570" t="str">
        <f t="shared" si="205"/>
        <v>T510</v>
      </c>
      <c r="C1031" s="953" t="str">
        <f t="shared" si="194"/>
        <v>T5</v>
      </c>
      <c r="D1031" s="953" t="str">
        <f t="shared" si="195"/>
        <v>D1</v>
      </c>
      <c r="E1031" s="953">
        <f t="shared" si="196"/>
        <v>10</v>
      </c>
      <c r="F1031" s="953">
        <f t="shared" si="197"/>
        <v>-3.8300000000000001E-3</v>
      </c>
      <c r="G1031" s="953">
        <f t="shared" si="198"/>
        <v>-3.9100000000000002E-4</v>
      </c>
      <c r="H1031" s="953">
        <f t="shared" si="199"/>
        <v>0</v>
      </c>
      <c r="I1031" s="953">
        <f t="shared" si="200"/>
        <v>0</v>
      </c>
      <c r="J1031" s="953">
        <f t="shared" si="201"/>
        <v>0</v>
      </c>
      <c r="K1031" s="953">
        <f t="shared" si="202"/>
        <v>-3.9680000000000001E-7</v>
      </c>
      <c r="L1031" s="570" t="str">
        <f t="shared" si="203"/>
        <v>Modal 10</v>
      </c>
      <c r="M1031" s="570">
        <f t="shared" si="204"/>
        <v>10</v>
      </c>
    </row>
    <row r="1032" spans="1:13">
      <c r="A1032" s="570" t="str">
        <f t="shared" si="205"/>
        <v>T511</v>
      </c>
      <c r="C1032" s="953" t="str">
        <f t="shared" si="194"/>
        <v>T5</v>
      </c>
      <c r="D1032" s="953" t="str">
        <f t="shared" si="195"/>
        <v>D1</v>
      </c>
      <c r="E1032" s="953">
        <f t="shared" si="196"/>
        <v>11</v>
      </c>
      <c r="F1032" s="953">
        <f t="shared" si="197"/>
        <v>-4.8799999999999999E-4</v>
      </c>
      <c r="G1032" s="953">
        <f t="shared" si="198"/>
        <v>1.799E-3</v>
      </c>
      <c r="H1032" s="953">
        <f t="shared" si="199"/>
        <v>0</v>
      </c>
      <c r="I1032" s="953">
        <f t="shared" si="200"/>
        <v>0</v>
      </c>
      <c r="J1032" s="953">
        <f t="shared" si="201"/>
        <v>0</v>
      </c>
      <c r="K1032" s="953">
        <f t="shared" si="202"/>
        <v>2.5999999999999998E-4</v>
      </c>
      <c r="L1032" s="570" t="str">
        <f t="shared" si="203"/>
        <v>Modal 11</v>
      </c>
      <c r="M1032" s="570">
        <f t="shared" si="204"/>
        <v>11</v>
      </c>
    </row>
    <row r="1033" spans="1:13">
      <c r="A1033" s="570" t="str">
        <f t="shared" si="205"/>
        <v>T512</v>
      </c>
      <c r="C1033" s="953" t="str">
        <f t="shared" si="194"/>
        <v>T5</v>
      </c>
      <c r="D1033" s="953" t="str">
        <f t="shared" si="195"/>
        <v>D1</v>
      </c>
      <c r="E1033" s="953">
        <f t="shared" si="196"/>
        <v>12</v>
      </c>
      <c r="F1033" s="953">
        <f t="shared" si="197"/>
        <v>3.5199999999999999E-4</v>
      </c>
      <c r="G1033" s="953">
        <f t="shared" si="198"/>
        <v>-4.8549999999999999E-3</v>
      </c>
      <c r="H1033" s="953">
        <f t="shared" si="199"/>
        <v>0</v>
      </c>
      <c r="I1033" s="953">
        <f t="shared" si="200"/>
        <v>0</v>
      </c>
      <c r="J1033" s="953">
        <f t="shared" si="201"/>
        <v>0</v>
      </c>
      <c r="K1033" s="953">
        <f t="shared" si="202"/>
        <v>9.8999999999999994E-5</v>
      </c>
      <c r="L1033" s="570" t="str">
        <f t="shared" si="203"/>
        <v>Modal 12</v>
      </c>
      <c r="M1033" s="570">
        <f t="shared" si="204"/>
        <v>12</v>
      </c>
    </row>
    <row r="1034" spans="1:13">
      <c r="A1034" s="570" t="str">
        <f t="shared" si="205"/>
        <v>T513</v>
      </c>
      <c r="C1034" s="953" t="str">
        <f t="shared" si="194"/>
        <v>T5</v>
      </c>
      <c r="D1034" s="953" t="str">
        <f t="shared" si="195"/>
        <v>D1</v>
      </c>
      <c r="E1034" s="953">
        <f t="shared" si="196"/>
        <v>13</v>
      </c>
      <c r="F1034" s="953">
        <f t="shared" si="197"/>
        <v>5.2370000000000003E-3</v>
      </c>
      <c r="G1034" s="953">
        <f t="shared" si="198"/>
        <v>5.3300000000000005E-4</v>
      </c>
      <c r="H1034" s="953">
        <f t="shared" si="199"/>
        <v>0</v>
      </c>
      <c r="I1034" s="953">
        <f t="shared" si="200"/>
        <v>0</v>
      </c>
      <c r="J1034" s="953">
        <f t="shared" si="201"/>
        <v>0</v>
      </c>
      <c r="K1034" s="953">
        <f t="shared" si="202"/>
        <v>2.0999999999999999E-5</v>
      </c>
      <c r="L1034" s="570" t="str">
        <f t="shared" si="203"/>
        <v>Modal 13</v>
      </c>
      <c r="M1034" s="570">
        <f t="shared" si="204"/>
        <v>13</v>
      </c>
    </row>
    <row r="1035" spans="1:13">
      <c r="A1035" s="570" t="str">
        <f t="shared" si="205"/>
        <v>T514</v>
      </c>
      <c r="C1035" s="953" t="str">
        <f t="shared" si="194"/>
        <v>T5</v>
      </c>
      <c r="D1035" s="953" t="str">
        <f t="shared" si="195"/>
        <v>D1</v>
      </c>
      <c r="E1035" s="953">
        <f t="shared" si="196"/>
        <v>14</v>
      </c>
      <c r="F1035" s="953">
        <f t="shared" si="197"/>
        <v>-3.86E-4</v>
      </c>
      <c r="G1035" s="953">
        <f t="shared" si="198"/>
        <v>5.8E-5</v>
      </c>
      <c r="H1035" s="953">
        <f t="shared" si="199"/>
        <v>0</v>
      </c>
      <c r="I1035" s="953">
        <f t="shared" si="200"/>
        <v>0</v>
      </c>
      <c r="J1035" s="953">
        <f t="shared" si="201"/>
        <v>0</v>
      </c>
      <c r="K1035" s="953">
        <f t="shared" si="202"/>
        <v>2.52E-4</v>
      </c>
      <c r="L1035" s="570" t="str">
        <f t="shared" si="203"/>
        <v>Modal 14</v>
      </c>
      <c r="M1035" s="570">
        <f t="shared" si="204"/>
        <v>14</v>
      </c>
    </row>
    <row r="1036" spans="1:13">
      <c r="A1036" s="570" t="str">
        <f t="shared" si="205"/>
        <v>T515</v>
      </c>
      <c r="C1036" s="953" t="str">
        <f t="shared" si="194"/>
        <v>T5</v>
      </c>
      <c r="D1036" s="953" t="str">
        <f t="shared" si="195"/>
        <v>D1</v>
      </c>
      <c r="E1036" s="953">
        <f t="shared" si="196"/>
        <v>15</v>
      </c>
      <c r="F1036" s="953">
        <f t="shared" si="197"/>
        <v>5.6400000000000005E-4</v>
      </c>
      <c r="G1036" s="953">
        <f t="shared" si="198"/>
        <v>-5.8529999999999997E-3</v>
      </c>
      <c r="H1036" s="953">
        <f t="shared" si="199"/>
        <v>0</v>
      </c>
      <c r="I1036" s="953">
        <f t="shared" si="200"/>
        <v>0</v>
      </c>
      <c r="J1036" s="953">
        <f t="shared" si="201"/>
        <v>0</v>
      </c>
      <c r="K1036" s="953">
        <f t="shared" si="202"/>
        <v>1.0000000000000001E-5</v>
      </c>
      <c r="L1036" s="570" t="str">
        <f t="shared" si="203"/>
        <v>Modal 15</v>
      </c>
      <c r="M1036" s="570">
        <f t="shared" si="204"/>
        <v>15</v>
      </c>
    </row>
    <row r="1037" spans="1:13">
      <c r="A1037" s="570" t="str">
        <f t="shared" si="205"/>
        <v>T516</v>
      </c>
      <c r="C1037" s="953" t="str">
        <f t="shared" si="194"/>
        <v>T5</v>
      </c>
      <c r="D1037" s="953" t="str">
        <f t="shared" si="195"/>
        <v>D1</v>
      </c>
      <c r="E1037" s="953">
        <f t="shared" si="196"/>
        <v>16</v>
      </c>
      <c r="F1037" s="953">
        <f t="shared" si="197"/>
        <v>3.9100000000000002E-4</v>
      </c>
      <c r="G1037" s="953">
        <f t="shared" si="198"/>
        <v>-3.6000000000000001E-5</v>
      </c>
      <c r="H1037" s="953">
        <f t="shared" si="199"/>
        <v>0</v>
      </c>
      <c r="I1037" s="953">
        <f t="shared" si="200"/>
        <v>0</v>
      </c>
      <c r="J1037" s="953">
        <f t="shared" si="201"/>
        <v>0</v>
      </c>
      <c r="K1037" s="953">
        <f t="shared" si="202"/>
        <v>1.2899999999999999E-4</v>
      </c>
      <c r="L1037" s="570" t="str">
        <f t="shared" si="203"/>
        <v>Modal 16</v>
      </c>
      <c r="M1037" s="570">
        <f t="shared" si="204"/>
        <v>16</v>
      </c>
    </row>
    <row r="1038" spans="1:13">
      <c r="A1038" s="570" t="str">
        <f t="shared" si="205"/>
        <v>T517</v>
      </c>
      <c r="C1038" s="953" t="str">
        <f t="shared" si="194"/>
        <v>T5</v>
      </c>
      <c r="D1038" s="953" t="str">
        <f t="shared" si="195"/>
        <v>D1</v>
      </c>
      <c r="E1038" s="953">
        <f t="shared" si="196"/>
        <v>17</v>
      </c>
      <c r="F1038" s="953">
        <f t="shared" si="197"/>
        <v>5.8139999999999997E-3</v>
      </c>
      <c r="G1038" s="953">
        <f t="shared" si="198"/>
        <v>5.8600000000000004E-4</v>
      </c>
      <c r="H1038" s="953">
        <f t="shared" si="199"/>
        <v>0</v>
      </c>
      <c r="I1038" s="953">
        <f t="shared" si="200"/>
        <v>0</v>
      </c>
      <c r="J1038" s="953">
        <f t="shared" si="201"/>
        <v>0</v>
      </c>
      <c r="K1038" s="953">
        <f t="shared" si="202"/>
        <v>-9.0000000000000002E-6</v>
      </c>
      <c r="L1038" s="570" t="str">
        <f t="shared" si="203"/>
        <v>Modal 17</v>
      </c>
      <c r="M1038" s="570">
        <f t="shared" si="204"/>
        <v>17</v>
      </c>
    </row>
    <row r="1039" spans="1:13">
      <c r="A1039" s="570" t="str">
        <f t="shared" si="205"/>
        <v>T518</v>
      </c>
      <c r="C1039" s="953" t="str">
        <f t="shared" si="194"/>
        <v>T5</v>
      </c>
      <c r="D1039" s="953" t="str">
        <f t="shared" si="195"/>
        <v>D1</v>
      </c>
      <c r="E1039" s="953">
        <f t="shared" si="196"/>
        <v>18</v>
      </c>
      <c r="F1039" s="953">
        <f t="shared" si="197"/>
        <v>-5.5900000000000004E-4</v>
      </c>
      <c r="G1039" s="953">
        <f t="shared" si="198"/>
        <v>5.169E-3</v>
      </c>
      <c r="H1039" s="953">
        <f t="shared" si="199"/>
        <v>0</v>
      </c>
      <c r="I1039" s="953">
        <f t="shared" si="200"/>
        <v>0</v>
      </c>
      <c r="J1039" s="953">
        <f t="shared" si="201"/>
        <v>0</v>
      </c>
      <c r="K1039" s="953">
        <f t="shared" si="202"/>
        <v>-3.3000000000000003E-5</v>
      </c>
      <c r="L1039" s="570" t="str">
        <f t="shared" si="203"/>
        <v>Modal 18</v>
      </c>
      <c r="M1039" s="570">
        <f t="shared" si="204"/>
        <v>18</v>
      </c>
    </row>
    <row r="1040" spans="1:13">
      <c r="A1040" s="570" t="str">
        <f t="shared" si="205"/>
        <v>T519</v>
      </c>
      <c r="C1040" s="953" t="str">
        <f t="shared" si="194"/>
        <v>T5</v>
      </c>
      <c r="D1040" s="953" t="str">
        <f t="shared" si="195"/>
        <v>D1</v>
      </c>
      <c r="E1040" s="953">
        <f t="shared" si="196"/>
        <v>19</v>
      </c>
      <c r="F1040" s="953">
        <f t="shared" si="197"/>
        <v>3.9999999999999998E-6</v>
      </c>
      <c r="G1040" s="953">
        <f t="shared" si="198"/>
        <v>1.1249999999999999E-3</v>
      </c>
      <c r="H1040" s="953">
        <f t="shared" si="199"/>
        <v>0</v>
      </c>
      <c r="I1040" s="953">
        <f t="shared" si="200"/>
        <v>0</v>
      </c>
      <c r="J1040" s="953">
        <f t="shared" si="201"/>
        <v>0</v>
      </c>
      <c r="K1040" s="953">
        <f t="shared" si="202"/>
        <v>7.4999999999999993E-5</v>
      </c>
      <c r="L1040" s="570" t="str">
        <f t="shared" si="203"/>
        <v>Modal 19</v>
      </c>
      <c r="M1040" s="570">
        <f t="shared" si="204"/>
        <v>19</v>
      </c>
    </row>
    <row r="1041" spans="1:13">
      <c r="A1041" s="570" t="str">
        <f t="shared" si="205"/>
        <v>T520</v>
      </c>
      <c r="C1041" s="953" t="str">
        <f t="shared" si="194"/>
        <v>T5</v>
      </c>
      <c r="D1041" s="953" t="str">
        <f t="shared" si="195"/>
        <v>D1</v>
      </c>
      <c r="E1041" s="953">
        <f t="shared" si="196"/>
        <v>20</v>
      </c>
      <c r="F1041" s="953">
        <f t="shared" si="197"/>
        <v>4.9309999999999996E-3</v>
      </c>
      <c r="G1041" s="953">
        <f t="shared" si="198"/>
        <v>4.7199999999999998E-4</v>
      </c>
      <c r="H1041" s="953">
        <f t="shared" si="199"/>
        <v>0</v>
      </c>
      <c r="I1041" s="953">
        <f t="shared" si="200"/>
        <v>0</v>
      </c>
      <c r="J1041" s="953">
        <f t="shared" si="201"/>
        <v>0</v>
      </c>
      <c r="K1041" s="953">
        <f t="shared" si="202"/>
        <v>-3.8000000000000002E-5</v>
      </c>
      <c r="L1041" s="570" t="str">
        <f t="shared" si="203"/>
        <v>Modal 20</v>
      </c>
      <c r="M1041" s="570">
        <f t="shared" si="204"/>
        <v>20</v>
      </c>
    </row>
    <row r="1042" spans="1:13">
      <c r="A1042" s="570" t="str">
        <f t="shared" si="205"/>
        <v>T521</v>
      </c>
      <c r="C1042" s="953" t="str">
        <f t="shared" si="194"/>
        <v>T5</v>
      </c>
      <c r="D1042" s="953" t="str">
        <f t="shared" si="195"/>
        <v>D1</v>
      </c>
      <c r="E1042" s="953">
        <f t="shared" si="196"/>
        <v>21</v>
      </c>
      <c r="F1042" s="953">
        <f t="shared" si="197"/>
        <v>-6.5899999999999997E-4</v>
      </c>
      <c r="G1042" s="953">
        <f t="shared" si="198"/>
        <v>3.1029999999999999E-3</v>
      </c>
      <c r="H1042" s="953">
        <f t="shared" si="199"/>
        <v>0</v>
      </c>
      <c r="I1042" s="953">
        <f t="shared" si="200"/>
        <v>0</v>
      </c>
      <c r="J1042" s="953">
        <f t="shared" si="201"/>
        <v>0</v>
      </c>
      <c r="K1042" s="953">
        <f t="shared" si="202"/>
        <v>-6.0000000000000002E-5</v>
      </c>
      <c r="L1042" s="570" t="str">
        <f t="shared" si="203"/>
        <v>Modal 21</v>
      </c>
      <c r="M1042" s="570">
        <f t="shared" si="204"/>
        <v>21</v>
      </c>
    </row>
    <row r="1043" spans="1:13">
      <c r="A1043" s="570" t="str">
        <f t="shared" si="205"/>
        <v>T522</v>
      </c>
      <c r="C1043" s="953" t="str">
        <f t="shared" si="194"/>
        <v>T5</v>
      </c>
      <c r="D1043" s="953" t="str">
        <f t="shared" si="195"/>
        <v>D1</v>
      </c>
      <c r="E1043" s="953">
        <f t="shared" si="196"/>
        <v>22</v>
      </c>
      <c r="F1043" s="953">
        <f t="shared" si="197"/>
        <v>-2.3210000000000001E-3</v>
      </c>
      <c r="G1043" s="953">
        <f t="shared" si="198"/>
        <v>-6.96E-4</v>
      </c>
      <c r="H1043" s="953">
        <f t="shared" si="199"/>
        <v>0</v>
      </c>
      <c r="I1043" s="953">
        <f t="shared" si="200"/>
        <v>0</v>
      </c>
      <c r="J1043" s="953">
        <f t="shared" si="201"/>
        <v>0</v>
      </c>
      <c r="K1043" s="953">
        <f t="shared" si="202"/>
        <v>-5.0000000000000002E-5</v>
      </c>
      <c r="L1043" s="570" t="str">
        <f t="shared" si="203"/>
        <v>Modal 22</v>
      </c>
      <c r="M1043" s="570">
        <f t="shared" si="204"/>
        <v>22</v>
      </c>
    </row>
    <row r="1044" spans="1:13">
      <c r="A1044" s="570" t="str">
        <f t="shared" si="205"/>
        <v>T523</v>
      </c>
      <c r="C1044" s="953" t="str">
        <f t="shared" si="194"/>
        <v>T5</v>
      </c>
      <c r="D1044" s="953" t="str">
        <f t="shared" si="195"/>
        <v>D1</v>
      </c>
      <c r="E1044" s="953">
        <f t="shared" si="196"/>
        <v>23</v>
      </c>
      <c r="F1044" s="953">
        <f t="shared" si="197"/>
        <v>8.3299999999999997E-4</v>
      </c>
      <c r="G1044" s="953">
        <f t="shared" si="198"/>
        <v>-3.68E-4</v>
      </c>
      <c r="H1044" s="953">
        <f t="shared" si="199"/>
        <v>0</v>
      </c>
      <c r="I1044" s="953">
        <f t="shared" si="200"/>
        <v>0</v>
      </c>
      <c r="J1044" s="953">
        <f t="shared" si="201"/>
        <v>0</v>
      </c>
      <c r="K1044" s="953">
        <f t="shared" si="202"/>
        <v>-6.2000000000000003E-5</v>
      </c>
      <c r="L1044" s="570" t="str">
        <f t="shared" si="203"/>
        <v>Modal 23</v>
      </c>
      <c r="M1044" s="570">
        <f t="shared" si="204"/>
        <v>23</v>
      </c>
    </row>
    <row r="1045" spans="1:13">
      <c r="A1045" s="570" t="str">
        <f t="shared" si="205"/>
        <v>T524</v>
      </c>
      <c r="C1045" s="953" t="str">
        <f t="shared" si="194"/>
        <v>T5</v>
      </c>
      <c r="D1045" s="953" t="str">
        <f t="shared" si="195"/>
        <v>D1</v>
      </c>
      <c r="E1045" s="953">
        <f t="shared" si="196"/>
        <v>24</v>
      </c>
      <c r="F1045" s="953">
        <f t="shared" si="197"/>
        <v>-1.4799999999999999E-4</v>
      </c>
      <c r="G1045" s="953">
        <f t="shared" si="198"/>
        <v>8.7900000000000001E-4</v>
      </c>
      <c r="H1045" s="953">
        <f t="shared" si="199"/>
        <v>0</v>
      </c>
      <c r="I1045" s="953">
        <f t="shared" si="200"/>
        <v>0</v>
      </c>
      <c r="J1045" s="953">
        <f t="shared" si="201"/>
        <v>0</v>
      </c>
      <c r="K1045" s="953">
        <f t="shared" si="202"/>
        <v>5.5000000000000002E-5</v>
      </c>
      <c r="L1045" s="570" t="str">
        <f t="shared" si="203"/>
        <v>Modal 24</v>
      </c>
      <c r="M1045" s="570">
        <f t="shared" si="204"/>
        <v>24</v>
      </c>
    </row>
    <row r="1046" spans="1:13">
      <c r="A1046" s="570" t="str">
        <f t="shared" si="205"/>
        <v>T525</v>
      </c>
      <c r="C1046" s="953" t="str">
        <f t="shared" si="194"/>
        <v>T5</v>
      </c>
      <c r="D1046" s="953" t="str">
        <f t="shared" si="195"/>
        <v>D1</v>
      </c>
      <c r="E1046" s="953">
        <f t="shared" si="196"/>
        <v>25</v>
      </c>
      <c r="F1046" s="953">
        <f t="shared" si="197"/>
        <v>2.9020000000000001E-3</v>
      </c>
      <c r="G1046" s="953">
        <f t="shared" si="198"/>
        <v>-3.1540000000000001E-3</v>
      </c>
      <c r="H1046" s="953">
        <f t="shared" si="199"/>
        <v>0</v>
      </c>
      <c r="I1046" s="953">
        <f t="shared" si="200"/>
        <v>0</v>
      </c>
      <c r="J1046" s="953">
        <f t="shared" si="201"/>
        <v>0</v>
      </c>
      <c r="K1046" s="953">
        <f t="shared" si="202"/>
        <v>-4.8000000000000001E-5</v>
      </c>
      <c r="L1046" s="570" t="str">
        <f t="shared" si="203"/>
        <v>Modal 25</v>
      </c>
      <c r="M1046" s="570">
        <f t="shared" si="204"/>
        <v>25</v>
      </c>
    </row>
    <row r="1047" spans="1:13">
      <c r="A1047" s="570" t="str">
        <f t="shared" si="205"/>
        <v>T526</v>
      </c>
      <c r="C1047" s="953" t="str">
        <f t="shared" si="194"/>
        <v>T5</v>
      </c>
      <c r="D1047" s="953" t="str">
        <f t="shared" si="195"/>
        <v>D1</v>
      </c>
      <c r="E1047" s="953">
        <f t="shared" si="196"/>
        <v>26</v>
      </c>
      <c r="F1047" s="953">
        <f t="shared" si="197"/>
        <v>2.8249999999999998E-3</v>
      </c>
      <c r="G1047" s="953">
        <f t="shared" si="198"/>
        <v>4.7190000000000001E-3</v>
      </c>
      <c r="H1047" s="953">
        <f t="shared" si="199"/>
        <v>0</v>
      </c>
      <c r="I1047" s="953">
        <f t="shared" si="200"/>
        <v>0</v>
      </c>
      <c r="J1047" s="953">
        <f t="shared" si="201"/>
        <v>0</v>
      </c>
      <c r="K1047" s="953">
        <f t="shared" si="202"/>
        <v>-6.3999999999999997E-5</v>
      </c>
      <c r="L1047" s="570" t="str">
        <f t="shared" si="203"/>
        <v>Modal 26</v>
      </c>
      <c r="M1047" s="570">
        <f t="shared" si="204"/>
        <v>26</v>
      </c>
    </row>
    <row r="1048" spans="1:13">
      <c r="A1048" s="570" t="str">
        <f t="shared" si="205"/>
        <v>T527</v>
      </c>
      <c r="C1048" s="953" t="str">
        <f t="shared" si="194"/>
        <v>T5</v>
      </c>
      <c r="D1048" s="953" t="str">
        <f t="shared" si="195"/>
        <v>D1</v>
      </c>
      <c r="E1048" s="953">
        <f t="shared" si="196"/>
        <v>27</v>
      </c>
      <c r="F1048" s="953">
        <f t="shared" si="197"/>
        <v>-6.2880000000000002E-3</v>
      </c>
      <c r="G1048" s="953">
        <f t="shared" si="198"/>
        <v>3.6670000000000001E-3</v>
      </c>
      <c r="H1048" s="953">
        <f t="shared" si="199"/>
        <v>0</v>
      </c>
      <c r="I1048" s="953">
        <f t="shared" si="200"/>
        <v>0</v>
      </c>
      <c r="J1048" s="953">
        <f t="shared" si="201"/>
        <v>0</v>
      </c>
      <c r="K1048" s="953">
        <f t="shared" si="202"/>
        <v>-4.8999999999999998E-5</v>
      </c>
      <c r="L1048" s="570" t="str">
        <f t="shared" si="203"/>
        <v>Modal 27</v>
      </c>
      <c r="M1048" s="570">
        <f t="shared" si="204"/>
        <v>27</v>
      </c>
    </row>
    <row r="1049" spans="1:13">
      <c r="A1049" s="570" t="str">
        <f t="shared" si="205"/>
        <v>T528</v>
      </c>
      <c r="C1049" s="953" t="str">
        <f t="shared" si="194"/>
        <v>T5</v>
      </c>
      <c r="D1049" s="953" t="str">
        <f t="shared" si="195"/>
        <v>D1</v>
      </c>
      <c r="E1049" s="953">
        <f t="shared" si="196"/>
        <v>28</v>
      </c>
      <c r="F1049" s="953">
        <f t="shared" si="197"/>
        <v>-3.849E-3</v>
      </c>
      <c r="G1049" s="953">
        <f t="shared" si="198"/>
        <v>-4.5859999999999998E-3</v>
      </c>
      <c r="H1049" s="953">
        <f t="shared" si="199"/>
        <v>0</v>
      </c>
      <c r="I1049" s="953">
        <f t="shared" si="200"/>
        <v>0</v>
      </c>
      <c r="J1049" s="953">
        <f t="shared" si="201"/>
        <v>0</v>
      </c>
      <c r="K1049" s="953">
        <f t="shared" si="202"/>
        <v>-1.9999999999999999E-6</v>
      </c>
      <c r="L1049" s="570" t="str">
        <f t="shared" si="203"/>
        <v>Modal 28</v>
      </c>
      <c r="M1049" s="570">
        <f t="shared" si="204"/>
        <v>28</v>
      </c>
    </row>
    <row r="1050" spans="1:13">
      <c r="A1050" s="570" t="str">
        <f t="shared" si="205"/>
        <v>T529</v>
      </c>
      <c r="C1050" s="953" t="str">
        <f t="shared" si="194"/>
        <v>T5</v>
      </c>
      <c r="D1050" s="953" t="str">
        <f t="shared" si="195"/>
        <v>D1</v>
      </c>
      <c r="E1050" s="953">
        <f t="shared" si="196"/>
        <v>29</v>
      </c>
      <c r="F1050" s="953">
        <f t="shared" si="197"/>
        <v>5.7140000000000003E-3</v>
      </c>
      <c r="G1050" s="953">
        <f t="shared" si="198"/>
        <v>-3.039E-3</v>
      </c>
      <c r="H1050" s="953">
        <f t="shared" si="199"/>
        <v>0</v>
      </c>
      <c r="I1050" s="953">
        <f t="shared" si="200"/>
        <v>0</v>
      </c>
      <c r="J1050" s="953">
        <f t="shared" si="201"/>
        <v>0</v>
      </c>
      <c r="K1050" s="953">
        <f t="shared" si="202"/>
        <v>4.0000000000000003E-5</v>
      </c>
      <c r="L1050" s="570" t="str">
        <f t="shared" si="203"/>
        <v>Modal 29</v>
      </c>
      <c r="M1050" s="570">
        <f t="shared" si="204"/>
        <v>29</v>
      </c>
    </row>
    <row r="1051" spans="1:13">
      <c r="A1051" s="570" t="str">
        <f t="shared" si="205"/>
        <v>T530</v>
      </c>
      <c r="C1051" s="953" t="str">
        <f t="shared" si="194"/>
        <v>T5</v>
      </c>
      <c r="D1051" s="953" t="str">
        <f t="shared" si="195"/>
        <v>D1</v>
      </c>
      <c r="E1051" s="953">
        <f t="shared" si="196"/>
        <v>30</v>
      </c>
      <c r="F1051" s="953">
        <f t="shared" si="197"/>
        <v>3.4759999999999999E-3</v>
      </c>
      <c r="G1051" s="953">
        <f t="shared" si="198"/>
        <v>7.0089999999999996E-3</v>
      </c>
      <c r="H1051" s="953">
        <f t="shared" si="199"/>
        <v>0</v>
      </c>
      <c r="I1051" s="953">
        <f t="shared" si="200"/>
        <v>0</v>
      </c>
      <c r="J1051" s="953">
        <f t="shared" si="201"/>
        <v>0</v>
      </c>
      <c r="K1051" s="953">
        <f t="shared" si="202"/>
        <v>-3.3000000000000003E-5</v>
      </c>
      <c r="L1051" s="570" t="str">
        <f t="shared" si="203"/>
        <v>Modal 30</v>
      </c>
      <c r="M1051" s="570">
        <f t="shared" si="204"/>
        <v>30</v>
      </c>
    </row>
    <row r="1052" spans="1:13">
      <c r="A1052" s="570" t="str">
        <f t="shared" si="205"/>
        <v>T41</v>
      </c>
      <c r="C1052" s="953" t="str">
        <f t="shared" si="194"/>
        <v>T4</v>
      </c>
      <c r="D1052" s="953" t="str">
        <f t="shared" si="195"/>
        <v>D1</v>
      </c>
      <c r="E1052" s="953">
        <f t="shared" si="196"/>
        <v>1</v>
      </c>
      <c r="F1052" s="953">
        <f t="shared" si="197"/>
        <v>-5.7000000000000003E-5</v>
      </c>
      <c r="G1052" s="953">
        <f t="shared" si="198"/>
        <v>2.9799999999999998E-4</v>
      </c>
      <c r="H1052" s="953">
        <f t="shared" si="199"/>
        <v>0</v>
      </c>
      <c r="I1052" s="953">
        <f t="shared" si="200"/>
        <v>0</v>
      </c>
      <c r="J1052" s="953">
        <f t="shared" si="201"/>
        <v>0</v>
      </c>
      <c r="K1052" s="953">
        <f t="shared" si="202"/>
        <v>3.9999999999999998E-6</v>
      </c>
      <c r="L1052" s="570" t="str">
        <f t="shared" si="203"/>
        <v>Modal 1</v>
      </c>
      <c r="M1052" s="570">
        <f t="shared" si="204"/>
        <v>1</v>
      </c>
    </row>
    <row r="1053" spans="1:13">
      <c r="A1053" s="570" t="str">
        <f t="shared" si="205"/>
        <v>T42</v>
      </c>
      <c r="C1053" s="953" t="str">
        <f t="shared" si="194"/>
        <v>T4</v>
      </c>
      <c r="D1053" s="953" t="str">
        <f t="shared" si="195"/>
        <v>D1</v>
      </c>
      <c r="E1053" s="953">
        <f t="shared" si="196"/>
        <v>2</v>
      </c>
      <c r="F1053" s="953">
        <f t="shared" si="197"/>
        <v>-5.8E-5</v>
      </c>
      <c r="G1053" s="953">
        <f t="shared" si="198"/>
        <v>-6.2000000000000003E-5</v>
      </c>
      <c r="H1053" s="953">
        <f t="shared" si="199"/>
        <v>0</v>
      </c>
      <c r="I1053" s="953">
        <f t="shared" si="200"/>
        <v>0</v>
      </c>
      <c r="J1053" s="953">
        <f t="shared" si="201"/>
        <v>0</v>
      </c>
      <c r="K1053" s="953">
        <f t="shared" si="202"/>
        <v>2.1999999999999999E-5</v>
      </c>
      <c r="L1053" s="570" t="str">
        <f t="shared" si="203"/>
        <v>Modal 2</v>
      </c>
      <c r="M1053" s="570">
        <f t="shared" si="204"/>
        <v>2</v>
      </c>
    </row>
    <row r="1054" spans="1:13">
      <c r="A1054" s="570" t="str">
        <f t="shared" si="205"/>
        <v>T43</v>
      </c>
      <c r="C1054" s="953" t="str">
        <f t="shared" si="194"/>
        <v>T4</v>
      </c>
      <c r="D1054" s="953" t="str">
        <f t="shared" si="195"/>
        <v>D1</v>
      </c>
      <c r="E1054" s="953">
        <f t="shared" si="196"/>
        <v>3</v>
      </c>
      <c r="F1054" s="953">
        <f t="shared" si="197"/>
        <v>3.6000000000000002E-4</v>
      </c>
      <c r="G1054" s="953">
        <f t="shared" si="198"/>
        <v>6.7999999999999999E-5</v>
      </c>
      <c r="H1054" s="953">
        <f t="shared" si="199"/>
        <v>0</v>
      </c>
      <c r="I1054" s="953">
        <f t="shared" si="200"/>
        <v>0</v>
      </c>
      <c r="J1054" s="953">
        <f t="shared" si="201"/>
        <v>0</v>
      </c>
      <c r="K1054" s="953">
        <f t="shared" si="202"/>
        <v>3.9999999999999998E-6</v>
      </c>
      <c r="L1054" s="570" t="str">
        <f t="shared" si="203"/>
        <v>Modal 3</v>
      </c>
      <c r="M1054" s="570">
        <f t="shared" si="204"/>
        <v>3</v>
      </c>
    </row>
    <row r="1055" spans="1:13">
      <c r="A1055" s="570" t="str">
        <f t="shared" si="205"/>
        <v>T44</v>
      </c>
      <c r="C1055" s="953" t="str">
        <f t="shared" si="194"/>
        <v>T4</v>
      </c>
      <c r="D1055" s="953" t="str">
        <f t="shared" si="195"/>
        <v>D1</v>
      </c>
      <c r="E1055" s="953">
        <f t="shared" si="196"/>
        <v>4</v>
      </c>
      <c r="F1055" s="953">
        <f t="shared" si="197"/>
        <v>-2.1100000000000001E-4</v>
      </c>
      <c r="G1055" s="953">
        <f t="shared" si="198"/>
        <v>1.2999999999999999E-5</v>
      </c>
      <c r="H1055" s="953">
        <f t="shared" si="199"/>
        <v>0</v>
      </c>
      <c r="I1055" s="953">
        <f t="shared" si="200"/>
        <v>0</v>
      </c>
      <c r="J1055" s="953">
        <f t="shared" si="201"/>
        <v>0</v>
      </c>
      <c r="K1055" s="953">
        <f t="shared" si="202"/>
        <v>7.7000000000000001E-5</v>
      </c>
      <c r="L1055" s="570" t="str">
        <f t="shared" si="203"/>
        <v>Modal 4</v>
      </c>
      <c r="M1055" s="570">
        <f t="shared" si="204"/>
        <v>4</v>
      </c>
    </row>
    <row r="1056" spans="1:13">
      <c r="A1056" s="570" t="str">
        <f t="shared" si="205"/>
        <v>T45</v>
      </c>
      <c r="C1056" s="953" t="str">
        <f t="shared" si="194"/>
        <v>T4</v>
      </c>
      <c r="D1056" s="953" t="str">
        <f t="shared" si="195"/>
        <v>D1</v>
      </c>
      <c r="E1056" s="953">
        <f t="shared" si="196"/>
        <v>5</v>
      </c>
      <c r="F1056" s="953">
        <f t="shared" si="197"/>
        <v>1.75E-4</v>
      </c>
      <c r="G1056" s="953">
        <f t="shared" si="198"/>
        <v>-1.444E-3</v>
      </c>
      <c r="H1056" s="953">
        <f t="shared" si="199"/>
        <v>0</v>
      </c>
      <c r="I1056" s="953">
        <f t="shared" si="200"/>
        <v>0</v>
      </c>
      <c r="J1056" s="953">
        <f t="shared" si="201"/>
        <v>0</v>
      </c>
      <c r="K1056" s="953">
        <f t="shared" si="202"/>
        <v>1.9999999999999999E-6</v>
      </c>
      <c r="L1056" s="570" t="str">
        <f t="shared" si="203"/>
        <v>Modal 5</v>
      </c>
      <c r="M1056" s="570">
        <f t="shared" si="204"/>
        <v>5</v>
      </c>
    </row>
    <row r="1057" spans="1:13">
      <c r="A1057" s="570" t="str">
        <f t="shared" si="205"/>
        <v>T46</v>
      </c>
      <c r="C1057" s="953" t="str">
        <f t="shared" si="194"/>
        <v>T4</v>
      </c>
      <c r="D1057" s="953" t="str">
        <f t="shared" si="195"/>
        <v>D1</v>
      </c>
      <c r="E1057" s="953">
        <f t="shared" si="196"/>
        <v>6</v>
      </c>
      <c r="F1057" s="953">
        <f t="shared" si="197"/>
        <v>-1.4920000000000001E-3</v>
      </c>
      <c r="G1057" s="953">
        <f t="shared" si="198"/>
        <v>-1.9900000000000001E-4</v>
      </c>
      <c r="H1057" s="953">
        <f t="shared" si="199"/>
        <v>0</v>
      </c>
      <c r="I1057" s="953">
        <f t="shared" si="200"/>
        <v>0</v>
      </c>
      <c r="J1057" s="953">
        <f t="shared" si="201"/>
        <v>0</v>
      </c>
      <c r="K1057" s="953">
        <f t="shared" si="202"/>
        <v>-1.5999999999999999E-5</v>
      </c>
      <c r="L1057" s="570" t="str">
        <f t="shared" si="203"/>
        <v>Modal 6</v>
      </c>
      <c r="M1057" s="570">
        <f t="shared" si="204"/>
        <v>6</v>
      </c>
    </row>
    <row r="1058" spans="1:13">
      <c r="A1058" s="570" t="str">
        <f t="shared" si="205"/>
        <v>T47</v>
      </c>
      <c r="C1058" s="953" t="str">
        <f t="shared" si="194"/>
        <v>T4</v>
      </c>
      <c r="D1058" s="953" t="str">
        <f t="shared" si="195"/>
        <v>D1</v>
      </c>
      <c r="E1058" s="953">
        <f t="shared" si="196"/>
        <v>7</v>
      </c>
      <c r="F1058" s="953">
        <f t="shared" si="197"/>
        <v>3.6099999999999999E-4</v>
      </c>
      <c r="G1058" s="953">
        <f t="shared" si="198"/>
        <v>3.0000000000000001E-6</v>
      </c>
      <c r="H1058" s="953">
        <f t="shared" si="199"/>
        <v>0</v>
      </c>
      <c r="I1058" s="953">
        <f t="shared" si="200"/>
        <v>0</v>
      </c>
      <c r="J1058" s="953">
        <f t="shared" si="201"/>
        <v>0</v>
      </c>
      <c r="K1058" s="953">
        <f t="shared" si="202"/>
        <v>-1.3999999999999999E-4</v>
      </c>
      <c r="L1058" s="570" t="str">
        <f t="shared" si="203"/>
        <v>Modal 7</v>
      </c>
      <c r="M1058" s="570">
        <f t="shared" si="204"/>
        <v>7</v>
      </c>
    </row>
    <row r="1059" spans="1:13">
      <c r="A1059" s="570" t="str">
        <f t="shared" si="205"/>
        <v>T48</v>
      </c>
      <c r="C1059" s="953" t="str">
        <f t="shared" si="194"/>
        <v>T4</v>
      </c>
      <c r="D1059" s="953" t="str">
        <f t="shared" si="195"/>
        <v>D1</v>
      </c>
      <c r="E1059" s="953">
        <f t="shared" si="196"/>
        <v>8</v>
      </c>
      <c r="F1059" s="953">
        <f t="shared" si="197"/>
        <v>2.9399999999999999E-4</v>
      </c>
      <c r="G1059" s="953">
        <f t="shared" si="198"/>
        <v>-2.9329999999999998E-3</v>
      </c>
      <c r="H1059" s="953">
        <f t="shared" si="199"/>
        <v>0</v>
      </c>
      <c r="I1059" s="953">
        <f t="shared" si="200"/>
        <v>0</v>
      </c>
      <c r="J1059" s="953">
        <f t="shared" si="201"/>
        <v>0</v>
      </c>
      <c r="K1059" s="953">
        <f t="shared" si="202"/>
        <v>3.5989999999999999E-7</v>
      </c>
      <c r="L1059" s="570" t="str">
        <f t="shared" si="203"/>
        <v>Modal 8</v>
      </c>
      <c r="M1059" s="570">
        <f t="shared" si="204"/>
        <v>8</v>
      </c>
    </row>
    <row r="1060" spans="1:13">
      <c r="A1060" s="570" t="str">
        <f t="shared" si="205"/>
        <v>T49</v>
      </c>
      <c r="C1060" s="953" t="str">
        <f t="shared" si="194"/>
        <v>T4</v>
      </c>
      <c r="D1060" s="953" t="str">
        <f t="shared" si="195"/>
        <v>D1</v>
      </c>
      <c r="E1060" s="953">
        <f t="shared" si="196"/>
        <v>9</v>
      </c>
      <c r="F1060" s="953">
        <f t="shared" si="197"/>
        <v>-1.12E-4</v>
      </c>
      <c r="G1060" s="953">
        <f t="shared" si="198"/>
        <v>1.8E-5</v>
      </c>
      <c r="H1060" s="953">
        <f t="shared" si="199"/>
        <v>0</v>
      </c>
      <c r="I1060" s="953">
        <f t="shared" si="200"/>
        <v>0</v>
      </c>
      <c r="J1060" s="953">
        <f t="shared" si="201"/>
        <v>0</v>
      </c>
      <c r="K1060" s="953">
        <f t="shared" si="202"/>
        <v>2.03E-4</v>
      </c>
      <c r="L1060" s="570" t="str">
        <f t="shared" si="203"/>
        <v>Modal 9</v>
      </c>
      <c r="M1060" s="570">
        <f t="shared" si="204"/>
        <v>9</v>
      </c>
    </row>
    <row r="1061" spans="1:13">
      <c r="A1061" s="570" t="str">
        <f t="shared" si="205"/>
        <v>T410</v>
      </c>
      <c r="C1061" s="953" t="str">
        <f t="shared" si="194"/>
        <v>T4</v>
      </c>
      <c r="D1061" s="953" t="str">
        <f t="shared" si="195"/>
        <v>D1</v>
      </c>
      <c r="E1061" s="953">
        <f t="shared" si="196"/>
        <v>10</v>
      </c>
      <c r="F1061" s="953">
        <f t="shared" si="197"/>
        <v>-3.026E-3</v>
      </c>
      <c r="G1061" s="953">
        <f t="shared" si="198"/>
        <v>-3.1300000000000002E-4</v>
      </c>
      <c r="H1061" s="953">
        <f t="shared" si="199"/>
        <v>0</v>
      </c>
      <c r="I1061" s="953">
        <f t="shared" si="200"/>
        <v>0</v>
      </c>
      <c r="J1061" s="953">
        <f t="shared" si="201"/>
        <v>0</v>
      </c>
      <c r="K1061" s="953">
        <f t="shared" si="202"/>
        <v>-9.9999999999999995E-7</v>
      </c>
      <c r="L1061" s="570" t="str">
        <f t="shared" si="203"/>
        <v>Modal 10</v>
      </c>
      <c r="M1061" s="570">
        <f t="shared" si="204"/>
        <v>10</v>
      </c>
    </row>
    <row r="1062" spans="1:13">
      <c r="A1062" s="570" t="str">
        <f t="shared" si="205"/>
        <v>T411</v>
      </c>
      <c r="C1062" s="953" t="str">
        <f t="shared" si="194"/>
        <v>T4</v>
      </c>
      <c r="D1062" s="953" t="str">
        <f t="shared" si="195"/>
        <v>D1</v>
      </c>
      <c r="E1062" s="953">
        <f t="shared" si="196"/>
        <v>11</v>
      </c>
      <c r="F1062" s="953">
        <f t="shared" si="197"/>
        <v>-4.2700000000000002E-4</v>
      </c>
      <c r="G1062" s="953">
        <f t="shared" si="198"/>
        <v>1.5200000000000001E-3</v>
      </c>
      <c r="H1062" s="953">
        <f t="shared" si="199"/>
        <v>0</v>
      </c>
      <c r="I1062" s="953">
        <f t="shared" si="200"/>
        <v>0</v>
      </c>
      <c r="J1062" s="953">
        <f t="shared" si="201"/>
        <v>0</v>
      </c>
      <c r="K1062" s="953">
        <f t="shared" si="202"/>
        <v>2.3800000000000001E-4</v>
      </c>
      <c r="L1062" s="570" t="str">
        <f t="shared" si="203"/>
        <v>Modal 11</v>
      </c>
      <c r="M1062" s="570">
        <f t="shared" si="204"/>
        <v>11</v>
      </c>
    </row>
    <row r="1063" spans="1:13">
      <c r="A1063" s="570" t="str">
        <f t="shared" si="205"/>
        <v>T412</v>
      </c>
      <c r="C1063" s="953" t="str">
        <f t="shared" si="194"/>
        <v>T4</v>
      </c>
      <c r="D1063" s="953" t="str">
        <f t="shared" si="195"/>
        <v>D1</v>
      </c>
      <c r="E1063" s="953">
        <f t="shared" si="196"/>
        <v>12</v>
      </c>
      <c r="F1063" s="953">
        <f t="shared" si="197"/>
        <v>2.8499999999999999E-4</v>
      </c>
      <c r="G1063" s="953">
        <f t="shared" si="198"/>
        <v>-4.0720000000000001E-3</v>
      </c>
      <c r="H1063" s="953">
        <f t="shared" si="199"/>
        <v>0</v>
      </c>
      <c r="I1063" s="953">
        <f t="shared" si="200"/>
        <v>0</v>
      </c>
      <c r="J1063" s="953">
        <f t="shared" si="201"/>
        <v>0</v>
      </c>
      <c r="K1063" s="953">
        <f t="shared" si="202"/>
        <v>9.0000000000000006E-5</v>
      </c>
      <c r="L1063" s="570" t="str">
        <f t="shared" si="203"/>
        <v>Modal 12</v>
      </c>
      <c r="M1063" s="570">
        <f t="shared" si="204"/>
        <v>12</v>
      </c>
    </row>
    <row r="1064" spans="1:13">
      <c r="A1064" s="570" t="str">
        <f t="shared" si="205"/>
        <v>T413</v>
      </c>
      <c r="C1064" s="953" t="str">
        <f t="shared" si="194"/>
        <v>T4</v>
      </c>
      <c r="D1064" s="953" t="str">
        <f t="shared" si="195"/>
        <v>D1</v>
      </c>
      <c r="E1064" s="953">
        <f t="shared" si="196"/>
        <v>13</v>
      </c>
      <c r="F1064" s="953">
        <f t="shared" si="197"/>
        <v>4.4450000000000002E-3</v>
      </c>
      <c r="G1064" s="953">
        <f t="shared" si="198"/>
        <v>4.6099999999999998E-4</v>
      </c>
      <c r="H1064" s="953">
        <f t="shared" si="199"/>
        <v>0</v>
      </c>
      <c r="I1064" s="953">
        <f t="shared" si="200"/>
        <v>0</v>
      </c>
      <c r="J1064" s="953">
        <f t="shared" si="201"/>
        <v>0</v>
      </c>
      <c r="K1064" s="953">
        <f t="shared" si="202"/>
        <v>2.0999999999999999E-5</v>
      </c>
      <c r="L1064" s="570" t="str">
        <f t="shared" si="203"/>
        <v>Modal 13</v>
      </c>
      <c r="M1064" s="570">
        <f t="shared" si="204"/>
        <v>13</v>
      </c>
    </row>
    <row r="1065" spans="1:13">
      <c r="A1065" s="570" t="str">
        <f t="shared" si="205"/>
        <v>T414</v>
      </c>
      <c r="C1065" s="953" t="str">
        <f t="shared" si="194"/>
        <v>T4</v>
      </c>
      <c r="D1065" s="953" t="str">
        <f t="shared" si="195"/>
        <v>D1</v>
      </c>
      <c r="E1065" s="953">
        <f t="shared" si="196"/>
        <v>14</v>
      </c>
      <c r="F1065" s="953">
        <f t="shared" si="197"/>
        <v>-3.7500000000000001E-4</v>
      </c>
      <c r="G1065" s="953">
        <f t="shared" si="198"/>
        <v>7.7999999999999999E-5</v>
      </c>
      <c r="H1065" s="953">
        <f t="shared" si="199"/>
        <v>0</v>
      </c>
      <c r="I1065" s="953">
        <f t="shared" si="200"/>
        <v>0</v>
      </c>
      <c r="J1065" s="953">
        <f t="shared" si="201"/>
        <v>0</v>
      </c>
      <c r="K1065" s="953">
        <f t="shared" si="202"/>
        <v>2.7399999999999999E-4</v>
      </c>
      <c r="L1065" s="570" t="str">
        <f t="shared" si="203"/>
        <v>Modal 14</v>
      </c>
      <c r="M1065" s="570">
        <f t="shared" si="204"/>
        <v>14</v>
      </c>
    </row>
    <row r="1066" spans="1:13">
      <c r="A1066" s="570" t="str">
        <f t="shared" si="205"/>
        <v>T415</v>
      </c>
      <c r="C1066" s="953" t="str">
        <f t="shared" si="194"/>
        <v>T4</v>
      </c>
      <c r="D1066" s="953" t="str">
        <f t="shared" si="195"/>
        <v>D1</v>
      </c>
      <c r="E1066" s="953">
        <f t="shared" si="196"/>
        <v>15</v>
      </c>
      <c r="F1066" s="953">
        <f t="shared" si="197"/>
        <v>5.1599999999999997E-4</v>
      </c>
      <c r="G1066" s="953">
        <f t="shared" si="198"/>
        <v>-5.4400000000000004E-3</v>
      </c>
      <c r="H1066" s="953">
        <f t="shared" si="199"/>
        <v>0</v>
      </c>
      <c r="I1066" s="953">
        <f t="shared" si="200"/>
        <v>0</v>
      </c>
      <c r="J1066" s="953">
        <f t="shared" si="201"/>
        <v>0</v>
      </c>
      <c r="K1066" s="953">
        <f t="shared" si="202"/>
        <v>6.9999999999999999E-6</v>
      </c>
      <c r="L1066" s="570" t="str">
        <f t="shared" si="203"/>
        <v>Modal 15</v>
      </c>
      <c r="M1066" s="570">
        <f t="shared" si="204"/>
        <v>15</v>
      </c>
    </row>
    <row r="1067" spans="1:13">
      <c r="A1067" s="570" t="str">
        <f t="shared" si="205"/>
        <v>T416</v>
      </c>
      <c r="C1067" s="953" t="str">
        <f t="shared" si="194"/>
        <v>T4</v>
      </c>
      <c r="D1067" s="953" t="str">
        <f t="shared" si="195"/>
        <v>D1</v>
      </c>
      <c r="E1067" s="953">
        <f t="shared" si="196"/>
        <v>16</v>
      </c>
      <c r="F1067" s="953">
        <f t="shared" si="197"/>
        <v>3.2899999999999997E-4</v>
      </c>
      <c r="G1067" s="953">
        <f t="shared" si="198"/>
        <v>3.3000000000000003E-5</v>
      </c>
      <c r="H1067" s="953">
        <f t="shared" si="199"/>
        <v>0</v>
      </c>
      <c r="I1067" s="953">
        <f t="shared" si="200"/>
        <v>0</v>
      </c>
      <c r="J1067" s="953">
        <f t="shared" si="201"/>
        <v>0</v>
      </c>
      <c r="K1067" s="953">
        <f t="shared" si="202"/>
        <v>2.2100000000000001E-4</v>
      </c>
      <c r="L1067" s="570" t="str">
        <f t="shared" si="203"/>
        <v>Modal 16</v>
      </c>
      <c r="M1067" s="570">
        <f t="shared" si="204"/>
        <v>16</v>
      </c>
    </row>
    <row r="1068" spans="1:13">
      <c r="A1068" s="570" t="str">
        <f t="shared" si="205"/>
        <v>T417</v>
      </c>
      <c r="C1068" s="953" t="str">
        <f t="shared" si="194"/>
        <v>T4</v>
      </c>
      <c r="D1068" s="953" t="str">
        <f t="shared" si="195"/>
        <v>D1</v>
      </c>
      <c r="E1068" s="953">
        <f t="shared" si="196"/>
        <v>17</v>
      </c>
      <c r="F1068" s="953">
        <f t="shared" si="197"/>
        <v>5.5059999999999996E-3</v>
      </c>
      <c r="G1068" s="953">
        <f t="shared" si="198"/>
        <v>5.6700000000000001E-4</v>
      </c>
      <c r="H1068" s="953">
        <f t="shared" si="199"/>
        <v>0</v>
      </c>
      <c r="I1068" s="953">
        <f t="shared" si="200"/>
        <v>0</v>
      </c>
      <c r="J1068" s="953">
        <f t="shared" si="201"/>
        <v>0</v>
      </c>
      <c r="K1068" s="953">
        <f t="shared" si="202"/>
        <v>-1.2999999999999999E-5</v>
      </c>
      <c r="L1068" s="570" t="str">
        <f t="shared" si="203"/>
        <v>Modal 17</v>
      </c>
      <c r="M1068" s="570">
        <f t="shared" si="204"/>
        <v>17</v>
      </c>
    </row>
    <row r="1069" spans="1:13">
      <c r="A1069" s="570" t="str">
        <f t="shared" si="205"/>
        <v>T418</v>
      </c>
      <c r="C1069" s="953" t="str">
        <f t="shared" si="194"/>
        <v>T4</v>
      </c>
      <c r="D1069" s="953" t="str">
        <f t="shared" si="195"/>
        <v>D1</v>
      </c>
      <c r="E1069" s="953">
        <f t="shared" si="196"/>
        <v>18</v>
      </c>
      <c r="F1069" s="953">
        <f t="shared" si="197"/>
        <v>-5.8299999999999997E-4</v>
      </c>
      <c r="G1069" s="953">
        <f t="shared" si="198"/>
        <v>5.6969999999999998E-3</v>
      </c>
      <c r="H1069" s="953">
        <f t="shared" si="199"/>
        <v>0</v>
      </c>
      <c r="I1069" s="953">
        <f t="shared" si="200"/>
        <v>0</v>
      </c>
      <c r="J1069" s="953">
        <f t="shared" si="201"/>
        <v>0</v>
      </c>
      <c r="K1069" s="953">
        <f t="shared" si="202"/>
        <v>-9.0000000000000002E-6</v>
      </c>
      <c r="L1069" s="570" t="str">
        <f t="shared" si="203"/>
        <v>Modal 18</v>
      </c>
      <c r="M1069" s="570">
        <f t="shared" si="204"/>
        <v>18</v>
      </c>
    </row>
    <row r="1070" spans="1:13">
      <c r="A1070" s="570" t="str">
        <f t="shared" si="205"/>
        <v>T419</v>
      </c>
      <c r="C1070" s="953" t="str">
        <f t="shared" si="194"/>
        <v>T4</v>
      </c>
      <c r="D1070" s="953" t="str">
        <f t="shared" si="195"/>
        <v>D1</v>
      </c>
      <c r="E1070" s="953">
        <f t="shared" si="196"/>
        <v>19</v>
      </c>
      <c r="F1070" s="953">
        <f t="shared" si="197"/>
        <v>-2.0999999999999999E-5</v>
      </c>
      <c r="G1070" s="953">
        <f t="shared" si="198"/>
        <v>1.07E-3</v>
      </c>
      <c r="H1070" s="953">
        <f t="shared" si="199"/>
        <v>0</v>
      </c>
      <c r="I1070" s="953">
        <f t="shared" si="200"/>
        <v>0</v>
      </c>
      <c r="J1070" s="953">
        <f t="shared" si="201"/>
        <v>0</v>
      </c>
      <c r="K1070" s="953">
        <f t="shared" si="202"/>
        <v>-5.3000000000000001E-5</v>
      </c>
      <c r="L1070" s="570" t="str">
        <f t="shared" si="203"/>
        <v>Modal 19</v>
      </c>
      <c r="M1070" s="570">
        <f t="shared" si="204"/>
        <v>19</v>
      </c>
    </row>
    <row r="1071" spans="1:13">
      <c r="A1071" s="570" t="str">
        <f t="shared" si="205"/>
        <v>T420</v>
      </c>
      <c r="C1071" s="953" t="str">
        <f t="shared" si="194"/>
        <v>T4</v>
      </c>
      <c r="D1071" s="953" t="str">
        <f t="shared" si="195"/>
        <v>D1</v>
      </c>
      <c r="E1071" s="953">
        <f t="shared" si="196"/>
        <v>20</v>
      </c>
      <c r="F1071" s="953">
        <f t="shared" si="197"/>
        <v>5.6290000000000003E-3</v>
      </c>
      <c r="G1071" s="953">
        <f t="shared" si="198"/>
        <v>5.9299999999999999E-4</v>
      </c>
      <c r="H1071" s="953">
        <f t="shared" si="199"/>
        <v>0</v>
      </c>
      <c r="I1071" s="953">
        <f t="shared" si="200"/>
        <v>0</v>
      </c>
      <c r="J1071" s="953">
        <f t="shared" si="201"/>
        <v>0</v>
      </c>
      <c r="K1071" s="953">
        <f t="shared" si="202"/>
        <v>-3.3000000000000003E-5</v>
      </c>
      <c r="L1071" s="570" t="str">
        <f t="shared" si="203"/>
        <v>Modal 20</v>
      </c>
      <c r="M1071" s="570">
        <f t="shared" si="204"/>
        <v>20</v>
      </c>
    </row>
    <row r="1072" spans="1:13">
      <c r="A1072" s="570" t="str">
        <f t="shared" si="205"/>
        <v>T421</v>
      </c>
      <c r="C1072" s="953" t="str">
        <f t="shared" si="194"/>
        <v>T4</v>
      </c>
      <c r="D1072" s="953" t="str">
        <f t="shared" si="195"/>
        <v>D1</v>
      </c>
      <c r="E1072" s="953">
        <f t="shared" si="196"/>
        <v>21</v>
      </c>
      <c r="F1072" s="953">
        <f t="shared" si="197"/>
        <v>-8.8199999999999997E-4</v>
      </c>
      <c r="G1072" s="953">
        <f t="shared" si="198"/>
        <v>4.9240000000000004E-3</v>
      </c>
      <c r="H1072" s="953">
        <f t="shared" si="199"/>
        <v>0</v>
      </c>
      <c r="I1072" s="953">
        <f t="shared" si="200"/>
        <v>0</v>
      </c>
      <c r="J1072" s="953">
        <f t="shared" si="201"/>
        <v>0</v>
      </c>
      <c r="K1072" s="953">
        <f t="shared" si="202"/>
        <v>-5.1E-5</v>
      </c>
      <c r="L1072" s="570" t="str">
        <f t="shared" si="203"/>
        <v>Modal 21</v>
      </c>
      <c r="M1072" s="570">
        <f t="shared" si="204"/>
        <v>21</v>
      </c>
    </row>
    <row r="1073" spans="1:13">
      <c r="A1073" s="570" t="str">
        <f t="shared" si="205"/>
        <v>T422</v>
      </c>
      <c r="C1073" s="953" t="str">
        <f t="shared" si="194"/>
        <v>T4</v>
      </c>
      <c r="D1073" s="953" t="str">
        <f t="shared" si="195"/>
        <v>D1</v>
      </c>
      <c r="E1073" s="953">
        <f t="shared" si="196"/>
        <v>22</v>
      </c>
      <c r="F1073" s="953">
        <f t="shared" si="197"/>
        <v>-4.0679999999999996E-3</v>
      </c>
      <c r="G1073" s="953">
        <f t="shared" si="198"/>
        <v>-1.3649999999999999E-3</v>
      </c>
      <c r="H1073" s="953">
        <f t="shared" si="199"/>
        <v>0</v>
      </c>
      <c r="I1073" s="953">
        <f t="shared" si="200"/>
        <v>0</v>
      </c>
      <c r="J1073" s="953">
        <f t="shared" si="201"/>
        <v>0</v>
      </c>
      <c r="K1073" s="953">
        <f t="shared" si="202"/>
        <v>3.9999999999999998E-6</v>
      </c>
      <c r="L1073" s="570" t="str">
        <f t="shared" si="203"/>
        <v>Modal 22</v>
      </c>
      <c r="M1073" s="570">
        <f t="shared" si="204"/>
        <v>22</v>
      </c>
    </row>
    <row r="1074" spans="1:13">
      <c r="A1074" s="570" t="str">
        <f t="shared" si="205"/>
        <v>T423</v>
      </c>
      <c r="C1074" s="953" t="str">
        <f t="shared" si="194"/>
        <v>T4</v>
      </c>
      <c r="D1074" s="953" t="str">
        <f t="shared" si="195"/>
        <v>D1</v>
      </c>
      <c r="E1074" s="953">
        <f t="shared" si="196"/>
        <v>23</v>
      </c>
      <c r="F1074" s="953">
        <f t="shared" si="197"/>
        <v>2.0509999999999999E-3</v>
      </c>
      <c r="G1074" s="953">
        <f t="shared" si="198"/>
        <v>-2.2599999999999999E-3</v>
      </c>
      <c r="H1074" s="953">
        <f t="shared" si="199"/>
        <v>0</v>
      </c>
      <c r="I1074" s="953">
        <f t="shared" si="200"/>
        <v>0</v>
      </c>
      <c r="J1074" s="953">
        <f t="shared" si="201"/>
        <v>0</v>
      </c>
      <c r="K1074" s="953">
        <f t="shared" si="202"/>
        <v>-2.4000000000000001E-5</v>
      </c>
      <c r="L1074" s="570" t="str">
        <f t="shared" si="203"/>
        <v>Modal 23</v>
      </c>
      <c r="M1074" s="570">
        <f t="shared" si="204"/>
        <v>23</v>
      </c>
    </row>
    <row r="1075" spans="1:13">
      <c r="A1075" s="570" t="str">
        <f t="shared" si="205"/>
        <v>T424</v>
      </c>
      <c r="C1075" s="953" t="str">
        <f t="shared" si="194"/>
        <v>T4</v>
      </c>
      <c r="D1075" s="953" t="str">
        <f t="shared" si="195"/>
        <v>D1</v>
      </c>
      <c r="E1075" s="953">
        <f t="shared" si="196"/>
        <v>24</v>
      </c>
      <c r="F1075" s="953">
        <f t="shared" si="197"/>
        <v>-1.0839999999999999E-3</v>
      </c>
      <c r="G1075" s="953">
        <f t="shared" si="198"/>
        <v>-1.462E-3</v>
      </c>
      <c r="H1075" s="953">
        <f t="shared" si="199"/>
        <v>0</v>
      </c>
      <c r="I1075" s="953">
        <f t="shared" si="200"/>
        <v>0</v>
      </c>
      <c r="J1075" s="953">
        <f t="shared" si="201"/>
        <v>0</v>
      </c>
      <c r="K1075" s="953">
        <f t="shared" si="202"/>
        <v>4.6999999999999997E-5</v>
      </c>
      <c r="L1075" s="570" t="str">
        <f t="shared" si="203"/>
        <v>Modal 24</v>
      </c>
      <c r="M1075" s="570">
        <f t="shared" si="204"/>
        <v>24</v>
      </c>
    </row>
    <row r="1076" spans="1:13">
      <c r="A1076" s="570" t="str">
        <f t="shared" si="205"/>
        <v>T425</v>
      </c>
      <c r="C1076" s="953" t="str">
        <f t="shared" si="194"/>
        <v>T4</v>
      </c>
      <c r="D1076" s="953" t="str">
        <f t="shared" si="195"/>
        <v>D1</v>
      </c>
      <c r="E1076" s="953">
        <f t="shared" si="196"/>
        <v>25</v>
      </c>
      <c r="F1076" s="953">
        <f t="shared" si="197"/>
        <v>-3.5199999999999999E-4</v>
      </c>
      <c r="G1076" s="953">
        <f t="shared" si="198"/>
        <v>-6.2200000000000005E-4</v>
      </c>
      <c r="H1076" s="953">
        <f t="shared" si="199"/>
        <v>0</v>
      </c>
      <c r="I1076" s="953">
        <f t="shared" si="200"/>
        <v>0</v>
      </c>
      <c r="J1076" s="953">
        <f t="shared" si="201"/>
        <v>0</v>
      </c>
      <c r="K1076" s="953">
        <f t="shared" si="202"/>
        <v>-2.9E-5</v>
      </c>
      <c r="L1076" s="570" t="str">
        <f t="shared" si="203"/>
        <v>Modal 25</v>
      </c>
      <c r="M1076" s="570">
        <f t="shared" si="204"/>
        <v>25</v>
      </c>
    </row>
    <row r="1077" spans="1:13">
      <c r="A1077" s="570" t="str">
        <f t="shared" si="205"/>
        <v>T426</v>
      </c>
      <c r="C1077" s="953" t="str">
        <f t="shared" si="194"/>
        <v>T4</v>
      </c>
      <c r="D1077" s="953" t="str">
        <f t="shared" si="195"/>
        <v>D1</v>
      </c>
      <c r="E1077" s="953">
        <f t="shared" si="196"/>
        <v>26</v>
      </c>
      <c r="F1077" s="953">
        <f t="shared" si="197"/>
        <v>3.21E-4</v>
      </c>
      <c r="G1077" s="953">
        <f t="shared" si="198"/>
        <v>1.766E-3</v>
      </c>
      <c r="H1077" s="953">
        <f t="shared" si="199"/>
        <v>0</v>
      </c>
      <c r="I1077" s="953">
        <f t="shared" si="200"/>
        <v>0</v>
      </c>
      <c r="J1077" s="953">
        <f t="shared" si="201"/>
        <v>0</v>
      </c>
      <c r="K1077" s="953">
        <f t="shared" si="202"/>
        <v>-2.5999999999999998E-5</v>
      </c>
      <c r="L1077" s="570" t="str">
        <f t="shared" si="203"/>
        <v>Modal 26</v>
      </c>
      <c r="M1077" s="570">
        <f t="shared" si="204"/>
        <v>26</v>
      </c>
    </row>
    <row r="1078" spans="1:13">
      <c r="A1078" s="570" t="str">
        <f t="shared" si="205"/>
        <v>T427</v>
      </c>
      <c r="C1078" s="953" t="str">
        <f t="shared" si="194"/>
        <v>T4</v>
      </c>
      <c r="D1078" s="953" t="str">
        <f t="shared" si="195"/>
        <v>D1</v>
      </c>
      <c r="E1078" s="953">
        <f t="shared" si="196"/>
        <v>27</v>
      </c>
      <c r="F1078" s="953">
        <f t="shared" si="197"/>
        <v>-7.7609999999999997E-3</v>
      </c>
      <c r="G1078" s="953">
        <f t="shared" si="198"/>
        <v>5.4380000000000001E-3</v>
      </c>
      <c r="H1078" s="953">
        <f t="shared" si="199"/>
        <v>0</v>
      </c>
      <c r="I1078" s="953">
        <f t="shared" si="200"/>
        <v>0</v>
      </c>
      <c r="J1078" s="953">
        <f t="shared" si="201"/>
        <v>0</v>
      </c>
      <c r="K1078" s="953">
        <f t="shared" si="202"/>
        <v>-2.6999999999999999E-5</v>
      </c>
      <c r="L1078" s="570" t="str">
        <f t="shared" si="203"/>
        <v>Modal 27</v>
      </c>
      <c r="M1078" s="570">
        <f t="shared" si="204"/>
        <v>27</v>
      </c>
    </row>
    <row r="1079" spans="1:13">
      <c r="A1079" s="570" t="str">
        <f t="shared" si="205"/>
        <v>T428</v>
      </c>
      <c r="C1079" s="953" t="str">
        <f t="shared" si="194"/>
        <v>T4</v>
      </c>
      <c r="D1079" s="953" t="str">
        <f t="shared" si="195"/>
        <v>D1</v>
      </c>
      <c r="E1079" s="953">
        <f t="shared" si="196"/>
        <v>28</v>
      </c>
      <c r="F1079" s="953">
        <f t="shared" si="197"/>
        <v>-5.8669999999999998E-3</v>
      </c>
      <c r="G1079" s="953">
        <f t="shared" si="198"/>
        <v>-8.0090000000000005E-3</v>
      </c>
      <c r="H1079" s="953">
        <f t="shared" si="199"/>
        <v>0</v>
      </c>
      <c r="I1079" s="953">
        <f t="shared" si="200"/>
        <v>0</v>
      </c>
      <c r="J1079" s="953">
        <f t="shared" si="201"/>
        <v>0</v>
      </c>
      <c r="K1079" s="953">
        <f t="shared" si="202"/>
        <v>3.8000000000000002E-5</v>
      </c>
      <c r="L1079" s="570" t="str">
        <f t="shared" si="203"/>
        <v>Modal 28</v>
      </c>
      <c r="M1079" s="570">
        <f t="shared" si="204"/>
        <v>28</v>
      </c>
    </row>
    <row r="1080" spans="1:13">
      <c r="A1080" s="570" t="str">
        <f t="shared" si="205"/>
        <v>T429</v>
      </c>
      <c r="C1080" s="953" t="str">
        <f t="shared" si="194"/>
        <v>T4</v>
      </c>
      <c r="D1080" s="953" t="str">
        <f t="shared" si="195"/>
        <v>D1</v>
      </c>
      <c r="E1080" s="953">
        <f t="shared" si="196"/>
        <v>29</v>
      </c>
      <c r="F1080" s="953">
        <f t="shared" si="197"/>
        <v>-1.0820000000000001E-3</v>
      </c>
      <c r="G1080" s="953">
        <f t="shared" si="198"/>
        <v>4.0900000000000002E-4</v>
      </c>
      <c r="H1080" s="953">
        <f t="shared" si="199"/>
        <v>0</v>
      </c>
      <c r="I1080" s="953">
        <f t="shared" si="200"/>
        <v>0</v>
      </c>
      <c r="J1080" s="953">
        <f t="shared" si="201"/>
        <v>0</v>
      </c>
      <c r="K1080" s="953">
        <f t="shared" si="202"/>
        <v>2.4000000000000001E-5</v>
      </c>
      <c r="L1080" s="570" t="str">
        <f t="shared" si="203"/>
        <v>Modal 29</v>
      </c>
      <c r="M1080" s="570">
        <f t="shared" si="204"/>
        <v>29</v>
      </c>
    </row>
    <row r="1081" spans="1:13">
      <c r="A1081" s="570" t="str">
        <f t="shared" si="205"/>
        <v>T430</v>
      </c>
      <c r="C1081" s="953" t="str">
        <f t="shared" si="194"/>
        <v>T4</v>
      </c>
      <c r="D1081" s="953" t="str">
        <f t="shared" si="195"/>
        <v>D1</v>
      </c>
      <c r="E1081" s="953">
        <f t="shared" si="196"/>
        <v>30</v>
      </c>
      <c r="F1081" s="953">
        <f t="shared" si="197"/>
        <v>4.0999999999999999E-4</v>
      </c>
      <c r="G1081" s="953">
        <f t="shared" si="198"/>
        <v>9.4899999999999997E-4</v>
      </c>
      <c r="H1081" s="953">
        <f t="shared" si="199"/>
        <v>0</v>
      </c>
      <c r="I1081" s="953">
        <f t="shared" si="200"/>
        <v>0</v>
      </c>
      <c r="J1081" s="953">
        <f t="shared" si="201"/>
        <v>0</v>
      </c>
      <c r="K1081" s="953">
        <f t="shared" si="202"/>
        <v>-1.1E-5</v>
      </c>
      <c r="L1081" s="570" t="str">
        <f t="shared" si="203"/>
        <v>Modal 30</v>
      </c>
      <c r="M1081" s="570">
        <f t="shared" si="204"/>
        <v>30</v>
      </c>
    </row>
    <row r="1082" spans="1:13">
      <c r="A1082" s="570" t="str">
        <f t="shared" si="205"/>
        <v>T31</v>
      </c>
      <c r="C1082" s="953" t="str">
        <f t="shared" si="194"/>
        <v>T3</v>
      </c>
      <c r="D1082" s="953" t="str">
        <f t="shared" si="195"/>
        <v>D1</v>
      </c>
      <c r="E1082" s="953">
        <f t="shared" si="196"/>
        <v>1</v>
      </c>
      <c r="F1082" s="953">
        <f t="shared" si="197"/>
        <v>-3.6999999999999998E-5</v>
      </c>
      <c r="G1082" s="953">
        <f t="shared" si="198"/>
        <v>1.9599999999999999E-4</v>
      </c>
      <c r="H1082" s="953">
        <f t="shared" si="199"/>
        <v>0</v>
      </c>
      <c r="I1082" s="953">
        <f t="shared" si="200"/>
        <v>0</v>
      </c>
      <c r="J1082" s="953">
        <f t="shared" si="201"/>
        <v>0</v>
      </c>
      <c r="K1082" s="953">
        <f t="shared" si="202"/>
        <v>3.0000000000000001E-6</v>
      </c>
      <c r="L1082" s="570" t="str">
        <f t="shared" si="203"/>
        <v>Modal 1</v>
      </c>
      <c r="M1082" s="570">
        <f t="shared" si="204"/>
        <v>1</v>
      </c>
    </row>
    <row r="1083" spans="1:13">
      <c r="A1083" s="570" t="str">
        <f t="shared" si="205"/>
        <v>T32</v>
      </c>
      <c r="C1083" s="953" t="str">
        <f t="shared" si="194"/>
        <v>T3</v>
      </c>
      <c r="D1083" s="953" t="str">
        <f t="shared" si="195"/>
        <v>D1</v>
      </c>
      <c r="E1083" s="953">
        <f t="shared" si="196"/>
        <v>2</v>
      </c>
      <c r="F1083" s="953">
        <f t="shared" si="197"/>
        <v>-3.8000000000000002E-5</v>
      </c>
      <c r="G1083" s="953">
        <f t="shared" si="198"/>
        <v>-4.1E-5</v>
      </c>
      <c r="H1083" s="953">
        <f t="shared" si="199"/>
        <v>0</v>
      </c>
      <c r="I1083" s="953">
        <f t="shared" si="200"/>
        <v>0</v>
      </c>
      <c r="J1083" s="953">
        <f t="shared" si="201"/>
        <v>0</v>
      </c>
      <c r="K1083" s="953">
        <f t="shared" si="202"/>
        <v>1.4E-5</v>
      </c>
      <c r="L1083" s="570" t="str">
        <f t="shared" si="203"/>
        <v>Modal 2</v>
      </c>
      <c r="M1083" s="570">
        <f t="shared" si="204"/>
        <v>2</v>
      </c>
    </row>
    <row r="1084" spans="1:13">
      <c r="A1084" s="570" t="str">
        <f t="shared" si="205"/>
        <v>T33</v>
      </c>
      <c r="C1084" s="953" t="str">
        <f t="shared" si="194"/>
        <v>T3</v>
      </c>
      <c r="D1084" s="953" t="str">
        <f t="shared" si="195"/>
        <v>D1</v>
      </c>
      <c r="E1084" s="953">
        <f t="shared" si="196"/>
        <v>3</v>
      </c>
      <c r="F1084" s="953">
        <f t="shared" si="197"/>
        <v>2.4000000000000001E-4</v>
      </c>
      <c r="G1084" s="953">
        <f t="shared" si="198"/>
        <v>4.6E-5</v>
      </c>
      <c r="H1084" s="953">
        <f t="shared" si="199"/>
        <v>0</v>
      </c>
      <c r="I1084" s="953">
        <f t="shared" si="200"/>
        <v>0</v>
      </c>
      <c r="J1084" s="953">
        <f t="shared" si="201"/>
        <v>0</v>
      </c>
      <c r="K1084" s="953">
        <f t="shared" si="202"/>
        <v>3.0000000000000001E-6</v>
      </c>
      <c r="L1084" s="570" t="str">
        <f t="shared" si="203"/>
        <v>Modal 3</v>
      </c>
      <c r="M1084" s="570">
        <f t="shared" si="204"/>
        <v>3</v>
      </c>
    </row>
    <row r="1085" spans="1:13">
      <c r="A1085" s="570" t="str">
        <f t="shared" si="205"/>
        <v>T34</v>
      </c>
      <c r="C1085" s="953" t="str">
        <f t="shared" si="194"/>
        <v>T3</v>
      </c>
      <c r="D1085" s="953" t="str">
        <f t="shared" si="195"/>
        <v>D1</v>
      </c>
      <c r="E1085" s="953">
        <f t="shared" si="196"/>
        <v>4</v>
      </c>
      <c r="F1085" s="953">
        <f t="shared" si="197"/>
        <v>-1.4200000000000001E-4</v>
      </c>
      <c r="G1085" s="953">
        <f t="shared" si="198"/>
        <v>1.1E-5</v>
      </c>
      <c r="H1085" s="953">
        <f t="shared" si="199"/>
        <v>0</v>
      </c>
      <c r="I1085" s="953">
        <f t="shared" si="200"/>
        <v>0</v>
      </c>
      <c r="J1085" s="953">
        <f t="shared" si="201"/>
        <v>0</v>
      </c>
      <c r="K1085" s="953">
        <f t="shared" si="202"/>
        <v>5.1999999999999997E-5</v>
      </c>
      <c r="L1085" s="570" t="str">
        <f t="shared" si="203"/>
        <v>Modal 4</v>
      </c>
      <c r="M1085" s="570">
        <f t="shared" si="204"/>
        <v>4</v>
      </c>
    </row>
    <row r="1086" spans="1:13">
      <c r="A1086" s="570" t="str">
        <f t="shared" si="205"/>
        <v>T35</v>
      </c>
      <c r="C1086" s="953" t="str">
        <f t="shared" si="194"/>
        <v>T3</v>
      </c>
      <c r="D1086" s="953" t="str">
        <f t="shared" si="195"/>
        <v>D1</v>
      </c>
      <c r="E1086" s="953">
        <f t="shared" si="196"/>
        <v>5</v>
      </c>
      <c r="F1086" s="953">
        <f t="shared" si="197"/>
        <v>1.1900000000000001E-4</v>
      </c>
      <c r="G1086" s="953">
        <f t="shared" si="198"/>
        <v>-9.8799999999999995E-4</v>
      </c>
      <c r="H1086" s="953">
        <f t="shared" si="199"/>
        <v>0</v>
      </c>
      <c r="I1086" s="953">
        <f t="shared" si="200"/>
        <v>0</v>
      </c>
      <c r="J1086" s="953">
        <f t="shared" si="201"/>
        <v>0</v>
      </c>
      <c r="K1086" s="953">
        <f t="shared" si="202"/>
        <v>9.9999999999999995E-7</v>
      </c>
      <c r="L1086" s="570" t="str">
        <f t="shared" si="203"/>
        <v>Modal 5</v>
      </c>
      <c r="M1086" s="570">
        <f t="shared" si="204"/>
        <v>5</v>
      </c>
    </row>
    <row r="1087" spans="1:13">
      <c r="A1087" s="570" t="str">
        <f t="shared" si="205"/>
        <v>T36</v>
      </c>
      <c r="C1087" s="953" t="str">
        <f t="shared" si="194"/>
        <v>T3</v>
      </c>
      <c r="D1087" s="953" t="str">
        <f t="shared" si="195"/>
        <v>D1</v>
      </c>
      <c r="E1087" s="953">
        <f t="shared" si="196"/>
        <v>6</v>
      </c>
      <c r="F1087" s="953">
        <f t="shared" si="197"/>
        <v>-1.0319999999999999E-3</v>
      </c>
      <c r="G1087" s="953">
        <f t="shared" si="198"/>
        <v>-1.3999999999999999E-4</v>
      </c>
      <c r="H1087" s="953">
        <f t="shared" si="199"/>
        <v>0</v>
      </c>
      <c r="I1087" s="953">
        <f t="shared" si="200"/>
        <v>0</v>
      </c>
      <c r="J1087" s="953">
        <f t="shared" si="201"/>
        <v>0</v>
      </c>
      <c r="K1087" s="953">
        <f t="shared" si="202"/>
        <v>-1.1E-5</v>
      </c>
      <c r="L1087" s="570" t="str">
        <f t="shared" si="203"/>
        <v>Modal 6</v>
      </c>
      <c r="M1087" s="570">
        <f t="shared" si="204"/>
        <v>6</v>
      </c>
    </row>
    <row r="1088" spans="1:13">
      <c r="A1088" s="570" t="str">
        <f t="shared" si="205"/>
        <v>T37</v>
      </c>
      <c r="C1088" s="953" t="str">
        <f t="shared" si="194"/>
        <v>T3</v>
      </c>
      <c r="D1088" s="953" t="str">
        <f t="shared" si="195"/>
        <v>D1</v>
      </c>
      <c r="E1088" s="953">
        <f t="shared" si="196"/>
        <v>7</v>
      </c>
      <c r="F1088" s="953">
        <f t="shared" si="197"/>
        <v>2.4899999999999998E-4</v>
      </c>
      <c r="G1088" s="953">
        <f t="shared" si="198"/>
        <v>-1.9999999999999999E-6</v>
      </c>
      <c r="H1088" s="953">
        <f t="shared" si="199"/>
        <v>0</v>
      </c>
      <c r="I1088" s="953">
        <f t="shared" si="200"/>
        <v>0</v>
      </c>
      <c r="J1088" s="953">
        <f t="shared" si="201"/>
        <v>0</v>
      </c>
      <c r="K1088" s="953">
        <f t="shared" si="202"/>
        <v>-9.7999999999999997E-5</v>
      </c>
      <c r="L1088" s="570" t="str">
        <f t="shared" si="203"/>
        <v>Modal 7</v>
      </c>
      <c r="M1088" s="570">
        <f t="shared" si="204"/>
        <v>7</v>
      </c>
    </row>
    <row r="1089" spans="1:13">
      <c r="A1089" s="570" t="str">
        <f t="shared" si="205"/>
        <v>T38</v>
      </c>
      <c r="C1089" s="953" t="str">
        <f t="shared" si="194"/>
        <v>T3</v>
      </c>
      <c r="D1089" s="953" t="str">
        <f t="shared" si="195"/>
        <v>D1</v>
      </c>
      <c r="E1089" s="953">
        <f t="shared" si="196"/>
        <v>8</v>
      </c>
      <c r="F1089" s="953">
        <f t="shared" si="197"/>
        <v>2.0699999999999999E-4</v>
      </c>
      <c r="G1089" s="953">
        <f t="shared" si="198"/>
        <v>-2.0920000000000001E-3</v>
      </c>
      <c r="H1089" s="953">
        <f t="shared" si="199"/>
        <v>0</v>
      </c>
      <c r="I1089" s="953">
        <f t="shared" si="200"/>
        <v>0</v>
      </c>
      <c r="J1089" s="953">
        <f t="shared" si="201"/>
        <v>0</v>
      </c>
      <c r="K1089" s="953">
        <f t="shared" si="202"/>
        <v>-1.5370000000000001E-7</v>
      </c>
      <c r="L1089" s="570" t="str">
        <f t="shared" si="203"/>
        <v>Modal 8</v>
      </c>
      <c r="M1089" s="570">
        <f t="shared" si="204"/>
        <v>8</v>
      </c>
    </row>
    <row r="1090" spans="1:13">
      <c r="A1090" s="570" t="str">
        <f t="shared" si="205"/>
        <v>T39</v>
      </c>
      <c r="C1090" s="953" t="str">
        <f t="shared" ref="C1090:C1153" si="206">IF(Etabs="Etabs 9.7.4",IF(INDEX(Mode_1,ROW($E1090),COLUMN(A$1))&lt;&gt;"",INDEX(Mode_1,ROW($E1090),COLUMN(A$1)),""),IF(Etabs="Etabs 2013 trở lên",IF(INDEX(Mode_2,ROW($E1092),COLUMN(A$1))&lt;&gt;"",INDEX(Mode_2,ROW($E1092),COLUMN(A$1)),""),""))</f>
        <v>T3</v>
      </c>
      <c r="D1090" s="953" t="str">
        <f t="shared" ref="D1090:D1153" si="207">IF(Etabs="Etabs 9.7.4",IF(INDEX(Mode_1,ROW($E1090),COLUMN(B$1))&lt;&gt;"",INDEX(Mode_1,ROW($E1090),COLUMN(B$1)),""),IF(Etabs="Etabs 2013 trở lên",IF(INDEX(Mode_2,ROW($E1092),COLUMN(B$1))&lt;&gt;"",INDEX(Mode_2,ROW($E1092),COLUMN(B$1)),""),""))</f>
        <v>D1</v>
      </c>
      <c r="E1090" s="953">
        <f t="shared" ref="E1090:E1153" si="208">IF(Etabs="Etabs 9.7.4",IF(INDEX(Mode_1,ROW($E1090),COLUMN(C$1))&lt;&gt;"",INDEX(Mode_1,ROW($E1090),COLUMN(C$1)),""),IF(Etabs="Etabs 2013 trở lên",$M1090,""))</f>
        <v>9</v>
      </c>
      <c r="F1090" s="953">
        <f t="shared" ref="F1090:F1153" si="209">IF(Etabs="Etabs 9.7.4",IF(INDEX(Mode_1,ROW($E1090),COLUMN(D$1))&lt;&gt;"",INDEX(Mode_1,ROW($E1090),COLUMN(D$1)),""),IF(Etabs="Etabs 2013 trở lên",IF(INDEX(Mode_2,ROW($E1092),COLUMN(D$1))&lt;&gt;"",INDEX(Mode_2,ROW($E1092),COLUMN(D$1)),""),""))</f>
        <v>-8.2000000000000001E-5</v>
      </c>
      <c r="G1090" s="953">
        <f t="shared" ref="G1090:G1153" si="210">IF(Etabs="Etabs 9.7.4",IF(INDEX(Mode_1,ROW($E1090),COLUMN(E$1))&lt;&gt;"",INDEX(Mode_1,ROW($E1090),COLUMN(E$1)),""),IF(Etabs="Etabs 2013 trở lên",IF(INDEX(Mode_2,ROW($E1092),COLUMN(E$1))&lt;&gt;"",INDEX(Mode_2,ROW($E1092),COLUMN(E$1)),""),""))</f>
        <v>2.0999999999999999E-5</v>
      </c>
      <c r="H1090" s="953">
        <f t="shared" ref="H1090:H1153" si="211">IF(Etabs="Etabs 9.7.4",IF(INDEX(Mode_1,ROW($E1090),COLUMN(F$1))&lt;&gt;"",INDEX(Mode_1,ROW($E1090),COLUMN(F$1)),""),IF(Etabs="Etabs 2013 trở lên",0,""))</f>
        <v>0</v>
      </c>
      <c r="I1090" s="953">
        <f t="shared" ref="I1090:I1153" si="212">IF(Etabs="Etabs 9.7.4",IF(INDEX(Mode_1,ROW($E1090),COLUMN(G$1))&lt;&gt;"",INDEX(Mode_1,ROW($E1090),COLUMN(G$1)),""),IF(Etabs="Etabs 2013 trở lên",0,""))</f>
        <v>0</v>
      </c>
      <c r="J1090" s="953">
        <f t="shared" ref="J1090:J1153" si="213">IF(Etabs="Etabs 9.7.4",IF(INDEX(Mode_1,ROW($E1090),COLUMN(H$1))&lt;&gt;"",INDEX(Mode_1,ROW($E1090),COLUMN(H$1)),""),IF(Etabs="Etabs 2013 trở lên",0,""))</f>
        <v>0</v>
      </c>
      <c r="K1090" s="953">
        <f t="shared" ref="K1090:K1153" si="214">IF(Etabs="Etabs 9.7.4",IF(INDEX(Mode_1,ROW($E1090),COLUMN(I$1))&lt;&gt;"",INDEX(Mode_1,ROW($E1090),COLUMN(I$1)),""),IF(Etabs="Etabs 2013 trở lên",IF(INDEX(Mode_2,ROW($E1092),COLUMN(F$1))&lt;&gt;"",INDEX(Mode_2,ROW($E1092),COLUMN(F$1)),""),""))</f>
        <v>1.4999999999999999E-4</v>
      </c>
      <c r="L1090" s="570" t="str">
        <f t="shared" ref="L1090:L1153" si="215">IF(Etabs="Etabs 9.7.4",IF(INDEX(Mode_1,ROW($E1090),COLUMN(C$1))&lt;&gt;"",INDEX(Mode_1,ROW($E1090),COLUMN(C$1)),""),IF(Etabs="Etabs 2013 trở lên",IF(INDEX(Mode_2,ROW($E1092),COLUMN(C$1))&lt;&gt;"",INDEX(Mode_2,ROW($E1092),COLUMN(C$1)),""),""))</f>
        <v>Modal 9</v>
      </c>
      <c r="M1090" s="570">
        <f t="shared" si="204"/>
        <v>9</v>
      </c>
    </row>
    <row r="1091" spans="1:13">
      <c r="A1091" s="570" t="str">
        <f t="shared" si="205"/>
        <v>T310</v>
      </c>
      <c r="C1091" s="953" t="str">
        <f t="shared" si="206"/>
        <v>T3</v>
      </c>
      <c r="D1091" s="953" t="str">
        <f t="shared" si="207"/>
        <v>D1</v>
      </c>
      <c r="E1091" s="953">
        <f t="shared" si="208"/>
        <v>10</v>
      </c>
      <c r="F1091" s="953">
        <f t="shared" si="209"/>
        <v>-2.1849999999999999E-3</v>
      </c>
      <c r="G1091" s="953">
        <f t="shared" si="210"/>
        <v>-2.2900000000000001E-4</v>
      </c>
      <c r="H1091" s="953">
        <f t="shared" si="211"/>
        <v>0</v>
      </c>
      <c r="I1091" s="953">
        <f t="shared" si="212"/>
        <v>0</v>
      </c>
      <c r="J1091" s="953">
        <f t="shared" si="213"/>
        <v>0</v>
      </c>
      <c r="K1091" s="953">
        <f t="shared" si="214"/>
        <v>-9.9999999999999995E-7</v>
      </c>
      <c r="L1091" s="570" t="str">
        <f t="shared" si="215"/>
        <v>Modal 10</v>
      </c>
      <c r="M1091" s="570">
        <f t="shared" ref="M1091:M1154" si="216">IFERROR(VALUE(RIGHT(L1091,LEN(L1091)-6)),"")</f>
        <v>10</v>
      </c>
    </row>
    <row r="1092" spans="1:13">
      <c r="A1092" s="570" t="str">
        <f t="shared" si="205"/>
        <v>T311</v>
      </c>
      <c r="C1092" s="953" t="str">
        <f t="shared" si="206"/>
        <v>T3</v>
      </c>
      <c r="D1092" s="953" t="str">
        <f t="shared" si="207"/>
        <v>D1</v>
      </c>
      <c r="E1092" s="953">
        <f t="shared" si="208"/>
        <v>11</v>
      </c>
      <c r="F1092" s="953">
        <f t="shared" si="209"/>
        <v>-3.2600000000000001E-4</v>
      </c>
      <c r="G1092" s="953">
        <f t="shared" si="210"/>
        <v>1.1640000000000001E-3</v>
      </c>
      <c r="H1092" s="953">
        <f t="shared" si="211"/>
        <v>0</v>
      </c>
      <c r="I1092" s="953">
        <f t="shared" si="212"/>
        <v>0</v>
      </c>
      <c r="J1092" s="953">
        <f t="shared" si="213"/>
        <v>0</v>
      </c>
      <c r="K1092" s="953">
        <f t="shared" si="214"/>
        <v>1.9100000000000001E-4</v>
      </c>
      <c r="L1092" s="570" t="str">
        <f t="shared" si="215"/>
        <v>Modal 11</v>
      </c>
      <c r="M1092" s="570">
        <f t="shared" si="216"/>
        <v>11</v>
      </c>
    </row>
    <row r="1093" spans="1:13">
      <c r="A1093" s="570" t="str">
        <f t="shared" si="205"/>
        <v>T312</v>
      </c>
      <c r="C1093" s="953" t="str">
        <f t="shared" si="206"/>
        <v>T3</v>
      </c>
      <c r="D1093" s="953" t="str">
        <f t="shared" si="207"/>
        <v>D1</v>
      </c>
      <c r="E1093" s="953">
        <f t="shared" si="208"/>
        <v>12</v>
      </c>
      <c r="F1093" s="953">
        <f t="shared" si="209"/>
        <v>2.1000000000000001E-4</v>
      </c>
      <c r="G1093" s="953">
        <f t="shared" si="210"/>
        <v>-3.0790000000000001E-3</v>
      </c>
      <c r="H1093" s="953">
        <f t="shared" si="211"/>
        <v>0</v>
      </c>
      <c r="I1093" s="953">
        <f t="shared" si="212"/>
        <v>0</v>
      </c>
      <c r="J1093" s="953">
        <f t="shared" si="213"/>
        <v>0</v>
      </c>
      <c r="K1093" s="953">
        <f t="shared" si="214"/>
        <v>7.1000000000000005E-5</v>
      </c>
      <c r="L1093" s="570" t="str">
        <f t="shared" si="215"/>
        <v>Modal 12</v>
      </c>
      <c r="M1093" s="570">
        <f t="shared" si="216"/>
        <v>12</v>
      </c>
    </row>
    <row r="1094" spans="1:13">
      <c r="A1094" s="570" t="str">
        <f t="shared" ref="A1094:A1157" si="217">C1094&amp;E1094</f>
        <v>T313</v>
      </c>
      <c r="C1094" s="953" t="str">
        <f t="shared" si="206"/>
        <v>T3</v>
      </c>
      <c r="D1094" s="953" t="str">
        <f t="shared" si="207"/>
        <v>D1</v>
      </c>
      <c r="E1094" s="953">
        <f t="shared" si="208"/>
        <v>13</v>
      </c>
      <c r="F1094" s="953">
        <f t="shared" si="209"/>
        <v>3.4150000000000001E-3</v>
      </c>
      <c r="G1094" s="953">
        <f t="shared" si="210"/>
        <v>3.6400000000000001E-4</v>
      </c>
      <c r="H1094" s="953">
        <f t="shared" si="211"/>
        <v>0</v>
      </c>
      <c r="I1094" s="953">
        <f t="shared" si="212"/>
        <v>0</v>
      </c>
      <c r="J1094" s="953">
        <f t="shared" si="213"/>
        <v>0</v>
      </c>
      <c r="K1094" s="953">
        <f t="shared" si="214"/>
        <v>1.9000000000000001E-5</v>
      </c>
      <c r="L1094" s="570" t="str">
        <f t="shared" si="215"/>
        <v>Modal 13</v>
      </c>
      <c r="M1094" s="570">
        <f t="shared" si="216"/>
        <v>13</v>
      </c>
    </row>
    <row r="1095" spans="1:13">
      <c r="A1095" s="570" t="str">
        <f t="shared" si="217"/>
        <v>T314</v>
      </c>
      <c r="C1095" s="953" t="str">
        <f t="shared" si="206"/>
        <v>T3</v>
      </c>
      <c r="D1095" s="953" t="str">
        <f t="shared" si="207"/>
        <v>D1</v>
      </c>
      <c r="E1095" s="953">
        <f t="shared" si="208"/>
        <v>14</v>
      </c>
      <c r="F1095" s="953">
        <f t="shared" si="209"/>
        <v>-3.0800000000000001E-4</v>
      </c>
      <c r="G1095" s="953">
        <f t="shared" si="210"/>
        <v>9.1000000000000003E-5</v>
      </c>
      <c r="H1095" s="953">
        <f t="shared" si="211"/>
        <v>0</v>
      </c>
      <c r="I1095" s="953">
        <f t="shared" si="212"/>
        <v>0</v>
      </c>
      <c r="J1095" s="953">
        <f t="shared" si="213"/>
        <v>0</v>
      </c>
      <c r="K1095" s="953">
        <f t="shared" si="214"/>
        <v>2.5000000000000001E-4</v>
      </c>
      <c r="L1095" s="570" t="str">
        <f t="shared" si="215"/>
        <v>Modal 14</v>
      </c>
      <c r="M1095" s="570">
        <f t="shared" si="216"/>
        <v>14</v>
      </c>
    </row>
    <row r="1096" spans="1:13">
      <c r="A1096" s="570" t="str">
        <f t="shared" si="217"/>
        <v>T315</v>
      </c>
      <c r="C1096" s="953" t="str">
        <f t="shared" si="206"/>
        <v>T3</v>
      </c>
      <c r="D1096" s="953" t="str">
        <f t="shared" si="207"/>
        <v>D1</v>
      </c>
      <c r="E1096" s="953">
        <f t="shared" si="208"/>
        <v>15</v>
      </c>
      <c r="F1096" s="953">
        <f t="shared" si="209"/>
        <v>4.15E-4</v>
      </c>
      <c r="G1096" s="953">
        <f t="shared" si="210"/>
        <v>-4.4679999999999997E-3</v>
      </c>
      <c r="H1096" s="953">
        <f t="shared" si="211"/>
        <v>0</v>
      </c>
      <c r="I1096" s="953">
        <f t="shared" si="212"/>
        <v>0</v>
      </c>
      <c r="J1096" s="953">
        <f t="shared" si="213"/>
        <v>0</v>
      </c>
      <c r="K1096" s="953">
        <f t="shared" si="214"/>
        <v>3.0000000000000001E-6</v>
      </c>
      <c r="L1096" s="570" t="str">
        <f t="shared" si="215"/>
        <v>Modal 15</v>
      </c>
      <c r="M1096" s="570">
        <f t="shared" si="216"/>
        <v>15</v>
      </c>
    </row>
    <row r="1097" spans="1:13">
      <c r="A1097" s="570" t="str">
        <f t="shared" si="217"/>
        <v>T316</v>
      </c>
      <c r="C1097" s="953" t="str">
        <f t="shared" si="206"/>
        <v>T3</v>
      </c>
      <c r="D1097" s="953" t="str">
        <f t="shared" si="207"/>
        <v>D1</v>
      </c>
      <c r="E1097" s="953">
        <f t="shared" si="208"/>
        <v>16</v>
      </c>
      <c r="F1097" s="953">
        <f t="shared" si="209"/>
        <v>2.6699999999999998E-4</v>
      </c>
      <c r="G1097" s="953">
        <f t="shared" si="210"/>
        <v>8.7999999999999998E-5</v>
      </c>
      <c r="H1097" s="953">
        <f t="shared" si="211"/>
        <v>0</v>
      </c>
      <c r="I1097" s="953">
        <f t="shared" si="212"/>
        <v>0</v>
      </c>
      <c r="J1097" s="953">
        <f t="shared" si="213"/>
        <v>0</v>
      </c>
      <c r="K1097" s="953">
        <f t="shared" si="214"/>
        <v>2.5900000000000001E-4</v>
      </c>
      <c r="L1097" s="570" t="str">
        <f t="shared" si="215"/>
        <v>Modal 16</v>
      </c>
      <c r="M1097" s="570">
        <f t="shared" si="216"/>
        <v>16</v>
      </c>
    </row>
    <row r="1098" spans="1:13">
      <c r="A1098" s="570" t="str">
        <f t="shared" si="217"/>
        <v>T317</v>
      </c>
      <c r="C1098" s="953" t="str">
        <f t="shared" si="206"/>
        <v>T3</v>
      </c>
      <c r="D1098" s="953" t="str">
        <f t="shared" si="207"/>
        <v>D1</v>
      </c>
      <c r="E1098" s="953">
        <f t="shared" si="208"/>
        <v>17</v>
      </c>
      <c r="F1098" s="953">
        <f t="shared" si="209"/>
        <v>4.6179999999999997E-3</v>
      </c>
      <c r="G1098" s="953">
        <f t="shared" si="210"/>
        <v>4.8799999999999999E-4</v>
      </c>
      <c r="H1098" s="953">
        <f t="shared" si="211"/>
        <v>0</v>
      </c>
      <c r="I1098" s="953">
        <f t="shared" si="212"/>
        <v>0</v>
      </c>
      <c r="J1098" s="953">
        <f t="shared" si="213"/>
        <v>0</v>
      </c>
      <c r="K1098" s="953">
        <f t="shared" si="214"/>
        <v>-1.1E-5</v>
      </c>
      <c r="L1098" s="570" t="str">
        <f t="shared" si="215"/>
        <v>Modal 17</v>
      </c>
      <c r="M1098" s="570">
        <f t="shared" si="216"/>
        <v>17</v>
      </c>
    </row>
    <row r="1099" spans="1:13">
      <c r="A1099" s="570" t="str">
        <f t="shared" si="217"/>
        <v>T318</v>
      </c>
      <c r="C1099" s="953" t="str">
        <f t="shared" si="206"/>
        <v>T3</v>
      </c>
      <c r="D1099" s="953" t="str">
        <f t="shared" si="207"/>
        <v>D1</v>
      </c>
      <c r="E1099" s="953">
        <f t="shared" si="208"/>
        <v>18</v>
      </c>
      <c r="F1099" s="953">
        <f t="shared" si="209"/>
        <v>-5.1800000000000001E-4</v>
      </c>
      <c r="G1099" s="953">
        <f t="shared" si="210"/>
        <v>5.2900000000000004E-3</v>
      </c>
      <c r="H1099" s="953">
        <f t="shared" si="211"/>
        <v>0</v>
      </c>
      <c r="I1099" s="953">
        <f t="shared" si="212"/>
        <v>0</v>
      </c>
      <c r="J1099" s="953">
        <f t="shared" si="213"/>
        <v>0</v>
      </c>
      <c r="K1099" s="953">
        <f t="shared" si="214"/>
        <v>1.5999999999999999E-5</v>
      </c>
      <c r="L1099" s="570" t="str">
        <f t="shared" si="215"/>
        <v>Modal 18</v>
      </c>
      <c r="M1099" s="570">
        <f t="shared" si="216"/>
        <v>18</v>
      </c>
    </row>
    <row r="1100" spans="1:13">
      <c r="A1100" s="570" t="str">
        <f t="shared" si="217"/>
        <v>T319</v>
      </c>
      <c r="C1100" s="953" t="str">
        <f t="shared" si="206"/>
        <v>T3</v>
      </c>
      <c r="D1100" s="953" t="str">
        <f t="shared" si="207"/>
        <v>D1</v>
      </c>
      <c r="E1100" s="953">
        <f t="shared" si="208"/>
        <v>19</v>
      </c>
      <c r="F1100" s="953">
        <f t="shared" si="209"/>
        <v>-6.0000000000000002E-5</v>
      </c>
      <c r="G1100" s="953">
        <f t="shared" si="210"/>
        <v>9.0300000000000005E-4</v>
      </c>
      <c r="H1100" s="953">
        <f t="shared" si="211"/>
        <v>0</v>
      </c>
      <c r="I1100" s="953">
        <f t="shared" si="212"/>
        <v>0</v>
      </c>
      <c r="J1100" s="953">
        <f t="shared" si="213"/>
        <v>0</v>
      </c>
      <c r="K1100" s="953">
        <f t="shared" si="214"/>
        <v>-1.6100000000000001E-4</v>
      </c>
      <c r="L1100" s="570" t="str">
        <f t="shared" si="215"/>
        <v>Modal 19</v>
      </c>
      <c r="M1100" s="570">
        <f t="shared" si="216"/>
        <v>19</v>
      </c>
    </row>
    <row r="1101" spans="1:13">
      <c r="A1101" s="570" t="str">
        <f t="shared" si="217"/>
        <v>T320</v>
      </c>
      <c r="C1101" s="953" t="str">
        <f t="shared" si="206"/>
        <v>T3</v>
      </c>
      <c r="D1101" s="953" t="str">
        <f t="shared" si="207"/>
        <v>D1</v>
      </c>
      <c r="E1101" s="953">
        <f t="shared" si="208"/>
        <v>20</v>
      </c>
      <c r="F1101" s="953">
        <f t="shared" si="209"/>
        <v>5.4099999999999999E-3</v>
      </c>
      <c r="G1101" s="953">
        <f t="shared" si="210"/>
        <v>6.1600000000000001E-4</v>
      </c>
      <c r="H1101" s="953">
        <f t="shared" si="211"/>
        <v>0</v>
      </c>
      <c r="I1101" s="953">
        <f t="shared" si="212"/>
        <v>0</v>
      </c>
      <c r="J1101" s="953">
        <f t="shared" si="213"/>
        <v>0</v>
      </c>
      <c r="K1101" s="953">
        <f t="shared" si="214"/>
        <v>-1.4E-5</v>
      </c>
      <c r="L1101" s="570" t="str">
        <f t="shared" si="215"/>
        <v>Modal 20</v>
      </c>
      <c r="M1101" s="570">
        <f t="shared" si="216"/>
        <v>20</v>
      </c>
    </row>
    <row r="1102" spans="1:13">
      <c r="A1102" s="570" t="str">
        <f t="shared" si="217"/>
        <v>T321</v>
      </c>
      <c r="C1102" s="953" t="str">
        <f t="shared" si="206"/>
        <v>T3</v>
      </c>
      <c r="D1102" s="953" t="str">
        <f t="shared" si="207"/>
        <v>D1</v>
      </c>
      <c r="E1102" s="953">
        <f t="shared" si="208"/>
        <v>21</v>
      </c>
      <c r="F1102" s="953">
        <f t="shared" si="209"/>
        <v>-8.7500000000000002E-4</v>
      </c>
      <c r="G1102" s="953">
        <f t="shared" si="210"/>
        <v>5.5370000000000003E-3</v>
      </c>
      <c r="H1102" s="953">
        <f t="shared" si="211"/>
        <v>0</v>
      </c>
      <c r="I1102" s="953">
        <f t="shared" si="212"/>
        <v>0</v>
      </c>
      <c r="J1102" s="953">
        <f t="shared" si="213"/>
        <v>0</v>
      </c>
      <c r="K1102" s="953">
        <f t="shared" si="214"/>
        <v>-2.4000000000000001E-5</v>
      </c>
      <c r="L1102" s="570" t="str">
        <f t="shared" si="215"/>
        <v>Modal 21</v>
      </c>
      <c r="M1102" s="570">
        <f t="shared" si="216"/>
        <v>21</v>
      </c>
    </row>
    <row r="1103" spans="1:13">
      <c r="A1103" s="570" t="str">
        <f t="shared" si="217"/>
        <v>T322</v>
      </c>
      <c r="C1103" s="953" t="str">
        <f t="shared" si="206"/>
        <v>T3</v>
      </c>
      <c r="D1103" s="953" t="str">
        <f t="shared" si="207"/>
        <v>D1</v>
      </c>
      <c r="E1103" s="953">
        <f t="shared" si="208"/>
        <v>22</v>
      </c>
      <c r="F1103" s="953">
        <f t="shared" si="209"/>
        <v>-4.5700000000000003E-3</v>
      </c>
      <c r="G1103" s="953">
        <f t="shared" si="210"/>
        <v>-1.8E-3</v>
      </c>
      <c r="H1103" s="953">
        <f t="shared" si="211"/>
        <v>0</v>
      </c>
      <c r="I1103" s="953">
        <f t="shared" si="212"/>
        <v>0</v>
      </c>
      <c r="J1103" s="953">
        <f t="shared" si="213"/>
        <v>0</v>
      </c>
      <c r="K1103" s="953">
        <f t="shared" si="214"/>
        <v>4.8999999999999998E-5</v>
      </c>
      <c r="L1103" s="570" t="str">
        <f t="shared" si="215"/>
        <v>Modal 22</v>
      </c>
      <c r="M1103" s="570">
        <f t="shared" si="216"/>
        <v>22</v>
      </c>
    </row>
    <row r="1104" spans="1:13">
      <c r="A1104" s="570" t="str">
        <f t="shared" si="217"/>
        <v>T323</v>
      </c>
      <c r="C1104" s="953" t="str">
        <f t="shared" si="206"/>
        <v>T3</v>
      </c>
      <c r="D1104" s="953" t="str">
        <f t="shared" si="207"/>
        <v>D1</v>
      </c>
      <c r="E1104" s="953">
        <f t="shared" si="208"/>
        <v>23</v>
      </c>
      <c r="F1104" s="953">
        <f t="shared" si="209"/>
        <v>3.1480000000000002E-3</v>
      </c>
      <c r="G1104" s="953">
        <f t="shared" si="210"/>
        <v>-3.7569999999999999E-3</v>
      </c>
      <c r="H1104" s="953">
        <f t="shared" si="211"/>
        <v>0</v>
      </c>
      <c r="I1104" s="953">
        <f t="shared" si="212"/>
        <v>0</v>
      </c>
      <c r="J1104" s="953">
        <f t="shared" si="213"/>
        <v>0</v>
      </c>
      <c r="K1104" s="953">
        <f t="shared" si="214"/>
        <v>2.0999999999999999E-5</v>
      </c>
      <c r="L1104" s="570" t="str">
        <f t="shared" si="215"/>
        <v>Modal 23</v>
      </c>
      <c r="M1104" s="570">
        <f t="shared" si="216"/>
        <v>23</v>
      </c>
    </row>
    <row r="1105" spans="1:13">
      <c r="A1105" s="570" t="str">
        <f t="shared" si="217"/>
        <v>T324</v>
      </c>
      <c r="C1105" s="953" t="str">
        <f t="shared" si="206"/>
        <v>T3</v>
      </c>
      <c r="D1105" s="953" t="str">
        <f t="shared" si="207"/>
        <v>D1</v>
      </c>
      <c r="E1105" s="953">
        <f t="shared" si="208"/>
        <v>24</v>
      </c>
      <c r="F1105" s="953">
        <f t="shared" si="209"/>
        <v>-2.369E-3</v>
      </c>
      <c r="G1105" s="953">
        <f t="shared" si="210"/>
        <v>-3.2499999999999999E-3</v>
      </c>
      <c r="H1105" s="953">
        <f t="shared" si="211"/>
        <v>0</v>
      </c>
      <c r="I1105" s="953">
        <f t="shared" si="212"/>
        <v>0</v>
      </c>
      <c r="J1105" s="953">
        <f t="shared" si="213"/>
        <v>0</v>
      </c>
      <c r="K1105" s="953">
        <f t="shared" si="214"/>
        <v>2.1999999999999999E-5</v>
      </c>
      <c r="L1105" s="570" t="str">
        <f t="shared" si="215"/>
        <v>Modal 24</v>
      </c>
      <c r="M1105" s="570">
        <f t="shared" si="216"/>
        <v>24</v>
      </c>
    </row>
    <row r="1106" spans="1:13">
      <c r="A1106" s="570" t="str">
        <f t="shared" si="217"/>
        <v>T325</v>
      </c>
      <c r="C1106" s="953" t="str">
        <f t="shared" si="206"/>
        <v>T3</v>
      </c>
      <c r="D1106" s="953" t="str">
        <f t="shared" si="207"/>
        <v>D1</v>
      </c>
      <c r="E1106" s="953">
        <f t="shared" si="208"/>
        <v>25</v>
      </c>
      <c r="F1106" s="953">
        <f t="shared" si="209"/>
        <v>-2.9780000000000002E-3</v>
      </c>
      <c r="G1106" s="953">
        <f t="shared" si="210"/>
        <v>1.6689999999999999E-3</v>
      </c>
      <c r="H1106" s="953">
        <f t="shared" si="211"/>
        <v>0</v>
      </c>
      <c r="I1106" s="953">
        <f t="shared" si="212"/>
        <v>0</v>
      </c>
      <c r="J1106" s="953">
        <f t="shared" si="213"/>
        <v>0</v>
      </c>
      <c r="K1106" s="953">
        <f t="shared" si="214"/>
        <v>1.9999999999999999E-6</v>
      </c>
      <c r="L1106" s="570" t="str">
        <f t="shared" si="215"/>
        <v>Modal 25</v>
      </c>
      <c r="M1106" s="570">
        <f t="shared" si="216"/>
        <v>25</v>
      </c>
    </row>
    <row r="1107" spans="1:13">
      <c r="A1107" s="570" t="str">
        <f t="shared" si="217"/>
        <v>T326</v>
      </c>
      <c r="C1107" s="953" t="str">
        <f t="shared" si="206"/>
        <v>T3</v>
      </c>
      <c r="D1107" s="953" t="str">
        <f t="shared" si="207"/>
        <v>D1</v>
      </c>
      <c r="E1107" s="953">
        <f t="shared" si="208"/>
        <v>26</v>
      </c>
      <c r="F1107" s="953">
        <f t="shared" si="209"/>
        <v>-1.6670000000000001E-3</v>
      </c>
      <c r="G1107" s="953">
        <f t="shared" si="210"/>
        <v>-1.6639999999999999E-3</v>
      </c>
      <c r="H1107" s="953">
        <f t="shared" si="211"/>
        <v>0</v>
      </c>
      <c r="I1107" s="953">
        <f t="shared" si="212"/>
        <v>0</v>
      </c>
      <c r="J1107" s="953">
        <f t="shared" si="213"/>
        <v>0</v>
      </c>
      <c r="K1107" s="953">
        <f t="shared" si="214"/>
        <v>2.3E-5</v>
      </c>
      <c r="L1107" s="570" t="str">
        <f t="shared" si="215"/>
        <v>Modal 26</v>
      </c>
      <c r="M1107" s="570">
        <f t="shared" si="216"/>
        <v>26</v>
      </c>
    </row>
    <row r="1108" spans="1:13">
      <c r="A1108" s="570" t="str">
        <f t="shared" si="217"/>
        <v>T327</v>
      </c>
      <c r="C1108" s="953" t="str">
        <f t="shared" si="206"/>
        <v>T3</v>
      </c>
      <c r="D1108" s="953" t="str">
        <f t="shared" si="207"/>
        <v>D1</v>
      </c>
      <c r="E1108" s="953">
        <f t="shared" si="208"/>
        <v>27</v>
      </c>
      <c r="F1108" s="953">
        <f t="shared" si="209"/>
        <v>-4.411E-3</v>
      </c>
      <c r="G1108" s="953">
        <f t="shared" si="210"/>
        <v>3.153E-3</v>
      </c>
      <c r="H1108" s="953">
        <f t="shared" si="211"/>
        <v>0</v>
      </c>
      <c r="I1108" s="953">
        <f t="shared" si="212"/>
        <v>0</v>
      </c>
      <c r="J1108" s="953">
        <f t="shared" si="213"/>
        <v>0</v>
      </c>
      <c r="K1108" s="953">
        <f t="shared" si="214"/>
        <v>6.0000000000000002E-6</v>
      </c>
      <c r="L1108" s="570" t="str">
        <f t="shared" si="215"/>
        <v>Modal 27</v>
      </c>
      <c r="M1108" s="570">
        <f t="shared" si="216"/>
        <v>27</v>
      </c>
    </row>
    <row r="1109" spans="1:13">
      <c r="A1109" s="570" t="str">
        <f t="shared" si="217"/>
        <v>T328</v>
      </c>
      <c r="C1109" s="953" t="str">
        <f t="shared" si="206"/>
        <v>T3</v>
      </c>
      <c r="D1109" s="953" t="str">
        <f t="shared" si="207"/>
        <v>D1</v>
      </c>
      <c r="E1109" s="953">
        <f t="shared" si="208"/>
        <v>28</v>
      </c>
      <c r="F1109" s="953">
        <f t="shared" si="209"/>
        <v>-3.9360000000000003E-3</v>
      </c>
      <c r="G1109" s="953">
        <f t="shared" si="210"/>
        <v>-5.6010000000000001E-3</v>
      </c>
      <c r="H1109" s="953">
        <f t="shared" si="211"/>
        <v>0</v>
      </c>
      <c r="I1109" s="953">
        <f t="shared" si="212"/>
        <v>0</v>
      </c>
      <c r="J1109" s="953">
        <f t="shared" si="213"/>
        <v>0</v>
      </c>
      <c r="K1109" s="953">
        <f t="shared" si="214"/>
        <v>3.1999999999999999E-5</v>
      </c>
      <c r="L1109" s="570" t="str">
        <f t="shared" si="215"/>
        <v>Modal 28</v>
      </c>
      <c r="M1109" s="570">
        <f t="shared" si="216"/>
        <v>28</v>
      </c>
    </row>
    <row r="1110" spans="1:13">
      <c r="A1110" s="570" t="str">
        <f t="shared" si="217"/>
        <v>T329</v>
      </c>
      <c r="C1110" s="953" t="str">
        <f t="shared" si="206"/>
        <v>T3</v>
      </c>
      <c r="D1110" s="953" t="str">
        <f t="shared" si="207"/>
        <v>D1</v>
      </c>
      <c r="E1110" s="953">
        <f t="shared" si="208"/>
        <v>29</v>
      </c>
      <c r="F1110" s="953">
        <f t="shared" si="209"/>
        <v>-9.9780000000000008E-3</v>
      </c>
      <c r="G1110" s="953">
        <f t="shared" si="210"/>
        <v>5.306E-3</v>
      </c>
      <c r="H1110" s="953">
        <f t="shared" si="211"/>
        <v>0</v>
      </c>
      <c r="I1110" s="953">
        <f t="shared" si="212"/>
        <v>0</v>
      </c>
      <c r="J1110" s="953">
        <f t="shared" si="213"/>
        <v>0</v>
      </c>
      <c r="K1110" s="953">
        <f t="shared" si="214"/>
        <v>-3.9999999999999998E-6</v>
      </c>
      <c r="L1110" s="570" t="str">
        <f t="shared" si="215"/>
        <v>Modal 29</v>
      </c>
      <c r="M1110" s="570">
        <f t="shared" si="216"/>
        <v>29</v>
      </c>
    </row>
    <row r="1111" spans="1:13">
      <c r="A1111" s="570" t="str">
        <f t="shared" si="217"/>
        <v>T330</v>
      </c>
      <c r="C1111" s="953" t="str">
        <f t="shared" si="206"/>
        <v>T3</v>
      </c>
      <c r="D1111" s="953" t="str">
        <f t="shared" si="207"/>
        <v>D1</v>
      </c>
      <c r="E1111" s="953">
        <f t="shared" si="208"/>
        <v>30</v>
      </c>
      <c r="F1111" s="953">
        <f t="shared" si="209"/>
        <v>-4.8219999999999999E-3</v>
      </c>
      <c r="G1111" s="953">
        <f t="shared" si="210"/>
        <v>-9.4289999999999999E-3</v>
      </c>
      <c r="H1111" s="953">
        <f t="shared" si="211"/>
        <v>0</v>
      </c>
      <c r="I1111" s="953">
        <f t="shared" si="212"/>
        <v>0</v>
      </c>
      <c r="J1111" s="953">
        <f t="shared" si="213"/>
        <v>0</v>
      </c>
      <c r="K1111" s="953">
        <f t="shared" si="214"/>
        <v>4.0000000000000003E-5</v>
      </c>
      <c r="L1111" s="570" t="str">
        <f t="shared" si="215"/>
        <v>Modal 30</v>
      </c>
      <c r="M1111" s="570">
        <f t="shared" si="216"/>
        <v>30</v>
      </c>
    </row>
    <row r="1112" spans="1:13">
      <c r="A1112" s="570" t="str">
        <f t="shared" si="217"/>
        <v>T21</v>
      </c>
      <c r="C1112" s="953" t="str">
        <f t="shared" si="206"/>
        <v>T2</v>
      </c>
      <c r="D1112" s="953" t="str">
        <f t="shared" si="207"/>
        <v>D1</v>
      </c>
      <c r="E1112" s="953">
        <f t="shared" si="208"/>
        <v>1</v>
      </c>
      <c r="F1112" s="953">
        <f t="shared" si="209"/>
        <v>-2.0999999999999999E-5</v>
      </c>
      <c r="G1112" s="953">
        <f t="shared" si="210"/>
        <v>1.1E-4</v>
      </c>
      <c r="H1112" s="953">
        <f t="shared" si="211"/>
        <v>0</v>
      </c>
      <c r="I1112" s="953">
        <f t="shared" si="212"/>
        <v>0</v>
      </c>
      <c r="J1112" s="953">
        <f t="shared" si="213"/>
        <v>0</v>
      </c>
      <c r="K1112" s="953">
        <f t="shared" si="214"/>
        <v>9.9999999999999995E-7</v>
      </c>
      <c r="L1112" s="570" t="str">
        <f t="shared" si="215"/>
        <v>Modal 1</v>
      </c>
      <c r="M1112" s="570">
        <f t="shared" si="216"/>
        <v>1</v>
      </c>
    </row>
    <row r="1113" spans="1:13">
      <c r="A1113" s="570" t="str">
        <f t="shared" si="217"/>
        <v>T22</v>
      </c>
      <c r="C1113" s="953" t="str">
        <f t="shared" si="206"/>
        <v>T2</v>
      </c>
      <c r="D1113" s="953" t="str">
        <f t="shared" si="207"/>
        <v>D1</v>
      </c>
      <c r="E1113" s="953">
        <f t="shared" si="208"/>
        <v>2</v>
      </c>
      <c r="F1113" s="953">
        <f t="shared" si="209"/>
        <v>-2.1999999999999999E-5</v>
      </c>
      <c r="G1113" s="953">
        <f t="shared" si="210"/>
        <v>-2.1999999999999999E-5</v>
      </c>
      <c r="H1113" s="953">
        <f t="shared" si="211"/>
        <v>0</v>
      </c>
      <c r="I1113" s="953">
        <f t="shared" si="212"/>
        <v>0</v>
      </c>
      <c r="J1113" s="953">
        <f t="shared" si="213"/>
        <v>0</v>
      </c>
      <c r="K1113" s="953">
        <f t="shared" si="214"/>
        <v>7.9999999999999996E-6</v>
      </c>
      <c r="L1113" s="570" t="str">
        <f t="shared" si="215"/>
        <v>Modal 2</v>
      </c>
      <c r="M1113" s="570">
        <f t="shared" si="216"/>
        <v>2</v>
      </c>
    </row>
    <row r="1114" spans="1:13">
      <c r="A1114" s="570" t="str">
        <f t="shared" si="217"/>
        <v>T23</v>
      </c>
      <c r="C1114" s="953" t="str">
        <f t="shared" si="206"/>
        <v>T2</v>
      </c>
      <c r="D1114" s="953" t="str">
        <f t="shared" si="207"/>
        <v>D1</v>
      </c>
      <c r="E1114" s="953">
        <f t="shared" si="208"/>
        <v>3</v>
      </c>
      <c r="F1114" s="953">
        <f t="shared" si="209"/>
        <v>1.3799999999999999E-4</v>
      </c>
      <c r="G1114" s="953">
        <f t="shared" si="210"/>
        <v>2.6999999999999999E-5</v>
      </c>
      <c r="H1114" s="953">
        <f t="shared" si="211"/>
        <v>0</v>
      </c>
      <c r="I1114" s="953">
        <f t="shared" si="212"/>
        <v>0</v>
      </c>
      <c r="J1114" s="953">
        <f t="shared" si="213"/>
        <v>0</v>
      </c>
      <c r="K1114" s="953">
        <f t="shared" si="214"/>
        <v>1.9999999999999999E-6</v>
      </c>
      <c r="L1114" s="570" t="str">
        <f t="shared" si="215"/>
        <v>Modal 3</v>
      </c>
      <c r="M1114" s="570">
        <f t="shared" si="216"/>
        <v>3</v>
      </c>
    </row>
    <row r="1115" spans="1:13">
      <c r="A1115" s="570" t="str">
        <f t="shared" si="217"/>
        <v>T24</v>
      </c>
      <c r="C1115" s="953" t="str">
        <f t="shared" si="206"/>
        <v>T2</v>
      </c>
      <c r="D1115" s="953" t="str">
        <f t="shared" si="207"/>
        <v>D1</v>
      </c>
      <c r="E1115" s="953">
        <f t="shared" si="208"/>
        <v>4</v>
      </c>
      <c r="F1115" s="953">
        <f t="shared" si="209"/>
        <v>-8.2000000000000001E-5</v>
      </c>
      <c r="G1115" s="953">
        <f t="shared" si="210"/>
        <v>9.0000000000000002E-6</v>
      </c>
      <c r="H1115" s="953">
        <f t="shared" si="211"/>
        <v>0</v>
      </c>
      <c r="I1115" s="953">
        <f t="shared" si="212"/>
        <v>0</v>
      </c>
      <c r="J1115" s="953">
        <f t="shared" si="213"/>
        <v>0</v>
      </c>
      <c r="K1115" s="953">
        <f t="shared" si="214"/>
        <v>2.9E-5</v>
      </c>
      <c r="L1115" s="570" t="str">
        <f t="shared" si="215"/>
        <v>Modal 4</v>
      </c>
      <c r="M1115" s="570">
        <f t="shared" si="216"/>
        <v>4</v>
      </c>
    </row>
    <row r="1116" spans="1:13">
      <c r="A1116" s="570" t="str">
        <f t="shared" si="217"/>
        <v>T25</v>
      </c>
      <c r="C1116" s="953" t="str">
        <f t="shared" si="206"/>
        <v>T2</v>
      </c>
      <c r="D1116" s="953" t="str">
        <f t="shared" si="207"/>
        <v>D1</v>
      </c>
      <c r="E1116" s="953">
        <f t="shared" si="208"/>
        <v>5</v>
      </c>
      <c r="F1116" s="953">
        <f t="shared" si="209"/>
        <v>6.8999999999999997E-5</v>
      </c>
      <c r="G1116" s="953">
        <f t="shared" si="210"/>
        <v>-5.8299999999999997E-4</v>
      </c>
      <c r="H1116" s="953">
        <f t="shared" si="211"/>
        <v>0</v>
      </c>
      <c r="I1116" s="953">
        <f t="shared" si="212"/>
        <v>0</v>
      </c>
      <c r="J1116" s="953">
        <f t="shared" si="213"/>
        <v>0</v>
      </c>
      <c r="K1116" s="953">
        <f t="shared" si="214"/>
        <v>4.1680000000000003E-7</v>
      </c>
      <c r="L1116" s="570" t="str">
        <f t="shared" si="215"/>
        <v>Modal 5</v>
      </c>
      <c r="M1116" s="570">
        <f t="shared" si="216"/>
        <v>5</v>
      </c>
    </row>
    <row r="1117" spans="1:13">
      <c r="A1117" s="570" t="str">
        <f t="shared" si="217"/>
        <v>T26</v>
      </c>
      <c r="C1117" s="953" t="str">
        <f t="shared" si="206"/>
        <v>T2</v>
      </c>
      <c r="D1117" s="953" t="str">
        <f t="shared" si="207"/>
        <v>D1</v>
      </c>
      <c r="E1117" s="953">
        <f t="shared" si="208"/>
        <v>6</v>
      </c>
      <c r="F1117" s="953">
        <f t="shared" si="209"/>
        <v>-6.1899999999999998E-4</v>
      </c>
      <c r="G1117" s="953">
        <f t="shared" si="210"/>
        <v>-8.6000000000000003E-5</v>
      </c>
      <c r="H1117" s="953">
        <f t="shared" si="211"/>
        <v>0</v>
      </c>
      <c r="I1117" s="953">
        <f t="shared" si="212"/>
        <v>0</v>
      </c>
      <c r="J1117" s="953">
        <f t="shared" si="213"/>
        <v>0</v>
      </c>
      <c r="K1117" s="953">
        <f t="shared" si="214"/>
        <v>-6.9999999999999999E-6</v>
      </c>
      <c r="L1117" s="570" t="str">
        <f t="shared" si="215"/>
        <v>Modal 6</v>
      </c>
      <c r="M1117" s="570">
        <f t="shared" si="216"/>
        <v>6</v>
      </c>
    </row>
    <row r="1118" spans="1:13">
      <c r="A1118" s="570" t="str">
        <f t="shared" si="217"/>
        <v>T27</v>
      </c>
      <c r="C1118" s="953" t="str">
        <f t="shared" si="206"/>
        <v>T2</v>
      </c>
      <c r="D1118" s="953" t="str">
        <f t="shared" si="207"/>
        <v>D1</v>
      </c>
      <c r="E1118" s="953">
        <f t="shared" si="208"/>
        <v>7</v>
      </c>
      <c r="F1118" s="953">
        <f t="shared" si="209"/>
        <v>1.4799999999999999E-4</v>
      </c>
      <c r="G1118" s="953">
        <f t="shared" si="210"/>
        <v>-6.0000000000000002E-6</v>
      </c>
      <c r="H1118" s="953">
        <f t="shared" si="211"/>
        <v>0</v>
      </c>
      <c r="I1118" s="953">
        <f t="shared" si="212"/>
        <v>0</v>
      </c>
      <c r="J1118" s="953">
        <f t="shared" si="213"/>
        <v>0</v>
      </c>
      <c r="K1118" s="953">
        <f t="shared" si="214"/>
        <v>-5.7000000000000003E-5</v>
      </c>
      <c r="L1118" s="570" t="str">
        <f t="shared" si="215"/>
        <v>Modal 7</v>
      </c>
      <c r="M1118" s="570">
        <f t="shared" si="216"/>
        <v>7</v>
      </c>
    </row>
    <row r="1119" spans="1:13">
      <c r="A1119" s="570" t="str">
        <f t="shared" si="217"/>
        <v>T28</v>
      </c>
      <c r="C1119" s="953" t="str">
        <f t="shared" si="206"/>
        <v>T2</v>
      </c>
      <c r="D1119" s="953" t="str">
        <f t="shared" si="207"/>
        <v>D1</v>
      </c>
      <c r="E1119" s="953">
        <f t="shared" si="208"/>
        <v>8</v>
      </c>
      <c r="F1119" s="953">
        <f t="shared" si="209"/>
        <v>1.25E-4</v>
      </c>
      <c r="G1119" s="953">
        <f t="shared" si="210"/>
        <v>-1.284E-3</v>
      </c>
      <c r="H1119" s="953">
        <f t="shared" si="211"/>
        <v>0</v>
      </c>
      <c r="I1119" s="953">
        <f t="shared" si="212"/>
        <v>0</v>
      </c>
      <c r="J1119" s="953">
        <f t="shared" si="213"/>
        <v>0</v>
      </c>
      <c r="K1119" s="953">
        <f t="shared" si="214"/>
        <v>-9.9999999999999995E-7</v>
      </c>
      <c r="L1119" s="570" t="str">
        <f t="shared" si="215"/>
        <v>Modal 8</v>
      </c>
      <c r="M1119" s="570">
        <f t="shared" si="216"/>
        <v>8</v>
      </c>
    </row>
    <row r="1120" spans="1:13">
      <c r="A1120" s="570" t="str">
        <f t="shared" si="217"/>
        <v>T29</v>
      </c>
      <c r="C1120" s="953" t="str">
        <f t="shared" si="206"/>
        <v>T2</v>
      </c>
      <c r="D1120" s="953" t="str">
        <f t="shared" si="207"/>
        <v>D1</v>
      </c>
      <c r="E1120" s="953">
        <f t="shared" si="208"/>
        <v>9</v>
      </c>
      <c r="F1120" s="953">
        <f t="shared" si="209"/>
        <v>-4.8000000000000001E-5</v>
      </c>
      <c r="G1120" s="953">
        <f t="shared" si="210"/>
        <v>2.1999999999999999E-5</v>
      </c>
      <c r="H1120" s="953">
        <f t="shared" si="211"/>
        <v>0</v>
      </c>
      <c r="I1120" s="953">
        <f t="shared" si="212"/>
        <v>0</v>
      </c>
      <c r="J1120" s="953">
        <f t="shared" si="213"/>
        <v>0</v>
      </c>
      <c r="K1120" s="953">
        <f t="shared" si="214"/>
        <v>9.2999999999999997E-5</v>
      </c>
      <c r="L1120" s="570" t="str">
        <f t="shared" si="215"/>
        <v>Modal 9</v>
      </c>
      <c r="M1120" s="570">
        <f t="shared" si="216"/>
        <v>9</v>
      </c>
    </row>
    <row r="1121" spans="1:13">
      <c r="A1121" s="570" t="str">
        <f t="shared" si="217"/>
        <v>T210</v>
      </c>
      <c r="C1121" s="953" t="str">
        <f t="shared" si="206"/>
        <v>T2</v>
      </c>
      <c r="D1121" s="953" t="str">
        <f t="shared" si="207"/>
        <v>D1</v>
      </c>
      <c r="E1121" s="953">
        <f t="shared" si="208"/>
        <v>10</v>
      </c>
      <c r="F1121" s="953">
        <f t="shared" si="209"/>
        <v>-1.3649999999999999E-3</v>
      </c>
      <c r="G1121" s="953">
        <f t="shared" si="210"/>
        <v>-1.47E-4</v>
      </c>
      <c r="H1121" s="953">
        <f t="shared" si="211"/>
        <v>0</v>
      </c>
      <c r="I1121" s="953">
        <f t="shared" si="212"/>
        <v>0</v>
      </c>
      <c r="J1121" s="953">
        <f t="shared" si="213"/>
        <v>0</v>
      </c>
      <c r="K1121" s="953">
        <f t="shared" si="214"/>
        <v>-9.9999999999999995E-7</v>
      </c>
      <c r="L1121" s="570" t="str">
        <f t="shared" si="215"/>
        <v>Modal 10</v>
      </c>
      <c r="M1121" s="570">
        <f t="shared" si="216"/>
        <v>10</v>
      </c>
    </row>
    <row r="1122" spans="1:13">
      <c r="A1122" s="570" t="str">
        <f t="shared" si="217"/>
        <v>T211</v>
      </c>
      <c r="C1122" s="953" t="str">
        <f t="shared" si="206"/>
        <v>T2</v>
      </c>
      <c r="D1122" s="953" t="str">
        <f t="shared" si="207"/>
        <v>D1</v>
      </c>
      <c r="E1122" s="953">
        <f t="shared" si="208"/>
        <v>11</v>
      </c>
      <c r="F1122" s="953">
        <f t="shared" si="209"/>
        <v>-2.0599999999999999E-4</v>
      </c>
      <c r="G1122" s="953">
        <f t="shared" si="210"/>
        <v>7.6999999999999996E-4</v>
      </c>
      <c r="H1122" s="953">
        <f t="shared" si="211"/>
        <v>0</v>
      </c>
      <c r="I1122" s="953">
        <f t="shared" si="212"/>
        <v>0</v>
      </c>
      <c r="J1122" s="953">
        <f t="shared" si="213"/>
        <v>0</v>
      </c>
      <c r="K1122" s="953">
        <f t="shared" si="214"/>
        <v>1.2799999999999999E-4</v>
      </c>
      <c r="L1122" s="570" t="str">
        <f t="shared" si="215"/>
        <v>Modal 11</v>
      </c>
      <c r="M1122" s="570">
        <f t="shared" si="216"/>
        <v>11</v>
      </c>
    </row>
    <row r="1123" spans="1:13">
      <c r="A1123" s="570" t="str">
        <f t="shared" si="217"/>
        <v>T212</v>
      </c>
      <c r="C1123" s="953" t="str">
        <f t="shared" si="206"/>
        <v>T2</v>
      </c>
      <c r="D1123" s="953" t="str">
        <f t="shared" si="207"/>
        <v>D1</v>
      </c>
      <c r="E1123" s="953">
        <f t="shared" si="208"/>
        <v>12</v>
      </c>
      <c r="F1123" s="953">
        <f t="shared" si="209"/>
        <v>1.3200000000000001E-4</v>
      </c>
      <c r="G1123" s="953">
        <f t="shared" si="210"/>
        <v>-1.99E-3</v>
      </c>
      <c r="H1123" s="953">
        <f t="shared" si="211"/>
        <v>0</v>
      </c>
      <c r="I1123" s="953">
        <f t="shared" si="212"/>
        <v>0</v>
      </c>
      <c r="J1123" s="953">
        <f t="shared" si="213"/>
        <v>0</v>
      </c>
      <c r="K1123" s="953">
        <f t="shared" si="214"/>
        <v>4.6E-5</v>
      </c>
      <c r="L1123" s="570" t="str">
        <f t="shared" si="215"/>
        <v>Modal 12</v>
      </c>
      <c r="M1123" s="570">
        <f t="shared" si="216"/>
        <v>12</v>
      </c>
    </row>
    <row r="1124" spans="1:13">
      <c r="A1124" s="570" t="str">
        <f t="shared" si="217"/>
        <v>T213</v>
      </c>
      <c r="C1124" s="953" t="str">
        <f t="shared" si="206"/>
        <v>T2</v>
      </c>
      <c r="D1124" s="953" t="str">
        <f t="shared" si="207"/>
        <v>D1</v>
      </c>
      <c r="E1124" s="953">
        <f t="shared" si="208"/>
        <v>13</v>
      </c>
      <c r="F1124" s="953">
        <f t="shared" si="209"/>
        <v>2.2620000000000001E-3</v>
      </c>
      <c r="G1124" s="953">
        <f t="shared" si="210"/>
        <v>2.5000000000000001E-4</v>
      </c>
      <c r="H1124" s="953">
        <f t="shared" si="211"/>
        <v>0</v>
      </c>
      <c r="I1124" s="953">
        <f t="shared" si="212"/>
        <v>0</v>
      </c>
      <c r="J1124" s="953">
        <f t="shared" si="213"/>
        <v>0</v>
      </c>
      <c r="K1124" s="953">
        <f t="shared" si="214"/>
        <v>1.5E-5</v>
      </c>
      <c r="L1124" s="570" t="str">
        <f t="shared" si="215"/>
        <v>Modal 13</v>
      </c>
      <c r="M1124" s="570">
        <f t="shared" si="216"/>
        <v>13</v>
      </c>
    </row>
    <row r="1125" spans="1:13">
      <c r="A1125" s="570" t="str">
        <f t="shared" si="217"/>
        <v>T214</v>
      </c>
      <c r="C1125" s="953" t="str">
        <f t="shared" si="206"/>
        <v>T2</v>
      </c>
      <c r="D1125" s="953" t="str">
        <f t="shared" si="207"/>
        <v>D1</v>
      </c>
      <c r="E1125" s="953">
        <f t="shared" si="208"/>
        <v>14</v>
      </c>
      <c r="F1125" s="953">
        <f t="shared" si="209"/>
        <v>-2.02E-4</v>
      </c>
      <c r="G1125" s="953">
        <f t="shared" si="210"/>
        <v>9.5000000000000005E-5</v>
      </c>
      <c r="H1125" s="953">
        <f t="shared" si="211"/>
        <v>0</v>
      </c>
      <c r="I1125" s="953">
        <f t="shared" si="212"/>
        <v>0</v>
      </c>
      <c r="J1125" s="953">
        <f t="shared" si="213"/>
        <v>0</v>
      </c>
      <c r="K1125" s="953">
        <f t="shared" si="214"/>
        <v>1.8799999999999999E-4</v>
      </c>
      <c r="L1125" s="570" t="str">
        <f t="shared" si="215"/>
        <v>Modal 14</v>
      </c>
      <c r="M1125" s="570">
        <f t="shared" si="216"/>
        <v>14</v>
      </c>
    </row>
    <row r="1126" spans="1:13">
      <c r="A1126" s="570" t="str">
        <f t="shared" si="217"/>
        <v>T215</v>
      </c>
      <c r="C1126" s="953" t="str">
        <f t="shared" si="206"/>
        <v>T2</v>
      </c>
      <c r="D1126" s="953" t="str">
        <f t="shared" si="207"/>
        <v>D1</v>
      </c>
      <c r="E1126" s="953">
        <f t="shared" si="208"/>
        <v>15</v>
      </c>
      <c r="F1126" s="953">
        <f t="shared" si="209"/>
        <v>2.7999999999999998E-4</v>
      </c>
      <c r="G1126" s="953">
        <f t="shared" si="210"/>
        <v>-3.107E-3</v>
      </c>
      <c r="H1126" s="953">
        <f t="shared" si="211"/>
        <v>0</v>
      </c>
      <c r="I1126" s="953">
        <f t="shared" si="212"/>
        <v>0</v>
      </c>
      <c r="J1126" s="953">
        <f t="shared" si="213"/>
        <v>0</v>
      </c>
      <c r="K1126" s="953">
        <f t="shared" si="214"/>
        <v>-9.9999999999999995E-7</v>
      </c>
      <c r="L1126" s="570" t="str">
        <f t="shared" si="215"/>
        <v>Modal 15</v>
      </c>
      <c r="M1126" s="570">
        <f t="shared" si="216"/>
        <v>15</v>
      </c>
    </row>
    <row r="1127" spans="1:13">
      <c r="A1127" s="570" t="str">
        <f t="shared" si="217"/>
        <v>T216</v>
      </c>
      <c r="C1127" s="953" t="str">
        <f t="shared" si="206"/>
        <v>T2</v>
      </c>
      <c r="D1127" s="953" t="str">
        <f t="shared" si="207"/>
        <v>D1</v>
      </c>
      <c r="E1127" s="953">
        <f t="shared" si="208"/>
        <v>16</v>
      </c>
      <c r="F1127" s="953">
        <f t="shared" si="209"/>
        <v>2.1100000000000001E-4</v>
      </c>
      <c r="G1127" s="953">
        <f t="shared" si="210"/>
        <v>1.2400000000000001E-4</v>
      </c>
      <c r="H1127" s="953">
        <f t="shared" si="211"/>
        <v>0</v>
      </c>
      <c r="I1127" s="953">
        <f t="shared" si="212"/>
        <v>0</v>
      </c>
      <c r="J1127" s="953">
        <f t="shared" si="213"/>
        <v>0</v>
      </c>
      <c r="K1127" s="953">
        <f t="shared" si="214"/>
        <v>2.3499999999999999E-4</v>
      </c>
      <c r="L1127" s="570" t="str">
        <f t="shared" si="215"/>
        <v>Modal 16</v>
      </c>
      <c r="M1127" s="570">
        <f t="shared" si="216"/>
        <v>16</v>
      </c>
    </row>
    <row r="1128" spans="1:13">
      <c r="A1128" s="570" t="str">
        <f t="shared" si="217"/>
        <v>T217</v>
      </c>
      <c r="C1128" s="953" t="str">
        <f t="shared" si="206"/>
        <v>T2</v>
      </c>
      <c r="D1128" s="953" t="str">
        <f t="shared" si="207"/>
        <v>D1</v>
      </c>
      <c r="E1128" s="953">
        <f t="shared" si="208"/>
        <v>17</v>
      </c>
      <c r="F1128" s="953">
        <f t="shared" si="209"/>
        <v>3.3050000000000002E-3</v>
      </c>
      <c r="G1128" s="953">
        <f t="shared" si="210"/>
        <v>3.6299999999999999E-4</v>
      </c>
      <c r="H1128" s="953">
        <f t="shared" si="211"/>
        <v>0</v>
      </c>
      <c r="I1128" s="953">
        <f t="shared" si="212"/>
        <v>0</v>
      </c>
      <c r="J1128" s="953">
        <f t="shared" si="213"/>
        <v>0</v>
      </c>
      <c r="K1128" s="953">
        <f t="shared" si="214"/>
        <v>-6.0000000000000002E-6</v>
      </c>
      <c r="L1128" s="570" t="str">
        <f t="shared" si="215"/>
        <v>Modal 17</v>
      </c>
      <c r="M1128" s="570">
        <f t="shared" si="216"/>
        <v>17</v>
      </c>
    </row>
    <row r="1129" spans="1:13">
      <c r="A1129" s="570" t="str">
        <f t="shared" si="217"/>
        <v>T218</v>
      </c>
      <c r="C1129" s="953" t="str">
        <f t="shared" si="206"/>
        <v>T2</v>
      </c>
      <c r="D1129" s="953" t="str">
        <f t="shared" si="207"/>
        <v>D1</v>
      </c>
      <c r="E1129" s="953">
        <f t="shared" si="208"/>
        <v>18</v>
      </c>
      <c r="F1129" s="953">
        <f t="shared" si="209"/>
        <v>-3.77E-4</v>
      </c>
      <c r="G1129" s="953">
        <f t="shared" si="210"/>
        <v>4.0759999999999998E-3</v>
      </c>
      <c r="H1129" s="953">
        <f t="shared" si="211"/>
        <v>0</v>
      </c>
      <c r="I1129" s="953">
        <f t="shared" si="212"/>
        <v>0</v>
      </c>
      <c r="J1129" s="953">
        <f t="shared" si="213"/>
        <v>0</v>
      </c>
      <c r="K1129" s="953">
        <f t="shared" si="214"/>
        <v>3.3000000000000003E-5</v>
      </c>
      <c r="L1129" s="570" t="str">
        <f t="shared" si="215"/>
        <v>Modal 18</v>
      </c>
      <c r="M1129" s="570">
        <f t="shared" si="216"/>
        <v>18</v>
      </c>
    </row>
    <row r="1130" spans="1:13">
      <c r="A1130" s="570" t="str">
        <f t="shared" si="217"/>
        <v>T219</v>
      </c>
      <c r="C1130" s="953" t="str">
        <f t="shared" si="206"/>
        <v>T2</v>
      </c>
      <c r="D1130" s="953" t="str">
        <f t="shared" si="207"/>
        <v>D1</v>
      </c>
      <c r="E1130" s="953">
        <f t="shared" si="208"/>
        <v>19</v>
      </c>
      <c r="F1130" s="953">
        <f t="shared" si="209"/>
        <v>-1.0399999999999999E-4</v>
      </c>
      <c r="G1130" s="953">
        <f t="shared" si="210"/>
        <v>6.4599999999999998E-4</v>
      </c>
      <c r="H1130" s="953">
        <f t="shared" si="211"/>
        <v>0</v>
      </c>
      <c r="I1130" s="953">
        <f t="shared" si="212"/>
        <v>0</v>
      </c>
      <c r="J1130" s="953">
        <f t="shared" si="213"/>
        <v>0</v>
      </c>
      <c r="K1130" s="953">
        <f t="shared" si="214"/>
        <v>-2.12E-4</v>
      </c>
      <c r="L1130" s="570" t="str">
        <f t="shared" si="215"/>
        <v>Modal 19</v>
      </c>
      <c r="M1130" s="570">
        <f t="shared" si="216"/>
        <v>19</v>
      </c>
    </row>
    <row r="1131" spans="1:13">
      <c r="A1131" s="570" t="str">
        <f t="shared" si="217"/>
        <v>T220</v>
      </c>
      <c r="C1131" s="953" t="str">
        <f t="shared" si="206"/>
        <v>T2</v>
      </c>
      <c r="D1131" s="953" t="str">
        <f t="shared" si="207"/>
        <v>D1</v>
      </c>
      <c r="E1131" s="953">
        <f t="shared" si="208"/>
        <v>20</v>
      </c>
      <c r="F1131" s="953">
        <f t="shared" si="209"/>
        <v>4.3559999999999996E-3</v>
      </c>
      <c r="G1131" s="953">
        <f t="shared" si="210"/>
        <v>5.3700000000000004E-4</v>
      </c>
      <c r="H1131" s="953">
        <f t="shared" si="211"/>
        <v>0</v>
      </c>
      <c r="I1131" s="953">
        <f t="shared" si="212"/>
        <v>0</v>
      </c>
      <c r="J1131" s="953">
        <f t="shared" si="213"/>
        <v>0</v>
      </c>
      <c r="K1131" s="953">
        <f t="shared" si="214"/>
        <v>9.0000000000000002E-6</v>
      </c>
      <c r="L1131" s="570" t="str">
        <f t="shared" si="215"/>
        <v>Modal 20</v>
      </c>
      <c r="M1131" s="570">
        <f t="shared" si="216"/>
        <v>20</v>
      </c>
    </row>
    <row r="1132" spans="1:13">
      <c r="A1132" s="570" t="str">
        <f t="shared" si="217"/>
        <v>T221</v>
      </c>
      <c r="C1132" s="953" t="str">
        <f t="shared" si="206"/>
        <v>T2</v>
      </c>
      <c r="D1132" s="953" t="str">
        <f t="shared" si="207"/>
        <v>D1</v>
      </c>
      <c r="E1132" s="953">
        <f t="shared" si="208"/>
        <v>21</v>
      </c>
      <c r="F1132" s="953">
        <f t="shared" si="209"/>
        <v>-6.7000000000000002E-4</v>
      </c>
      <c r="G1132" s="953">
        <f t="shared" si="210"/>
        <v>4.8589999999999996E-3</v>
      </c>
      <c r="H1132" s="953">
        <f t="shared" si="211"/>
        <v>0</v>
      </c>
      <c r="I1132" s="953">
        <f t="shared" si="212"/>
        <v>0</v>
      </c>
      <c r="J1132" s="953">
        <f t="shared" si="213"/>
        <v>0</v>
      </c>
      <c r="K1132" s="953">
        <f t="shared" si="214"/>
        <v>9.0000000000000002E-6</v>
      </c>
      <c r="L1132" s="570" t="str">
        <f t="shared" si="215"/>
        <v>Modal 21</v>
      </c>
      <c r="M1132" s="570">
        <f t="shared" si="216"/>
        <v>21</v>
      </c>
    </row>
    <row r="1133" spans="1:13">
      <c r="A1133" s="570" t="str">
        <f t="shared" si="217"/>
        <v>T222</v>
      </c>
      <c r="C1133" s="953" t="str">
        <f t="shared" si="206"/>
        <v>T2</v>
      </c>
      <c r="D1133" s="953" t="str">
        <f t="shared" si="207"/>
        <v>D1</v>
      </c>
      <c r="E1133" s="953">
        <f t="shared" si="208"/>
        <v>22</v>
      </c>
      <c r="F1133" s="953">
        <f t="shared" si="209"/>
        <v>-3.8769999999999998E-3</v>
      </c>
      <c r="G1133" s="953">
        <f t="shared" si="210"/>
        <v>-1.8159999999999999E-3</v>
      </c>
      <c r="H1133" s="953">
        <f t="shared" si="211"/>
        <v>0</v>
      </c>
      <c r="I1133" s="953">
        <f t="shared" si="212"/>
        <v>0</v>
      </c>
      <c r="J1133" s="953">
        <f t="shared" si="213"/>
        <v>0</v>
      </c>
      <c r="K1133" s="953">
        <f t="shared" si="214"/>
        <v>6.7999999999999999E-5</v>
      </c>
      <c r="L1133" s="570" t="str">
        <f t="shared" si="215"/>
        <v>Modal 22</v>
      </c>
      <c r="M1133" s="570">
        <f t="shared" si="216"/>
        <v>22</v>
      </c>
    </row>
    <row r="1134" spans="1:13">
      <c r="A1134" s="570" t="str">
        <f t="shared" si="217"/>
        <v>T223</v>
      </c>
      <c r="C1134" s="953" t="str">
        <f t="shared" si="206"/>
        <v>T2</v>
      </c>
      <c r="D1134" s="953" t="str">
        <f t="shared" si="207"/>
        <v>D1</v>
      </c>
      <c r="E1134" s="953">
        <f t="shared" si="208"/>
        <v>23</v>
      </c>
      <c r="F1134" s="953">
        <f t="shared" si="209"/>
        <v>3.6740000000000002E-3</v>
      </c>
      <c r="G1134" s="953">
        <f t="shared" si="210"/>
        <v>-4.2820000000000002E-3</v>
      </c>
      <c r="H1134" s="953">
        <f t="shared" si="211"/>
        <v>0</v>
      </c>
      <c r="I1134" s="953">
        <f t="shared" si="212"/>
        <v>0</v>
      </c>
      <c r="J1134" s="953">
        <f t="shared" si="213"/>
        <v>0</v>
      </c>
      <c r="K1134" s="953">
        <f t="shared" si="214"/>
        <v>5.3999999999999998E-5</v>
      </c>
      <c r="L1134" s="570" t="str">
        <f t="shared" si="215"/>
        <v>Modal 23</v>
      </c>
      <c r="M1134" s="570">
        <f t="shared" si="216"/>
        <v>23</v>
      </c>
    </row>
    <row r="1135" spans="1:13">
      <c r="A1135" s="570" t="str">
        <f t="shared" si="217"/>
        <v>T224</v>
      </c>
      <c r="C1135" s="953" t="str">
        <f t="shared" si="206"/>
        <v>T2</v>
      </c>
      <c r="D1135" s="953" t="str">
        <f t="shared" si="207"/>
        <v>D1</v>
      </c>
      <c r="E1135" s="953">
        <f t="shared" si="208"/>
        <v>24</v>
      </c>
      <c r="F1135" s="953">
        <f t="shared" si="209"/>
        <v>-3.4090000000000001E-3</v>
      </c>
      <c r="G1135" s="953">
        <f t="shared" si="210"/>
        <v>-3.986E-3</v>
      </c>
      <c r="H1135" s="953">
        <f t="shared" si="211"/>
        <v>0</v>
      </c>
      <c r="I1135" s="953">
        <f t="shared" si="212"/>
        <v>0</v>
      </c>
      <c r="J1135" s="953">
        <f t="shared" si="213"/>
        <v>0</v>
      </c>
      <c r="K1135" s="953">
        <f t="shared" si="214"/>
        <v>-1.2999999999999999E-5</v>
      </c>
      <c r="L1135" s="570" t="str">
        <f t="shared" si="215"/>
        <v>Modal 24</v>
      </c>
      <c r="M1135" s="570">
        <f t="shared" si="216"/>
        <v>24</v>
      </c>
    </row>
    <row r="1136" spans="1:13">
      <c r="A1136" s="570" t="str">
        <f t="shared" si="217"/>
        <v>T225</v>
      </c>
      <c r="C1136" s="953" t="str">
        <f t="shared" si="206"/>
        <v>T2</v>
      </c>
      <c r="D1136" s="953" t="str">
        <f t="shared" si="207"/>
        <v>D1</v>
      </c>
      <c r="E1136" s="953">
        <f t="shared" si="208"/>
        <v>25</v>
      </c>
      <c r="F1136" s="953">
        <f t="shared" si="209"/>
        <v>-4.3049999999999998E-3</v>
      </c>
      <c r="G1136" s="953">
        <f t="shared" si="210"/>
        <v>2.9380000000000001E-3</v>
      </c>
      <c r="H1136" s="953">
        <f t="shared" si="211"/>
        <v>0</v>
      </c>
      <c r="I1136" s="953">
        <f t="shared" si="212"/>
        <v>0</v>
      </c>
      <c r="J1136" s="953">
        <f t="shared" si="213"/>
        <v>0</v>
      </c>
      <c r="K1136" s="953">
        <f t="shared" si="214"/>
        <v>2.9E-5</v>
      </c>
      <c r="L1136" s="570" t="str">
        <f t="shared" si="215"/>
        <v>Modal 25</v>
      </c>
      <c r="M1136" s="570">
        <f t="shared" si="216"/>
        <v>25</v>
      </c>
    </row>
    <row r="1137" spans="1:13">
      <c r="A1137" s="570" t="str">
        <f t="shared" si="217"/>
        <v>T226</v>
      </c>
      <c r="C1137" s="953" t="str">
        <f t="shared" si="206"/>
        <v>T2</v>
      </c>
      <c r="D1137" s="953" t="str">
        <f t="shared" si="207"/>
        <v>D1</v>
      </c>
      <c r="E1137" s="953">
        <f t="shared" si="208"/>
        <v>26</v>
      </c>
      <c r="F1137" s="953">
        <f t="shared" si="209"/>
        <v>-2.6310000000000001E-3</v>
      </c>
      <c r="G1137" s="953">
        <f t="shared" si="210"/>
        <v>-4.0590000000000001E-3</v>
      </c>
      <c r="H1137" s="953">
        <f t="shared" si="211"/>
        <v>0</v>
      </c>
      <c r="I1137" s="953">
        <f t="shared" si="212"/>
        <v>0</v>
      </c>
      <c r="J1137" s="953">
        <f t="shared" si="213"/>
        <v>0</v>
      </c>
      <c r="K1137" s="953">
        <f t="shared" si="214"/>
        <v>5.5999999999999999E-5</v>
      </c>
      <c r="L1137" s="570" t="str">
        <f t="shared" si="215"/>
        <v>Modal 26</v>
      </c>
      <c r="M1137" s="570">
        <f t="shared" si="216"/>
        <v>26</v>
      </c>
    </row>
    <row r="1138" spans="1:13">
      <c r="A1138" s="570" t="str">
        <f t="shared" si="217"/>
        <v>T227</v>
      </c>
      <c r="C1138" s="953" t="str">
        <f t="shared" si="206"/>
        <v>T2</v>
      </c>
      <c r="D1138" s="953" t="str">
        <f t="shared" si="207"/>
        <v>D1</v>
      </c>
      <c r="E1138" s="953">
        <f t="shared" si="208"/>
        <v>27</v>
      </c>
      <c r="F1138" s="953">
        <f t="shared" si="209"/>
        <v>1.5590000000000001E-3</v>
      </c>
      <c r="G1138" s="953">
        <f t="shared" si="210"/>
        <v>-1.446E-3</v>
      </c>
      <c r="H1138" s="953">
        <f t="shared" si="211"/>
        <v>0</v>
      </c>
      <c r="I1138" s="953">
        <f t="shared" si="212"/>
        <v>0</v>
      </c>
      <c r="J1138" s="953">
        <f t="shared" si="213"/>
        <v>0</v>
      </c>
      <c r="K1138" s="953">
        <f t="shared" si="214"/>
        <v>3.3000000000000003E-5</v>
      </c>
      <c r="L1138" s="570" t="str">
        <f t="shared" si="215"/>
        <v>Modal 27</v>
      </c>
      <c r="M1138" s="570">
        <f t="shared" si="216"/>
        <v>27</v>
      </c>
    </row>
    <row r="1139" spans="1:13">
      <c r="A1139" s="570" t="str">
        <f t="shared" si="217"/>
        <v>T228</v>
      </c>
      <c r="C1139" s="953" t="str">
        <f t="shared" si="206"/>
        <v>T2</v>
      </c>
      <c r="D1139" s="953" t="str">
        <f t="shared" si="207"/>
        <v>D1</v>
      </c>
      <c r="E1139" s="953">
        <f t="shared" si="208"/>
        <v>28</v>
      </c>
      <c r="F1139" s="953">
        <f t="shared" si="209"/>
        <v>6.3400000000000001E-4</v>
      </c>
      <c r="G1139" s="953">
        <f t="shared" si="210"/>
        <v>9.4600000000000001E-4</v>
      </c>
      <c r="H1139" s="953">
        <f t="shared" si="211"/>
        <v>0</v>
      </c>
      <c r="I1139" s="953">
        <f t="shared" si="212"/>
        <v>0</v>
      </c>
      <c r="J1139" s="953">
        <f t="shared" si="213"/>
        <v>0</v>
      </c>
      <c r="K1139" s="953">
        <f t="shared" si="214"/>
        <v>-5.0000000000000004E-6</v>
      </c>
      <c r="L1139" s="570" t="str">
        <f t="shared" si="215"/>
        <v>Modal 28</v>
      </c>
      <c r="M1139" s="570">
        <f t="shared" si="216"/>
        <v>28</v>
      </c>
    </row>
    <row r="1140" spans="1:13">
      <c r="A1140" s="570" t="str">
        <f t="shared" si="217"/>
        <v>T229</v>
      </c>
      <c r="C1140" s="953" t="str">
        <f t="shared" si="206"/>
        <v>T2</v>
      </c>
      <c r="D1140" s="953" t="str">
        <f t="shared" si="207"/>
        <v>D1</v>
      </c>
      <c r="E1140" s="953">
        <f t="shared" si="208"/>
        <v>29</v>
      </c>
      <c r="F1140" s="953">
        <f t="shared" si="209"/>
        <v>-1.1132E-2</v>
      </c>
      <c r="G1140" s="953">
        <f t="shared" si="210"/>
        <v>5.5950000000000001E-3</v>
      </c>
      <c r="H1140" s="953">
        <f t="shared" si="211"/>
        <v>0</v>
      </c>
      <c r="I1140" s="953">
        <f t="shared" si="212"/>
        <v>0</v>
      </c>
      <c r="J1140" s="953">
        <f t="shared" si="213"/>
        <v>0</v>
      </c>
      <c r="K1140" s="953">
        <f t="shared" si="214"/>
        <v>-2.8E-5</v>
      </c>
      <c r="L1140" s="570" t="str">
        <f t="shared" si="215"/>
        <v>Modal 29</v>
      </c>
      <c r="M1140" s="570">
        <f t="shared" si="216"/>
        <v>29</v>
      </c>
    </row>
    <row r="1141" spans="1:13">
      <c r="A1141" s="570" t="str">
        <f t="shared" si="217"/>
        <v>T230</v>
      </c>
      <c r="C1141" s="953" t="str">
        <f t="shared" si="206"/>
        <v>T2</v>
      </c>
      <c r="D1141" s="953" t="str">
        <f t="shared" si="207"/>
        <v>D1</v>
      </c>
      <c r="E1141" s="953">
        <f t="shared" si="208"/>
        <v>30</v>
      </c>
      <c r="F1141" s="953">
        <f t="shared" si="209"/>
        <v>-6.4339999999999996E-3</v>
      </c>
      <c r="G1141" s="953">
        <f t="shared" si="210"/>
        <v>-1.1354E-2</v>
      </c>
      <c r="H1141" s="953">
        <f t="shared" si="211"/>
        <v>0</v>
      </c>
      <c r="I1141" s="953">
        <f t="shared" si="212"/>
        <v>0</v>
      </c>
      <c r="J1141" s="953">
        <f t="shared" si="213"/>
        <v>0</v>
      </c>
      <c r="K1141" s="953">
        <f t="shared" si="214"/>
        <v>3.1999999999999999E-5</v>
      </c>
      <c r="L1141" s="570" t="str">
        <f t="shared" si="215"/>
        <v>Modal 30</v>
      </c>
      <c r="M1141" s="570">
        <f t="shared" si="216"/>
        <v>30</v>
      </c>
    </row>
    <row r="1142" spans="1:13">
      <c r="A1142" s="570" t="str">
        <f t="shared" si="217"/>
        <v>T11</v>
      </c>
      <c r="C1142" s="953" t="str">
        <f t="shared" si="206"/>
        <v>T1</v>
      </c>
      <c r="D1142" s="953" t="str">
        <f t="shared" si="207"/>
        <v>D1</v>
      </c>
      <c r="E1142" s="953">
        <f t="shared" si="208"/>
        <v>1</v>
      </c>
      <c r="F1142" s="953">
        <f t="shared" si="209"/>
        <v>-5.0000000000000004E-6</v>
      </c>
      <c r="G1142" s="953">
        <f t="shared" si="210"/>
        <v>3.4E-5</v>
      </c>
      <c r="H1142" s="953">
        <f t="shared" si="211"/>
        <v>0</v>
      </c>
      <c r="I1142" s="953">
        <f t="shared" si="212"/>
        <v>0</v>
      </c>
      <c r="J1142" s="953">
        <f t="shared" si="213"/>
        <v>0</v>
      </c>
      <c r="K1142" s="953">
        <f t="shared" si="214"/>
        <v>4.2010000000000001E-7</v>
      </c>
      <c r="L1142" s="570" t="str">
        <f t="shared" si="215"/>
        <v>Modal 1</v>
      </c>
      <c r="M1142" s="570">
        <f t="shared" si="216"/>
        <v>1</v>
      </c>
    </row>
    <row r="1143" spans="1:13">
      <c r="A1143" s="570" t="str">
        <f t="shared" si="217"/>
        <v>T12</v>
      </c>
      <c r="C1143" s="953" t="str">
        <f t="shared" si="206"/>
        <v>T1</v>
      </c>
      <c r="D1143" s="953" t="str">
        <f t="shared" si="207"/>
        <v>D1</v>
      </c>
      <c r="E1143" s="953">
        <f t="shared" si="208"/>
        <v>2</v>
      </c>
      <c r="F1143" s="953">
        <f t="shared" si="209"/>
        <v>-9.9999999999999995E-7</v>
      </c>
      <c r="G1143" s="953">
        <f t="shared" si="210"/>
        <v>-9.9999999999999995E-7</v>
      </c>
      <c r="H1143" s="953">
        <f t="shared" si="211"/>
        <v>0</v>
      </c>
      <c r="I1143" s="953">
        <f t="shared" si="212"/>
        <v>0</v>
      </c>
      <c r="J1143" s="953">
        <f t="shared" si="213"/>
        <v>0</v>
      </c>
      <c r="K1143" s="953">
        <f t="shared" si="214"/>
        <v>1.9999999999999999E-6</v>
      </c>
      <c r="L1143" s="570" t="str">
        <f t="shared" si="215"/>
        <v>Modal 2</v>
      </c>
      <c r="M1143" s="570">
        <f t="shared" si="216"/>
        <v>2</v>
      </c>
    </row>
    <row r="1144" spans="1:13">
      <c r="A1144" s="570" t="str">
        <f t="shared" si="217"/>
        <v>T13</v>
      </c>
      <c r="C1144" s="953" t="str">
        <f t="shared" si="206"/>
        <v>T1</v>
      </c>
      <c r="D1144" s="953" t="str">
        <f t="shared" si="207"/>
        <v>D1</v>
      </c>
      <c r="E1144" s="953">
        <f t="shared" si="208"/>
        <v>3</v>
      </c>
      <c r="F1144" s="953">
        <f t="shared" si="209"/>
        <v>4.5000000000000003E-5</v>
      </c>
      <c r="G1144" s="953">
        <f t="shared" si="210"/>
        <v>1.0000000000000001E-5</v>
      </c>
      <c r="H1144" s="953">
        <f t="shared" si="211"/>
        <v>0</v>
      </c>
      <c r="I1144" s="953">
        <f t="shared" si="212"/>
        <v>0</v>
      </c>
      <c r="J1144" s="953">
        <f t="shared" si="213"/>
        <v>0</v>
      </c>
      <c r="K1144" s="953">
        <f t="shared" si="214"/>
        <v>9.9999999999999995E-7</v>
      </c>
      <c r="L1144" s="570" t="str">
        <f t="shared" si="215"/>
        <v>Modal 3</v>
      </c>
      <c r="M1144" s="570">
        <f t="shared" si="216"/>
        <v>3</v>
      </c>
    </row>
    <row r="1145" spans="1:13">
      <c r="A1145" s="570" t="str">
        <f t="shared" si="217"/>
        <v>T14</v>
      </c>
      <c r="C1145" s="953" t="str">
        <f t="shared" si="206"/>
        <v>T1</v>
      </c>
      <c r="D1145" s="953" t="str">
        <f t="shared" si="207"/>
        <v>D1</v>
      </c>
      <c r="E1145" s="953">
        <f t="shared" si="208"/>
        <v>4</v>
      </c>
      <c r="F1145" s="953">
        <f t="shared" si="209"/>
        <v>-6.0000000000000002E-6</v>
      </c>
      <c r="G1145" s="953">
        <f t="shared" si="210"/>
        <v>2.5000000000000001E-5</v>
      </c>
      <c r="H1145" s="953">
        <f t="shared" si="211"/>
        <v>0</v>
      </c>
      <c r="I1145" s="953">
        <f t="shared" si="212"/>
        <v>0</v>
      </c>
      <c r="J1145" s="953">
        <f t="shared" si="213"/>
        <v>0</v>
      </c>
      <c r="K1145" s="953">
        <f t="shared" si="214"/>
        <v>7.9999999999999996E-6</v>
      </c>
      <c r="L1145" s="570" t="str">
        <f t="shared" si="215"/>
        <v>Modal 4</v>
      </c>
      <c r="M1145" s="570">
        <f t="shared" si="216"/>
        <v>4</v>
      </c>
    </row>
    <row r="1146" spans="1:13">
      <c r="A1146" s="570" t="str">
        <f t="shared" si="217"/>
        <v>T15</v>
      </c>
      <c r="C1146" s="953" t="str">
        <f t="shared" si="206"/>
        <v>T1</v>
      </c>
      <c r="D1146" s="953" t="str">
        <f t="shared" si="207"/>
        <v>D1</v>
      </c>
      <c r="E1146" s="953">
        <f t="shared" si="208"/>
        <v>5</v>
      </c>
      <c r="F1146" s="953">
        <f t="shared" si="209"/>
        <v>2.1999999999999999E-5</v>
      </c>
      <c r="G1146" s="953">
        <f t="shared" si="210"/>
        <v>-1.84E-4</v>
      </c>
      <c r="H1146" s="953">
        <f t="shared" si="211"/>
        <v>0</v>
      </c>
      <c r="I1146" s="953">
        <f t="shared" si="212"/>
        <v>0</v>
      </c>
      <c r="J1146" s="953">
        <f t="shared" si="213"/>
        <v>0</v>
      </c>
      <c r="K1146" s="953">
        <f t="shared" si="214"/>
        <v>3.0769999999999997E-8</v>
      </c>
      <c r="L1146" s="570" t="str">
        <f t="shared" si="215"/>
        <v>Modal 5</v>
      </c>
      <c r="M1146" s="570">
        <f t="shared" si="216"/>
        <v>5</v>
      </c>
    </row>
    <row r="1147" spans="1:13">
      <c r="A1147" s="570" t="str">
        <f t="shared" si="217"/>
        <v>T16</v>
      </c>
      <c r="C1147" s="953" t="str">
        <f t="shared" si="206"/>
        <v>T1</v>
      </c>
      <c r="D1147" s="953" t="str">
        <f t="shared" si="207"/>
        <v>D1</v>
      </c>
      <c r="E1147" s="953">
        <f t="shared" si="208"/>
        <v>6</v>
      </c>
      <c r="F1147" s="953">
        <f t="shared" si="209"/>
        <v>-2.12E-4</v>
      </c>
      <c r="G1147" s="953">
        <f t="shared" si="210"/>
        <v>-3.4999999999999997E-5</v>
      </c>
      <c r="H1147" s="953">
        <f t="shared" si="211"/>
        <v>0</v>
      </c>
      <c r="I1147" s="953">
        <f t="shared" si="212"/>
        <v>0</v>
      </c>
      <c r="J1147" s="953">
        <f t="shared" si="213"/>
        <v>0</v>
      </c>
      <c r="K1147" s="953">
        <f t="shared" si="214"/>
        <v>-1.9999999999999999E-6</v>
      </c>
      <c r="L1147" s="570" t="str">
        <f t="shared" si="215"/>
        <v>Modal 6</v>
      </c>
      <c r="M1147" s="570">
        <f t="shared" si="216"/>
        <v>6</v>
      </c>
    </row>
    <row r="1148" spans="1:13">
      <c r="A1148" s="570" t="str">
        <f t="shared" si="217"/>
        <v>T17</v>
      </c>
      <c r="C1148" s="953" t="str">
        <f t="shared" si="206"/>
        <v>T1</v>
      </c>
      <c r="D1148" s="953" t="str">
        <f t="shared" si="207"/>
        <v>D1</v>
      </c>
      <c r="E1148" s="953">
        <f t="shared" si="208"/>
        <v>7</v>
      </c>
      <c r="F1148" s="953">
        <f t="shared" si="209"/>
        <v>6.9999999999999999E-6</v>
      </c>
      <c r="G1148" s="953">
        <f t="shared" si="210"/>
        <v>-4.8000000000000001E-5</v>
      </c>
      <c r="H1148" s="953">
        <f t="shared" si="211"/>
        <v>0</v>
      </c>
      <c r="I1148" s="953">
        <f t="shared" si="212"/>
        <v>0</v>
      </c>
      <c r="J1148" s="953">
        <f t="shared" si="213"/>
        <v>0</v>
      </c>
      <c r="K1148" s="953">
        <f t="shared" si="214"/>
        <v>-1.7E-5</v>
      </c>
      <c r="L1148" s="570" t="str">
        <f t="shared" si="215"/>
        <v>Modal 7</v>
      </c>
      <c r="M1148" s="570">
        <f t="shared" si="216"/>
        <v>7</v>
      </c>
    </row>
    <row r="1149" spans="1:13">
      <c r="A1149" s="570" t="str">
        <f t="shared" si="217"/>
        <v>T18</v>
      </c>
      <c r="C1149" s="953" t="str">
        <f t="shared" si="206"/>
        <v>T1</v>
      </c>
      <c r="D1149" s="953" t="str">
        <f t="shared" si="207"/>
        <v>D1</v>
      </c>
      <c r="E1149" s="953">
        <f t="shared" si="208"/>
        <v>8</v>
      </c>
      <c r="F1149" s="953">
        <f t="shared" si="209"/>
        <v>4.0000000000000003E-5</v>
      </c>
      <c r="G1149" s="953">
        <f t="shared" si="210"/>
        <v>-4.2900000000000002E-4</v>
      </c>
      <c r="H1149" s="953">
        <f t="shared" si="211"/>
        <v>0</v>
      </c>
      <c r="I1149" s="953">
        <f t="shared" si="212"/>
        <v>0</v>
      </c>
      <c r="J1149" s="953">
        <f t="shared" si="213"/>
        <v>0</v>
      </c>
      <c r="K1149" s="953">
        <f t="shared" si="214"/>
        <v>-4.3490000000000001E-7</v>
      </c>
      <c r="L1149" s="570" t="str">
        <f t="shared" si="215"/>
        <v>Modal 8</v>
      </c>
      <c r="M1149" s="570">
        <f t="shared" si="216"/>
        <v>8</v>
      </c>
    </row>
    <row r="1150" spans="1:13">
      <c r="A1150" s="570" t="str">
        <f t="shared" si="217"/>
        <v>T19</v>
      </c>
      <c r="C1150" s="953" t="str">
        <f t="shared" si="206"/>
        <v>T1</v>
      </c>
      <c r="D1150" s="953" t="str">
        <f t="shared" si="207"/>
        <v>D1</v>
      </c>
      <c r="E1150" s="953">
        <f t="shared" si="208"/>
        <v>9</v>
      </c>
      <c r="F1150" s="953">
        <f t="shared" si="209"/>
        <v>5.8E-5</v>
      </c>
      <c r="G1150" s="953">
        <f t="shared" si="210"/>
        <v>9.0000000000000006E-5</v>
      </c>
      <c r="H1150" s="953">
        <f t="shared" si="211"/>
        <v>0</v>
      </c>
      <c r="I1150" s="953">
        <f t="shared" si="212"/>
        <v>0</v>
      </c>
      <c r="J1150" s="953">
        <f t="shared" si="213"/>
        <v>0</v>
      </c>
      <c r="K1150" s="953">
        <f t="shared" si="214"/>
        <v>3.0000000000000001E-5</v>
      </c>
      <c r="L1150" s="570" t="str">
        <f t="shared" si="215"/>
        <v>Modal 9</v>
      </c>
      <c r="M1150" s="570">
        <f t="shared" si="216"/>
        <v>9</v>
      </c>
    </row>
    <row r="1151" spans="1:13">
      <c r="A1151" s="570" t="str">
        <f t="shared" si="217"/>
        <v>T110</v>
      </c>
      <c r="C1151" s="953" t="str">
        <f t="shared" si="206"/>
        <v>T1</v>
      </c>
      <c r="D1151" s="953" t="str">
        <f t="shared" si="207"/>
        <v>D1</v>
      </c>
      <c r="E1151" s="953">
        <f t="shared" si="208"/>
        <v>10</v>
      </c>
      <c r="F1151" s="953">
        <f t="shared" si="209"/>
        <v>-4.8899999999999996E-4</v>
      </c>
      <c r="G1151" s="953">
        <f t="shared" si="210"/>
        <v>-5.5000000000000002E-5</v>
      </c>
      <c r="H1151" s="953">
        <f t="shared" si="211"/>
        <v>0</v>
      </c>
      <c r="I1151" s="953">
        <f t="shared" si="212"/>
        <v>0</v>
      </c>
      <c r="J1151" s="953">
        <f t="shared" si="213"/>
        <v>0</v>
      </c>
      <c r="K1151" s="953">
        <f t="shared" si="214"/>
        <v>-9.9999999999999995E-7</v>
      </c>
      <c r="L1151" s="570" t="str">
        <f t="shared" si="215"/>
        <v>Modal 10</v>
      </c>
      <c r="M1151" s="570">
        <f t="shared" si="216"/>
        <v>10</v>
      </c>
    </row>
    <row r="1152" spans="1:13">
      <c r="A1152" s="570" t="str">
        <f t="shared" si="217"/>
        <v>T111</v>
      </c>
      <c r="C1152" s="953" t="str">
        <f t="shared" si="206"/>
        <v>T1</v>
      </c>
      <c r="D1152" s="953" t="str">
        <f t="shared" si="207"/>
        <v>D1</v>
      </c>
      <c r="E1152" s="953">
        <f t="shared" si="208"/>
        <v>11</v>
      </c>
      <c r="F1152" s="953">
        <f t="shared" si="209"/>
        <v>3.8999999999999999E-5</v>
      </c>
      <c r="G1152" s="953">
        <f t="shared" si="210"/>
        <v>4.0700000000000003E-4</v>
      </c>
      <c r="H1152" s="953">
        <f t="shared" si="211"/>
        <v>0</v>
      </c>
      <c r="I1152" s="953">
        <f t="shared" si="212"/>
        <v>0</v>
      </c>
      <c r="J1152" s="953">
        <f t="shared" si="213"/>
        <v>0</v>
      </c>
      <c r="K1152" s="953">
        <f t="shared" si="214"/>
        <v>4.6999999999999997E-5</v>
      </c>
      <c r="L1152" s="570" t="str">
        <f t="shared" si="215"/>
        <v>Modal 11</v>
      </c>
      <c r="M1152" s="570">
        <f t="shared" si="216"/>
        <v>11</v>
      </c>
    </row>
    <row r="1153" spans="1:13">
      <c r="A1153" s="570" t="str">
        <f t="shared" si="217"/>
        <v>T112</v>
      </c>
      <c r="C1153" s="953" t="str">
        <f t="shared" si="206"/>
        <v>T1</v>
      </c>
      <c r="D1153" s="953" t="str">
        <f t="shared" si="207"/>
        <v>D1</v>
      </c>
      <c r="E1153" s="953">
        <f t="shared" si="208"/>
        <v>12</v>
      </c>
      <c r="F1153" s="953">
        <f t="shared" si="209"/>
        <v>8.6000000000000003E-5</v>
      </c>
      <c r="G1153" s="953">
        <f t="shared" si="210"/>
        <v>-6.6699999999999995E-4</v>
      </c>
      <c r="H1153" s="953">
        <f t="shared" si="211"/>
        <v>0</v>
      </c>
      <c r="I1153" s="953">
        <f t="shared" si="212"/>
        <v>0</v>
      </c>
      <c r="J1153" s="953">
        <f t="shared" si="213"/>
        <v>0</v>
      </c>
      <c r="K1153" s="953">
        <f t="shared" si="214"/>
        <v>1.5999999999999999E-5</v>
      </c>
      <c r="L1153" s="570" t="str">
        <f t="shared" si="215"/>
        <v>Modal 12</v>
      </c>
      <c r="M1153" s="570">
        <f t="shared" si="216"/>
        <v>12</v>
      </c>
    </row>
    <row r="1154" spans="1:13">
      <c r="A1154" s="570" t="str">
        <f t="shared" si="217"/>
        <v>T113</v>
      </c>
      <c r="C1154" s="953" t="str">
        <f t="shared" ref="C1154:C1217" si="218">IF(Etabs="Etabs 9.7.4",IF(INDEX(Mode_1,ROW($E1154),COLUMN(A$1))&lt;&gt;"",INDEX(Mode_1,ROW($E1154),COLUMN(A$1)),""),IF(Etabs="Etabs 2013 trở lên",IF(INDEX(Mode_2,ROW($E1156),COLUMN(A$1))&lt;&gt;"",INDEX(Mode_2,ROW($E1156),COLUMN(A$1)),""),""))</f>
        <v>T1</v>
      </c>
      <c r="D1154" s="953" t="str">
        <f t="shared" ref="D1154:D1217" si="219">IF(Etabs="Etabs 9.7.4",IF(INDEX(Mode_1,ROW($E1154),COLUMN(B$1))&lt;&gt;"",INDEX(Mode_1,ROW($E1154),COLUMN(B$1)),""),IF(Etabs="Etabs 2013 trở lên",IF(INDEX(Mode_2,ROW($E1156),COLUMN(B$1))&lt;&gt;"",INDEX(Mode_2,ROW($E1156),COLUMN(B$1)),""),""))</f>
        <v>D1</v>
      </c>
      <c r="E1154" s="953">
        <f t="shared" ref="E1154:E1217" si="220">IF(Etabs="Etabs 9.7.4",IF(INDEX(Mode_1,ROW($E1154),COLUMN(C$1))&lt;&gt;"",INDEX(Mode_1,ROW($E1154),COLUMN(C$1)),""),IF(Etabs="Etabs 2013 trở lên",$M1154,""))</f>
        <v>13</v>
      </c>
      <c r="F1154" s="953">
        <f t="shared" ref="F1154:F1217" si="221">IF(Etabs="Etabs 9.7.4",IF(INDEX(Mode_1,ROW($E1154),COLUMN(D$1))&lt;&gt;"",INDEX(Mode_1,ROW($E1154),COLUMN(D$1)),""),IF(Etabs="Etabs 2013 trở lên",IF(INDEX(Mode_2,ROW($E1156),COLUMN(D$1))&lt;&gt;"",INDEX(Mode_2,ROW($E1156),COLUMN(D$1)),""),""))</f>
        <v>8.9700000000000001E-4</v>
      </c>
      <c r="G1154" s="953">
        <f t="shared" ref="G1154:G1217" si="222">IF(Etabs="Etabs 9.7.4",IF(INDEX(Mode_1,ROW($E1154),COLUMN(E$1))&lt;&gt;"",INDEX(Mode_1,ROW($E1154),COLUMN(E$1)),""),IF(Etabs="Etabs 2013 trở lên",IF(INDEX(Mode_2,ROW($E1156),COLUMN(E$1))&lt;&gt;"",INDEX(Mode_2,ROW($E1156),COLUMN(E$1)),""),""))</f>
        <v>1.18E-4</v>
      </c>
      <c r="H1154" s="953">
        <f t="shared" ref="H1154:H1217" si="223">IF(Etabs="Etabs 9.7.4",IF(INDEX(Mode_1,ROW($E1154),COLUMN(F$1))&lt;&gt;"",INDEX(Mode_1,ROW($E1154),COLUMN(F$1)),""),IF(Etabs="Etabs 2013 trở lên",0,""))</f>
        <v>0</v>
      </c>
      <c r="I1154" s="953">
        <f t="shared" ref="I1154:I1217" si="224">IF(Etabs="Etabs 9.7.4",IF(INDEX(Mode_1,ROW($E1154),COLUMN(G$1))&lt;&gt;"",INDEX(Mode_1,ROW($E1154),COLUMN(G$1)),""),IF(Etabs="Etabs 2013 trở lên",0,""))</f>
        <v>0</v>
      </c>
      <c r="J1154" s="953">
        <f t="shared" ref="J1154:J1217" si="225">IF(Etabs="Etabs 9.7.4",IF(INDEX(Mode_1,ROW($E1154),COLUMN(H$1))&lt;&gt;"",INDEX(Mode_1,ROW($E1154),COLUMN(H$1)),""),IF(Etabs="Etabs 2013 trở lên",0,""))</f>
        <v>0</v>
      </c>
      <c r="K1154" s="953">
        <f t="shared" ref="K1154:K1217" si="226">IF(Etabs="Etabs 9.7.4",IF(INDEX(Mode_1,ROW($E1154),COLUMN(I$1))&lt;&gt;"",INDEX(Mode_1,ROW($E1154),COLUMN(I$1)),""),IF(Etabs="Etabs 2013 trở lên",IF(INDEX(Mode_2,ROW($E1156),COLUMN(F$1))&lt;&gt;"",INDEX(Mode_2,ROW($E1156),COLUMN(F$1)),""),""))</f>
        <v>6.9999999999999999E-6</v>
      </c>
      <c r="L1154" s="570" t="str">
        <f t="shared" ref="L1154:L1217" si="227">IF(Etabs="Etabs 9.7.4",IF(INDEX(Mode_1,ROW($E1154),COLUMN(C$1))&lt;&gt;"",INDEX(Mode_1,ROW($E1154),COLUMN(C$1)),""),IF(Etabs="Etabs 2013 trở lên",IF(INDEX(Mode_2,ROW($E1156),COLUMN(C$1))&lt;&gt;"",INDEX(Mode_2,ROW($E1156),COLUMN(C$1)),""),""))</f>
        <v>Modal 13</v>
      </c>
      <c r="M1154" s="570">
        <f t="shared" si="216"/>
        <v>13</v>
      </c>
    </row>
    <row r="1155" spans="1:13">
      <c r="A1155" s="570" t="str">
        <f t="shared" si="217"/>
        <v>T114</v>
      </c>
      <c r="C1155" s="953" t="str">
        <f t="shared" si="218"/>
        <v>T1</v>
      </c>
      <c r="D1155" s="953" t="str">
        <f t="shared" si="219"/>
        <v>D1</v>
      </c>
      <c r="E1155" s="953">
        <f t="shared" si="220"/>
        <v>14</v>
      </c>
      <c r="F1155" s="953">
        <f t="shared" si="221"/>
        <v>1.18E-4</v>
      </c>
      <c r="G1155" s="953">
        <f t="shared" si="222"/>
        <v>2.7E-4</v>
      </c>
      <c r="H1155" s="953">
        <f t="shared" si="223"/>
        <v>0</v>
      </c>
      <c r="I1155" s="953">
        <f t="shared" si="224"/>
        <v>0</v>
      </c>
      <c r="J1155" s="953">
        <f t="shared" si="225"/>
        <v>0</v>
      </c>
      <c r="K1155" s="953">
        <f t="shared" si="226"/>
        <v>8.0000000000000007E-5</v>
      </c>
      <c r="L1155" s="570" t="str">
        <f t="shared" si="227"/>
        <v>Modal 14</v>
      </c>
      <c r="M1155" s="570">
        <f t="shared" ref="M1155:M1218" si="228">IFERROR(VALUE(RIGHT(L1155,LEN(L1155)-6)),"")</f>
        <v>14</v>
      </c>
    </row>
    <row r="1156" spans="1:13">
      <c r="A1156" s="570" t="str">
        <f t="shared" si="217"/>
        <v>T115</v>
      </c>
      <c r="C1156" s="953" t="str">
        <f t="shared" si="218"/>
        <v>T1</v>
      </c>
      <c r="D1156" s="953" t="str">
        <f t="shared" si="219"/>
        <v>D1</v>
      </c>
      <c r="E1156" s="953">
        <f t="shared" si="220"/>
        <v>15</v>
      </c>
      <c r="F1156" s="953">
        <f t="shared" si="221"/>
        <v>1.05E-4</v>
      </c>
      <c r="G1156" s="953">
        <f t="shared" si="222"/>
        <v>-1.2260000000000001E-3</v>
      </c>
      <c r="H1156" s="953">
        <f t="shared" si="223"/>
        <v>0</v>
      </c>
      <c r="I1156" s="953">
        <f t="shared" si="224"/>
        <v>0</v>
      </c>
      <c r="J1156" s="953">
        <f t="shared" si="225"/>
        <v>0</v>
      </c>
      <c r="K1156" s="953">
        <f t="shared" si="226"/>
        <v>-1.9999999999999999E-6</v>
      </c>
      <c r="L1156" s="570" t="str">
        <f t="shared" si="227"/>
        <v>Modal 15</v>
      </c>
      <c r="M1156" s="570">
        <f t="shared" si="228"/>
        <v>15</v>
      </c>
    </row>
    <row r="1157" spans="1:13">
      <c r="A1157" s="570" t="str">
        <f t="shared" si="217"/>
        <v>T116</v>
      </c>
      <c r="C1157" s="953" t="str">
        <f t="shared" si="218"/>
        <v>T1</v>
      </c>
      <c r="D1157" s="953" t="str">
        <f t="shared" si="219"/>
        <v>D1</v>
      </c>
      <c r="E1157" s="953">
        <f t="shared" si="220"/>
        <v>16</v>
      </c>
      <c r="F1157" s="953">
        <f t="shared" si="221"/>
        <v>4.0400000000000001E-4</v>
      </c>
      <c r="G1157" s="953">
        <f t="shared" si="222"/>
        <v>4.3600000000000003E-4</v>
      </c>
      <c r="H1157" s="953">
        <f t="shared" si="223"/>
        <v>0</v>
      </c>
      <c r="I1157" s="953">
        <f t="shared" si="224"/>
        <v>0</v>
      </c>
      <c r="J1157" s="953">
        <f t="shared" si="225"/>
        <v>0</v>
      </c>
      <c r="K1157" s="953">
        <f t="shared" si="226"/>
        <v>1.2400000000000001E-4</v>
      </c>
      <c r="L1157" s="570" t="str">
        <f t="shared" si="227"/>
        <v>Modal 16</v>
      </c>
      <c r="M1157" s="570">
        <f t="shared" si="228"/>
        <v>16</v>
      </c>
    </row>
    <row r="1158" spans="1:13">
      <c r="A1158" s="570" t="str">
        <f t="shared" ref="A1158:A1221" si="229">C1158&amp;E1158</f>
        <v>T117</v>
      </c>
      <c r="C1158" s="953" t="str">
        <f t="shared" si="218"/>
        <v>T1</v>
      </c>
      <c r="D1158" s="953" t="str">
        <f t="shared" si="219"/>
        <v>D1</v>
      </c>
      <c r="E1158" s="953">
        <f t="shared" si="220"/>
        <v>17</v>
      </c>
      <c r="F1158" s="953">
        <f t="shared" si="221"/>
        <v>1.4400000000000001E-3</v>
      </c>
      <c r="G1158" s="953">
        <f t="shared" si="222"/>
        <v>1.5699999999999999E-4</v>
      </c>
      <c r="H1158" s="953">
        <f t="shared" si="223"/>
        <v>0</v>
      </c>
      <c r="I1158" s="953">
        <f t="shared" si="224"/>
        <v>0</v>
      </c>
      <c r="J1158" s="953">
        <f t="shared" si="225"/>
        <v>0</v>
      </c>
      <c r="K1158" s="953">
        <f t="shared" si="226"/>
        <v>-3.2109999999999998E-7</v>
      </c>
      <c r="L1158" s="570" t="str">
        <f t="shared" si="227"/>
        <v>Modal 17</v>
      </c>
      <c r="M1158" s="570">
        <f t="shared" si="228"/>
        <v>17</v>
      </c>
    </row>
    <row r="1159" spans="1:13">
      <c r="A1159" s="570" t="str">
        <f t="shared" si="229"/>
        <v>T118</v>
      </c>
      <c r="C1159" s="953" t="str">
        <f t="shared" si="218"/>
        <v>T1</v>
      </c>
      <c r="D1159" s="953" t="str">
        <f t="shared" si="219"/>
        <v>D1</v>
      </c>
      <c r="E1159" s="953">
        <f t="shared" si="220"/>
        <v>18</v>
      </c>
      <c r="F1159" s="953">
        <f t="shared" si="221"/>
        <v>-9.2999999999999997E-5</v>
      </c>
      <c r="G1159" s="953">
        <f t="shared" si="222"/>
        <v>1.8979999999999999E-3</v>
      </c>
      <c r="H1159" s="953">
        <f t="shared" si="223"/>
        <v>0</v>
      </c>
      <c r="I1159" s="953">
        <f t="shared" si="224"/>
        <v>0</v>
      </c>
      <c r="J1159" s="953">
        <f t="shared" si="225"/>
        <v>0</v>
      </c>
      <c r="K1159" s="953">
        <f t="shared" si="226"/>
        <v>2.9E-5</v>
      </c>
      <c r="L1159" s="570" t="str">
        <f t="shared" si="227"/>
        <v>Modal 18</v>
      </c>
      <c r="M1159" s="570">
        <f t="shared" si="228"/>
        <v>18</v>
      </c>
    </row>
    <row r="1160" spans="1:13">
      <c r="A1160" s="570" t="str">
        <f t="shared" si="229"/>
        <v>T119</v>
      </c>
      <c r="C1160" s="953" t="str">
        <f t="shared" si="218"/>
        <v>T1</v>
      </c>
      <c r="D1160" s="953" t="str">
        <f t="shared" si="219"/>
        <v>D1</v>
      </c>
      <c r="E1160" s="953">
        <f t="shared" si="220"/>
        <v>19</v>
      </c>
      <c r="F1160" s="953">
        <f t="shared" si="221"/>
        <v>-4.35E-4</v>
      </c>
      <c r="G1160" s="953">
        <f t="shared" si="222"/>
        <v>-2.14E-4</v>
      </c>
      <c r="H1160" s="953">
        <f t="shared" si="223"/>
        <v>0</v>
      </c>
      <c r="I1160" s="953">
        <f t="shared" si="224"/>
        <v>0</v>
      </c>
      <c r="J1160" s="953">
        <f t="shared" si="225"/>
        <v>0</v>
      </c>
      <c r="K1160" s="953">
        <f t="shared" si="226"/>
        <v>-1.4799999999999999E-4</v>
      </c>
      <c r="L1160" s="570" t="str">
        <f t="shared" si="227"/>
        <v>Modal 19</v>
      </c>
      <c r="M1160" s="570">
        <f t="shared" si="228"/>
        <v>19</v>
      </c>
    </row>
    <row r="1161" spans="1:13">
      <c r="A1161" s="570" t="str">
        <f t="shared" si="229"/>
        <v>T120</v>
      </c>
      <c r="C1161" s="953" t="str">
        <f t="shared" si="218"/>
        <v>T1</v>
      </c>
      <c r="D1161" s="953" t="str">
        <f t="shared" si="219"/>
        <v>D1</v>
      </c>
      <c r="E1161" s="953">
        <f t="shared" si="220"/>
        <v>20</v>
      </c>
      <c r="F1161" s="953">
        <f t="shared" si="221"/>
        <v>2.2569999999999999E-3</v>
      </c>
      <c r="G1161" s="953">
        <f t="shared" si="222"/>
        <v>3.3500000000000001E-4</v>
      </c>
      <c r="H1161" s="953">
        <f t="shared" si="223"/>
        <v>0</v>
      </c>
      <c r="I1161" s="953">
        <f t="shared" si="224"/>
        <v>0</v>
      </c>
      <c r="J1161" s="953">
        <f t="shared" si="225"/>
        <v>0</v>
      </c>
      <c r="K1161" s="953">
        <f t="shared" si="226"/>
        <v>1.9000000000000001E-5</v>
      </c>
      <c r="L1161" s="570" t="str">
        <f t="shared" si="227"/>
        <v>Modal 20</v>
      </c>
      <c r="M1161" s="570">
        <f t="shared" si="228"/>
        <v>20</v>
      </c>
    </row>
    <row r="1162" spans="1:13">
      <c r="A1162" s="570" t="str">
        <f t="shared" si="229"/>
        <v>T121</v>
      </c>
      <c r="C1162" s="953" t="str">
        <f t="shared" si="218"/>
        <v>T1</v>
      </c>
      <c r="D1162" s="953" t="str">
        <f t="shared" si="219"/>
        <v>D1</v>
      </c>
      <c r="E1162" s="953">
        <f t="shared" si="220"/>
        <v>21</v>
      </c>
      <c r="F1162" s="953">
        <f t="shared" si="221"/>
        <v>-3.0600000000000001E-4</v>
      </c>
      <c r="G1162" s="953">
        <f t="shared" si="222"/>
        <v>2.614E-3</v>
      </c>
      <c r="H1162" s="953">
        <f t="shared" si="223"/>
        <v>0</v>
      </c>
      <c r="I1162" s="953">
        <f t="shared" si="224"/>
        <v>0</v>
      </c>
      <c r="J1162" s="953">
        <f t="shared" si="225"/>
        <v>0</v>
      </c>
      <c r="K1162" s="953">
        <f t="shared" si="226"/>
        <v>2.5000000000000001E-5</v>
      </c>
      <c r="L1162" s="570" t="str">
        <f t="shared" si="227"/>
        <v>Modal 21</v>
      </c>
      <c r="M1162" s="570">
        <f t="shared" si="228"/>
        <v>21</v>
      </c>
    </row>
    <row r="1163" spans="1:13">
      <c r="A1163" s="570" t="str">
        <f t="shared" si="229"/>
        <v>T122</v>
      </c>
      <c r="C1163" s="953" t="str">
        <f t="shared" si="218"/>
        <v>T1</v>
      </c>
      <c r="D1163" s="953" t="str">
        <f t="shared" si="219"/>
        <v>D1</v>
      </c>
      <c r="E1163" s="953">
        <f t="shared" si="220"/>
        <v>22</v>
      </c>
      <c r="F1163" s="953">
        <f t="shared" si="221"/>
        <v>-2.3640000000000002E-3</v>
      </c>
      <c r="G1163" s="953">
        <f t="shared" si="222"/>
        <v>-8.5400000000000005E-4</v>
      </c>
      <c r="H1163" s="953">
        <f t="shared" si="223"/>
        <v>0</v>
      </c>
      <c r="I1163" s="953">
        <f t="shared" si="224"/>
        <v>0</v>
      </c>
      <c r="J1163" s="953">
        <f t="shared" si="225"/>
        <v>0</v>
      </c>
      <c r="K1163" s="953">
        <f t="shared" si="226"/>
        <v>4.5000000000000003E-5</v>
      </c>
      <c r="L1163" s="570" t="str">
        <f t="shared" si="227"/>
        <v>Modal 22</v>
      </c>
      <c r="M1163" s="570">
        <f t="shared" si="228"/>
        <v>22</v>
      </c>
    </row>
    <row r="1164" spans="1:13">
      <c r="A1164" s="570" t="str">
        <f t="shared" si="229"/>
        <v>T123</v>
      </c>
      <c r="C1164" s="953" t="str">
        <f t="shared" si="218"/>
        <v>T1</v>
      </c>
      <c r="D1164" s="953" t="str">
        <f t="shared" si="219"/>
        <v>D1</v>
      </c>
      <c r="E1164" s="953">
        <f t="shared" si="220"/>
        <v>23</v>
      </c>
      <c r="F1164" s="953">
        <f t="shared" si="221"/>
        <v>2.369E-3</v>
      </c>
      <c r="G1164" s="953">
        <f t="shared" si="222"/>
        <v>-2.3900000000000002E-3</v>
      </c>
      <c r="H1164" s="953">
        <f t="shared" si="223"/>
        <v>0</v>
      </c>
      <c r="I1164" s="953">
        <f t="shared" si="224"/>
        <v>0</v>
      </c>
      <c r="J1164" s="953">
        <f t="shared" si="225"/>
        <v>0</v>
      </c>
      <c r="K1164" s="953">
        <f t="shared" si="226"/>
        <v>4.6999999999999997E-5</v>
      </c>
      <c r="L1164" s="570" t="str">
        <f t="shared" si="227"/>
        <v>Modal 23</v>
      </c>
      <c r="M1164" s="570">
        <f t="shared" si="228"/>
        <v>23</v>
      </c>
    </row>
    <row r="1165" spans="1:13">
      <c r="A1165" s="570" t="str">
        <f t="shared" si="229"/>
        <v>T124</v>
      </c>
      <c r="C1165" s="953" t="str">
        <f t="shared" si="218"/>
        <v>T1</v>
      </c>
      <c r="D1165" s="953" t="str">
        <f t="shared" si="219"/>
        <v>D1</v>
      </c>
      <c r="E1165" s="953">
        <f t="shared" si="220"/>
        <v>24</v>
      </c>
      <c r="F1165" s="953">
        <f t="shared" si="221"/>
        <v>-2.2160000000000001E-3</v>
      </c>
      <c r="G1165" s="953">
        <f t="shared" si="222"/>
        <v>-2.8530000000000001E-3</v>
      </c>
      <c r="H1165" s="953">
        <f t="shared" si="223"/>
        <v>0</v>
      </c>
      <c r="I1165" s="953">
        <f t="shared" si="224"/>
        <v>0</v>
      </c>
      <c r="J1165" s="953">
        <f t="shared" si="225"/>
        <v>0</v>
      </c>
      <c r="K1165" s="953">
        <f t="shared" si="226"/>
        <v>-3.1999999999999999E-5</v>
      </c>
      <c r="L1165" s="570" t="str">
        <f t="shared" si="227"/>
        <v>Modal 24</v>
      </c>
      <c r="M1165" s="570">
        <f t="shared" si="228"/>
        <v>24</v>
      </c>
    </row>
    <row r="1166" spans="1:13">
      <c r="A1166" s="570" t="str">
        <f t="shared" si="229"/>
        <v>T125</v>
      </c>
      <c r="C1166" s="953" t="str">
        <f t="shared" si="218"/>
        <v>T1</v>
      </c>
      <c r="D1166" s="953" t="str">
        <f t="shared" si="219"/>
        <v>D1</v>
      </c>
      <c r="E1166" s="953">
        <f t="shared" si="220"/>
        <v>25</v>
      </c>
      <c r="F1166" s="953">
        <f t="shared" si="221"/>
        <v>-4.3E-3</v>
      </c>
      <c r="G1166" s="953">
        <f t="shared" si="222"/>
        <v>2.9740000000000001E-3</v>
      </c>
      <c r="H1166" s="953">
        <f t="shared" si="223"/>
        <v>0</v>
      </c>
      <c r="I1166" s="953">
        <f t="shared" si="224"/>
        <v>0</v>
      </c>
      <c r="J1166" s="953">
        <f t="shared" si="225"/>
        <v>0</v>
      </c>
      <c r="K1166" s="953">
        <f t="shared" si="226"/>
        <v>3.1999999999999999E-5</v>
      </c>
      <c r="L1166" s="570" t="str">
        <f t="shared" si="227"/>
        <v>Modal 25</v>
      </c>
      <c r="M1166" s="570">
        <f t="shared" si="228"/>
        <v>25</v>
      </c>
    </row>
    <row r="1167" spans="1:13">
      <c r="A1167" s="570" t="str">
        <f t="shared" si="229"/>
        <v>T126</v>
      </c>
      <c r="C1167" s="953" t="str">
        <f t="shared" si="218"/>
        <v>T1</v>
      </c>
      <c r="D1167" s="953" t="str">
        <f t="shared" si="219"/>
        <v>D1</v>
      </c>
      <c r="E1167" s="953">
        <f t="shared" si="220"/>
        <v>26</v>
      </c>
      <c r="F1167" s="953">
        <f t="shared" si="221"/>
        <v>-3.1229999999999999E-3</v>
      </c>
      <c r="G1167" s="953">
        <f t="shared" si="222"/>
        <v>-3.98E-3</v>
      </c>
      <c r="H1167" s="953">
        <f t="shared" si="223"/>
        <v>0</v>
      </c>
      <c r="I1167" s="953">
        <f t="shared" si="224"/>
        <v>0</v>
      </c>
      <c r="J1167" s="953">
        <f t="shared" si="225"/>
        <v>0</v>
      </c>
      <c r="K1167" s="953">
        <f t="shared" si="226"/>
        <v>4.3000000000000002E-5</v>
      </c>
      <c r="L1167" s="570" t="str">
        <f t="shared" si="227"/>
        <v>Modal 26</v>
      </c>
      <c r="M1167" s="570">
        <f t="shared" si="228"/>
        <v>26</v>
      </c>
    </row>
    <row r="1168" spans="1:13">
      <c r="A1168" s="570" t="str">
        <f t="shared" si="229"/>
        <v>T127</v>
      </c>
      <c r="C1168" s="953" t="str">
        <f t="shared" si="218"/>
        <v>T1</v>
      </c>
      <c r="D1168" s="953" t="str">
        <f t="shared" si="219"/>
        <v>D1</v>
      </c>
      <c r="E1168" s="953">
        <f t="shared" si="220"/>
        <v>27</v>
      </c>
      <c r="F1168" s="953">
        <f t="shared" si="221"/>
        <v>4.5690000000000001E-3</v>
      </c>
      <c r="G1168" s="953">
        <f t="shared" si="222"/>
        <v>-3.0839999999999999E-3</v>
      </c>
      <c r="H1168" s="953">
        <f t="shared" si="223"/>
        <v>0</v>
      </c>
      <c r="I1168" s="953">
        <f t="shared" si="224"/>
        <v>0</v>
      </c>
      <c r="J1168" s="953">
        <f t="shared" si="225"/>
        <v>0</v>
      </c>
      <c r="K1168" s="953">
        <f t="shared" si="226"/>
        <v>2.5000000000000001E-5</v>
      </c>
      <c r="L1168" s="570" t="str">
        <f t="shared" si="227"/>
        <v>Modal 27</v>
      </c>
      <c r="M1168" s="570">
        <f t="shared" si="228"/>
        <v>27</v>
      </c>
    </row>
    <row r="1169" spans="1:13">
      <c r="A1169" s="570" t="str">
        <f t="shared" si="229"/>
        <v>T128</v>
      </c>
      <c r="C1169" s="953" t="str">
        <f t="shared" si="218"/>
        <v>T1</v>
      </c>
      <c r="D1169" s="953" t="str">
        <f t="shared" si="219"/>
        <v>D1</v>
      </c>
      <c r="E1169" s="953">
        <f t="shared" si="220"/>
        <v>28</v>
      </c>
      <c r="F1169" s="953">
        <f t="shared" si="221"/>
        <v>2.9789999999999999E-3</v>
      </c>
      <c r="G1169" s="953">
        <f t="shared" si="222"/>
        <v>4.2770000000000004E-3</v>
      </c>
      <c r="H1169" s="953">
        <f t="shared" si="223"/>
        <v>0</v>
      </c>
      <c r="I1169" s="953">
        <f t="shared" si="224"/>
        <v>0</v>
      </c>
      <c r="J1169" s="953">
        <f t="shared" si="225"/>
        <v>0</v>
      </c>
      <c r="K1169" s="953">
        <f t="shared" si="226"/>
        <v>-1.7E-5</v>
      </c>
      <c r="L1169" s="570" t="str">
        <f t="shared" si="227"/>
        <v>Modal 28</v>
      </c>
      <c r="M1169" s="570">
        <f t="shared" si="228"/>
        <v>28</v>
      </c>
    </row>
    <row r="1170" spans="1:13">
      <c r="A1170" s="570" t="str">
        <f t="shared" si="229"/>
        <v>T129</v>
      </c>
      <c r="C1170" s="953" t="str">
        <f t="shared" si="218"/>
        <v>T1</v>
      </c>
      <c r="D1170" s="953" t="str">
        <f t="shared" si="219"/>
        <v>D1</v>
      </c>
      <c r="E1170" s="953">
        <f t="shared" si="220"/>
        <v>29</v>
      </c>
      <c r="F1170" s="953">
        <f t="shared" si="221"/>
        <v>3.6549999999999998E-3</v>
      </c>
      <c r="G1170" s="953">
        <f t="shared" si="222"/>
        <v>-2.1810000000000002E-3</v>
      </c>
      <c r="H1170" s="953">
        <f t="shared" si="223"/>
        <v>0</v>
      </c>
      <c r="I1170" s="953">
        <f t="shared" si="224"/>
        <v>0</v>
      </c>
      <c r="J1170" s="953">
        <f t="shared" si="225"/>
        <v>0</v>
      </c>
      <c r="K1170" s="953">
        <f t="shared" si="226"/>
        <v>-3.1999999999999999E-5</v>
      </c>
      <c r="L1170" s="570" t="str">
        <f t="shared" si="227"/>
        <v>Modal 29</v>
      </c>
      <c r="M1170" s="570">
        <f t="shared" si="228"/>
        <v>29</v>
      </c>
    </row>
    <row r="1171" spans="1:13">
      <c r="A1171" s="570" t="str">
        <f t="shared" si="229"/>
        <v>T130</v>
      </c>
      <c r="C1171" s="953" t="str">
        <f t="shared" si="218"/>
        <v>T1</v>
      </c>
      <c r="D1171" s="953" t="str">
        <f t="shared" si="219"/>
        <v>D1</v>
      </c>
      <c r="E1171" s="953">
        <f t="shared" si="220"/>
        <v>30</v>
      </c>
      <c r="F1171" s="953">
        <f t="shared" si="221"/>
        <v>1.786E-3</v>
      </c>
      <c r="G1171" s="953">
        <f t="shared" si="222"/>
        <v>3.7590000000000002E-3</v>
      </c>
      <c r="H1171" s="953">
        <f t="shared" si="223"/>
        <v>0</v>
      </c>
      <c r="I1171" s="953">
        <f t="shared" si="224"/>
        <v>0</v>
      </c>
      <c r="J1171" s="953">
        <f t="shared" si="225"/>
        <v>0</v>
      </c>
      <c r="K1171" s="953">
        <f t="shared" si="226"/>
        <v>-2.4000000000000001E-5</v>
      </c>
      <c r="L1171" s="570" t="str">
        <f t="shared" si="227"/>
        <v>Modal 30</v>
      </c>
      <c r="M1171" s="570">
        <f t="shared" si="228"/>
        <v>30</v>
      </c>
    </row>
    <row r="1172" spans="1:13">
      <c r="A1172" s="570" t="str">
        <f t="shared" si="229"/>
        <v/>
      </c>
      <c r="C1172" s="953" t="str">
        <f t="shared" si="218"/>
        <v/>
      </c>
      <c r="D1172" s="953" t="str">
        <f t="shared" si="219"/>
        <v/>
      </c>
      <c r="E1172" s="953" t="str">
        <f t="shared" si="220"/>
        <v/>
      </c>
      <c r="F1172" s="953" t="str">
        <f t="shared" si="221"/>
        <v/>
      </c>
      <c r="G1172" s="953" t="str">
        <f t="shared" si="222"/>
        <v/>
      </c>
      <c r="H1172" s="953">
        <f t="shared" si="223"/>
        <v>0</v>
      </c>
      <c r="I1172" s="953">
        <f t="shared" si="224"/>
        <v>0</v>
      </c>
      <c r="J1172" s="953">
        <f t="shared" si="225"/>
        <v>0</v>
      </c>
      <c r="K1172" s="953" t="str">
        <f t="shared" si="226"/>
        <v/>
      </c>
      <c r="L1172" s="570" t="str">
        <f t="shared" si="227"/>
        <v/>
      </c>
      <c r="M1172" s="570" t="str">
        <f t="shared" si="228"/>
        <v/>
      </c>
    </row>
    <row r="1173" spans="1:13">
      <c r="A1173" s="570" t="str">
        <f t="shared" si="229"/>
        <v/>
      </c>
      <c r="C1173" s="953" t="str">
        <f t="shared" si="218"/>
        <v/>
      </c>
      <c r="D1173" s="953" t="str">
        <f t="shared" si="219"/>
        <v/>
      </c>
      <c r="E1173" s="953" t="str">
        <f t="shared" si="220"/>
        <v/>
      </c>
      <c r="F1173" s="953" t="str">
        <f t="shared" si="221"/>
        <v/>
      </c>
      <c r="G1173" s="953" t="str">
        <f t="shared" si="222"/>
        <v/>
      </c>
      <c r="H1173" s="953">
        <f t="shared" si="223"/>
        <v>0</v>
      </c>
      <c r="I1173" s="953">
        <f t="shared" si="224"/>
        <v>0</v>
      </c>
      <c r="J1173" s="953">
        <f t="shared" si="225"/>
        <v>0</v>
      </c>
      <c r="K1173" s="953" t="str">
        <f t="shared" si="226"/>
        <v/>
      </c>
      <c r="L1173" s="570" t="str">
        <f t="shared" si="227"/>
        <v/>
      </c>
      <c r="M1173" s="570" t="str">
        <f t="shared" si="228"/>
        <v/>
      </c>
    </row>
    <row r="1174" spans="1:13">
      <c r="A1174" s="570" t="str">
        <f t="shared" si="229"/>
        <v/>
      </c>
      <c r="C1174" s="953" t="str">
        <f t="shared" si="218"/>
        <v/>
      </c>
      <c r="D1174" s="953" t="str">
        <f t="shared" si="219"/>
        <v/>
      </c>
      <c r="E1174" s="953" t="str">
        <f t="shared" si="220"/>
        <v/>
      </c>
      <c r="F1174" s="953" t="str">
        <f t="shared" si="221"/>
        <v/>
      </c>
      <c r="G1174" s="953" t="str">
        <f t="shared" si="222"/>
        <v/>
      </c>
      <c r="H1174" s="953">
        <f t="shared" si="223"/>
        <v>0</v>
      </c>
      <c r="I1174" s="953">
        <f t="shared" si="224"/>
        <v>0</v>
      </c>
      <c r="J1174" s="953">
        <f t="shared" si="225"/>
        <v>0</v>
      </c>
      <c r="K1174" s="953" t="str">
        <f t="shared" si="226"/>
        <v/>
      </c>
      <c r="L1174" s="570" t="str">
        <f t="shared" si="227"/>
        <v/>
      </c>
      <c r="M1174" s="570" t="str">
        <f t="shared" si="228"/>
        <v/>
      </c>
    </row>
    <row r="1175" spans="1:13">
      <c r="A1175" s="570" t="str">
        <f t="shared" si="229"/>
        <v/>
      </c>
      <c r="C1175" s="953" t="str">
        <f t="shared" si="218"/>
        <v/>
      </c>
      <c r="D1175" s="953" t="str">
        <f t="shared" si="219"/>
        <v/>
      </c>
      <c r="E1175" s="953" t="str">
        <f t="shared" si="220"/>
        <v/>
      </c>
      <c r="F1175" s="953" t="str">
        <f t="shared" si="221"/>
        <v/>
      </c>
      <c r="G1175" s="953" t="str">
        <f t="shared" si="222"/>
        <v/>
      </c>
      <c r="H1175" s="953">
        <f t="shared" si="223"/>
        <v>0</v>
      </c>
      <c r="I1175" s="953">
        <f t="shared" si="224"/>
        <v>0</v>
      </c>
      <c r="J1175" s="953">
        <f t="shared" si="225"/>
        <v>0</v>
      </c>
      <c r="K1175" s="953" t="str">
        <f t="shared" si="226"/>
        <v/>
      </c>
      <c r="L1175" s="570" t="str">
        <f t="shared" si="227"/>
        <v/>
      </c>
      <c r="M1175" s="570" t="str">
        <f t="shared" si="228"/>
        <v/>
      </c>
    </row>
    <row r="1176" spans="1:13">
      <c r="A1176" s="570" t="str">
        <f t="shared" si="229"/>
        <v/>
      </c>
      <c r="C1176" s="953" t="str">
        <f t="shared" si="218"/>
        <v/>
      </c>
      <c r="D1176" s="953" t="str">
        <f t="shared" si="219"/>
        <v/>
      </c>
      <c r="E1176" s="953" t="str">
        <f t="shared" si="220"/>
        <v/>
      </c>
      <c r="F1176" s="953" t="str">
        <f t="shared" si="221"/>
        <v/>
      </c>
      <c r="G1176" s="953" t="str">
        <f t="shared" si="222"/>
        <v/>
      </c>
      <c r="H1176" s="953">
        <f t="shared" si="223"/>
        <v>0</v>
      </c>
      <c r="I1176" s="953">
        <f t="shared" si="224"/>
        <v>0</v>
      </c>
      <c r="J1176" s="953">
        <f t="shared" si="225"/>
        <v>0</v>
      </c>
      <c r="K1176" s="953" t="str">
        <f t="shared" si="226"/>
        <v/>
      </c>
      <c r="L1176" s="570" t="str">
        <f t="shared" si="227"/>
        <v/>
      </c>
      <c r="M1176" s="570" t="str">
        <f t="shared" si="228"/>
        <v/>
      </c>
    </row>
    <row r="1177" spans="1:13">
      <c r="A1177" s="570" t="str">
        <f t="shared" si="229"/>
        <v/>
      </c>
      <c r="C1177" s="953" t="str">
        <f t="shared" si="218"/>
        <v/>
      </c>
      <c r="D1177" s="953" t="str">
        <f t="shared" si="219"/>
        <v/>
      </c>
      <c r="E1177" s="953" t="str">
        <f t="shared" si="220"/>
        <v/>
      </c>
      <c r="F1177" s="953" t="str">
        <f t="shared" si="221"/>
        <v/>
      </c>
      <c r="G1177" s="953" t="str">
        <f t="shared" si="222"/>
        <v/>
      </c>
      <c r="H1177" s="953">
        <f t="shared" si="223"/>
        <v>0</v>
      </c>
      <c r="I1177" s="953">
        <f t="shared" si="224"/>
        <v>0</v>
      </c>
      <c r="J1177" s="953">
        <f t="shared" si="225"/>
        <v>0</v>
      </c>
      <c r="K1177" s="953" t="str">
        <f t="shared" si="226"/>
        <v/>
      </c>
      <c r="L1177" s="570" t="str">
        <f t="shared" si="227"/>
        <v/>
      </c>
      <c r="M1177" s="570" t="str">
        <f t="shared" si="228"/>
        <v/>
      </c>
    </row>
    <row r="1178" spans="1:13">
      <c r="A1178" s="570" t="str">
        <f t="shared" si="229"/>
        <v/>
      </c>
      <c r="C1178" s="953" t="str">
        <f t="shared" si="218"/>
        <v/>
      </c>
      <c r="D1178" s="953" t="str">
        <f t="shared" si="219"/>
        <v/>
      </c>
      <c r="E1178" s="953" t="str">
        <f t="shared" si="220"/>
        <v/>
      </c>
      <c r="F1178" s="953" t="str">
        <f t="shared" si="221"/>
        <v/>
      </c>
      <c r="G1178" s="953" t="str">
        <f t="shared" si="222"/>
        <v/>
      </c>
      <c r="H1178" s="953">
        <f t="shared" si="223"/>
        <v>0</v>
      </c>
      <c r="I1178" s="953">
        <f t="shared" si="224"/>
        <v>0</v>
      </c>
      <c r="J1178" s="953">
        <f t="shared" si="225"/>
        <v>0</v>
      </c>
      <c r="K1178" s="953" t="str">
        <f t="shared" si="226"/>
        <v/>
      </c>
      <c r="L1178" s="570" t="str">
        <f t="shared" si="227"/>
        <v/>
      </c>
      <c r="M1178" s="570" t="str">
        <f t="shared" si="228"/>
        <v/>
      </c>
    </row>
    <row r="1179" spans="1:13">
      <c r="A1179" s="570" t="str">
        <f t="shared" si="229"/>
        <v/>
      </c>
      <c r="C1179" s="953" t="str">
        <f t="shared" si="218"/>
        <v/>
      </c>
      <c r="D1179" s="953" t="str">
        <f t="shared" si="219"/>
        <v/>
      </c>
      <c r="E1179" s="953" t="str">
        <f t="shared" si="220"/>
        <v/>
      </c>
      <c r="F1179" s="953" t="str">
        <f t="shared" si="221"/>
        <v/>
      </c>
      <c r="G1179" s="953" t="str">
        <f t="shared" si="222"/>
        <v/>
      </c>
      <c r="H1179" s="953">
        <f t="shared" si="223"/>
        <v>0</v>
      </c>
      <c r="I1179" s="953">
        <f t="shared" si="224"/>
        <v>0</v>
      </c>
      <c r="J1179" s="953">
        <f t="shared" si="225"/>
        <v>0</v>
      </c>
      <c r="K1179" s="953" t="str">
        <f t="shared" si="226"/>
        <v/>
      </c>
      <c r="L1179" s="570" t="str">
        <f t="shared" si="227"/>
        <v/>
      </c>
      <c r="M1179" s="570" t="str">
        <f t="shared" si="228"/>
        <v/>
      </c>
    </row>
    <row r="1180" spans="1:13">
      <c r="A1180" s="570" t="str">
        <f t="shared" si="229"/>
        <v/>
      </c>
      <c r="C1180" s="953" t="str">
        <f t="shared" si="218"/>
        <v/>
      </c>
      <c r="D1180" s="953" t="str">
        <f t="shared" si="219"/>
        <v/>
      </c>
      <c r="E1180" s="953" t="str">
        <f t="shared" si="220"/>
        <v/>
      </c>
      <c r="F1180" s="953" t="str">
        <f t="shared" si="221"/>
        <v/>
      </c>
      <c r="G1180" s="953" t="str">
        <f t="shared" si="222"/>
        <v/>
      </c>
      <c r="H1180" s="953">
        <f t="shared" si="223"/>
        <v>0</v>
      </c>
      <c r="I1180" s="953">
        <f t="shared" si="224"/>
        <v>0</v>
      </c>
      <c r="J1180" s="953">
        <f t="shared" si="225"/>
        <v>0</v>
      </c>
      <c r="K1180" s="953" t="str">
        <f t="shared" si="226"/>
        <v/>
      </c>
      <c r="L1180" s="570" t="str">
        <f t="shared" si="227"/>
        <v/>
      </c>
      <c r="M1180" s="570" t="str">
        <f t="shared" si="228"/>
        <v/>
      </c>
    </row>
    <row r="1181" spans="1:13">
      <c r="A1181" s="570" t="str">
        <f t="shared" si="229"/>
        <v/>
      </c>
      <c r="C1181" s="953" t="str">
        <f t="shared" si="218"/>
        <v/>
      </c>
      <c r="D1181" s="953" t="str">
        <f t="shared" si="219"/>
        <v/>
      </c>
      <c r="E1181" s="953" t="str">
        <f t="shared" si="220"/>
        <v/>
      </c>
      <c r="F1181" s="953" t="str">
        <f t="shared" si="221"/>
        <v/>
      </c>
      <c r="G1181" s="953" t="str">
        <f t="shared" si="222"/>
        <v/>
      </c>
      <c r="H1181" s="953">
        <f t="shared" si="223"/>
        <v>0</v>
      </c>
      <c r="I1181" s="953">
        <f t="shared" si="224"/>
        <v>0</v>
      </c>
      <c r="J1181" s="953">
        <f t="shared" si="225"/>
        <v>0</v>
      </c>
      <c r="K1181" s="953" t="str">
        <f t="shared" si="226"/>
        <v/>
      </c>
      <c r="L1181" s="570" t="str">
        <f t="shared" si="227"/>
        <v/>
      </c>
      <c r="M1181" s="570" t="str">
        <f t="shared" si="228"/>
        <v/>
      </c>
    </row>
    <row r="1182" spans="1:13">
      <c r="A1182" s="570" t="str">
        <f t="shared" si="229"/>
        <v/>
      </c>
      <c r="C1182" s="953" t="str">
        <f t="shared" si="218"/>
        <v/>
      </c>
      <c r="D1182" s="953" t="str">
        <f t="shared" si="219"/>
        <v/>
      </c>
      <c r="E1182" s="953" t="str">
        <f t="shared" si="220"/>
        <v/>
      </c>
      <c r="F1182" s="953" t="str">
        <f t="shared" si="221"/>
        <v/>
      </c>
      <c r="G1182" s="953" t="str">
        <f t="shared" si="222"/>
        <v/>
      </c>
      <c r="H1182" s="953">
        <f t="shared" si="223"/>
        <v>0</v>
      </c>
      <c r="I1182" s="953">
        <f t="shared" si="224"/>
        <v>0</v>
      </c>
      <c r="J1182" s="953">
        <f t="shared" si="225"/>
        <v>0</v>
      </c>
      <c r="K1182" s="953" t="str">
        <f t="shared" si="226"/>
        <v/>
      </c>
      <c r="L1182" s="570" t="str">
        <f t="shared" si="227"/>
        <v/>
      </c>
      <c r="M1182" s="570" t="str">
        <f t="shared" si="228"/>
        <v/>
      </c>
    </row>
    <row r="1183" spans="1:13">
      <c r="A1183" s="570" t="str">
        <f t="shared" si="229"/>
        <v/>
      </c>
      <c r="C1183" s="953" t="str">
        <f t="shared" si="218"/>
        <v/>
      </c>
      <c r="D1183" s="953" t="str">
        <f t="shared" si="219"/>
        <v/>
      </c>
      <c r="E1183" s="953" t="str">
        <f t="shared" si="220"/>
        <v/>
      </c>
      <c r="F1183" s="953" t="str">
        <f t="shared" si="221"/>
        <v/>
      </c>
      <c r="G1183" s="953" t="str">
        <f t="shared" si="222"/>
        <v/>
      </c>
      <c r="H1183" s="953">
        <f t="shared" si="223"/>
        <v>0</v>
      </c>
      <c r="I1183" s="953">
        <f t="shared" si="224"/>
        <v>0</v>
      </c>
      <c r="J1183" s="953">
        <f t="shared" si="225"/>
        <v>0</v>
      </c>
      <c r="K1183" s="953" t="str">
        <f t="shared" si="226"/>
        <v/>
      </c>
      <c r="L1183" s="570" t="str">
        <f t="shared" si="227"/>
        <v/>
      </c>
      <c r="M1183" s="570" t="str">
        <f t="shared" si="228"/>
        <v/>
      </c>
    </row>
    <row r="1184" spans="1:13">
      <c r="A1184" s="570" t="str">
        <f t="shared" si="229"/>
        <v/>
      </c>
      <c r="C1184" s="953" t="str">
        <f t="shared" si="218"/>
        <v/>
      </c>
      <c r="D1184" s="953" t="str">
        <f t="shared" si="219"/>
        <v/>
      </c>
      <c r="E1184" s="953" t="str">
        <f t="shared" si="220"/>
        <v/>
      </c>
      <c r="F1184" s="953" t="str">
        <f t="shared" si="221"/>
        <v/>
      </c>
      <c r="G1184" s="953" t="str">
        <f t="shared" si="222"/>
        <v/>
      </c>
      <c r="H1184" s="953">
        <f t="shared" si="223"/>
        <v>0</v>
      </c>
      <c r="I1184" s="953">
        <f t="shared" si="224"/>
        <v>0</v>
      </c>
      <c r="J1184" s="953">
        <f t="shared" si="225"/>
        <v>0</v>
      </c>
      <c r="K1184" s="953" t="str">
        <f t="shared" si="226"/>
        <v/>
      </c>
      <c r="L1184" s="570" t="str">
        <f t="shared" si="227"/>
        <v/>
      </c>
      <c r="M1184" s="570" t="str">
        <f t="shared" si="228"/>
        <v/>
      </c>
    </row>
    <row r="1185" spans="1:13">
      <c r="A1185" s="570" t="str">
        <f t="shared" si="229"/>
        <v/>
      </c>
      <c r="C1185" s="953" t="str">
        <f t="shared" si="218"/>
        <v/>
      </c>
      <c r="D1185" s="953" t="str">
        <f t="shared" si="219"/>
        <v/>
      </c>
      <c r="E1185" s="953" t="str">
        <f t="shared" si="220"/>
        <v/>
      </c>
      <c r="F1185" s="953" t="str">
        <f t="shared" si="221"/>
        <v/>
      </c>
      <c r="G1185" s="953" t="str">
        <f t="shared" si="222"/>
        <v/>
      </c>
      <c r="H1185" s="953">
        <f t="shared" si="223"/>
        <v>0</v>
      </c>
      <c r="I1185" s="953">
        <f t="shared" si="224"/>
        <v>0</v>
      </c>
      <c r="J1185" s="953">
        <f t="shared" si="225"/>
        <v>0</v>
      </c>
      <c r="K1185" s="953" t="str">
        <f t="shared" si="226"/>
        <v/>
      </c>
      <c r="L1185" s="570" t="str">
        <f t="shared" si="227"/>
        <v/>
      </c>
      <c r="M1185" s="570" t="str">
        <f t="shared" si="228"/>
        <v/>
      </c>
    </row>
    <row r="1186" spans="1:13">
      <c r="A1186" s="570" t="str">
        <f t="shared" si="229"/>
        <v/>
      </c>
      <c r="C1186" s="953" t="str">
        <f t="shared" si="218"/>
        <v/>
      </c>
      <c r="D1186" s="953" t="str">
        <f t="shared" si="219"/>
        <v/>
      </c>
      <c r="E1186" s="953" t="str">
        <f t="shared" si="220"/>
        <v/>
      </c>
      <c r="F1186" s="953" t="str">
        <f t="shared" si="221"/>
        <v/>
      </c>
      <c r="G1186" s="953" t="str">
        <f t="shared" si="222"/>
        <v/>
      </c>
      <c r="H1186" s="953">
        <f t="shared" si="223"/>
        <v>0</v>
      </c>
      <c r="I1186" s="953">
        <f t="shared" si="224"/>
        <v>0</v>
      </c>
      <c r="J1186" s="953">
        <f t="shared" si="225"/>
        <v>0</v>
      </c>
      <c r="K1186" s="953" t="str">
        <f t="shared" si="226"/>
        <v/>
      </c>
      <c r="L1186" s="570" t="str">
        <f t="shared" si="227"/>
        <v/>
      </c>
      <c r="M1186" s="570" t="str">
        <f t="shared" si="228"/>
        <v/>
      </c>
    </row>
    <row r="1187" spans="1:13">
      <c r="A1187" s="570" t="str">
        <f t="shared" si="229"/>
        <v/>
      </c>
      <c r="C1187" s="953" t="str">
        <f t="shared" si="218"/>
        <v/>
      </c>
      <c r="D1187" s="953" t="str">
        <f t="shared" si="219"/>
        <v/>
      </c>
      <c r="E1187" s="953" t="str">
        <f t="shared" si="220"/>
        <v/>
      </c>
      <c r="F1187" s="953" t="str">
        <f t="shared" si="221"/>
        <v/>
      </c>
      <c r="G1187" s="953" t="str">
        <f t="shared" si="222"/>
        <v/>
      </c>
      <c r="H1187" s="953">
        <f t="shared" si="223"/>
        <v>0</v>
      </c>
      <c r="I1187" s="953">
        <f t="shared" si="224"/>
        <v>0</v>
      </c>
      <c r="J1187" s="953">
        <f t="shared" si="225"/>
        <v>0</v>
      </c>
      <c r="K1187" s="953" t="str">
        <f t="shared" si="226"/>
        <v/>
      </c>
      <c r="L1187" s="570" t="str">
        <f t="shared" si="227"/>
        <v/>
      </c>
      <c r="M1187" s="570" t="str">
        <f t="shared" si="228"/>
        <v/>
      </c>
    </row>
    <row r="1188" spans="1:13">
      <c r="A1188" s="570" t="str">
        <f t="shared" si="229"/>
        <v/>
      </c>
      <c r="C1188" s="953" t="str">
        <f t="shared" si="218"/>
        <v/>
      </c>
      <c r="D1188" s="953" t="str">
        <f t="shared" si="219"/>
        <v/>
      </c>
      <c r="E1188" s="953" t="str">
        <f t="shared" si="220"/>
        <v/>
      </c>
      <c r="F1188" s="953" t="str">
        <f t="shared" si="221"/>
        <v/>
      </c>
      <c r="G1188" s="953" t="str">
        <f t="shared" si="222"/>
        <v/>
      </c>
      <c r="H1188" s="953">
        <f t="shared" si="223"/>
        <v>0</v>
      </c>
      <c r="I1188" s="953">
        <f t="shared" si="224"/>
        <v>0</v>
      </c>
      <c r="J1188" s="953">
        <f t="shared" si="225"/>
        <v>0</v>
      </c>
      <c r="K1188" s="953" t="str">
        <f t="shared" si="226"/>
        <v/>
      </c>
      <c r="L1188" s="570" t="str">
        <f t="shared" si="227"/>
        <v/>
      </c>
      <c r="M1188" s="570" t="str">
        <f t="shared" si="228"/>
        <v/>
      </c>
    </row>
    <row r="1189" spans="1:13">
      <c r="A1189" s="570" t="str">
        <f t="shared" si="229"/>
        <v/>
      </c>
      <c r="C1189" s="953" t="str">
        <f t="shared" si="218"/>
        <v/>
      </c>
      <c r="D1189" s="953" t="str">
        <f t="shared" si="219"/>
        <v/>
      </c>
      <c r="E1189" s="953" t="str">
        <f t="shared" si="220"/>
        <v/>
      </c>
      <c r="F1189" s="953" t="str">
        <f t="shared" si="221"/>
        <v/>
      </c>
      <c r="G1189" s="953" t="str">
        <f t="shared" si="222"/>
        <v/>
      </c>
      <c r="H1189" s="953">
        <f t="shared" si="223"/>
        <v>0</v>
      </c>
      <c r="I1189" s="953">
        <f t="shared" si="224"/>
        <v>0</v>
      </c>
      <c r="J1189" s="953">
        <f t="shared" si="225"/>
        <v>0</v>
      </c>
      <c r="K1189" s="953" t="str">
        <f t="shared" si="226"/>
        <v/>
      </c>
      <c r="L1189" s="570" t="str">
        <f t="shared" si="227"/>
        <v/>
      </c>
      <c r="M1189" s="570" t="str">
        <f t="shared" si="228"/>
        <v/>
      </c>
    </row>
    <row r="1190" spans="1:13">
      <c r="A1190" s="570" t="str">
        <f t="shared" si="229"/>
        <v/>
      </c>
      <c r="C1190" s="953" t="str">
        <f t="shared" si="218"/>
        <v/>
      </c>
      <c r="D1190" s="953" t="str">
        <f t="shared" si="219"/>
        <v/>
      </c>
      <c r="E1190" s="953" t="str">
        <f t="shared" si="220"/>
        <v/>
      </c>
      <c r="F1190" s="953" t="str">
        <f t="shared" si="221"/>
        <v/>
      </c>
      <c r="G1190" s="953" t="str">
        <f t="shared" si="222"/>
        <v/>
      </c>
      <c r="H1190" s="953">
        <f t="shared" si="223"/>
        <v>0</v>
      </c>
      <c r="I1190" s="953">
        <f t="shared" si="224"/>
        <v>0</v>
      </c>
      <c r="J1190" s="953">
        <f t="shared" si="225"/>
        <v>0</v>
      </c>
      <c r="K1190" s="953" t="str">
        <f t="shared" si="226"/>
        <v/>
      </c>
      <c r="L1190" s="570" t="str">
        <f t="shared" si="227"/>
        <v/>
      </c>
      <c r="M1190" s="570" t="str">
        <f t="shared" si="228"/>
        <v/>
      </c>
    </row>
    <row r="1191" spans="1:13">
      <c r="A1191" s="570" t="str">
        <f t="shared" si="229"/>
        <v/>
      </c>
      <c r="C1191" s="953" t="str">
        <f t="shared" si="218"/>
        <v/>
      </c>
      <c r="D1191" s="953" t="str">
        <f t="shared" si="219"/>
        <v/>
      </c>
      <c r="E1191" s="953" t="str">
        <f t="shared" si="220"/>
        <v/>
      </c>
      <c r="F1191" s="953" t="str">
        <f t="shared" si="221"/>
        <v/>
      </c>
      <c r="G1191" s="953" t="str">
        <f t="shared" si="222"/>
        <v/>
      </c>
      <c r="H1191" s="953">
        <f t="shared" si="223"/>
        <v>0</v>
      </c>
      <c r="I1191" s="953">
        <f t="shared" si="224"/>
        <v>0</v>
      </c>
      <c r="J1191" s="953">
        <f t="shared" si="225"/>
        <v>0</v>
      </c>
      <c r="K1191" s="953" t="str">
        <f t="shared" si="226"/>
        <v/>
      </c>
      <c r="L1191" s="570" t="str">
        <f t="shared" si="227"/>
        <v/>
      </c>
      <c r="M1191" s="570" t="str">
        <f t="shared" si="228"/>
        <v/>
      </c>
    </row>
    <row r="1192" spans="1:13">
      <c r="A1192" s="570" t="str">
        <f t="shared" si="229"/>
        <v/>
      </c>
      <c r="C1192" s="953" t="str">
        <f t="shared" si="218"/>
        <v/>
      </c>
      <c r="D1192" s="953" t="str">
        <f t="shared" si="219"/>
        <v/>
      </c>
      <c r="E1192" s="953" t="str">
        <f t="shared" si="220"/>
        <v/>
      </c>
      <c r="F1192" s="953" t="str">
        <f t="shared" si="221"/>
        <v/>
      </c>
      <c r="G1192" s="953" t="str">
        <f t="shared" si="222"/>
        <v/>
      </c>
      <c r="H1192" s="953">
        <f t="shared" si="223"/>
        <v>0</v>
      </c>
      <c r="I1192" s="953">
        <f t="shared" si="224"/>
        <v>0</v>
      </c>
      <c r="J1192" s="953">
        <f t="shared" si="225"/>
        <v>0</v>
      </c>
      <c r="K1192" s="953" t="str">
        <f t="shared" si="226"/>
        <v/>
      </c>
      <c r="L1192" s="570" t="str">
        <f t="shared" si="227"/>
        <v/>
      </c>
      <c r="M1192" s="570" t="str">
        <f t="shared" si="228"/>
        <v/>
      </c>
    </row>
    <row r="1193" spans="1:13">
      <c r="A1193" s="570" t="str">
        <f t="shared" si="229"/>
        <v/>
      </c>
      <c r="C1193" s="953" t="str">
        <f t="shared" si="218"/>
        <v/>
      </c>
      <c r="D1193" s="953" t="str">
        <f t="shared" si="219"/>
        <v/>
      </c>
      <c r="E1193" s="953" t="str">
        <f t="shared" si="220"/>
        <v/>
      </c>
      <c r="F1193" s="953" t="str">
        <f t="shared" si="221"/>
        <v/>
      </c>
      <c r="G1193" s="953" t="str">
        <f t="shared" si="222"/>
        <v/>
      </c>
      <c r="H1193" s="953">
        <f t="shared" si="223"/>
        <v>0</v>
      </c>
      <c r="I1193" s="953">
        <f t="shared" si="224"/>
        <v>0</v>
      </c>
      <c r="J1193" s="953">
        <f t="shared" si="225"/>
        <v>0</v>
      </c>
      <c r="K1193" s="953" t="str">
        <f t="shared" si="226"/>
        <v/>
      </c>
      <c r="L1193" s="570" t="str">
        <f t="shared" si="227"/>
        <v/>
      </c>
      <c r="M1193" s="570" t="str">
        <f t="shared" si="228"/>
        <v/>
      </c>
    </row>
    <row r="1194" spans="1:13">
      <c r="A1194" s="570" t="str">
        <f t="shared" si="229"/>
        <v/>
      </c>
      <c r="C1194" s="953" t="str">
        <f t="shared" si="218"/>
        <v/>
      </c>
      <c r="D1194" s="953" t="str">
        <f t="shared" si="219"/>
        <v/>
      </c>
      <c r="E1194" s="953" t="str">
        <f t="shared" si="220"/>
        <v/>
      </c>
      <c r="F1194" s="953" t="str">
        <f t="shared" si="221"/>
        <v/>
      </c>
      <c r="G1194" s="953" t="str">
        <f t="shared" si="222"/>
        <v/>
      </c>
      <c r="H1194" s="953">
        <f t="shared" si="223"/>
        <v>0</v>
      </c>
      <c r="I1194" s="953">
        <f t="shared" si="224"/>
        <v>0</v>
      </c>
      <c r="J1194" s="953">
        <f t="shared" si="225"/>
        <v>0</v>
      </c>
      <c r="K1194" s="953" t="str">
        <f t="shared" si="226"/>
        <v/>
      </c>
      <c r="L1194" s="570" t="str">
        <f t="shared" si="227"/>
        <v/>
      </c>
      <c r="M1194" s="570" t="str">
        <f t="shared" si="228"/>
        <v/>
      </c>
    </row>
    <row r="1195" spans="1:13">
      <c r="A1195" s="570" t="str">
        <f t="shared" si="229"/>
        <v/>
      </c>
      <c r="C1195" s="953" t="str">
        <f t="shared" si="218"/>
        <v/>
      </c>
      <c r="D1195" s="953" t="str">
        <f t="shared" si="219"/>
        <v/>
      </c>
      <c r="E1195" s="953" t="str">
        <f t="shared" si="220"/>
        <v/>
      </c>
      <c r="F1195" s="953" t="str">
        <f t="shared" si="221"/>
        <v/>
      </c>
      <c r="G1195" s="953" t="str">
        <f t="shared" si="222"/>
        <v/>
      </c>
      <c r="H1195" s="953">
        <f t="shared" si="223"/>
        <v>0</v>
      </c>
      <c r="I1195" s="953">
        <f t="shared" si="224"/>
        <v>0</v>
      </c>
      <c r="J1195" s="953">
        <f t="shared" si="225"/>
        <v>0</v>
      </c>
      <c r="K1195" s="953" t="str">
        <f t="shared" si="226"/>
        <v/>
      </c>
      <c r="L1195" s="570" t="str">
        <f t="shared" si="227"/>
        <v/>
      </c>
      <c r="M1195" s="570" t="str">
        <f t="shared" si="228"/>
        <v/>
      </c>
    </row>
    <row r="1196" spans="1:13">
      <c r="A1196" s="570" t="str">
        <f t="shared" si="229"/>
        <v/>
      </c>
      <c r="C1196" s="953" t="str">
        <f t="shared" si="218"/>
        <v/>
      </c>
      <c r="D1196" s="953" t="str">
        <f t="shared" si="219"/>
        <v/>
      </c>
      <c r="E1196" s="953" t="str">
        <f t="shared" si="220"/>
        <v/>
      </c>
      <c r="F1196" s="953" t="str">
        <f t="shared" si="221"/>
        <v/>
      </c>
      <c r="G1196" s="953" t="str">
        <f t="shared" si="222"/>
        <v/>
      </c>
      <c r="H1196" s="953">
        <f t="shared" si="223"/>
        <v>0</v>
      </c>
      <c r="I1196" s="953">
        <f t="shared" si="224"/>
        <v>0</v>
      </c>
      <c r="J1196" s="953">
        <f t="shared" si="225"/>
        <v>0</v>
      </c>
      <c r="K1196" s="953" t="str">
        <f t="shared" si="226"/>
        <v/>
      </c>
      <c r="L1196" s="570" t="str">
        <f t="shared" si="227"/>
        <v/>
      </c>
      <c r="M1196" s="570" t="str">
        <f t="shared" si="228"/>
        <v/>
      </c>
    </row>
    <row r="1197" spans="1:13">
      <c r="A1197" s="570" t="str">
        <f t="shared" si="229"/>
        <v/>
      </c>
      <c r="C1197" s="953" t="str">
        <f t="shared" si="218"/>
        <v/>
      </c>
      <c r="D1197" s="953" t="str">
        <f t="shared" si="219"/>
        <v/>
      </c>
      <c r="E1197" s="953" t="str">
        <f t="shared" si="220"/>
        <v/>
      </c>
      <c r="F1197" s="953" t="str">
        <f t="shared" si="221"/>
        <v/>
      </c>
      <c r="G1197" s="953" t="str">
        <f t="shared" si="222"/>
        <v/>
      </c>
      <c r="H1197" s="953">
        <f t="shared" si="223"/>
        <v>0</v>
      </c>
      <c r="I1197" s="953">
        <f t="shared" si="224"/>
        <v>0</v>
      </c>
      <c r="J1197" s="953">
        <f t="shared" si="225"/>
        <v>0</v>
      </c>
      <c r="K1197" s="953" t="str">
        <f t="shared" si="226"/>
        <v/>
      </c>
      <c r="L1197" s="570" t="str">
        <f t="shared" si="227"/>
        <v/>
      </c>
      <c r="M1197" s="570" t="str">
        <f t="shared" si="228"/>
        <v/>
      </c>
    </row>
    <row r="1198" spans="1:13">
      <c r="A1198" s="570" t="str">
        <f t="shared" si="229"/>
        <v/>
      </c>
      <c r="C1198" s="953" t="str">
        <f t="shared" si="218"/>
        <v/>
      </c>
      <c r="D1198" s="953" t="str">
        <f t="shared" si="219"/>
        <v/>
      </c>
      <c r="E1198" s="953" t="str">
        <f t="shared" si="220"/>
        <v/>
      </c>
      <c r="F1198" s="953" t="str">
        <f t="shared" si="221"/>
        <v/>
      </c>
      <c r="G1198" s="953" t="str">
        <f t="shared" si="222"/>
        <v/>
      </c>
      <c r="H1198" s="953">
        <f t="shared" si="223"/>
        <v>0</v>
      </c>
      <c r="I1198" s="953">
        <f t="shared" si="224"/>
        <v>0</v>
      </c>
      <c r="J1198" s="953">
        <f t="shared" si="225"/>
        <v>0</v>
      </c>
      <c r="K1198" s="953" t="str">
        <f t="shared" si="226"/>
        <v/>
      </c>
      <c r="L1198" s="570" t="str">
        <f t="shared" si="227"/>
        <v/>
      </c>
      <c r="M1198" s="570" t="str">
        <f t="shared" si="228"/>
        <v/>
      </c>
    </row>
    <row r="1199" spans="1:13">
      <c r="A1199" s="570" t="str">
        <f t="shared" si="229"/>
        <v/>
      </c>
      <c r="C1199" s="953" t="str">
        <f t="shared" si="218"/>
        <v/>
      </c>
      <c r="D1199" s="953" t="str">
        <f t="shared" si="219"/>
        <v/>
      </c>
      <c r="E1199" s="953" t="str">
        <f t="shared" si="220"/>
        <v/>
      </c>
      <c r="F1199" s="953" t="str">
        <f t="shared" si="221"/>
        <v/>
      </c>
      <c r="G1199" s="953" t="str">
        <f t="shared" si="222"/>
        <v/>
      </c>
      <c r="H1199" s="953">
        <f t="shared" si="223"/>
        <v>0</v>
      </c>
      <c r="I1199" s="953">
        <f t="shared" si="224"/>
        <v>0</v>
      </c>
      <c r="J1199" s="953">
        <f t="shared" si="225"/>
        <v>0</v>
      </c>
      <c r="K1199" s="953" t="str">
        <f t="shared" si="226"/>
        <v/>
      </c>
      <c r="L1199" s="570" t="str">
        <f t="shared" si="227"/>
        <v/>
      </c>
      <c r="M1199" s="570" t="str">
        <f t="shared" si="228"/>
        <v/>
      </c>
    </row>
    <row r="1200" spans="1:13">
      <c r="A1200" s="570" t="str">
        <f t="shared" si="229"/>
        <v/>
      </c>
      <c r="C1200" s="953" t="str">
        <f t="shared" si="218"/>
        <v/>
      </c>
      <c r="D1200" s="953" t="str">
        <f t="shared" si="219"/>
        <v/>
      </c>
      <c r="E1200" s="953" t="str">
        <f t="shared" si="220"/>
        <v/>
      </c>
      <c r="F1200" s="953" t="str">
        <f t="shared" si="221"/>
        <v/>
      </c>
      <c r="G1200" s="953" t="str">
        <f t="shared" si="222"/>
        <v/>
      </c>
      <c r="H1200" s="953">
        <f t="shared" si="223"/>
        <v>0</v>
      </c>
      <c r="I1200" s="953">
        <f t="shared" si="224"/>
        <v>0</v>
      </c>
      <c r="J1200" s="953">
        <f t="shared" si="225"/>
        <v>0</v>
      </c>
      <c r="K1200" s="953" t="str">
        <f t="shared" si="226"/>
        <v/>
      </c>
      <c r="L1200" s="570" t="str">
        <f t="shared" si="227"/>
        <v/>
      </c>
      <c r="M1200" s="570" t="str">
        <f t="shared" si="228"/>
        <v/>
      </c>
    </row>
    <row r="1201" spans="1:13">
      <c r="A1201" s="570" t="str">
        <f t="shared" si="229"/>
        <v/>
      </c>
      <c r="C1201" s="953" t="str">
        <f t="shared" si="218"/>
        <v/>
      </c>
      <c r="D1201" s="953" t="str">
        <f t="shared" si="219"/>
        <v/>
      </c>
      <c r="E1201" s="953" t="str">
        <f t="shared" si="220"/>
        <v/>
      </c>
      <c r="F1201" s="953" t="str">
        <f t="shared" si="221"/>
        <v/>
      </c>
      <c r="G1201" s="953" t="str">
        <f t="shared" si="222"/>
        <v/>
      </c>
      <c r="H1201" s="953">
        <f t="shared" si="223"/>
        <v>0</v>
      </c>
      <c r="I1201" s="953">
        <f t="shared" si="224"/>
        <v>0</v>
      </c>
      <c r="J1201" s="953">
        <f t="shared" si="225"/>
        <v>0</v>
      </c>
      <c r="K1201" s="953" t="str">
        <f t="shared" si="226"/>
        <v/>
      </c>
      <c r="L1201" s="570" t="str">
        <f t="shared" si="227"/>
        <v/>
      </c>
      <c r="M1201" s="570" t="str">
        <f t="shared" si="228"/>
        <v/>
      </c>
    </row>
    <row r="1202" spans="1:13">
      <c r="A1202" s="570" t="str">
        <f t="shared" si="229"/>
        <v/>
      </c>
      <c r="C1202" s="953" t="str">
        <f t="shared" si="218"/>
        <v/>
      </c>
      <c r="D1202" s="953" t="str">
        <f t="shared" si="219"/>
        <v/>
      </c>
      <c r="E1202" s="953" t="str">
        <f t="shared" si="220"/>
        <v/>
      </c>
      <c r="F1202" s="953" t="str">
        <f t="shared" si="221"/>
        <v/>
      </c>
      <c r="G1202" s="953" t="str">
        <f t="shared" si="222"/>
        <v/>
      </c>
      <c r="H1202" s="953">
        <f t="shared" si="223"/>
        <v>0</v>
      </c>
      <c r="I1202" s="953">
        <f t="shared" si="224"/>
        <v>0</v>
      </c>
      <c r="J1202" s="953">
        <f t="shared" si="225"/>
        <v>0</v>
      </c>
      <c r="K1202" s="953" t="str">
        <f t="shared" si="226"/>
        <v/>
      </c>
      <c r="L1202" s="570" t="str">
        <f t="shared" si="227"/>
        <v/>
      </c>
      <c r="M1202" s="570" t="str">
        <f t="shared" si="228"/>
        <v/>
      </c>
    </row>
    <row r="1203" spans="1:13">
      <c r="A1203" s="570" t="str">
        <f t="shared" si="229"/>
        <v/>
      </c>
      <c r="C1203" s="953" t="str">
        <f t="shared" si="218"/>
        <v/>
      </c>
      <c r="D1203" s="953" t="str">
        <f t="shared" si="219"/>
        <v/>
      </c>
      <c r="E1203" s="953" t="str">
        <f t="shared" si="220"/>
        <v/>
      </c>
      <c r="F1203" s="953" t="str">
        <f t="shared" si="221"/>
        <v/>
      </c>
      <c r="G1203" s="953" t="str">
        <f t="shared" si="222"/>
        <v/>
      </c>
      <c r="H1203" s="953">
        <f t="shared" si="223"/>
        <v>0</v>
      </c>
      <c r="I1203" s="953">
        <f t="shared" si="224"/>
        <v>0</v>
      </c>
      <c r="J1203" s="953">
        <f t="shared" si="225"/>
        <v>0</v>
      </c>
      <c r="K1203" s="953" t="str">
        <f t="shared" si="226"/>
        <v/>
      </c>
      <c r="L1203" s="570" t="str">
        <f t="shared" si="227"/>
        <v/>
      </c>
      <c r="M1203" s="570" t="str">
        <f t="shared" si="228"/>
        <v/>
      </c>
    </row>
    <row r="1204" spans="1:13">
      <c r="A1204" s="570" t="str">
        <f t="shared" si="229"/>
        <v/>
      </c>
      <c r="C1204" s="953" t="str">
        <f t="shared" si="218"/>
        <v/>
      </c>
      <c r="D1204" s="953" t="str">
        <f t="shared" si="219"/>
        <v/>
      </c>
      <c r="E1204" s="953" t="str">
        <f t="shared" si="220"/>
        <v/>
      </c>
      <c r="F1204" s="953" t="str">
        <f t="shared" si="221"/>
        <v/>
      </c>
      <c r="G1204" s="953" t="str">
        <f t="shared" si="222"/>
        <v/>
      </c>
      <c r="H1204" s="953">
        <f t="shared" si="223"/>
        <v>0</v>
      </c>
      <c r="I1204" s="953">
        <f t="shared" si="224"/>
        <v>0</v>
      </c>
      <c r="J1204" s="953">
        <f t="shared" si="225"/>
        <v>0</v>
      </c>
      <c r="K1204" s="953" t="str">
        <f t="shared" si="226"/>
        <v/>
      </c>
      <c r="L1204" s="570" t="str">
        <f t="shared" si="227"/>
        <v/>
      </c>
      <c r="M1204" s="570" t="str">
        <f t="shared" si="228"/>
        <v/>
      </c>
    </row>
    <row r="1205" spans="1:13">
      <c r="A1205" s="570" t="str">
        <f t="shared" si="229"/>
        <v/>
      </c>
      <c r="C1205" s="953" t="str">
        <f t="shared" si="218"/>
        <v/>
      </c>
      <c r="D1205" s="953" t="str">
        <f t="shared" si="219"/>
        <v/>
      </c>
      <c r="E1205" s="953" t="str">
        <f t="shared" si="220"/>
        <v/>
      </c>
      <c r="F1205" s="953" t="str">
        <f t="shared" si="221"/>
        <v/>
      </c>
      <c r="G1205" s="953" t="str">
        <f t="shared" si="222"/>
        <v/>
      </c>
      <c r="H1205" s="953">
        <f t="shared" si="223"/>
        <v>0</v>
      </c>
      <c r="I1205" s="953">
        <f t="shared" si="224"/>
        <v>0</v>
      </c>
      <c r="J1205" s="953">
        <f t="shared" si="225"/>
        <v>0</v>
      </c>
      <c r="K1205" s="953" t="str">
        <f t="shared" si="226"/>
        <v/>
      </c>
      <c r="L1205" s="570" t="str">
        <f t="shared" si="227"/>
        <v/>
      </c>
      <c r="M1205" s="570" t="str">
        <f t="shared" si="228"/>
        <v/>
      </c>
    </row>
    <row r="1206" spans="1:13">
      <c r="A1206" s="570" t="str">
        <f t="shared" si="229"/>
        <v/>
      </c>
      <c r="C1206" s="953" t="str">
        <f t="shared" si="218"/>
        <v/>
      </c>
      <c r="D1206" s="953" t="str">
        <f t="shared" si="219"/>
        <v/>
      </c>
      <c r="E1206" s="953" t="str">
        <f t="shared" si="220"/>
        <v/>
      </c>
      <c r="F1206" s="953" t="str">
        <f t="shared" si="221"/>
        <v/>
      </c>
      <c r="G1206" s="953" t="str">
        <f t="shared" si="222"/>
        <v/>
      </c>
      <c r="H1206" s="953">
        <f t="shared" si="223"/>
        <v>0</v>
      </c>
      <c r="I1206" s="953">
        <f t="shared" si="224"/>
        <v>0</v>
      </c>
      <c r="J1206" s="953">
        <f t="shared" si="225"/>
        <v>0</v>
      </c>
      <c r="K1206" s="953" t="str">
        <f t="shared" si="226"/>
        <v/>
      </c>
      <c r="L1206" s="570" t="str">
        <f t="shared" si="227"/>
        <v/>
      </c>
      <c r="M1206" s="570" t="str">
        <f t="shared" si="228"/>
        <v/>
      </c>
    </row>
    <row r="1207" spans="1:13">
      <c r="A1207" s="570" t="str">
        <f t="shared" si="229"/>
        <v/>
      </c>
      <c r="C1207" s="953" t="str">
        <f t="shared" si="218"/>
        <v/>
      </c>
      <c r="D1207" s="953" t="str">
        <f t="shared" si="219"/>
        <v/>
      </c>
      <c r="E1207" s="953" t="str">
        <f t="shared" si="220"/>
        <v/>
      </c>
      <c r="F1207" s="953" t="str">
        <f t="shared" si="221"/>
        <v/>
      </c>
      <c r="G1207" s="953" t="str">
        <f t="shared" si="222"/>
        <v/>
      </c>
      <c r="H1207" s="953">
        <f t="shared" si="223"/>
        <v>0</v>
      </c>
      <c r="I1207" s="953">
        <f t="shared" si="224"/>
        <v>0</v>
      </c>
      <c r="J1207" s="953">
        <f t="shared" si="225"/>
        <v>0</v>
      </c>
      <c r="K1207" s="953" t="str">
        <f t="shared" si="226"/>
        <v/>
      </c>
      <c r="L1207" s="570" t="str">
        <f t="shared" si="227"/>
        <v/>
      </c>
      <c r="M1207" s="570" t="str">
        <f t="shared" si="228"/>
        <v/>
      </c>
    </row>
    <row r="1208" spans="1:13">
      <c r="A1208" s="570" t="str">
        <f t="shared" si="229"/>
        <v/>
      </c>
      <c r="C1208" s="953" t="str">
        <f t="shared" si="218"/>
        <v/>
      </c>
      <c r="D1208" s="953" t="str">
        <f t="shared" si="219"/>
        <v/>
      </c>
      <c r="E1208" s="953" t="str">
        <f t="shared" si="220"/>
        <v/>
      </c>
      <c r="F1208" s="953" t="str">
        <f t="shared" si="221"/>
        <v/>
      </c>
      <c r="G1208" s="953" t="str">
        <f t="shared" si="222"/>
        <v/>
      </c>
      <c r="H1208" s="953">
        <f t="shared" si="223"/>
        <v>0</v>
      </c>
      <c r="I1208" s="953">
        <f t="shared" si="224"/>
        <v>0</v>
      </c>
      <c r="J1208" s="953">
        <f t="shared" si="225"/>
        <v>0</v>
      </c>
      <c r="K1208" s="953" t="str">
        <f t="shared" si="226"/>
        <v/>
      </c>
      <c r="L1208" s="570" t="str">
        <f t="shared" si="227"/>
        <v/>
      </c>
      <c r="M1208" s="570" t="str">
        <f t="shared" si="228"/>
        <v/>
      </c>
    </row>
    <row r="1209" spans="1:13">
      <c r="A1209" s="570" t="str">
        <f t="shared" si="229"/>
        <v/>
      </c>
      <c r="C1209" s="953" t="str">
        <f t="shared" si="218"/>
        <v/>
      </c>
      <c r="D1209" s="953" t="str">
        <f t="shared" si="219"/>
        <v/>
      </c>
      <c r="E1209" s="953" t="str">
        <f t="shared" si="220"/>
        <v/>
      </c>
      <c r="F1209" s="953" t="str">
        <f t="shared" si="221"/>
        <v/>
      </c>
      <c r="G1209" s="953" t="str">
        <f t="shared" si="222"/>
        <v/>
      </c>
      <c r="H1209" s="953">
        <f t="shared" si="223"/>
        <v>0</v>
      </c>
      <c r="I1209" s="953">
        <f t="shared" si="224"/>
        <v>0</v>
      </c>
      <c r="J1209" s="953">
        <f t="shared" si="225"/>
        <v>0</v>
      </c>
      <c r="K1209" s="953" t="str">
        <f t="shared" si="226"/>
        <v/>
      </c>
      <c r="L1209" s="570" t="str">
        <f t="shared" si="227"/>
        <v/>
      </c>
      <c r="M1209" s="570" t="str">
        <f t="shared" si="228"/>
        <v/>
      </c>
    </row>
    <row r="1210" spans="1:13">
      <c r="A1210" s="570" t="str">
        <f t="shared" si="229"/>
        <v/>
      </c>
      <c r="C1210" s="953" t="str">
        <f t="shared" si="218"/>
        <v/>
      </c>
      <c r="D1210" s="953" t="str">
        <f t="shared" si="219"/>
        <v/>
      </c>
      <c r="E1210" s="953" t="str">
        <f t="shared" si="220"/>
        <v/>
      </c>
      <c r="F1210" s="953" t="str">
        <f t="shared" si="221"/>
        <v/>
      </c>
      <c r="G1210" s="953" t="str">
        <f t="shared" si="222"/>
        <v/>
      </c>
      <c r="H1210" s="953">
        <f t="shared" si="223"/>
        <v>0</v>
      </c>
      <c r="I1210" s="953">
        <f t="shared" si="224"/>
        <v>0</v>
      </c>
      <c r="J1210" s="953">
        <f t="shared" si="225"/>
        <v>0</v>
      </c>
      <c r="K1210" s="953" t="str">
        <f t="shared" si="226"/>
        <v/>
      </c>
      <c r="L1210" s="570" t="str">
        <f t="shared" si="227"/>
        <v/>
      </c>
      <c r="M1210" s="570" t="str">
        <f t="shared" si="228"/>
        <v/>
      </c>
    </row>
    <row r="1211" spans="1:13">
      <c r="A1211" s="570" t="str">
        <f t="shared" si="229"/>
        <v/>
      </c>
      <c r="C1211" s="953" t="str">
        <f t="shared" si="218"/>
        <v/>
      </c>
      <c r="D1211" s="953" t="str">
        <f t="shared" si="219"/>
        <v/>
      </c>
      <c r="E1211" s="953" t="str">
        <f t="shared" si="220"/>
        <v/>
      </c>
      <c r="F1211" s="953" t="str">
        <f t="shared" si="221"/>
        <v/>
      </c>
      <c r="G1211" s="953" t="str">
        <f t="shared" si="222"/>
        <v/>
      </c>
      <c r="H1211" s="953">
        <f t="shared" si="223"/>
        <v>0</v>
      </c>
      <c r="I1211" s="953">
        <f t="shared" si="224"/>
        <v>0</v>
      </c>
      <c r="J1211" s="953">
        <f t="shared" si="225"/>
        <v>0</v>
      </c>
      <c r="K1211" s="953" t="str">
        <f t="shared" si="226"/>
        <v/>
      </c>
      <c r="L1211" s="570" t="str">
        <f t="shared" si="227"/>
        <v/>
      </c>
      <c r="M1211" s="570" t="str">
        <f t="shared" si="228"/>
        <v/>
      </c>
    </row>
    <row r="1212" spans="1:13">
      <c r="A1212" s="570" t="str">
        <f t="shared" si="229"/>
        <v/>
      </c>
      <c r="C1212" s="953" t="str">
        <f t="shared" si="218"/>
        <v/>
      </c>
      <c r="D1212" s="953" t="str">
        <f t="shared" si="219"/>
        <v/>
      </c>
      <c r="E1212" s="953" t="str">
        <f t="shared" si="220"/>
        <v/>
      </c>
      <c r="F1212" s="953" t="str">
        <f t="shared" si="221"/>
        <v/>
      </c>
      <c r="G1212" s="953" t="str">
        <f t="shared" si="222"/>
        <v/>
      </c>
      <c r="H1212" s="953">
        <f t="shared" si="223"/>
        <v>0</v>
      </c>
      <c r="I1212" s="953">
        <f t="shared" si="224"/>
        <v>0</v>
      </c>
      <c r="J1212" s="953">
        <f t="shared" si="225"/>
        <v>0</v>
      </c>
      <c r="K1212" s="953" t="str">
        <f t="shared" si="226"/>
        <v/>
      </c>
      <c r="L1212" s="570" t="str">
        <f t="shared" si="227"/>
        <v/>
      </c>
      <c r="M1212" s="570" t="str">
        <f t="shared" si="228"/>
        <v/>
      </c>
    </row>
    <row r="1213" spans="1:13">
      <c r="A1213" s="570" t="str">
        <f t="shared" si="229"/>
        <v/>
      </c>
      <c r="C1213" s="953" t="str">
        <f t="shared" si="218"/>
        <v/>
      </c>
      <c r="D1213" s="953" t="str">
        <f t="shared" si="219"/>
        <v/>
      </c>
      <c r="E1213" s="953" t="str">
        <f t="shared" si="220"/>
        <v/>
      </c>
      <c r="F1213" s="953" t="str">
        <f t="shared" si="221"/>
        <v/>
      </c>
      <c r="G1213" s="953" t="str">
        <f t="shared" si="222"/>
        <v/>
      </c>
      <c r="H1213" s="953">
        <f t="shared" si="223"/>
        <v>0</v>
      </c>
      <c r="I1213" s="953">
        <f t="shared" si="224"/>
        <v>0</v>
      </c>
      <c r="J1213" s="953">
        <f t="shared" si="225"/>
        <v>0</v>
      </c>
      <c r="K1213" s="953" t="str">
        <f t="shared" si="226"/>
        <v/>
      </c>
      <c r="L1213" s="570" t="str">
        <f t="shared" si="227"/>
        <v/>
      </c>
      <c r="M1213" s="570" t="str">
        <f t="shared" si="228"/>
        <v/>
      </c>
    </row>
    <row r="1214" spans="1:13">
      <c r="A1214" s="570" t="str">
        <f t="shared" si="229"/>
        <v/>
      </c>
      <c r="C1214" s="953" t="str">
        <f t="shared" si="218"/>
        <v/>
      </c>
      <c r="D1214" s="953" t="str">
        <f t="shared" si="219"/>
        <v/>
      </c>
      <c r="E1214" s="953" t="str">
        <f t="shared" si="220"/>
        <v/>
      </c>
      <c r="F1214" s="953" t="str">
        <f t="shared" si="221"/>
        <v/>
      </c>
      <c r="G1214" s="953" t="str">
        <f t="shared" si="222"/>
        <v/>
      </c>
      <c r="H1214" s="953">
        <f t="shared" si="223"/>
        <v>0</v>
      </c>
      <c r="I1214" s="953">
        <f t="shared" si="224"/>
        <v>0</v>
      </c>
      <c r="J1214" s="953">
        <f t="shared" si="225"/>
        <v>0</v>
      </c>
      <c r="K1214" s="953" t="str">
        <f t="shared" si="226"/>
        <v/>
      </c>
      <c r="L1214" s="570" t="str">
        <f t="shared" si="227"/>
        <v/>
      </c>
      <c r="M1214" s="570" t="str">
        <f t="shared" si="228"/>
        <v/>
      </c>
    </row>
    <row r="1215" spans="1:13">
      <c r="A1215" s="570" t="str">
        <f t="shared" si="229"/>
        <v/>
      </c>
      <c r="C1215" s="953" t="str">
        <f t="shared" si="218"/>
        <v/>
      </c>
      <c r="D1215" s="953" t="str">
        <f t="shared" si="219"/>
        <v/>
      </c>
      <c r="E1215" s="953" t="str">
        <f t="shared" si="220"/>
        <v/>
      </c>
      <c r="F1215" s="953" t="str">
        <f t="shared" si="221"/>
        <v/>
      </c>
      <c r="G1215" s="953" t="str">
        <f t="shared" si="222"/>
        <v/>
      </c>
      <c r="H1215" s="953">
        <f t="shared" si="223"/>
        <v>0</v>
      </c>
      <c r="I1215" s="953">
        <f t="shared" si="224"/>
        <v>0</v>
      </c>
      <c r="J1215" s="953">
        <f t="shared" si="225"/>
        <v>0</v>
      </c>
      <c r="K1215" s="953" t="str">
        <f t="shared" si="226"/>
        <v/>
      </c>
      <c r="L1215" s="570" t="str">
        <f t="shared" si="227"/>
        <v/>
      </c>
      <c r="M1215" s="570" t="str">
        <f t="shared" si="228"/>
        <v/>
      </c>
    </row>
    <row r="1216" spans="1:13">
      <c r="A1216" s="570" t="str">
        <f t="shared" si="229"/>
        <v/>
      </c>
      <c r="C1216" s="953" t="str">
        <f t="shared" si="218"/>
        <v/>
      </c>
      <c r="D1216" s="953" t="str">
        <f t="shared" si="219"/>
        <v/>
      </c>
      <c r="E1216" s="953" t="str">
        <f t="shared" si="220"/>
        <v/>
      </c>
      <c r="F1216" s="953" t="str">
        <f t="shared" si="221"/>
        <v/>
      </c>
      <c r="G1216" s="953" t="str">
        <f t="shared" si="222"/>
        <v/>
      </c>
      <c r="H1216" s="953">
        <f t="shared" si="223"/>
        <v>0</v>
      </c>
      <c r="I1216" s="953">
        <f t="shared" si="224"/>
        <v>0</v>
      </c>
      <c r="J1216" s="953">
        <f t="shared" si="225"/>
        <v>0</v>
      </c>
      <c r="K1216" s="953" t="str">
        <f t="shared" si="226"/>
        <v/>
      </c>
      <c r="L1216" s="570" t="str">
        <f t="shared" si="227"/>
        <v/>
      </c>
      <c r="M1216" s="570" t="str">
        <f t="shared" si="228"/>
        <v/>
      </c>
    </row>
    <row r="1217" spans="1:13">
      <c r="A1217" s="570" t="str">
        <f t="shared" si="229"/>
        <v/>
      </c>
      <c r="C1217" s="953" t="str">
        <f t="shared" si="218"/>
        <v/>
      </c>
      <c r="D1217" s="953" t="str">
        <f t="shared" si="219"/>
        <v/>
      </c>
      <c r="E1217" s="953" t="str">
        <f t="shared" si="220"/>
        <v/>
      </c>
      <c r="F1217" s="953" t="str">
        <f t="shared" si="221"/>
        <v/>
      </c>
      <c r="G1217" s="953" t="str">
        <f t="shared" si="222"/>
        <v/>
      </c>
      <c r="H1217" s="953">
        <f t="shared" si="223"/>
        <v>0</v>
      </c>
      <c r="I1217" s="953">
        <f t="shared" si="224"/>
        <v>0</v>
      </c>
      <c r="J1217" s="953">
        <f t="shared" si="225"/>
        <v>0</v>
      </c>
      <c r="K1217" s="953" t="str">
        <f t="shared" si="226"/>
        <v/>
      </c>
      <c r="L1217" s="570" t="str">
        <f t="shared" si="227"/>
        <v/>
      </c>
      <c r="M1217" s="570" t="str">
        <f t="shared" si="228"/>
        <v/>
      </c>
    </row>
    <row r="1218" spans="1:13">
      <c r="A1218" s="570" t="str">
        <f t="shared" si="229"/>
        <v/>
      </c>
      <c r="C1218" s="953" t="str">
        <f t="shared" ref="C1218:C1281" si="230">IF(Etabs="Etabs 9.7.4",IF(INDEX(Mode_1,ROW($E1218),COLUMN(A$1))&lt;&gt;"",INDEX(Mode_1,ROW($E1218),COLUMN(A$1)),""),IF(Etabs="Etabs 2013 trở lên",IF(INDEX(Mode_2,ROW($E1220),COLUMN(A$1))&lt;&gt;"",INDEX(Mode_2,ROW($E1220),COLUMN(A$1)),""),""))</f>
        <v/>
      </c>
      <c r="D1218" s="953" t="str">
        <f t="shared" ref="D1218:D1281" si="231">IF(Etabs="Etabs 9.7.4",IF(INDEX(Mode_1,ROW($E1218),COLUMN(B$1))&lt;&gt;"",INDEX(Mode_1,ROW($E1218),COLUMN(B$1)),""),IF(Etabs="Etabs 2013 trở lên",IF(INDEX(Mode_2,ROW($E1220),COLUMN(B$1))&lt;&gt;"",INDEX(Mode_2,ROW($E1220),COLUMN(B$1)),""),""))</f>
        <v/>
      </c>
      <c r="E1218" s="953" t="str">
        <f t="shared" ref="E1218:E1281" si="232">IF(Etabs="Etabs 9.7.4",IF(INDEX(Mode_1,ROW($E1218),COLUMN(C$1))&lt;&gt;"",INDEX(Mode_1,ROW($E1218),COLUMN(C$1)),""),IF(Etabs="Etabs 2013 trở lên",$M1218,""))</f>
        <v/>
      </c>
      <c r="F1218" s="953" t="str">
        <f t="shared" ref="F1218:F1281" si="233">IF(Etabs="Etabs 9.7.4",IF(INDEX(Mode_1,ROW($E1218),COLUMN(D$1))&lt;&gt;"",INDEX(Mode_1,ROW($E1218),COLUMN(D$1)),""),IF(Etabs="Etabs 2013 trở lên",IF(INDEX(Mode_2,ROW($E1220),COLUMN(D$1))&lt;&gt;"",INDEX(Mode_2,ROW($E1220),COLUMN(D$1)),""),""))</f>
        <v/>
      </c>
      <c r="G1218" s="953" t="str">
        <f t="shared" ref="G1218:G1281" si="234">IF(Etabs="Etabs 9.7.4",IF(INDEX(Mode_1,ROW($E1218),COLUMN(E$1))&lt;&gt;"",INDEX(Mode_1,ROW($E1218),COLUMN(E$1)),""),IF(Etabs="Etabs 2013 trở lên",IF(INDEX(Mode_2,ROW($E1220),COLUMN(E$1))&lt;&gt;"",INDEX(Mode_2,ROW($E1220),COLUMN(E$1)),""),""))</f>
        <v/>
      </c>
      <c r="H1218" s="953">
        <f t="shared" ref="H1218:H1281" si="235">IF(Etabs="Etabs 9.7.4",IF(INDEX(Mode_1,ROW($E1218),COLUMN(F$1))&lt;&gt;"",INDEX(Mode_1,ROW($E1218),COLUMN(F$1)),""),IF(Etabs="Etabs 2013 trở lên",0,""))</f>
        <v>0</v>
      </c>
      <c r="I1218" s="953">
        <f t="shared" ref="I1218:I1281" si="236">IF(Etabs="Etabs 9.7.4",IF(INDEX(Mode_1,ROW($E1218),COLUMN(G$1))&lt;&gt;"",INDEX(Mode_1,ROW($E1218),COLUMN(G$1)),""),IF(Etabs="Etabs 2013 trở lên",0,""))</f>
        <v>0</v>
      </c>
      <c r="J1218" s="953">
        <f t="shared" ref="J1218:J1281" si="237">IF(Etabs="Etabs 9.7.4",IF(INDEX(Mode_1,ROW($E1218),COLUMN(H$1))&lt;&gt;"",INDEX(Mode_1,ROW($E1218),COLUMN(H$1)),""),IF(Etabs="Etabs 2013 trở lên",0,""))</f>
        <v>0</v>
      </c>
      <c r="K1218" s="953" t="str">
        <f t="shared" ref="K1218:K1281" si="238">IF(Etabs="Etabs 9.7.4",IF(INDEX(Mode_1,ROW($E1218),COLUMN(I$1))&lt;&gt;"",INDEX(Mode_1,ROW($E1218),COLUMN(I$1)),""),IF(Etabs="Etabs 2013 trở lên",IF(INDEX(Mode_2,ROW($E1220),COLUMN(F$1))&lt;&gt;"",INDEX(Mode_2,ROW($E1220),COLUMN(F$1)),""),""))</f>
        <v/>
      </c>
      <c r="L1218" s="570" t="str">
        <f t="shared" ref="L1218:L1281" si="239">IF(Etabs="Etabs 9.7.4",IF(INDEX(Mode_1,ROW($E1218),COLUMN(C$1))&lt;&gt;"",INDEX(Mode_1,ROW($E1218),COLUMN(C$1)),""),IF(Etabs="Etabs 2013 trở lên",IF(INDEX(Mode_2,ROW($E1220),COLUMN(C$1))&lt;&gt;"",INDEX(Mode_2,ROW($E1220),COLUMN(C$1)),""),""))</f>
        <v/>
      </c>
      <c r="M1218" s="570" t="str">
        <f t="shared" si="228"/>
        <v/>
      </c>
    </row>
    <row r="1219" spans="1:13">
      <c r="A1219" s="570" t="str">
        <f t="shared" si="229"/>
        <v/>
      </c>
      <c r="C1219" s="953" t="str">
        <f t="shared" si="230"/>
        <v/>
      </c>
      <c r="D1219" s="953" t="str">
        <f t="shared" si="231"/>
        <v/>
      </c>
      <c r="E1219" s="953" t="str">
        <f t="shared" si="232"/>
        <v/>
      </c>
      <c r="F1219" s="953" t="str">
        <f t="shared" si="233"/>
        <v/>
      </c>
      <c r="G1219" s="953" t="str">
        <f t="shared" si="234"/>
        <v/>
      </c>
      <c r="H1219" s="953">
        <f t="shared" si="235"/>
        <v>0</v>
      </c>
      <c r="I1219" s="953">
        <f t="shared" si="236"/>
        <v>0</v>
      </c>
      <c r="J1219" s="953">
        <f t="shared" si="237"/>
        <v>0</v>
      </c>
      <c r="K1219" s="953" t="str">
        <f t="shared" si="238"/>
        <v/>
      </c>
      <c r="L1219" s="570" t="str">
        <f t="shared" si="239"/>
        <v/>
      </c>
      <c r="M1219" s="570" t="str">
        <f t="shared" ref="M1219:M1282" si="240">IFERROR(VALUE(RIGHT(L1219,LEN(L1219)-6)),"")</f>
        <v/>
      </c>
    </row>
    <row r="1220" spans="1:13">
      <c r="A1220" s="570" t="str">
        <f t="shared" si="229"/>
        <v/>
      </c>
      <c r="C1220" s="953" t="str">
        <f t="shared" si="230"/>
        <v/>
      </c>
      <c r="D1220" s="953" t="str">
        <f t="shared" si="231"/>
        <v/>
      </c>
      <c r="E1220" s="953" t="str">
        <f t="shared" si="232"/>
        <v/>
      </c>
      <c r="F1220" s="953" t="str">
        <f t="shared" si="233"/>
        <v/>
      </c>
      <c r="G1220" s="953" t="str">
        <f t="shared" si="234"/>
        <v/>
      </c>
      <c r="H1220" s="953">
        <f t="shared" si="235"/>
        <v>0</v>
      </c>
      <c r="I1220" s="953">
        <f t="shared" si="236"/>
        <v>0</v>
      </c>
      <c r="J1220" s="953">
        <f t="shared" si="237"/>
        <v>0</v>
      </c>
      <c r="K1220" s="953" t="str">
        <f t="shared" si="238"/>
        <v/>
      </c>
      <c r="L1220" s="570" t="str">
        <f t="shared" si="239"/>
        <v/>
      </c>
      <c r="M1220" s="570" t="str">
        <f t="shared" si="240"/>
        <v/>
      </c>
    </row>
    <row r="1221" spans="1:13">
      <c r="A1221" s="570" t="str">
        <f t="shared" si="229"/>
        <v/>
      </c>
      <c r="C1221" s="953" t="str">
        <f t="shared" si="230"/>
        <v/>
      </c>
      <c r="D1221" s="953" t="str">
        <f t="shared" si="231"/>
        <v/>
      </c>
      <c r="E1221" s="953" t="str">
        <f t="shared" si="232"/>
        <v/>
      </c>
      <c r="F1221" s="953" t="str">
        <f t="shared" si="233"/>
        <v/>
      </c>
      <c r="G1221" s="953" t="str">
        <f t="shared" si="234"/>
        <v/>
      </c>
      <c r="H1221" s="953">
        <f t="shared" si="235"/>
        <v>0</v>
      </c>
      <c r="I1221" s="953">
        <f t="shared" si="236"/>
        <v>0</v>
      </c>
      <c r="J1221" s="953">
        <f t="shared" si="237"/>
        <v>0</v>
      </c>
      <c r="K1221" s="953" t="str">
        <f t="shared" si="238"/>
        <v/>
      </c>
      <c r="L1221" s="570" t="str">
        <f t="shared" si="239"/>
        <v/>
      </c>
      <c r="M1221" s="570" t="str">
        <f t="shared" si="240"/>
        <v/>
      </c>
    </row>
    <row r="1222" spans="1:13">
      <c r="A1222" s="570" t="str">
        <f t="shared" ref="A1222:A1285" si="241">C1222&amp;E1222</f>
        <v/>
      </c>
      <c r="C1222" s="953" t="str">
        <f t="shared" si="230"/>
        <v/>
      </c>
      <c r="D1222" s="953" t="str">
        <f t="shared" si="231"/>
        <v/>
      </c>
      <c r="E1222" s="953" t="str">
        <f t="shared" si="232"/>
        <v/>
      </c>
      <c r="F1222" s="953" t="str">
        <f t="shared" si="233"/>
        <v/>
      </c>
      <c r="G1222" s="953" t="str">
        <f t="shared" si="234"/>
        <v/>
      </c>
      <c r="H1222" s="953">
        <f t="shared" si="235"/>
        <v>0</v>
      </c>
      <c r="I1222" s="953">
        <f t="shared" si="236"/>
        <v>0</v>
      </c>
      <c r="J1222" s="953">
        <f t="shared" si="237"/>
        <v>0</v>
      </c>
      <c r="K1222" s="953" t="str">
        <f t="shared" si="238"/>
        <v/>
      </c>
      <c r="L1222" s="570" t="str">
        <f t="shared" si="239"/>
        <v/>
      </c>
      <c r="M1222" s="570" t="str">
        <f t="shared" si="240"/>
        <v/>
      </c>
    </row>
    <row r="1223" spans="1:13">
      <c r="A1223" s="570" t="str">
        <f t="shared" si="241"/>
        <v/>
      </c>
      <c r="C1223" s="953" t="str">
        <f t="shared" si="230"/>
        <v/>
      </c>
      <c r="D1223" s="953" t="str">
        <f t="shared" si="231"/>
        <v/>
      </c>
      <c r="E1223" s="953" t="str">
        <f t="shared" si="232"/>
        <v/>
      </c>
      <c r="F1223" s="953" t="str">
        <f t="shared" si="233"/>
        <v/>
      </c>
      <c r="G1223" s="953" t="str">
        <f t="shared" si="234"/>
        <v/>
      </c>
      <c r="H1223" s="953">
        <f t="shared" si="235"/>
        <v>0</v>
      </c>
      <c r="I1223" s="953">
        <f t="shared" si="236"/>
        <v>0</v>
      </c>
      <c r="J1223" s="953">
        <f t="shared" si="237"/>
        <v>0</v>
      </c>
      <c r="K1223" s="953" t="str">
        <f t="shared" si="238"/>
        <v/>
      </c>
      <c r="L1223" s="570" t="str">
        <f t="shared" si="239"/>
        <v/>
      </c>
      <c r="M1223" s="570" t="str">
        <f t="shared" si="240"/>
        <v/>
      </c>
    </row>
    <row r="1224" spans="1:13">
      <c r="A1224" s="570" t="str">
        <f t="shared" si="241"/>
        <v/>
      </c>
      <c r="C1224" s="953" t="str">
        <f t="shared" si="230"/>
        <v/>
      </c>
      <c r="D1224" s="953" t="str">
        <f t="shared" si="231"/>
        <v/>
      </c>
      <c r="E1224" s="953" t="str">
        <f t="shared" si="232"/>
        <v/>
      </c>
      <c r="F1224" s="953" t="str">
        <f t="shared" si="233"/>
        <v/>
      </c>
      <c r="G1224" s="953" t="str">
        <f t="shared" si="234"/>
        <v/>
      </c>
      <c r="H1224" s="953">
        <f t="shared" si="235"/>
        <v>0</v>
      </c>
      <c r="I1224" s="953">
        <f t="shared" si="236"/>
        <v>0</v>
      </c>
      <c r="J1224" s="953">
        <f t="shared" si="237"/>
        <v>0</v>
      </c>
      <c r="K1224" s="953" t="str">
        <f t="shared" si="238"/>
        <v/>
      </c>
      <c r="L1224" s="570" t="str">
        <f t="shared" si="239"/>
        <v/>
      </c>
      <c r="M1224" s="570" t="str">
        <f t="shared" si="240"/>
        <v/>
      </c>
    </row>
    <row r="1225" spans="1:13">
      <c r="A1225" s="570" t="str">
        <f t="shared" si="241"/>
        <v/>
      </c>
      <c r="C1225" s="953" t="str">
        <f t="shared" si="230"/>
        <v/>
      </c>
      <c r="D1225" s="953" t="str">
        <f t="shared" si="231"/>
        <v/>
      </c>
      <c r="E1225" s="953" t="str">
        <f t="shared" si="232"/>
        <v/>
      </c>
      <c r="F1225" s="953" t="str">
        <f t="shared" si="233"/>
        <v/>
      </c>
      <c r="G1225" s="953" t="str">
        <f t="shared" si="234"/>
        <v/>
      </c>
      <c r="H1225" s="953">
        <f t="shared" si="235"/>
        <v>0</v>
      </c>
      <c r="I1225" s="953">
        <f t="shared" si="236"/>
        <v>0</v>
      </c>
      <c r="J1225" s="953">
        <f t="shared" si="237"/>
        <v>0</v>
      </c>
      <c r="K1225" s="953" t="str">
        <f t="shared" si="238"/>
        <v/>
      </c>
      <c r="L1225" s="570" t="str">
        <f t="shared" si="239"/>
        <v/>
      </c>
      <c r="M1225" s="570" t="str">
        <f t="shared" si="240"/>
        <v/>
      </c>
    </row>
    <row r="1226" spans="1:13">
      <c r="A1226" s="570" t="str">
        <f t="shared" si="241"/>
        <v/>
      </c>
      <c r="C1226" s="953" t="str">
        <f t="shared" si="230"/>
        <v/>
      </c>
      <c r="D1226" s="953" t="str">
        <f t="shared" si="231"/>
        <v/>
      </c>
      <c r="E1226" s="953" t="str">
        <f t="shared" si="232"/>
        <v/>
      </c>
      <c r="F1226" s="953" t="str">
        <f t="shared" si="233"/>
        <v/>
      </c>
      <c r="G1226" s="953" t="str">
        <f t="shared" si="234"/>
        <v/>
      </c>
      <c r="H1226" s="953">
        <f t="shared" si="235"/>
        <v>0</v>
      </c>
      <c r="I1226" s="953">
        <f t="shared" si="236"/>
        <v>0</v>
      </c>
      <c r="J1226" s="953">
        <f t="shared" si="237"/>
        <v>0</v>
      </c>
      <c r="K1226" s="953" t="str">
        <f t="shared" si="238"/>
        <v/>
      </c>
      <c r="L1226" s="570" t="str">
        <f t="shared" si="239"/>
        <v/>
      </c>
      <c r="M1226" s="570" t="str">
        <f t="shared" si="240"/>
        <v/>
      </c>
    </row>
    <row r="1227" spans="1:13">
      <c r="A1227" s="570" t="str">
        <f t="shared" si="241"/>
        <v/>
      </c>
      <c r="C1227" s="953" t="str">
        <f t="shared" si="230"/>
        <v/>
      </c>
      <c r="D1227" s="953" t="str">
        <f t="shared" si="231"/>
        <v/>
      </c>
      <c r="E1227" s="953" t="str">
        <f t="shared" si="232"/>
        <v/>
      </c>
      <c r="F1227" s="953" t="str">
        <f t="shared" si="233"/>
        <v/>
      </c>
      <c r="G1227" s="953" t="str">
        <f t="shared" si="234"/>
        <v/>
      </c>
      <c r="H1227" s="953">
        <f t="shared" si="235"/>
        <v>0</v>
      </c>
      <c r="I1227" s="953">
        <f t="shared" si="236"/>
        <v>0</v>
      </c>
      <c r="J1227" s="953">
        <f t="shared" si="237"/>
        <v>0</v>
      </c>
      <c r="K1227" s="953" t="str">
        <f t="shared" si="238"/>
        <v/>
      </c>
      <c r="L1227" s="570" t="str">
        <f t="shared" si="239"/>
        <v/>
      </c>
      <c r="M1227" s="570" t="str">
        <f t="shared" si="240"/>
        <v/>
      </c>
    </row>
    <row r="1228" spans="1:13">
      <c r="A1228" s="570" t="str">
        <f t="shared" si="241"/>
        <v/>
      </c>
      <c r="C1228" s="953" t="str">
        <f t="shared" si="230"/>
        <v/>
      </c>
      <c r="D1228" s="953" t="str">
        <f t="shared" si="231"/>
        <v/>
      </c>
      <c r="E1228" s="953" t="str">
        <f t="shared" si="232"/>
        <v/>
      </c>
      <c r="F1228" s="953" t="str">
        <f t="shared" si="233"/>
        <v/>
      </c>
      <c r="G1228" s="953" t="str">
        <f t="shared" si="234"/>
        <v/>
      </c>
      <c r="H1228" s="953">
        <f t="shared" si="235"/>
        <v>0</v>
      </c>
      <c r="I1228" s="953">
        <f t="shared" si="236"/>
        <v>0</v>
      </c>
      <c r="J1228" s="953">
        <f t="shared" si="237"/>
        <v>0</v>
      </c>
      <c r="K1228" s="953" t="str">
        <f t="shared" si="238"/>
        <v/>
      </c>
      <c r="L1228" s="570" t="str">
        <f t="shared" si="239"/>
        <v/>
      </c>
      <c r="M1228" s="570" t="str">
        <f t="shared" si="240"/>
        <v/>
      </c>
    </row>
    <row r="1229" spans="1:13">
      <c r="A1229" s="570" t="str">
        <f t="shared" si="241"/>
        <v/>
      </c>
      <c r="C1229" s="953" t="str">
        <f t="shared" si="230"/>
        <v/>
      </c>
      <c r="D1229" s="953" t="str">
        <f t="shared" si="231"/>
        <v/>
      </c>
      <c r="E1229" s="953" t="str">
        <f t="shared" si="232"/>
        <v/>
      </c>
      <c r="F1229" s="953" t="str">
        <f t="shared" si="233"/>
        <v/>
      </c>
      <c r="G1229" s="953" t="str">
        <f t="shared" si="234"/>
        <v/>
      </c>
      <c r="H1229" s="953">
        <f t="shared" si="235"/>
        <v>0</v>
      </c>
      <c r="I1229" s="953">
        <f t="shared" si="236"/>
        <v>0</v>
      </c>
      <c r="J1229" s="953">
        <f t="shared" si="237"/>
        <v>0</v>
      </c>
      <c r="K1229" s="953" t="str">
        <f t="shared" si="238"/>
        <v/>
      </c>
      <c r="L1229" s="570" t="str">
        <f t="shared" si="239"/>
        <v/>
      </c>
      <c r="M1229" s="570" t="str">
        <f t="shared" si="240"/>
        <v/>
      </c>
    </row>
    <row r="1230" spans="1:13">
      <c r="A1230" s="570" t="str">
        <f t="shared" si="241"/>
        <v/>
      </c>
      <c r="C1230" s="953" t="str">
        <f t="shared" si="230"/>
        <v/>
      </c>
      <c r="D1230" s="953" t="str">
        <f t="shared" si="231"/>
        <v/>
      </c>
      <c r="E1230" s="953" t="str">
        <f t="shared" si="232"/>
        <v/>
      </c>
      <c r="F1230" s="953" t="str">
        <f t="shared" si="233"/>
        <v/>
      </c>
      <c r="G1230" s="953" t="str">
        <f t="shared" si="234"/>
        <v/>
      </c>
      <c r="H1230" s="953">
        <f t="shared" si="235"/>
        <v>0</v>
      </c>
      <c r="I1230" s="953">
        <f t="shared" si="236"/>
        <v>0</v>
      </c>
      <c r="J1230" s="953">
        <f t="shared" si="237"/>
        <v>0</v>
      </c>
      <c r="K1230" s="953" t="str">
        <f t="shared" si="238"/>
        <v/>
      </c>
      <c r="L1230" s="570" t="str">
        <f t="shared" si="239"/>
        <v/>
      </c>
      <c r="M1230" s="570" t="str">
        <f t="shared" si="240"/>
        <v/>
      </c>
    </row>
    <row r="1231" spans="1:13">
      <c r="A1231" s="570" t="str">
        <f t="shared" si="241"/>
        <v/>
      </c>
      <c r="C1231" s="953" t="str">
        <f t="shared" si="230"/>
        <v/>
      </c>
      <c r="D1231" s="953" t="str">
        <f t="shared" si="231"/>
        <v/>
      </c>
      <c r="E1231" s="953" t="str">
        <f t="shared" si="232"/>
        <v/>
      </c>
      <c r="F1231" s="953" t="str">
        <f t="shared" si="233"/>
        <v/>
      </c>
      <c r="G1231" s="953" t="str">
        <f t="shared" si="234"/>
        <v/>
      </c>
      <c r="H1231" s="953">
        <f t="shared" si="235"/>
        <v>0</v>
      </c>
      <c r="I1231" s="953">
        <f t="shared" si="236"/>
        <v>0</v>
      </c>
      <c r="J1231" s="953">
        <f t="shared" si="237"/>
        <v>0</v>
      </c>
      <c r="K1231" s="953" t="str">
        <f t="shared" si="238"/>
        <v/>
      </c>
      <c r="L1231" s="570" t="str">
        <f t="shared" si="239"/>
        <v/>
      </c>
      <c r="M1231" s="570" t="str">
        <f t="shared" si="240"/>
        <v/>
      </c>
    </row>
    <row r="1232" spans="1:13">
      <c r="A1232" s="570" t="str">
        <f t="shared" si="241"/>
        <v/>
      </c>
      <c r="C1232" s="953" t="str">
        <f t="shared" si="230"/>
        <v/>
      </c>
      <c r="D1232" s="953" t="str">
        <f t="shared" si="231"/>
        <v/>
      </c>
      <c r="E1232" s="953" t="str">
        <f t="shared" si="232"/>
        <v/>
      </c>
      <c r="F1232" s="953" t="str">
        <f t="shared" si="233"/>
        <v/>
      </c>
      <c r="G1232" s="953" t="str">
        <f t="shared" si="234"/>
        <v/>
      </c>
      <c r="H1232" s="953">
        <f t="shared" si="235"/>
        <v>0</v>
      </c>
      <c r="I1232" s="953">
        <f t="shared" si="236"/>
        <v>0</v>
      </c>
      <c r="J1232" s="953">
        <f t="shared" si="237"/>
        <v>0</v>
      </c>
      <c r="K1232" s="953" t="str">
        <f t="shared" si="238"/>
        <v/>
      </c>
      <c r="L1232" s="570" t="str">
        <f t="shared" si="239"/>
        <v/>
      </c>
      <c r="M1232" s="570" t="str">
        <f t="shared" si="240"/>
        <v/>
      </c>
    </row>
    <row r="1233" spans="1:13">
      <c r="A1233" s="570" t="str">
        <f t="shared" si="241"/>
        <v/>
      </c>
      <c r="C1233" s="953" t="str">
        <f t="shared" si="230"/>
        <v/>
      </c>
      <c r="D1233" s="953" t="str">
        <f t="shared" si="231"/>
        <v/>
      </c>
      <c r="E1233" s="953" t="str">
        <f t="shared" si="232"/>
        <v/>
      </c>
      <c r="F1233" s="953" t="str">
        <f t="shared" si="233"/>
        <v/>
      </c>
      <c r="G1233" s="953" t="str">
        <f t="shared" si="234"/>
        <v/>
      </c>
      <c r="H1233" s="953">
        <f t="shared" si="235"/>
        <v>0</v>
      </c>
      <c r="I1233" s="953">
        <f t="shared" si="236"/>
        <v>0</v>
      </c>
      <c r="J1233" s="953">
        <f t="shared" si="237"/>
        <v>0</v>
      </c>
      <c r="K1233" s="953" t="str">
        <f t="shared" si="238"/>
        <v/>
      </c>
      <c r="L1233" s="570" t="str">
        <f t="shared" si="239"/>
        <v/>
      </c>
      <c r="M1233" s="570" t="str">
        <f t="shared" si="240"/>
        <v/>
      </c>
    </row>
    <row r="1234" spans="1:13">
      <c r="A1234" s="570" t="str">
        <f t="shared" si="241"/>
        <v/>
      </c>
      <c r="C1234" s="953" t="str">
        <f t="shared" si="230"/>
        <v/>
      </c>
      <c r="D1234" s="953" t="str">
        <f t="shared" si="231"/>
        <v/>
      </c>
      <c r="E1234" s="953" t="str">
        <f t="shared" si="232"/>
        <v/>
      </c>
      <c r="F1234" s="953" t="str">
        <f t="shared" si="233"/>
        <v/>
      </c>
      <c r="G1234" s="953" t="str">
        <f t="shared" si="234"/>
        <v/>
      </c>
      <c r="H1234" s="953">
        <f t="shared" si="235"/>
        <v>0</v>
      </c>
      <c r="I1234" s="953">
        <f t="shared" si="236"/>
        <v>0</v>
      </c>
      <c r="J1234" s="953">
        <f t="shared" si="237"/>
        <v>0</v>
      </c>
      <c r="K1234" s="953" t="str">
        <f t="shared" si="238"/>
        <v/>
      </c>
      <c r="L1234" s="570" t="str">
        <f t="shared" si="239"/>
        <v/>
      </c>
      <c r="M1234" s="570" t="str">
        <f t="shared" si="240"/>
        <v/>
      </c>
    </row>
    <row r="1235" spans="1:13">
      <c r="A1235" s="570" t="str">
        <f t="shared" si="241"/>
        <v/>
      </c>
      <c r="C1235" s="953" t="str">
        <f t="shared" si="230"/>
        <v/>
      </c>
      <c r="D1235" s="953" t="str">
        <f t="shared" si="231"/>
        <v/>
      </c>
      <c r="E1235" s="953" t="str">
        <f t="shared" si="232"/>
        <v/>
      </c>
      <c r="F1235" s="953" t="str">
        <f t="shared" si="233"/>
        <v/>
      </c>
      <c r="G1235" s="953" t="str">
        <f t="shared" si="234"/>
        <v/>
      </c>
      <c r="H1235" s="953">
        <f t="shared" si="235"/>
        <v>0</v>
      </c>
      <c r="I1235" s="953">
        <f t="shared" si="236"/>
        <v>0</v>
      </c>
      <c r="J1235" s="953">
        <f t="shared" si="237"/>
        <v>0</v>
      </c>
      <c r="K1235" s="953" t="str">
        <f t="shared" si="238"/>
        <v/>
      </c>
      <c r="L1235" s="570" t="str">
        <f t="shared" si="239"/>
        <v/>
      </c>
      <c r="M1235" s="570" t="str">
        <f t="shared" si="240"/>
        <v/>
      </c>
    </row>
    <row r="1236" spans="1:13">
      <c r="A1236" s="570" t="str">
        <f t="shared" si="241"/>
        <v/>
      </c>
      <c r="C1236" s="953" t="str">
        <f t="shared" si="230"/>
        <v/>
      </c>
      <c r="D1236" s="953" t="str">
        <f t="shared" si="231"/>
        <v/>
      </c>
      <c r="E1236" s="953" t="str">
        <f t="shared" si="232"/>
        <v/>
      </c>
      <c r="F1236" s="953" t="str">
        <f t="shared" si="233"/>
        <v/>
      </c>
      <c r="G1236" s="953" t="str">
        <f t="shared" si="234"/>
        <v/>
      </c>
      <c r="H1236" s="953">
        <f t="shared" si="235"/>
        <v>0</v>
      </c>
      <c r="I1236" s="953">
        <f t="shared" si="236"/>
        <v>0</v>
      </c>
      <c r="J1236" s="953">
        <f t="shared" si="237"/>
        <v>0</v>
      </c>
      <c r="K1236" s="953" t="str">
        <f t="shared" si="238"/>
        <v/>
      </c>
      <c r="L1236" s="570" t="str">
        <f t="shared" si="239"/>
        <v/>
      </c>
      <c r="M1236" s="570" t="str">
        <f t="shared" si="240"/>
        <v/>
      </c>
    </row>
    <row r="1237" spans="1:13">
      <c r="A1237" s="570" t="str">
        <f t="shared" si="241"/>
        <v/>
      </c>
      <c r="C1237" s="953" t="str">
        <f t="shared" si="230"/>
        <v/>
      </c>
      <c r="D1237" s="953" t="str">
        <f t="shared" si="231"/>
        <v/>
      </c>
      <c r="E1237" s="953" t="str">
        <f t="shared" si="232"/>
        <v/>
      </c>
      <c r="F1237" s="953" t="str">
        <f t="shared" si="233"/>
        <v/>
      </c>
      <c r="G1237" s="953" t="str">
        <f t="shared" si="234"/>
        <v/>
      </c>
      <c r="H1237" s="953">
        <f t="shared" si="235"/>
        <v>0</v>
      </c>
      <c r="I1237" s="953">
        <f t="shared" si="236"/>
        <v>0</v>
      </c>
      <c r="J1237" s="953">
        <f t="shared" si="237"/>
        <v>0</v>
      </c>
      <c r="K1237" s="953" t="str">
        <f t="shared" si="238"/>
        <v/>
      </c>
      <c r="L1237" s="570" t="str">
        <f t="shared" si="239"/>
        <v/>
      </c>
      <c r="M1237" s="570" t="str">
        <f t="shared" si="240"/>
        <v/>
      </c>
    </row>
    <row r="1238" spans="1:13">
      <c r="A1238" s="570" t="str">
        <f t="shared" si="241"/>
        <v/>
      </c>
      <c r="C1238" s="953" t="str">
        <f t="shared" si="230"/>
        <v/>
      </c>
      <c r="D1238" s="953" t="str">
        <f t="shared" si="231"/>
        <v/>
      </c>
      <c r="E1238" s="953" t="str">
        <f t="shared" si="232"/>
        <v/>
      </c>
      <c r="F1238" s="953" t="str">
        <f t="shared" si="233"/>
        <v/>
      </c>
      <c r="G1238" s="953" t="str">
        <f t="shared" si="234"/>
        <v/>
      </c>
      <c r="H1238" s="953">
        <f t="shared" si="235"/>
        <v>0</v>
      </c>
      <c r="I1238" s="953">
        <f t="shared" si="236"/>
        <v>0</v>
      </c>
      <c r="J1238" s="953">
        <f t="shared" si="237"/>
        <v>0</v>
      </c>
      <c r="K1238" s="953" t="str">
        <f t="shared" si="238"/>
        <v/>
      </c>
      <c r="L1238" s="570" t="str">
        <f t="shared" si="239"/>
        <v/>
      </c>
      <c r="M1238" s="570" t="str">
        <f t="shared" si="240"/>
        <v/>
      </c>
    </row>
    <row r="1239" spans="1:13">
      <c r="A1239" s="570" t="str">
        <f t="shared" si="241"/>
        <v/>
      </c>
      <c r="C1239" s="953" t="str">
        <f t="shared" si="230"/>
        <v/>
      </c>
      <c r="D1239" s="953" t="str">
        <f t="shared" si="231"/>
        <v/>
      </c>
      <c r="E1239" s="953" t="str">
        <f t="shared" si="232"/>
        <v/>
      </c>
      <c r="F1239" s="953" t="str">
        <f t="shared" si="233"/>
        <v/>
      </c>
      <c r="G1239" s="953" t="str">
        <f t="shared" si="234"/>
        <v/>
      </c>
      <c r="H1239" s="953">
        <f t="shared" si="235"/>
        <v>0</v>
      </c>
      <c r="I1239" s="953">
        <f t="shared" si="236"/>
        <v>0</v>
      </c>
      <c r="J1239" s="953">
        <f t="shared" si="237"/>
        <v>0</v>
      </c>
      <c r="K1239" s="953" t="str">
        <f t="shared" si="238"/>
        <v/>
      </c>
      <c r="L1239" s="570" t="str">
        <f t="shared" si="239"/>
        <v/>
      </c>
      <c r="M1239" s="570" t="str">
        <f t="shared" si="240"/>
        <v/>
      </c>
    </row>
    <row r="1240" spans="1:13">
      <c r="A1240" s="570" t="str">
        <f t="shared" si="241"/>
        <v/>
      </c>
      <c r="C1240" s="953" t="str">
        <f t="shared" si="230"/>
        <v/>
      </c>
      <c r="D1240" s="953" t="str">
        <f t="shared" si="231"/>
        <v/>
      </c>
      <c r="E1240" s="953" t="str">
        <f t="shared" si="232"/>
        <v/>
      </c>
      <c r="F1240" s="953" t="str">
        <f t="shared" si="233"/>
        <v/>
      </c>
      <c r="G1240" s="953" t="str">
        <f t="shared" si="234"/>
        <v/>
      </c>
      <c r="H1240" s="953">
        <f t="shared" si="235"/>
        <v>0</v>
      </c>
      <c r="I1240" s="953">
        <f t="shared" si="236"/>
        <v>0</v>
      </c>
      <c r="J1240" s="953">
        <f t="shared" si="237"/>
        <v>0</v>
      </c>
      <c r="K1240" s="953" t="str">
        <f t="shared" si="238"/>
        <v/>
      </c>
      <c r="L1240" s="570" t="str">
        <f t="shared" si="239"/>
        <v/>
      </c>
      <c r="M1240" s="570" t="str">
        <f t="shared" si="240"/>
        <v/>
      </c>
    </row>
    <row r="1241" spans="1:13">
      <c r="A1241" s="570" t="str">
        <f t="shared" si="241"/>
        <v/>
      </c>
      <c r="C1241" s="953" t="str">
        <f t="shared" si="230"/>
        <v/>
      </c>
      <c r="D1241" s="953" t="str">
        <f t="shared" si="231"/>
        <v/>
      </c>
      <c r="E1241" s="953" t="str">
        <f t="shared" si="232"/>
        <v/>
      </c>
      <c r="F1241" s="953" t="str">
        <f t="shared" si="233"/>
        <v/>
      </c>
      <c r="G1241" s="953" t="str">
        <f t="shared" si="234"/>
        <v/>
      </c>
      <c r="H1241" s="953">
        <f t="shared" si="235"/>
        <v>0</v>
      </c>
      <c r="I1241" s="953">
        <f t="shared" si="236"/>
        <v>0</v>
      </c>
      <c r="J1241" s="953">
        <f t="shared" si="237"/>
        <v>0</v>
      </c>
      <c r="K1241" s="953" t="str">
        <f t="shared" si="238"/>
        <v/>
      </c>
      <c r="L1241" s="570" t="str">
        <f t="shared" si="239"/>
        <v/>
      </c>
      <c r="M1241" s="570" t="str">
        <f t="shared" si="240"/>
        <v/>
      </c>
    </row>
    <row r="1242" spans="1:13">
      <c r="A1242" s="570" t="str">
        <f t="shared" si="241"/>
        <v/>
      </c>
      <c r="C1242" s="953" t="str">
        <f t="shared" si="230"/>
        <v/>
      </c>
      <c r="D1242" s="953" t="str">
        <f t="shared" si="231"/>
        <v/>
      </c>
      <c r="E1242" s="953" t="str">
        <f t="shared" si="232"/>
        <v/>
      </c>
      <c r="F1242" s="953" t="str">
        <f t="shared" si="233"/>
        <v/>
      </c>
      <c r="G1242" s="953" t="str">
        <f t="shared" si="234"/>
        <v/>
      </c>
      <c r="H1242" s="953">
        <f t="shared" si="235"/>
        <v>0</v>
      </c>
      <c r="I1242" s="953">
        <f t="shared" si="236"/>
        <v>0</v>
      </c>
      <c r="J1242" s="953">
        <f t="shared" si="237"/>
        <v>0</v>
      </c>
      <c r="K1242" s="953" t="str">
        <f t="shared" si="238"/>
        <v/>
      </c>
      <c r="L1242" s="570" t="str">
        <f t="shared" si="239"/>
        <v/>
      </c>
      <c r="M1242" s="570" t="str">
        <f t="shared" si="240"/>
        <v/>
      </c>
    </row>
    <row r="1243" spans="1:13">
      <c r="A1243" s="570" t="str">
        <f t="shared" si="241"/>
        <v/>
      </c>
      <c r="C1243" s="953" t="str">
        <f t="shared" si="230"/>
        <v/>
      </c>
      <c r="D1243" s="953" t="str">
        <f t="shared" si="231"/>
        <v/>
      </c>
      <c r="E1243" s="953" t="str">
        <f t="shared" si="232"/>
        <v/>
      </c>
      <c r="F1243" s="953" t="str">
        <f t="shared" si="233"/>
        <v/>
      </c>
      <c r="G1243" s="953" t="str">
        <f t="shared" si="234"/>
        <v/>
      </c>
      <c r="H1243" s="953">
        <f t="shared" si="235"/>
        <v>0</v>
      </c>
      <c r="I1243" s="953">
        <f t="shared" si="236"/>
        <v>0</v>
      </c>
      <c r="J1243" s="953">
        <f t="shared" si="237"/>
        <v>0</v>
      </c>
      <c r="K1243" s="953" t="str">
        <f t="shared" si="238"/>
        <v/>
      </c>
      <c r="L1243" s="570" t="str">
        <f t="shared" si="239"/>
        <v/>
      </c>
      <c r="M1243" s="570" t="str">
        <f t="shared" si="240"/>
        <v/>
      </c>
    </row>
    <row r="1244" spans="1:13">
      <c r="A1244" s="570" t="str">
        <f t="shared" si="241"/>
        <v/>
      </c>
      <c r="C1244" s="953" t="str">
        <f t="shared" si="230"/>
        <v/>
      </c>
      <c r="D1244" s="953" t="str">
        <f t="shared" si="231"/>
        <v/>
      </c>
      <c r="E1244" s="953" t="str">
        <f t="shared" si="232"/>
        <v/>
      </c>
      <c r="F1244" s="953" t="str">
        <f t="shared" si="233"/>
        <v/>
      </c>
      <c r="G1244" s="953" t="str">
        <f t="shared" si="234"/>
        <v/>
      </c>
      <c r="H1244" s="953">
        <f t="shared" si="235"/>
        <v>0</v>
      </c>
      <c r="I1244" s="953">
        <f t="shared" si="236"/>
        <v>0</v>
      </c>
      <c r="J1244" s="953">
        <f t="shared" si="237"/>
        <v>0</v>
      </c>
      <c r="K1244" s="953" t="str">
        <f t="shared" si="238"/>
        <v/>
      </c>
      <c r="L1244" s="570" t="str">
        <f t="shared" si="239"/>
        <v/>
      </c>
      <c r="M1244" s="570" t="str">
        <f t="shared" si="240"/>
        <v/>
      </c>
    </row>
    <row r="1245" spans="1:13">
      <c r="A1245" s="570" t="str">
        <f t="shared" si="241"/>
        <v/>
      </c>
      <c r="C1245" s="953" t="str">
        <f t="shared" si="230"/>
        <v/>
      </c>
      <c r="D1245" s="953" t="str">
        <f t="shared" si="231"/>
        <v/>
      </c>
      <c r="E1245" s="953" t="str">
        <f t="shared" si="232"/>
        <v/>
      </c>
      <c r="F1245" s="953" t="str">
        <f t="shared" si="233"/>
        <v/>
      </c>
      <c r="G1245" s="953" t="str">
        <f t="shared" si="234"/>
        <v/>
      </c>
      <c r="H1245" s="953">
        <f t="shared" si="235"/>
        <v>0</v>
      </c>
      <c r="I1245" s="953">
        <f t="shared" si="236"/>
        <v>0</v>
      </c>
      <c r="J1245" s="953">
        <f t="shared" si="237"/>
        <v>0</v>
      </c>
      <c r="K1245" s="953" t="str">
        <f t="shared" si="238"/>
        <v/>
      </c>
      <c r="L1245" s="570" t="str">
        <f t="shared" si="239"/>
        <v/>
      </c>
      <c r="M1245" s="570" t="str">
        <f t="shared" si="240"/>
        <v/>
      </c>
    </row>
    <row r="1246" spans="1:13">
      <c r="A1246" s="570" t="str">
        <f t="shared" si="241"/>
        <v/>
      </c>
      <c r="C1246" s="953" t="str">
        <f t="shared" si="230"/>
        <v/>
      </c>
      <c r="D1246" s="953" t="str">
        <f t="shared" si="231"/>
        <v/>
      </c>
      <c r="E1246" s="953" t="str">
        <f t="shared" si="232"/>
        <v/>
      </c>
      <c r="F1246" s="953" t="str">
        <f t="shared" si="233"/>
        <v/>
      </c>
      <c r="G1246" s="953" t="str">
        <f t="shared" si="234"/>
        <v/>
      </c>
      <c r="H1246" s="953">
        <f t="shared" si="235"/>
        <v>0</v>
      </c>
      <c r="I1246" s="953">
        <f t="shared" si="236"/>
        <v>0</v>
      </c>
      <c r="J1246" s="953">
        <f t="shared" si="237"/>
        <v>0</v>
      </c>
      <c r="K1246" s="953" t="str">
        <f t="shared" si="238"/>
        <v/>
      </c>
      <c r="L1246" s="570" t="str">
        <f t="shared" si="239"/>
        <v/>
      </c>
      <c r="M1246" s="570" t="str">
        <f t="shared" si="240"/>
        <v/>
      </c>
    </row>
    <row r="1247" spans="1:13">
      <c r="A1247" s="570" t="str">
        <f t="shared" si="241"/>
        <v/>
      </c>
      <c r="C1247" s="953" t="str">
        <f t="shared" si="230"/>
        <v/>
      </c>
      <c r="D1247" s="953" t="str">
        <f t="shared" si="231"/>
        <v/>
      </c>
      <c r="E1247" s="953" t="str">
        <f t="shared" si="232"/>
        <v/>
      </c>
      <c r="F1247" s="953" t="str">
        <f t="shared" si="233"/>
        <v/>
      </c>
      <c r="G1247" s="953" t="str">
        <f t="shared" si="234"/>
        <v/>
      </c>
      <c r="H1247" s="953">
        <f t="shared" si="235"/>
        <v>0</v>
      </c>
      <c r="I1247" s="953">
        <f t="shared" si="236"/>
        <v>0</v>
      </c>
      <c r="J1247" s="953">
        <f t="shared" si="237"/>
        <v>0</v>
      </c>
      <c r="K1247" s="953" t="str">
        <f t="shared" si="238"/>
        <v/>
      </c>
      <c r="L1247" s="570" t="str">
        <f t="shared" si="239"/>
        <v/>
      </c>
      <c r="M1247" s="570" t="str">
        <f t="shared" si="240"/>
        <v/>
      </c>
    </row>
    <row r="1248" spans="1:13">
      <c r="A1248" s="570" t="str">
        <f t="shared" si="241"/>
        <v/>
      </c>
      <c r="C1248" s="953" t="str">
        <f t="shared" si="230"/>
        <v/>
      </c>
      <c r="D1248" s="953" t="str">
        <f t="shared" si="231"/>
        <v/>
      </c>
      <c r="E1248" s="953" t="str">
        <f t="shared" si="232"/>
        <v/>
      </c>
      <c r="F1248" s="953" t="str">
        <f t="shared" si="233"/>
        <v/>
      </c>
      <c r="G1248" s="953" t="str">
        <f t="shared" si="234"/>
        <v/>
      </c>
      <c r="H1248" s="953">
        <f t="shared" si="235"/>
        <v>0</v>
      </c>
      <c r="I1248" s="953">
        <f t="shared" si="236"/>
        <v>0</v>
      </c>
      <c r="J1248" s="953">
        <f t="shared" si="237"/>
        <v>0</v>
      </c>
      <c r="K1248" s="953" t="str">
        <f t="shared" si="238"/>
        <v/>
      </c>
      <c r="L1248" s="570" t="str">
        <f t="shared" si="239"/>
        <v/>
      </c>
      <c r="M1248" s="570" t="str">
        <f t="shared" si="240"/>
        <v/>
      </c>
    </row>
    <row r="1249" spans="1:13">
      <c r="A1249" s="570" t="str">
        <f t="shared" si="241"/>
        <v/>
      </c>
      <c r="C1249" s="953" t="str">
        <f t="shared" si="230"/>
        <v/>
      </c>
      <c r="D1249" s="953" t="str">
        <f t="shared" si="231"/>
        <v/>
      </c>
      <c r="E1249" s="953" t="str">
        <f t="shared" si="232"/>
        <v/>
      </c>
      <c r="F1249" s="953" t="str">
        <f t="shared" si="233"/>
        <v/>
      </c>
      <c r="G1249" s="953" t="str">
        <f t="shared" si="234"/>
        <v/>
      </c>
      <c r="H1249" s="953">
        <f t="shared" si="235"/>
        <v>0</v>
      </c>
      <c r="I1249" s="953">
        <f t="shared" si="236"/>
        <v>0</v>
      </c>
      <c r="J1249" s="953">
        <f t="shared" si="237"/>
        <v>0</v>
      </c>
      <c r="K1249" s="953" t="str">
        <f t="shared" si="238"/>
        <v/>
      </c>
      <c r="L1249" s="570" t="str">
        <f t="shared" si="239"/>
        <v/>
      </c>
      <c r="M1249" s="570" t="str">
        <f t="shared" si="240"/>
        <v/>
      </c>
    </row>
    <row r="1250" spans="1:13">
      <c r="A1250" s="570" t="str">
        <f t="shared" si="241"/>
        <v/>
      </c>
      <c r="C1250" s="953" t="str">
        <f t="shared" si="230"/>
        <v/>
      </c>
      <c r="D1250" s="953" t="str">
        <f t="shared" si="231"/>
        <v/>
      </c>
      <c r="E1250" s="953" t="str">
        <f t="shared" si="232"/>
        <v/>
      </c>
      <c r="F1250" s="953" t="str">
        <f t="shared" si="233"/>
        <v/>
      </c>
      <c r="G1250" s="953" t="str">
        <f t="shared" si="234"/>
        <v/>
      </c>
      <c r="H1250" s="953">
        <f t="shared" si="235"/>
        <v>0</v>
      </c>
      <c r="I1250" s="953">
        <f t="shared" si="236"/>
        <v>0</v>
      </c>
      <c r="J1250" s="953">
        <f t="shared" si="237"/>
        <v>0</v>
      </c>
      <c r="K1250" s="953" t="str">
        <f t="shared" si="238"/>
        <v/>
      </c>
      <c r="L1250" s="570" t="str">
        <f t="shared" si="239"/>
        <v/>
      </c>
      <c r="M1250" s="570" t="str">
        <f t="shared" si="240"/>
        <v/>
      </c>
    </row>
    <row r="1251" spans="1:13">
      <c r="A1251" s="570" t="str">
        <f t="shared" si="241"/>
        <v/>
      </c>
      <c r="C1251" s="953" t="str">
        <f t="shared" si="230"/>
        <v/>
      </c>
      <c r="D1251" s="953" t="str">
        <f t="shared" si="231"/>
        <v/>
      </c>
      <c r="E1251" s="953" t="str">
        <f t="shared" si="232"/>
        <v/>
      </c>
      <c r="F1251" s="953" t="str">
        <f t="shared" si="233"/>
        <v/>
      </c>
      <c r="G1251" s="953" t="str">
        <f t="shared" si="234"/>
        <v/>
      </c>
      <c r="H1251" s="953">
        <f t="shared" si="235"/>
        <v>0</v>
      </c>
      <c r="I1251" s="953">
        <f t="shared" si="236"/>
        <v>0</v>
      </c>
      <c r="J1251" s="953">
        <f t="shared" si="237"/>
        <v>0</v>
      </c>
      <c r="K1251" s="953" t="str">
        <f t="shared" si="238"/>
        <v/>
      </c>
      <c r="L1251" s="570" t="str">
        <f t="shared" si="239"/>
        <v/>
      </c>
      <c r="M1251" s="570" t="str">
        <f t="shared" si="240"/>
        <v/>
      </c>
    </row>
    <row r="1252" spans="1:13">
      <c r="A1252" s="570" t="str">
        <f t="shared" si="241"/>
        <v/>
      </c>
      <c r="C1252" s="953" t="str">
        <f t="shared" si="230"/>
        <v/>
      </c>
      <c r="D1252" s="953" t="str">
        <f t="shared" si="231"/>
        <v/>
      </c>
      <c r="E1252" s="953" t="str">
        <f t="shared" si="232"/>
        <v/>
      </c>
      <c r="F1252" s="953" t="str">
        <f t="shared" si="233"/>
        <v/>
      </c>
      <c r="G1252" s="953" t="str">
        <f t="shared" si="234"/>
        <v/>
      </c>
      <c r="H1252" s="953">
        <f t="shared" si="235"/>
        <v>0</v>
      </c>
      <c r="I1252" s="953">
        <f t="shared" si="236"/>
        <v>0</v>
      </c>
      <c r="J1252" s="953">
        <f t="shared" si="237"/>
        <v>0</v>
      </c>
      <c r="K1252" s="953" t="str">
        <f t="shared" si="238"/>
        <v/>
      </c>
      <c r="L1252" s="570" t="str">
        <f t="shared" si="239"/>
        <v/>
      </c>
      <c r="M1252" s="570" t="str">
        <f t="shared" si="240"/>
        <v/>
      </c>
    </row>
    <row r="1253" spans="1:13">
      <c r="A1253" s="570" t="str">
        <f t="shared" si="241"/>
        <v/>
      </c>
      <c r="C1253" s="953" t="str">
        <f t="shared" si="230"/>
        <v/>
      </c>
      <c r="D1253" s="953" t="str">
        <f t="shared" si="231"/>
        <v/>
      </c>
      <c r="E1253" s="953" t="str">
        <f t="shared" si="232"/>
        <v/>
      </c>
      <c r="F1253" s="953" t="str">
        <f t="shared" si="233"/>
        <v/>
      </c>
      <c r="G1253" s="953" t="str">
        <f t="shared" si="234"/>
        <v/>
      </c>
      <c r="H1253" s="953">
        <f t="shared" si="235"/>
        <v>0</v>
      </c>
      <c r="I1253" s="953">
        <f t="shared" si="236"/>
        <v>0</v>
      </c>
      <c r="J1253" s="953">
        <f t="shared" si="237"/>
        <v>0</v>
      </c>
      <c r="K1253" s="953" t="str">
        <f t="shared" si="238"/>
        <v/>
      </c>
      <c r="L1253" s="570" t="str">
        <f t="shared" si="239"/>
        <v/>
      </c>
      <c r="M1253" s="570" t="str">
        <f t="shared" si="240"/>
        <v/>
      </c>
    </row>
    <row r="1254" spans="1:13">
      <c r="A1254" s="570" t="str">
        <f t="shared" si="241"/>
        <v/>
      </c>
      <c r="C1254" s="953" t="str">
        <f t="shared" si="230"/>
        <v/>
      </c>
      <c r="D1254" s="953" t="str">
        <f t="shared" si="231"/>
        <v/>
      </c>
      <c r="E1254" s="953" t="str">
        <f t="shared" si="232"/>
        <v/>
      </c>
      <c r="F1254" s="953" t="str">
        <f t="shared" si="233"/>
        <v/>
      </c>
      <c r="G1254" s="953" t="str">
        <f t="shared" si="234"/>
        <v/>
      </c>
      <c r="H1254" s="953">
        <f t="shared" si="235"/>
        <v>0</v>
      </c>
      <c r="I1254" s="953">
        <f t="shared" si="236"/>
        <v>0</v>
      </c>
      <c r="J1254" s="953">
        <f t="shared" si="237"/>
        <v>0</v>
      </c>
      <c r="K1254" s="953" t="str">
        <f t="shared" si="238"/>
        <v/>
      </c>
      <c r="L1254" s="570" t="str">
        <f t="shared" si="239"/>
        <v/>
      </c>
      <c r="M1254" s="570" t="str">
        <f t="shared" si="240"/>
        <v/>
      </c>
    </row>
    <row r="1255" spans="1:13">
      <c r="A1255" s="570" t="str">
        <f t="shared" si="241"/>
        <v/>
      </c>
      <c r="C1255" s="953" t="str">
        <f t="shared" si="230"/>
        <v/>
      </c>
      <c r="D1255" s="953" t="str">
        <f t="shared" si="231"/>
        <v/>
      </c>
      <c r="E1255" s="953" t="str">
        <f t="shared" si="232"/>
        <v/>
      </c>
      <c r="F1255" s="953" t="str">
        <f t="shared" si="233"/>
        <v/>
      </c>
      <c r="G1255" s="953" t="str">
        <f t="shared" si="234"/>
        <v/>
      </c>
      <c r="H1255" s="953">
        <f t="shared" si="235"/>
        <v>0</v>
      </c>
      <c r="I1255" s="953">
        <f t="shared" si="236"/>
        <v>0</v>
      </c>
      <c r="J1255" s="953">
        <f t="shared" si="237"/>
        <v>0</v>
      </c>
      <c r="K1255" s="953" t="str">
        <f t="shared" si="238"/>
        <v/>
      </c>
      <c r="L1255" s="570" t="str">
        <f t="shared" si="239"/>
        <v/>
      </c>
      <c r="M1255" s="570" t="str">
        <f t="shared" si="240"/>
        <v/>
      </c>
    </row>
    <row r="1256" spans="1:13">
      <c r="A1256" s="570" t="str">
        <f t="shared" si="241"/>
        <v/>
      </c>
      <c r="C1256" s="953" t="str">
        <f t="shared" si="230"/>
        <v/>
      </c>
      <c r="D1256" s="953" t="str">
        <f t="shared" si="231"/>
        <v/>
      </c>
      <c r="E1256" s="953" t="str">
        <f t="shared" si="232"/>
        <v/>
      </c>
      <c r="F1256" s="953" t="str">
        <f t="shared" si="233"/>
        <v/>
      </c>
      <c r="G1256" s="953" t="str">
        <f t="shared" si="234"/>
        <v/>
      </c>
      <c r="H1256" s="953">
        <f t="shared" si="235"/>
        <v>0</v>
      </c>
      <c r="I1256" s="953">
        <f t="shared" si="236"/>
        <v>0</v>
      </c>
      <c r="J1256" s="953">
        <f t="shared" si="237"/>
        <v>0</v>
      </c>
      <c r="K1256" s="953" t="str">
        <f t="shared" si="238"/>
        <v/>
      </c>
      <c r="L1256" s="570" t="str">
        <f t="shared" si="239"/>
        <v/>
      </c>
      <c r="M1256" s="570" t="str">
        <f t="shared" si="240"/>
        <v/>
      </c>
    </row>
    <row r="1257" spans="1:13">
      <c r="A1257" s="570" t="str">
        <f t="shared" si="241"/>
        <v/>
      </c>
      <c r="C1257" s="953" t="str">
        <f t="shared" si="230"/>
        <v/>
      </c>
      <c r="D1257" s="953" t="str">
        <f t="shared" si="231"/>
        <v/>
      </c>
      <c r="E1257" s="953" t="str">
        <f t="shared" si="232"/>
        <v/>
      </c>
      <c r="F1257" s="953" t="str">
        <f t="shared" si="233"/>
        <v/>
      </c>
      <c r="G1257" s="953" t="str">
        <f t="shared" si="234"/>
        <v/>
      </c>
      <c r="H1257" s="953">
        <f t="shared" si="235"/>
        <v>0</v>
      </c>
      <c r="I1257" s="953">
        <f t="shared" si="236"/>
        <v>0</v>
      </c>
      <c r="J1257" s="953">
        <f t="shared" si="237"/>
        <v>0</v>
      </c>
      <c r="K1257" s="953" t="str">
        <f t="shared" si="238"/>
        <v/>
      </c>
      <c r="L1257" s="570" t="str">
        <f t="shared" si="239"/>
        <v/>
      </c>
      <c r="M1257" s="570" t="str">
        <f t="shared" si="240"/>
        <v/>
      </c>
    </row>
    <row r="1258" spans="1:13">
      <c r="A1258" s="570" t="str">
        <f t="shared" si="241"/>
        <v/>
      </c>
      <c r="C1258" s="953" t="str">
        <f t="shared" si="230"/>
        <v/>
      </c>
      <c r="D1258" s="953" t="str">
        <f t="shared" si="231"/>
        <v/>
      </c>
      <c r="E1258" s="953" t="str">
        <f t="shared" si="232"/>
        <v/>
      </c>
      <c r="F1258" s="953" t="str">
        <f t="shared" si="233"/>
        <v/>
      </c>
      <c r="G1258" s="953" t="str">
        <f t="shared" si="234"/>
        <v/>
      </c>
      <c r="H1258" s="953">
        <f t="shared" si="235"/>
        <v>0</v>
      </c>
      <c r="I1258" s="953">
        <f t="shared" si="236"/>
        <v>0</v>
      </c>
      <c r="J1258" s="953">
        <f t="shared" si="237"/>
        <v>0</v>
      </c>
      <c r="K1258" s="953" t="str">
        <f t="shared" si="238"/>
        <v/>
      </c>
      <c r="L1258" s="570" t="str">
        <f t="shared" si="239"/>
        <v/>
      </c>
      <c r="M1258" s="570" t="str">
        <f t="shared" si="240"/>
        <v/>
      </c>
    </row>
    <row r="1259" spans="1:13">
      <c r="A1259" s="570" t="str">
        <f t="shared" si="241"/>
        <v/>
      </c>
      <c r="C1259" s="953" t="str">
        <f t="shared" si="230"/>
        <v/>
      </c>
      <c r="D1259" s="953" t="str">
        <f t="shared" si="231"/>
        <v/>
      </c>
      <c r="E1259" s="953" t="str">
        <f t="shared" si="232"/>
        <v/>
      </c>
      <c r="F1259" s="953" t="str">
        <f t="shared" si="233"/>
        <v/>
      </c>
      <c r="G1259" s="953" t="str">
        <f t="shared" si="234"/>
        <v/>
      </c>
      <c r="H1259" s="953">
        <f t="shared" si="235"/>
        <v>0</v>
      </c>
      <c r="I1259" s="953">
        <f t="shared" si="236"/>
        <v>0</v>
      </c>
      <c r="J1259" s="953">
        <f t="shared" si="237"/>
        <v>0</v>
      </c>
      <c r="K1259" s="953" t="str">
        <f t="shared" si="238"/>
        <v/>
      </c>
      <c r="L1259" s="570" t="str">
        <f t="shared" si="239"/>
        <v/>
      </c>
      <c r="M1259" s="570" t="str">
        <f t="shared" si="240"/>
        <v/>
      </c>
    </row>
    <row r="1260" spans="1:13">
      <c r="A1260" s="570" t="str">
        <f t="shared" si="241"/>
        <v/>
      </c>
      <c r="C1260" s="953" t="str">
        <f t="shared" si="230"/>
        <v/>
      </c>
      <c r="D1260" s="953" t="str">
        <f t="shared" si="231"/>
        <v/>
      </c>
      <c r="E1260" s="953" t="str">
        <f t="shared" si="232"/>
        <v/>
      </c>
      <c r="F1260" s="953" t="str">
        <f t="shared" si="233"/>
        <v/>
      </c>
      <c r="G1260" s="953" t="str">
        <f t="shared" si="234"/>
        <v/>
      </c>
      <c r="H1260" s="953">
        <f t="shared" si="235"/>
        <v>0</v>
      </c>
      <c r="I1260" s="953">
        <f t="shared" si="236"/>
        <v>0</v>
      </c>
      <c r="J1260" s="953">
        <f t="shared" si="237"/>
        <v>0</v>
      </c>
      <c r="K1260" s="953" t="str">
        <f t="shared" si="238"/>
        <v/>
      </c>
      <c r="L1260" s="570" t="str">
        <f t="shared" si="239"/>
        <v/>
      </c>
      <c r="M1260" s="570" t="str">
        <f t="shared" si="240"/>
        <v/>
      </c>
    </row>
    <row r="1261" spans="1:13">
      <c r="A1261" s="570" t="str">
        <f t="shared" si="241"/>
        <v/>
      </c>
      <c r="C1261" s="953" t="str">
        <f t="shared" si="230"/>
        <v/>
      </c>
      <c r="D1261" s="953" t="str">
        <f t="shared" si="231"/>
        <v/>
      </c>
      <c r="E1261" s="953" t="str">
        <f t="shared" si="232"/>
        <v/>
      </c>
      <c r="F1261" s="953" t="str">
        <f t="shared" si="233"/>
        <v/>
      </c>
      <c r="G1261" s="953" t="str">
        <f t="shared" si="234"/>
        <v/>
      </c>
      <c r="H1261" s="953">
        <f t="shared" si="235"/>
        <v>0</v>
      </c>
      <c r="I1261" s="953">
        <f t="shared" si="236"/>
        <v>0</v>
      </c>
      <c r="J1261" s="953">
        <f t="shared" si="237"/>
        <v>0</v>
      </c>
      <c r="K1261" s="953" t="str">
        <f t="shared" si="238"/>
        <v/>
      </c>
      <c r="L1261" s="570" t="str">
        <f t="shared" si="239"/>
        <v/>
      </c>
      <c r="M1261" s="570" t="str">
        <f t="shared" si="240"/>
        <v/>
      </c>
    </row>
    <row r="1262" spans="1:13">
      <c r="A1262" s="570" t="str">
        <f t="shared" si="241"/>
        <v/>
      </c>
      <c r="C1262" s="953" t="str">
        <f t="shared" si="230"/>
        <v/>
      </c>
      <c r="D1262" s="953" t="str">
        <f t="shared" si="231"/>
        <v/>
      </c>
      <c r="E1262" s="953" t="str">
        <f t="shared" si="232"/>
        <v/>
      </c>
      <c r="F1262" s="953" t="str">
        <f t="shared" si="233"/>
        <v/>
      </c>
      <c r="G1262" s="953" t="str">
        <f t="shared" si="234"/>
        <v/>
      </c>
      <c r="H1262" s="953">
        <f t="shared" si="235"/>
        <v>0</v>
      </c>
      <c r="I1262" s="953">
        <f t="shared" si="236"/>
        <v>0</v>
      </c>
      <c r="J1262" s="953">
        <f t="shared" si="237"/>
        <v>0</v>
      </c>
      <c r="K1262" s="953" t="str">
        <f t="shared" si="238"/>
        <v/>
      </c>
      <c r="L1262" s="570" t="str">
        <f t="shared" si="239"/>
        <v/>
      </c>
      <c r="M1262" s="570" t="str">
        <f t="shared" si="240"/>
        <v/>
      </c>
    </row>
    <row r="1263" spans="1:13">
      <c r="A1263" s="570" t="str">
        <f t="shared" si="241"/>
        <v/>
      </c>
      <c r="C1263" s="953" t="str">
        <f t="shared" si="230"/>
        <v/>
      </c>
      <c r="D1263" s="953" t="str">
        <f t="shared" si="231"/>
        <v/>
      </c>
      <c r="E1263" s="953" t="str">
        <f t="shared" si="232"/>
        <v/>
      </c>
      <c r="F1263" s="953" t="str">
        <f t="shared" si="233"/>
        <v/>
      </c>
      <c r="G1263" s="953" t="str">
        <f t="shared" si="234"/>
        <v/>
      </c>
      <c r="H1263" s="953">
        <f t="shared" si="235"/>
        <v>0</v>
      </c>
      <c r="I1263" s="953">
        <f t="shared" si="236"/>
        <v>0</v>
      </c>
      <c r="J1263" s="953">
        <f t="shared" si="237"/>
        <v>0</v>
      </c>
      <c r="K1263" s="953" t="str">
        <f t="shared" si="238"/>
        <v/>
      </c>
      <c r="L1263" s="570" t="str">
        <f t="shared" si="239"/>
        <v/>
      </c>
      <c r="M1263" s="570" t="str">
        <f t="shared" si="240"/>
        <v/>
      </c>
    </row>
    <row r="1264" spans="1:13">
      <c r="A1264" s="570" t="str">
        <f t="shared" si="241"/>
        <v/>
      </c>
      <c r="C1264" s="953" t="str">
        <f t="shared" si="230"/>
        <v/>
      </c>
      <c r="D1264" s="953" t="str">
        <f t="shared" si="231"/>
        <v/>
      </c>
      <c r="E1264" s="953" t="str">
        <f t="shared" si="232"/>
        <v/>
      </c>
      <c r="F1264" s="953" t="str">
        <f t="shared" si="233"/>
        <v/>
      </c>
      <c r="G1264" s="953" t="str">
        <f t="shared" si="234"/>
        <v/>
      </c>
      <c r="H1264" s="953">
        <f t="shared" si="235"/>
        <v>0</v>
      </c>
      <c r="I1264" s="953">
        <f t="shared" si="236"/>
        <v>0</v>
      </c>
      <c r="J1264" s="953">
        <f t="shared" si="237"/>
        <v>0</v>
      </c>
      <c r="K1264" s="953" t="str">
        <f t="shared" si="238"/>
        <v/>
      </c>
      <c r="L1264" s="570" t="str">
        <f t="shared" si="239"/>
        <v/>
      </c>
      <c r="M1264" s="570" t="str">
        <f t="shared" si="240"/>
        <v/>
      </c>
    </row>
    <row r="1265" spans="1:13">
      <c r="A1265" s="570" t="str">
        <f t="shared" si="241"/>
        <v/>
      </c>
      <c r="C1265" s="953" t="str">
        <f t="shared" si="230"/>
        <v/>
      </c>
      <c r="D1265" s="953" t="str">
        <f t="shared" si="231"/>
        <v/>
      </c>
      <c r="E1265" s="953" t="str">
        <f t="shared" si="232"/>
        <v/>
      </c>
      <c r="F1265" s="953" t="str">
        <f t="shared" si="233"/>
        <v/>
      </c>
      <c r="G1265" s="953" t="str">
        <f t="shared" si="234"/>
        <v/>
      </c>
      <c r="H1265" s="953">
        <f t="shared" si="235"/>
        <v>0</v>
      </c>
      <c r="I1265" s="953">
        <f t="shared" si="236"/>
        <v>0</v>
      </c>
      <c r="J1265" s="953">
        <f t="shared" si="237"/>
        <v>0</v>
      </c>
      <c r="K1265" s="953" t="str">
        <f t="shared" si="238"/>
        <v/>
      </c>
      <c r="L1265" s="570" t="str">
        <f t="shared" si="239"/>
        <v/>
      </c>
      <c r="M1265" s="570" t="str">
        <f t="shared" si="240"/>
        <v/>
      </c>
    </row>
    <row r="1266" spans="1:13">
      <c r="A1266" s="570" t="str">
        <f t="shared" si="241"/>
        <v/>
      </c>
      <c r="C1266" s="953" t="str">
        <f t="shared" si="230"/>
        <v/>
      </c>
      <c r="D1266" s="953" t="str">
        <f t="shared" si="231"/>
        <v/>
      </c>
      <c r="E1266" s="953" t="str">
        <f t="shared" si="232"/>
        <v/>
      </c>
      <c r="F1266" s="953" t="str">
        <f t="shared" si="233"/>
        <v/>
      </c>
      <c r="G1266" s="953" t="str">
        <f t="shared" si="234"/>
        <v/>
      </c>
      <c r="H1266" s="953">
        <f t="shared" si="235"/>
        <v>0</v>
      </c>
      <c r="I1266" s="953">
        <f t="shared" si="236"/>
        <v>0</v>
      </c>
      <c r="J1266" s="953">
        <f t="shared" si="237"/>
        <v>0</v>
      </c>
      <c r="K1266" s="953" t="str">
        <f t="shared" si="238"/>
        <v/>
      </c>
      <c r="L1266" s="570" t="str">
        <f t="shared" si="239"/>
        <v/>
      </c>
      <c r="M1266" s="570" t="str">
        <f t="shared" si="240"/>
        <v/>
      </c>
    </row>
    <row r="1267" spans="1:13">
      <c r="A1267" s="570" t="str">
        <f t="shared" si="241"/>
        <v/>
      </c>
      <c r="C1267" s="953" t="str">
        <f t="shared" si="230"/>
        <v/>
      </c>
      <c r="D1267" s="953" t="str">
        <f t="shared" si="231"/>
        <v/>
      </c>
      <c r="E1267" s="953" t="str">
        <f t="shared" si="232"/>
        <v/>
      </c>
      <c r="F1267" s="953" t="str">
        <f t="shared" si="233"/>
        <v/>
      </c>
      <c r="G1267" s="953" t="str">
        <f t="shared" si="234"/>
        <v/>
      </c>
      <c r="H1267" s="953">
        <f t="shared" si="235"/>
        <v>0</v>
      </c>
      <c r="I1267" s="953">
        <f t="shared" si="236"/>
        <v>0</v>
      </c>
      <c r="J1267" s="953">
        <f t="shared" si="237"/>
        <v>0</v>
      </c>
      <c r="K1267" s="953" t="str">
        <f t="shared" si="238"/>
        <v/>
      </c>
      <c r="L1267" s="570" t="str">
        <f t="shared" si="239"/>
        <v/>
      </c>
      <c r="M1267" s="570" t="str">
        <f t="shared" si="240"/>
        <v/>
      </c>
    </row>
    <row r="1268" spans="1:13">
      <c r="A1268" s="570" t="str">
        <f t="shared" si="241"/>
        <v/>
      </c>
      <c r="C1268" s="953" t="str">
        <f t="shared" si="230"/>
        <v/>
      </c>
      <c r="D1268" s="953" t="str">
        <f t="shared" si="231"/>
        <v/>
      </c>
      <c r="E1268" s="953" t="str">
        <f t="shared" si="232"/>
        <v/>
      </c>
      <c r="F1268" s="953" t="str">
        <f t="shared" si="233"/>
        <v/>
      </c>
      <c r="G1268" s="953" t="str">
        <f t="shared" si="234"/>
        <v/>
      </c>
      <c r="H1268" s="953">
        <f t="shared" si="235"/>
        <v>0</v>
      </c>
      <c r="I1268" s="953">
        <f t="shared" si="236"/>
        <v>0</v>
      </c>
      <c r="J1268" s="953">
        <f t="shared" si="237"/>
        <v>0</v>
      </c>
      <c r="K1268" s="953" t="str">
        <f t="shared" si="238"/>
        <v/>
      </c>
      <c r="L1268" s="570" t="str">
        <f t="shared" si="239"/>
        <v/>
      </c>
      <c r="M1268" s="570" t="str">
        <f t="shared" si="240"/>
        <v/>
      </c>
    </row>
    <row r="1269" spans="1:13">
      <c r="A1269" s="570" t="str">
        <f t="shared" si="241"/>
        <v/>
      </c>
      <c r="C1269" s="953" t="str">
        <f t="shared" si="230"/>
        <v/>
      </c>
      <c r="D1269" s="953" t="str">
        <f t="shared" si="231"/>
        <v/>
      </c>
      <c r="E1269" s="953" t="str">
        <f t="shared" si="232"/>
        <v/>
      </c>
      <c r="F1269" s="953" t="str">
        <f t="shared" si="233"/>
        <v/>
      </c>
      <c r="G1269" s="953" t="str">
        <f t="shared" si="234"/>
        <v/>
      </c>
      <c r="H1269" s="953">
        <f t="shared" si="235"/>
        <v>0</v>
      </c>
      <c r="I1269" s="953">
        <f t="shared" si="236"/>
        <v>0</v>
      </c>
      <c r="J1269" s="953">
        <f t="shared" si="237"/>
        <v>0</v>
      </c>
      <c r="K1269" s="953" t="str">
        <f t="shared" si="238"/>
        <v/>
      </c>
      <c r="L1269" s="570" t="str">
        <f t="shared" si="239"/>
        <v/>
      </c>
      <c r="M1269" s="570" t="str">
        <f t="shared" si="240"/>
        <v/>
      </c>
    </row>
    <row r="1270" spans="1:13">
      <c r="A1270" s="570" t="str">
        <f t="shared" si="241"/>
        <v/>
      </c>
      <c r="C1270" s="953" t="str">
        <f t="shared" si="230"/>
        <v/>
      </c>
      <c r="D1270" s="953" t="str">
        <f t="shared" si="231"/>
        <v/>
      </c>
      <c r="E1270" s="953" t="str">
        <f t="shared" si="232"/>
        <v/>
      </c>
      <c r="F1270" s="953" t="str">
        <f t="shared" si="233"/>
        <v/>
      </c>
      <c r="G1270" s="953" t="str">
        <f t="shared" si="234"/>
        <v/>
      </c>
      <c r="H1270" s="953">
        <f t="shared" si="235"/>
        <v>0</v>
      </c>
      <c r="I1270" s="953">
        <f t="shared" si="236"/>
        <v>0</v>
      </c>
      <c r="J1270" s="953">
        <f t="shared" si="237"/>
        <v>0</v>
      </c>
      <c r="K1270" s="953" t="str">
        <f t="shared" si="238"/>
        <v/>
      </c>
      <c r="L1270" s="570" t="str">
        <f t="shared" si="239"/>
        <v/>
      </c>
      <c r="M1270" s="570" t="str">
        <f t="shared" si="240"/>
        <v/>
      </c>
    </row>
    <row r="1271" spans="1:13">
      <c r="A1271" s="570" t="str">
        <f t="shared" si="241"/>
        <v/>
      </c>
      <c r="C1271" s="953" t="str">
        <f t="shared" si="230"/>
        <v/>
      </c>
      <c r="D1271" s="953" t="str">
        <f t="shared" si="231"/>
        <v/>
      </c>
      <c r="E1271" s="953" t="str">
        <f t="shared" si="232"/>
        <v/>
      </c>
      <c r="F1271" s="953" t="str">
        <f t="shared" si="233"/>
        <v/>
      </c>
      <c r="G1271" s="953" t="str">
        <f t="shared" si="234"/>
        <v/>
      </c>
      <c r="H1271" s="953">
        <f t="shared" si="235"/>
        <v>0</v>
      </c>
      <c r="I1271" s="953">
        <f t="shared" si="236"/>
        <v>0</v>
      </c>
      <c r="J1271" s="953">
        <f t="shared" si="237"/>
        <v>0</v>
      </c>
      <c r="K1271" s="953" t="str">
        <f t="shared" si="238"/>
        <v/>
      </c>
      <c r="L1271" s="570" t="str">
        <f t="shared" si="239"/>
        <v/>
      </c>
      <c r="M1271" s="570" t="str">
        <f t="shared" si="240"/>
        <v/>
      </c>
    </row>
    <row r="1272" spans="1:13">
      <c r="A1272" s="570" t="str">
        <f t="shared" si="241"/>
        <v/>
      </c>
      <c r="C1272" s="953" t="str">
        <f t="shared" si="230"/>
        <v/>
      </c>
      <c r="D1272" s="953" t="str">
        <f t="shared" si="231"/>
        <v/>
      </c>
      <c r="E1272" s="953" t="str">
        <f t="shared" si="232"/>
        <v/>
      </c>
      <c r="F1272" s="953" t="str">
        <f t="shared" si="233"/>
        <v/>
      </c>
      <c r="G1272" s="953" t="str">
        <f t="shared" si="234"/>
        <v/>
      </c>
      <c r="H1272" s="953">
        <f t="shared" si="235"/>
        <v>0</v>
      </c>
      <c r="I1272" s="953">
        <f t="shared" si="236"/>
        <v>0</v>
      </c>
      <c r="J1272" s="953">
        <f t="shared" si="237"/>
        <v>0</v>
      </c>
      <c r="K1272" s="953" t="str">
        <f t="shared" si="238"/>
        <v/>
      </c>
      <c r="L1272" s="570" t="str">
        <f t="shared" si="239"/>
        <v/>
      </c>
      <c r="M1272" s="570" t="str">
        <f t="shared" si="240"/>
        <v/>
      </c>
    </row>
    <row r="1273" spans="1:13">
      <c r="A1273" s="570" t="str">
        <f t="shared" si="241"/>
        <v/>
      </c>
      <c r="C1273" s="953" t="str">
        <f t="shared" si="230"/>
        <v/>
      </c>
      <c r="D1273" s="953" t="str">
        <f t="shared" si="231"/>
        <v/>
      </c>
      <c r="E1273" s="953" t="str">
        <f t="shared" si="232"/>
        <v/>
      </c>
      <c r="F1273" s="953" t="str">
        <f t="shared" si="233"/>
        <v/>
      </c>
      <c r="G1273" s="953" t="str">
        <f t="shared" si="234"/>
        <v/>
      </c>
      <c r="H1273" s="953">
        <f t="shared" si="235"/>
        <v>0</v>
      </c>
      <c r="I1273" s="953">
        <f t="shared" si="236"/>
        <v>0</v>
      </c>
      <c r="J1273" s="953">
        <f t="shared" si="237"/>
        <v>0</v>
      </c>
      <c r="K1273" s="953" t="str">
        <f t="shared" si="238"/>
        <v/>
      </c>
      <c r="L1273" s="570" t="str">
        <f t="shared" si="239"/>
        <v/>
      </c>
      <c r="M1273" s="570" t="str">
        <f t="shared" si="240"/>
        <v/>
      </c>
    </row>
    <row r="1274" spans="1:13">
      <c r="A1274" s="570" t="str">
        <f t="shared" si="241"/>
        <v/>
      </c>
      <c r="C1274" s="953" t="str">
        <f t="shared" si="230"/>
        <v/>
      </c>
      <c r="D1274" s="953" t="str">
        <f t="shared" si="231"/>
        <v/>
      </c>
      <c r="E1274" s="953" t="str">
        <f t="shared" si="232"/>
        <v/>
      </c>
      <c r="F1274" s="953" t="str">
        <f t="shared" si="233"/>
        <v/>
      </c>
      <c r="G1274" s="953" t="str">
        <f t="shared" si="234"/>
        <v/>
      </c>
      <c r="H1274" s="953">
        <f t="shared" si="235"/>
        <v>0</v>
      </c>
      <c r="I1274" s="953">
        <f t="shared" si="236"/>
        <v>0</v>
      </c>
      <c r="J1274" s="953">
        <f t="shared" si="237"/>
        <v>0</v>
      </c>
      <c r="K1274" s="953" t="str">
        <f t="shared" si="238"/>
        <v/>
      </c>
      <c r="L1274" s="570" t="str">
        <f t="shared" si="239"/>
        <v/>
      </c>
      <c r="M1274" s="570" t="str">
        <f t="shared" si="240"/>
        <v/>
      </c>
    </row>
    <row r="1275" spans="1:13">
      <c r="A1275" s="570" t="str">
        <f t="shared" si="241"/>
        <v/>
      </c>
      <c r="C1275" s="953" t="str">
        <f t="shared" si="230"/>
        <v/>
      </c>
      <c r="D1275" s="953" t="str">
        <f t="shared" si="231"/>
        <v/>
      </c>
      <c r="E1275" s="953" t="str">
        <f t="shared" si="232"/>
        <v/>
      </c>
      <c r="F1275" s="953" t="str">
        <f t="shared" si="233"/>
        <v/>
      </c>
      <c r="G1275" s="953" t="str">
        <f t="shared" si="234"/>
        <v/>
      </c>
      <c r="H1275" s="953">
        <f t="shared" si="235"/>
        <v>0</v>
      </c>
      <c r="I1275" s="953">
        <f t="shared" si="236"/>
        <v>0</v>
      </c>
      <c r="J1275" s="953">
        <f t="shared" si="237"/>
        <v>0</v>
      </c>
      <c r="K1275" s="953" t="str">
        <f t="shared" si="238"/>
        <v/>
      </c>
      <c r="L1275" s="570" t="str">
        <f t="shared" si="239"/>
        <v/>
      </c>
      <c r="M1275" s="570" t="str">
        <f t="shared" si="240"/>
        <v/>
      </c>
    </row>
    <row r="1276" spans="1:13">
      <c r="A1276" s="570" t="str">
        <f t="shared" si="241"/>
        <v/>
      </c>
      <c r="C1276" s="953" t="str">
        <f t="shared" si="230"/>
        <v/>
      </c>
      <c r="D1276" s="953" t="str">
        <f t="shared" si="231"/>
        <v/>
      </c>
      <c r="E1276" s="953" t="str">
        <f t="shared" si="232"/>
        <v/>
      </c>
      <c r="F1276" s="953" t="str">
        <f t="shared" si="233"/>
        <v/>
      </c>
      <c r="G1276" s="953" t="str">
        <f t="shared" si="234"/>
        <v/>
      </c>
      <c r="H1276" s="953">
        <f t="shared" si="235"/>
        <v>0</v>
      </c>
      <c r="I1276" s="953">
        <f t="shared" si="236"/>
        <v>0</v>
      </c>
      <c r="J1276" s="953">
        <f t="shared" si="237"/>
        <v>0</v>
      </c>
      <c r="K1276" s="953" t="str">
        <f t="shared" si="238"/>
        <v/>
      </c>
      <c r="L1276" s="570" t="str">
        <f t="shared" si="239"/>
        <v/>
      </c>
      <c r="M1276" s="570" t="str">
        <f t="shared" si="240"/>
        <v/>
      </c>
    </row>
    <row r="1277" spans="1:13">
      <c r="A1277" s="570" t="str">
        <f t="shared" si="241"/>
        <v/>
      </c>
      <c r="C1277" s="953" t="str">
        <f t="shared" si="230"/>
        <v/>
      </c>
      <c r="D1277" s="953" t="str">
        <f t="shared" si="231"/>
        <v/>
      </c>
      <c r="E1277" s="953" t="str">
        <f t="shared" si="232"/>
        <v/>
      </c>
      <c r="F1277" s="953" t="str">
        <f t="shared" si="233"/>
        <v/>
      </c>
      <c r="G1277" s="953" t="str">
        <f t="shared" si="234"/>
        <v/>
      </c>
      <c r="H1277" s="953">
        <f t="shared" si="235"/>
        <v>0</v>
      </c>
      <c r="I1277" s="953">
        <f t="shared" si="236"/>
        <v>0</v>
      </c>
      <c r="J1277" s="953">
        <f t="shared" si="237"/>
        <v>0</v>
      </c>
      <c r="K1277" s="953" t="str">
        <f t="shared" si="238"/>
        <v/>
      </c>
      <c r="L1277" s="570" t="str">
        <f t="shared" si="239"/>
        <v/>
      </c>
      <c r="M1277" s="570" t="str">
        <f t="shared" si="240"/>
        <v/>
      </c>
    </row>
    <row r="1278" spans="1:13">
      <c r="A1278" s="570" t="str">
        <f t="shared" si="241"/>
        <v/>
      </c>
      <c r="C1278" s="953" t="str">
        <f t="shared" si="230"/>
        <v/>
      </c>
      <c r="D1278" s="953" t="str">
        <f t="shared" si="231"/>
        <v/>
      </c>
      <c r="E1278" s="953" t="str">
        <f t="shared" si="232"/>
        <v/>
      </c>
      <c r="F1278" s="953" t="str">
        <f t="shared" si="233"/>
        <v/>
      </c>
      <c r="G1278" s="953" t="str">
        <f t="shared" si="234"/>
        <v/>
      </c>
      <c r="H1278" s="953">
        <f t="shared" si="235"/>
        <v>0</v>
      </c>
      <c r="I1278" s="953">
        <f t="shared" si="236"/>
        <v>0</v>
      </c>
      <c r="J1278" s="953">
        <f t="shared" si="237"/>
        <v>0</v>
      </c>
      <c r="K1278" s="953" t="str">
        <f t="shared" si="238"/>
        <v/>
      </c>
      <c r="L1278" s="570" t="str">
        <f t="shared" si="239"/>
        <v/>
      </c>
      <c r="M1278" s="570" t="str">
        <f t="shared" si="240"/>
        <v/>
      </c>
    </row>
    <row r="1279" spans="1:13">
      <c r="A1279" s="570" t="str">
        <f t="shared" si="241"/>
        <v/>
      </c>
      <c r="C1279" s="953" t="str">
        <f t="shared" si="230"/>
        <v/>
      </c>
      <c r="D1279" s="953" t="str">
        <f t="shared" si="231"/>
        <v/>
      </c>
      <c r="E1279" s="953" t="str">
        <f t="shared" si="232"/>
        <v/>
      </c>
      <c r="F1279" s="953" t="str">
        <f t="shared" si="233"/>
        <v/>
      </c>
      <c r="G1279" s="953" t="str">
        <f t="shared" si="234"/>
        <v/>
      </c>
      <c r="H1279" s="953">
        <f t="shared" si="235"/>
        <v>0</v>
      </c>
      <c r="I1279" s="953">
        <f t="shared" si="236"/>
        <v>0</v>
      </c>
      <c r="J1279" s="953">
        <f t="shared" si="237"/>
        <v>0</v>
      </c>
      <c r="K1279" s="953" t="str">
        <f t="shared" si="238"/>
        <v/>
      </c>
      <c r="L1279" s="570" t="str">
        <f t="shared" si="239"/>
        <v/>
      </c>
      <c r="M1279" s="570" t="str">
        <f t="shared" si="240"/>
        <v/>
      </c>
    </row>
    <row r="1280" spans="1:13">
      <c r="A1280" s="570" t="str">
        <f t="shared" si="241"/>
        <v/>
      </c>
      <c r="C1280" s="953" t="str">
        <f t="shared" si="230"/>
        <v/>
      </c>
      <c r="D1280" s="953" t="str">
        <f t="shared" si="231"/>
        <v/>
      </c>
      <c r="E1280" s="953" t="str">
        <f t="shared" si="232"/>
        <v/>
      </c>
      <c r="F1280" s="953" t="str">
        <f t="shared" si="233"/>
        <v/>
      </c>
      <c r="G1280" s="953" t="str">
        <f t="shared" si="234"/>
        <v/>
      </c>
      <c r="H1280" s="953">
        <f t="shared" si="235"/>
        <v>0</v>
      </c>
      <c r="I1280" s="953">
        <f t="shared" si="236"/>
        <v>0</v>
      </c>
      <c r="J1280" s="953">
        <f t="shared" si="237"/>
        <v>0</v>
      </c>
      <c r="K1280" s="953" t="str">
        <f t="shared" si="238"/>
        <v/>
      </c>
      <c r="L1280" s="570" t="str">
        <f t="shared" si="239"/>
        <v/>
      </c>
      <c r="M1280" s="570" t="str">
        <f t="shared" si="240"/>
        <v/>
      </c>
    </row>
    <row r="1281" spans="1:13">
      <c r="A1281" s="570" t="str">
        <f t="shared" si="241"/>
        <v/>
      </c>
      <c r="C1281" s="953" t="str">
        <f t="shared" si="230"/>
        <v/>
      </c>
      <c r="D1281" s="953" t="str">
        <f t="shared" si="231"/>
        <v/>
      </c>
      <c r="E1281" s="953" t="str">
        <f t="shared" si="232"/>
        <v/>
      </c>
      <c r="F1281" s="953" t="str">
        <f t="shared" si="233"/>
        <v/>
      </c>
      <c r="G1281" s="953" t="str">
        <f t="shared" si="234"/>
        <v/>
      </c>
      <c r="H1281" s="953">
        <f t="shared" si="235"/>
        <v>0</v>
      </c>
      <c r="I1281" s="953">
        <f t="shared" si="236"/>
        <v>0</v>
      </c>
      <c r="J1281" s="953">
        <f t="shared" si="237"/>
        <v>0</v>
      </c>
      <c r="K1281" s="953" t="str">
        <f t="shared" si="238"/>
        <v/>
      </c>
      <c r="L1281" s="570" t="str">
        <f t="shared" si="239"/>
        <v/>
      </c>
      <c r="M1281" s="570" t="str">
        <f t="shared" si="240"/>
        <v/>
      </c>
    </row>
    <row r="1282" spans="1:13">
      <c r="A1282" s="570" t="str">
        <f t="shared" si="241"/>
        <v/>
      </c>
      <c r="C1282" s="953" t="str">
        <f t="shared" ref="C1282:C1345" si="242">IF(Etabs="Etabs 9.7.4",IF(INDEX(Mode_1,ROW($E1282),COLUMN(A$1))&lt;&gt;"",INDEX(Mode_1,ROW($E1282),COLUMN(A$1)),""),IF(Etabs="Etabs 2013 trở lên",IF(INDEX(Mode_2,ROW($E1284),COLUMN(A$1))&lt;&gt;"",INDEX(Mode_2,ROW($E1284),COLUMN(A$1)),""),""))</f>
        <v/>
      </c>
      <c r="D1282" s="953" t="str">
        <f t="shared" ref="D1282:D1345" si="243">IF(Etabs="Etabs 9.7.4",IF(INDEX(Mode_1,ROW($E1282),COLUMN(B$1))&lt;&gt;"",INDEX(Mode_1,ROW($E1282),COLUMN(B$1)),""),IF(Etabs="Etabs 2013 trở lên",IF(INDEX(Mode_2,ROW($E1284),COLUMN(B$1))&lt;&gt;"",INDEX(Mode_2,ROW($E1284),COLUMN(B$1)),""),""))</f>
        <v/>
      </c>
      <c r="E1282" s="953" t="str">
        <f t="shared" ref="E1282:E1345" si="244">IF(Etabs="Etabs 9.7.4",IF(INDEX(Mode_1,ROW($E1282),COLUMN(C$1))&lt;&gt;"",INDEX(Mode_1,ROW($E1282),COLUMN(C$1)),""),IF(Etabs="Etabs 2013 trở lên",$M1282,""))</f>
        <v/>
      </c>
      <c r="F1282" s="953" t="str">
        <f t="shared" ref="F1282:F1345" si="245">IF(Etabs="Etabs 9.7.4",IF(INDEX(Mode_1,ROW($E1282),COLUMN(D$1))&lt;&gt;"",INDEX(Mode_1,ROW($E1282),COLUMN(D$1)),""),IF(Etabs="Etabs 2013 trở lên",IF(INDEX(Mode_2,ROW($E1284),COLUMN(D$1))&lt;&gt;"",INDEX(Mode_2,ROW($E1284),COLUMN(D$1)),""),""))</f>
        <v/>
      </c>
      <c r="G1282" s="953" t="str">
        <f t="shared" ref="G1282:G1345" si="246">IF(Etabs="Etabs 9.7.4",IF(INDEX(Mode_1,ROW($E1282),COLUMN(E$1))&lt;&gt;"",INDEX(Mode_1,ROW($E1282),COLUMN(E$1)),""),IF(Etabs="Etabs 2013 trở lên",IF(INDEX(Mode_2,ROW($E1284),COLUMN(E$1))&lt;&gt;"",INDEX(Mode_2,ROW($E1284),COLUMN(E$1)),""),""))</f>
        <v/>
      </c>
      <c r="H1282" s="953">
        <f t="shared" ref="H1282:H1345" si="247">IF(Etabs="Etabs 9.7.4",IF(INDEX(Mode_1,ROW($E1282),COLUMN(F$1))&lt;&gt;"",INDEX(Mode_1,ROW($E1282),COLUMN(F$1)),""),IF(Etabs="Etabs 2013 trở lên",0,""))</f>
        <v>0</v>
      </c>
      <c r="I1282" s="953">
        <f t="shared" ref="I1282:I1345" si="248">IF(Etabs="Etabs 9.7.4",IF(INDEX(Mode_1,ROW($E1282),COLUMN(G$1))&lt;&gt;"",INDEX(Mode_1,ROW($E1282),COLUMN(G$1)),""),IF(Etabs="Etabs 2013 trở lên",0,""))</f>
        <v>0</v>
      </c>
      <c r="J1282" s="953">
        <f t="shared" ref="J1282:J1345" si="249">IF(Etabs="Etabs 9.7.4",IF(INDEX(Mode_1,ROW($E1282),COLUMN(H$1))&lt;&gt;"",INDEX(Mode_1,ROW($E1282),COLUMN(H$1)),""),IF(Etabs="Etabs 2013 trở lên",0,""))</f>
        <v>0</v>
      </c>
      <c r="K1282" s="953" t="str">
        <f t="shared" ref="K1282:K1345" si="250">IF(Etabs="Etabs 9.7.4",IF(INDEX(Mode_1,ROW($E1282),COLUMN(I$1))&lt;&gt;"",INDEX(Mode_1,ROW($E1282),COLUMN(I$1)),""),IF(Etabs="Etabs 2013 trở lên",IF(INDEX(Mode_2,ROW($E1284),COLUMN(F$1))&lt;&gt;"",INDEX(Mode_2,ROW($E1284),COLUMN(F$1)),""),""))</f>
        <v/>
      </c>
      <c r="L1282" s="570" t="str">
        <f t="shared" ref="L1282:L1345" si="251">IF(Etabs="Etabs 9.7.4",IF(INDEX(Mode_1,ROW($E1282),COLUMN(C$1))&lt;&gt;"",INDEX(Mode_1,ROW($E1282),COLUMN(C$1)),""),IF(Etabs="Etabs 2013 trở lên",IF(INDEX(Mode_2,ROW($E1284),COLUMN(C$1))&lt;&gt;"",INDEX(Mode_2,ROW($E1284),COLUMN(C$1)),""),""))</f>
        <v/>
      </c>
      <c r="M1282" s="570" t="str">
        <f t="shared" si="240"/>
        <v/>
      </c>
    </row>
    <row r="1283" spans="1:13">
      <c r="A1283" s="570" t="str">
        <f t="shared" si="241"/>
        <v/>
      </c>
      <c r="C1283" s="953" t="str">
        <f t="shared" si="242"/>
        <v/>
      </c>
      <c r="D1283" s="953" t="str">
        <f t="shared" si="243"/>
        <v/>
      </c>
      <c r="E1283" s="953" t="str">
        <f t="shared" si="244"/>
        <v/>
      </c>
      <c r="F1283" s="953" t="str">
        <f t="shared" si="245"/>
        <v/>
      </c>
      <c r="G1283" s="953" t="str">
        <f t="shared" si="246"/>
        <v/>
      </c>
      <c r="H1283" s="953">
        <f t="shared" si="247"/>
        <v>0</v>
      </c>
      <c r="I1283" s="953">
        <f t="shared" si="248"/>
        <v>0</v>
      </c>
      <c r="J1283" s="953">
        <f t="shared" si="249"/>
        <v>0</v>
      </c>
      <c r="K1283" s="953" t="str">
        <f t="shared" si="250"/>
        <v/>
      </c>
      <c r="L1283" s="570" t="str">
        <f t="shared" si="251"/>
        <v/>
      </c>
      <c r="M1283" s="570" t="str">
        <f t="shared" ref="M1283:M1346" si="252">IFERROR(VALUE(RIGHT(L1283,LEN(L1283)-6)),"")</f>
        <v/>
      </c>
    </row>
    <row r="1284" spans="1:13">
      <c r="A1284" s="570" t="str">
        <f t="shared" si="241"/>
        <v/>
      </c>
      <c r="C1284" s="953" t="str">
        <f t="shared" si="242"/>
        <v/>
      </c>
      <c r="D1284" s="953" t="str">
        <f t="shared" si="243"/>
        <v/>
      </c>
      <c r="E1284" s="953" t="str">
        <f t="shared" si="244"/>
        <v/>
      </c>
      <c r="F1284" s="953" t="str">
        <f t="shared" si="245"/>
        <v/>
      </c>
      <c r="G1284" s="953" t="str">
        <f t="shared" si="246"/>
        <v/>
      </c>
      <c r="H1284" s="953">
        <f t="shared" si="247"/>
        <v>0</v>
      </c>
      <c r="I1284" s="953">
        <f t="shared" si="248"/>
        <v>0</v>
      </c>
      <c r="J1284" s="953">
        <f t="shared" si="249"/>
        <v>0</v>
      </c>
      <c r="K1284" s="953" t="str">
        <f t="shared" si="250"/>
        <v/>
      </c>
      <c r="L1284" s="570" t="str">
        <f t="shared" si="251"/>
        <v/>
      </c>
      <c r="M1284" s="570" t="str">
        <f t="shared" si="252"/>
        <v/>
      </c>
    </row>
    <row r="1285" spans="1:13">
      <c r="A1285" s="570" t="str">
        <f t="shared" si="241"/>
        <v/>
      </c>
      <c r="C1285" s="953" t="str">
        <f t="shared" si="242"/>
        <v/>
      </c>
      <c r="D1285" s="953" t="str">
        <f t="shared" si="243"/>
        <v/>
      </c>
      <c r="E1285" s="953" t="str">
        <f t="shared" si="244"/>
        <v/>
      </c>
      <c r="F1285" s="953" t="str">
        <f t="shared" si="245"/>
        <v/>
      </c>
      <c r="G1285" s="953" t="str">
        <f t="shared" si="246"/>
        <v/>
      </c>
      <c r="H1285" s="953">
        <f t="shared" si="247"/>
        <v>0</v>
      </c>
      <c r="I1285" s="953">
        <f t="shared" si="248"/>
        <v>0</v>
      </c>
      <c r="J1285" s="953">
        <f t="shared" si="249"/>
        <v>0</v>
      </c>
      <c r="K1285" s="953" t="str">
        <f t="shared" si="250"/>
        <v/>
      </c>
      <c r="L1285" s="570" t="str">
        <f t="shared" si="251"/>
        <v/>
      </c>
      <c r="M1285" s="570" t="str">
        <f t="shared" si="252"/>
        <v/>
      </c>
    </row>
    <row r="1286" spans="1:13">
      <c r="A1286" s="570" t="str">
        <f t="shared" ref="A1286:A1349" si="253">C1286&amp;E1286</f>
        <v/>
      </c>
      <c r="C1286" s="953" t="str">
        <f t="shared" si="242"/>
        <v/>
      </c>
      <c r="D1286" s="953" t="str">
        <f t="shared" si="243"/>
        <v/>
      </c>
      <c r="E1286" s="953" t="str">
        <f t="shared" si="244"/>
        <v/>
      </c>
      <c r="F1286" s="953" t="str">
        <f t="shared" si="245"/>
        <v/>
      </c>
      <c r="G1286" s="953" t="str">
        <f t="shared" si="246"/>
        <v/>
      </c>
      <c r="H1286" s="953">
        <f t="shared" si="247"/>
        <v>0</v>
      </c>
      <c r="I1286" s="953">
        <f t="shared" si="248"/>
        <v>0</v>
      </c>
      <c r="J1286" s="953">
        <f t="shared" si="249"/>
        <v>0</v>
      </c>
      <c r="K1286" s="953" t="str">
        <f t="shared" si="250"/>
        <v/>
      </c>
      <c r="L1286" s="570" t="str">
        <f t="shared" si="251"/>
        <v/>
      </c>
      <c r="M1286" s="570" t="str">
        <f t="shared" si="252"/>
        <v/>
      </c>
    </row>
    <row r="1287" spans="1:13">
      <c r="A1287" s="570" t="str">
        <f t="shared" si="253"/>
        <v/>
      </c>
      <c r="C1287" s="953" t="str">
        <f t="shared" si="242"/>
        <v/>
      </c>
      <c r="D1287" s="953" t="str">
        <f t="shared" si="243"/>
        <v/>
      </c>
      <c r="E1287" s="953" t="str">
        <f t="shared" si="244"/>
        <v/>
      </c>
      <c r="F1287" s="953" t="str">
        <f t="shared" si="245"/>
        <v/>
      </c>
      <c r="G1287" s="953" t="str">
        <f t="shared" si="246"/>
        <v/>
      </c>
      <c r="H1287" s="953">
        <f t="shared" si="247"/>
        <v>0</v>
      </c>
      <c r="I1287" s="953">
        <f t="shared" si="248"/>
        <v>0</v>
      </c>
      <c r="J1287" s="953">
        <f t="shared" si="249"/>
        <v>0</v>
      </c>
      <c r="K1287" s="953" t="str">
        <f t="shared" si="250"/>
        <v/>
      </c>
      <c r="L1287" s="570" t="str">
        <f t="shared" si="251"/>
        <v/>
      </c>
      <c r="M1287" s="570" t="str">
        <f t="shared" si="252"/>
        <v/>
      </c>
    </row>
    <row r="1288" spans="1:13">
      <c r="A1288" s="570" t="str">
        <f t="shared" si="253"/>
        <v/>
      </c>
      <c r="C1288" s="953" t="str">
        <f t="shared" si="242"/>
        <v/>
      </c>
      <c r="D1288" s="953" t="str">
        <f t="shared" si="243"/>
        <v/>
      </c>
      <c r="E1288" s="953" t="str">
        <f t="shared" si="244"/>
        <v/>
      </c>
      <c r="F1288" s="953" t="str">
        <f t="shared" si="245"/>
        <v/>
      </c>
      <c r="G1288" s="953" t="str">
        <f t="shared" si="246"/>
        <v/>
      </c>
      <c r="H1288" s="953">
        <f t="shared" si="247"/>
        <v>0</v>
      </c>
      <c r="I1288" s="953">
        <f t="shared" si="248"/>
        <v>0</v>
      </c>
      <c r="J1288" s="953">
        <f t="shared" si="249"/>
        <v>0</v>
      </c>
      <c r="K1288" s="953" t="str">
        <f t="shared" si="250"/>
        <v/>
      </c>
      <c r="L1288" s="570" t="str">
        <f t="shared" si="251"/>
        <v/>
      </c>
      <c r="M1288" s="570" t="str">
        <f t="shared" si="252"/>
        <v/>
      </c>
    </row>
    <row r="1289" spans="1:13">
      <c r="A1289" s="570" t="str">
        <f t="shared" si="253"/>
        <v/>
      </c>
      <c r="C1289" s="953" t="str">
        <f t="shared" si="242"/>
        <v/>
      </c>
      <c r="D1289" s="953" t="str">
        <f t="shared" si="243"/>
        <v/>
      </c>
      <c r="E1289" s="953" t="str">
        <f t="shared" si="244"/>
        <v/>
      </c>
      <c r="F1289" s="953" t="str">
        <f t="shared" si="245"/>
        <v/>
      </c>
      <c r="G1289" s="953" t="str">
        <f t="shared" si="246"/>
        <v/>
      </c>
      <c r="H1289" s="953">
        <f t="shared" si="247"/>
        <v>0</v>
      </c>
      <c r="I1289" s="953">
        <f t="shared" si="248"/>
        <v>0</v>
      </c>
      <c r="J1289" s="953">
        <f t="shared" si="249"/>
        <v>0</v>
      </c>
      <c r="K1289" s="953" t="str">
        <f t="shared" si="250"/>
        <v/>
      </c>
      <c r="L1289" s="570" t="str">
        <f t="shared" si="251"/>
        <v/>
      </c>
      <c r="M1289" s="570" t="str">
        <f t="shared" si="252"/>
        <v/>
      </c>
    </row>
    <row r="1290" spans="1:13">
      <c r="A1290" s="570" t="str">
        <f t="shared" si="253"/>
        <v/>
      </c>
      <c r="C1290" s="953" t="str">
        <f t="shared" si="242"/>
        <v/>
      </c>
      <c r="D1290" s="953" t="str">
        <f t="shared" si="243"/>
        <v/>
      </c>
      <c r="E1290" s="953" t="str">
        <f t="shared" si="244"/>
        <v/>
      </c>
      <c r="F1290" s="953" t="str">
        <f t="shared" si="245"/>
        <v/>
      </c>
      <c r="G1290" s="953" t="str">
        <f t="shared" si="246"/>
        <v/>
      </c>
      <c r="H1290" s="953">
        <f t="shared" si="247"/>
        <v>0</v>
      </c>
      <c r="I1290" s="953">
        <f t="shared" si="248"/>
        <v>0</v>
      </c>
      <c r="J1290" s="953">
        <f t="shared" si="249"/>
        <v>0</v>
      </c>
      <c r="K1290" s="953" t="str">
        <f t="shared" si="250"/>
        <v/>
      </c>
      <c r="L1290" s="570" t="str">
        <f t="shared" si="251"/>
        <v/>
      </c>
      <c r="M1290" s="570" t="str">
        <f t="shared" si="252"/>
        <v/>
      </c>
    </row>
    <row r="1291" spans="1:13">
      <c r="A1291" s="570" t="str">
        <f t="shared" si="253"/>
        <v/>
      </c>
      <c r="C1291" s="953" t="str">
        <f t="shared" si="242"/>
        <v/>
      </c>
      <c r="D1291" s="953" t="str">
        <f t="shared" si="243"/>
        <v/>
      </c>
      <c r="E1291" s="953" t="str">
        <f t="shared" si="244"/>
        <v/>
      </c>
      <c r="F1291" s="953" t="str">
        <f t="shared" si="245"/>
        <v/>
      </c>
      <c r="G1291" s="953" t="str">
        <f t="shared" si="246"/>
        <v/>
      </c>
      <c r="H1291" s="953">
        <f t="shared" si="247"/>
        <v>0</v>
      </c>
      <c r="I1291" s="953">
        <f t="shared" si="248"/>
        <v>0</v>
      </c>
      <c r="J1291" s="953">
        <f t="shared" si="249"/>
        <v>0</v>
      </c>
      <c r="K1291" s="953" t="str">
        <f t="shared" si="250"/>
        <v/>
      </c>
      <c r="L1291" s="570" t="str">
        <f t="shared" si="251"/>
        <v/>
      </c>
      <c r="M1291" s="570" t="str">
        <f t="shared" si="252"/>
        <v/>
      </c>
    </row>
    <row r="1292" spans="1:13">
      <c r="A1292" s="570" t="str">
        <f t="shared" si="253"/>
        <v/>
      </c>
      <c r="C1292" s="953" t="str">
        <f t="shared" si="242"/>
        <v/>
      </c>
      <c r="D1292" s="953" t="str">
        <f t="shared" si="243"/>
        <v/>
      </c>
      <c r="E1292" s="953" t="str">
        <f t="shared" si="244"/>
        <v/>
      </c>
      <c r="F1292" s="953" t="str">
        <f t="shared" si="245"/>
        <v/>
      </c>
      <c r="G1292" s="953" t="str">
        <f t="shared" si="246"/>
        <v/>
      </c>
      <c r="H1292" s="953">
        <f t="shared" si="247"/>
        <v>0</v>
      </c>
      <c r="I1292" s="953">
        <f t="shared" si="248"/>
        <v>0</v>
      </c>
      <c r="J1292" s="953">
        <f t="shared" si="249"/>
        <v>0</v>
      </c>
      <c r="K1292" s="953" t="str">
        <f t="shared" si="250"/>
        <v/>
      </c>
      <c r="L1292" s="570" t="str">
        <f t="shared" si="251"/>
        <v/>
      </c>
      <c r="M1292" s="570" t="str">
        <f t="shared" si="252"/>
        <v/>
      </c>
    </row>
    <row r="1293" spans="1:13">
      <c r="A1293" s="570" t="str">
        <f t="shared" si="253"/>
        <v/>
      </c>
      <c r="C1293" s="953" t="str">
        <f t="shared" si="242"/>
        <v/>
      </c>
      <c r="D1293" s="953" t="str">
        <f t="shared" si="243"/>
        <v/>
      </c>
      <c r="E1293" s="953" t="str">
        <f t="shared" si="244"/>
        <v/>
      </c>
      <c r="F1293" s="953" t="str">
        <f t="shared" si="245"/>
        <v/>
      </c>
      <c r="G1293" s="953" t="str">
        <f t="shared" si="246"/>
        <v/>
      </c>
      <c r="H1293" s="953">
        <f t="shared" si="247"/>
        <v>0</v>
      </c>
      <c r="I1293" s="953">
        <f t="shared" si="248"/>
        <v>0</v>
      </c>
      <c r="J1293" s="953">
        <f t="shared" si="249"/>
        <v>0</v>
      </c>
      <c r="K1293" s="953" t="str">
        <f t="shared" si="250"/>
        <v/>
      </c>
      <c r="L1293" s="570" t="str">
        <f t="shared" si="251"/>
        <v/>
      </c>
      <c r="M1293" s="570" t="str">
        <f t="shared" si="252"/>
        <v/>
      </c>
    </row>
    <row r="1294" spans="1:13">
      <c r="A1294" s="570" t="str">
        <f t="shared" si="253"/>
        <v/>
      </c>
      <c r="C1294" s="953" t="str">
        <f t="shared" si="242"/>
        <v/>
      </c>
      <c r="D1294" s="953" t="str">
        <f t="shared" si="243"/>
        <v/>
      </c>
      <c r="E1294" s="953" t="str">
        <f t="shared" si="244"/>
        <v/>
      </c>
      <c r="F1294" s="953" t="str">
        <f t="shared" si="245"/>
        <v/>
      </c>
      <c r="G1294" s="953" t="str">
        <f t="shared" si="246"/>
        <v/>
      </c>
      <c r="H1294" s="953">
        <f t="shared" si="247"/>
        <v>0</v>
      </c>
      <c r="I1294" s="953">
        <f t="shared" si="248"/>
        <v>0</v>
      </c>
      <c r="J1294" s="953">
        <f t="shared" si="249"/>
        <v>0</v>
      </c>
      <c r="K1294" s="953" t="str">
        <f t="shared" si="250"/>
        <v/>
      </c>
      <c r="L1294" s="570" t="str">
        <f t="shared" si="251"/>
        <v/>
      </c>
      <c r="M1294" s="570" t="str">
        <f t="shared" si="252"/>
        <v/>
      </c>
    </row>
    <row r="1295" spans="1:13">
      <c r="A1295" s="570" t="str">
        <f t="shared" si="253"/>
        <v/>
      </c>
      <c r="C1295" s="953" t="str">
        <f t="shared" si="242"/>
        <v/>
      </c>
      <c r="D1295" s="953" t="str">
        <f t="shared" si="243"/>
        <v/>
      </c>
      <c r="E1295" s="953" t="str">
        <f t="shared" si="244"/>
        <v/>
      </c>
      <c r="F1295" s="953" t="str">
        <f t="shared" si="245"/>
        <v/>
      </c>
      <c r="G1295" s="953" t="str">
        <f t="shared" si="246"/>
        <v/>
      </c>
      <c r="H1295" s="953">
        <f t="shared" si="247"/>
        <v>0</v>
      </c>
      <c r="I1295" s="953">
        <f t="shared" si="248"/>
        <v>0</v>
      </c>
      <c r="J1295" s="953">
        <f t="shared" si="249"/>
        <v>0</v>
      </c>
      <c r="K1295" s="953" t="str">
        <f t="shared" si="250"/>
        <v/>
      </c>
      <c r="L1295" s="570" t="str">
        <f t="shared" si="251"/>
        <v/>
      </c>
      <c r="M1295" s="570" t="str">
        <f t="shared" si="252"/>
        <v/>
      </c>
    </row>
    <row r="1296" spans="1:13">
      <c r="A1296" s="570" t="str">
        <f t="shared" si="253"/>
        <v/>
      </c>
      <c r="C1296" s="953" t="str">
        <f t="shared" si="242"/>
        <v/>
      </c>
      <c r="D1296" s="953" t="str">
        <f t="shared" si="243"/>
        <v/>
      </c>
      <c r="E1296" s="953" t="str">
        <f t="shared" si="244"/>
        <v/>
      </c>
      <c r="F1296" s="953" t="str">
        <f t="shared" si="245"/>
        <v/>
      </c>
      <c r="G1296" s="953" t="str">
        <f t="shared" si="246"/>
        <v/>
      </c>
      <c r="H1296" s="953">
        <f t="shared" si="247"/>
        <v>0</v>
      </c>
      <c r="I1296" s="953">
        <f t="shared" si="248"/>
        <v>0</v>
      </c>
      <c r="J1296" s="953">
        <f t="shared" si="249"/>
        <v>0</v>
      </c>
      <c r="K1296" s="953" t="str">
        <f t="shared" si="250"/>
        <v/>
      </c>
      <c r="L1296" s="570" t="str">
        <f t="shared" si="251"/>
        <v/>
      </c>
      <c r="M1296" s="570" t="str">
        <f t="shared" si="252"/>
        <v/>
      </c>
    </row>
    <row r="1297" spans="1:13">
      <c r="A1297" s="570" t="str">
        <f t="shared" si="253"/>
        <v/>
      </c>
      <c r="C1297" s="953" t="str">
        <f t="shared" si="242"/>
        <v/>
      </c>
      <c r="D1297" s="953" t="str">
        <f t="shared" si="243"/>
        <v/>
      </c>
      <c r="E1297" s="953" t="str">
        <f t="shared" si="244"/>
        <v/>
      </c>
      <c r="F1297" s="953" t="str">
        <f t="shared" si="245"/>
        <v/>
      </c>
      <c r="G1297" s="953" t="str">
        <f t="shared" si="246"/>
        <v/>
      </c>
      <c r="H1297" s="953">
        <f t="shared" si="247"/>
        <v>0</v>
      </c>
      <c r="I1297" s="953">
        <f t="shared" si="248"/>
        <v>0</v>
      </c>
      <c r="J1297" s="953">
        <f t="shared" si="249"/>
        <v>0</v>
      </c>
      <c r="K1297" s="953" t="str">
        <f t="shared" si="250"/>
        <v/>
      </c>
      <c r="L1297" s="570" t="str">
        <f t="shared" si="251"/>
        <v/>
      </c>
      <c r="M1297" s="570" t="str">
        <f t="shared" si="252"/>
        <v/>
      </c>
    </row>
    <row r="1298" spans="1:13">
      <c r="A1298" s="570" t="str">
        <f t="shared" si="253"/>
        <v/>
      </c>
      <c r="C1298" s="953" t="str">
        <f t="shared" si="242"/>
        <v/>
      </c>
      <c r="D1298" s="953" t="str">
        <f t="shared" si="243"/>
        <v/>
      </c>
      <c r="E1298" s="953" t="str">
        <f t="shared" si="244"/>
        <v/>
      </c>
      <c r="F1298" s="953" t="str">
        <f t="shared" si="245"/>
        <v/>
      </c>
      <c r="G1298" s="953" t="str">
        <f t="shared" si="246"/>
        <v/>
      </c>
      <c r="H1298" s="953">
        <f t="shared" si="247"/>
        <v>0</v>
      </c>
      <c r="I1298" s="953">
        <f t="shared" si="248"/>
        <v>0</v>
      </c>
      <c r="J1298" s="953">
        <f t="shared" si="249"/>
        <v>0</v>
      </c>
      <c r="K1298" s="953" t="str">
        <f t="shared" si="250"/>
        <v/>
      </c>
      <c r="L1298" s="570" t="str">
        <f t="shared" si="251"/>
        <v/>
      </c>
      <c r="M1298" s="570" t="str">
        <f t="shared" si="252"/>
        <v/>
      </c>
    </row>
    <row r="1299" spans="1:13">
      <c r="A1299" s="570" t="str">
        <f t="shared" si="253"/>
        <v/>
      </c>
      <c r="C1299" s="953" t="str">
        <f t="shared" si="242"/>
        <v/>
      </c>
      <c r="D1299" s="953" t="str">
        <f t="shared" si="243"/>
        <v/>
      </c>
      <c r="E1299" s="953" t="str">
        <f t="shared" si="244"/>
        <v/>
      </c>
      <c r="F1299" s="953" t="str">
        <f t="shared" si="245"/>
        <v/>
      </c>
      <c r="G1299" s="953" t="str">
        <f t="shared" si="246"/>
        <v/>
      </c>
      <c r="H1299" s="953">
        <f t="shared" si="247"/>
        <v>0</v>
      </c>
      <c r="I1299" s="953">
        <f t="shared" si="248"/>
        <v>0</v>
      </c>
      <c r="J1299" s="953">
        <f t="shared" si="249"/>
        <v>0</v>
      </c>
      <c r="K1299" s="953" t="str">
        <f t="shared" si="250"/>
        <v/>
      </c>
      <c r="L1299" s="570" t="str">
        <f t="shared" si="251"/>
        <v/>
      </c>
      <c r="M1299" s="570" t="str">
        <f t="shared" si="252"/>
        <v/>
      </c>
    </row>
    <row r="1300" spans="1:13">
      <c r="A1300" s="570" t="str">
        <f t="shared" si="253"/>
        <v/>
      </c>
      <c r="C1300" s="953" t="str">
        <f t="shared" si="242"/>
        <v/>
      </c>
      <c r="D1300" s="953" t="str">
        <f t="shared" si="243"/>
        <v/>
      </c>
      <c r="E1300" s="953" t="str">
        <f t="shared" si="244"/>
        <v/>
      </c>
      <c r="F1300" s="953" t="str">
        <f t="shared" si="245"/>
        <v/>
      </c>
      <c r="G1300" s="953" t="str">
        <f t="shared" si="246"/>
        <v/>
      </c>
      <c r="H1300" s="953">
        <f t="shared" si="247"/>
        <v>0</v>
      </c>
      <c r="I1300" s="953">
        <f t="shared" si="248"/>
        <v>0</v>
      </c>
      <c r="J1300" s="953">
        <f t="shared" si="249"/>
        <v>0</v>
      </c>
      <c r="K1300" s="953" t="str">
        <f t="shared" si="250"/>
        <v/>
      </c>
      <c r="L1300" s="570" t="str">
        <f t="shared" si="251"/>
        <v/>
      </c>
      <c r="M1300" s="570" t="str">
        <f t="shared" si="252"/>
        <v/>
      </c>
    </row>
    <row r="1301" spans="1:13">
      <c r="A1301" s="570" t="str">
        <f t="shared" si="253"/>
        <v/>
      </c>
      <c r="C1301" s="953" t="str">
        <f t="shared" si="242"/>
        <v/>
      </c>
      <c r="D1301" s="953" t="str">
        <f t="shared" si="243"/>
        <v/>
      </c>
      <c r="E1301" s="953" t="str">
        <f t="shared" si="244"/>
        <v/>
      </c>
      <c r="F1301" s="953" t="str">
        <f t="shared" si="245"/>
        <v/>
      </c>
      <c r="G1301" s="953" t="str">
        <f t="shared" si="246"/>
        <v/>
      </c>
      <c r="H1301" s="953">
        <f t="shared" si="247"/>
        <v>0</v>
      </c>
      <c r="I1301" s="953">
        <f t="shared" si="248"/>
        <v>0</v>
      </c>
      <c r="J1301" s="953">
        <f t="shared" si="249"/>
        <v>0</v>
      </c>
      <c r="K1301" s="953" t="str">
        <f t="shared" si="250"/>
        <v/>
      </c>
      <c r="L1301" s="570" t="str">
        <f t="shared" si="251"/>
        <v/>
      </c>
      <c r="M1301" s="570" t="str">
        <f t="shared" si="252"/>
        <v/>
      </c>
    </row>
    <row r="1302" spans="1:13">
      <c r="A1302" s="570" t="str">
        <f t="shared" si="253"/>
        <v/>
      </c>
      <c r="C1302" s="953" t="str">
        <f t="shared" si="242"/>
        <v/>
      </c>
      <c r="D1302" s="953" t="str">
        <f t="shared" si="243"/>
        <v/>
      </c>
      <c r="E1302" s="953" t="str">
        <f t="shared" si="244"/>
        <v/>
      </c>
      <c r="F1302" s="953" t="str">
        <f t="shared" si="245"/>
        <v/>
      </c>
      <c r="G1302" s="953" t="str">
        <f t="shared" si="246"/>
        <v/>
      </c>
      <c r="H1302" s="953">
        <f t="shared" si="247"/>
        <v>0</v>
      </c>
      <c r="I1302" s="953">
        <f t="shared" si="248"/>
        <v>0</v>
      </c>
      <c r="J1302" s="953">
        <f t="shared" si="249"/>
        <v>0</v>
      </c>
      <c r="K1302" s="953" t="str">
        <f t="shared" si="250"/>
        <v/>
      </c>
      <c r="L1302" s="570" t="str">
        <f t="shared" si="251"/>
        <v/>
      </c>
      <c r="M1302" s="570" t="str">
        <f t="shared" si="252"/>
        <v/>
      </c>
    </row>
    <row r="1303" spans="1:13">
      <c r="A1303" s="570" t="str">
        <f t="shared" si="253"/>
        <v/>
      </c>
      <c r="C1303" s="953" t="str">
        <f t="shared" si="242"/>
        <v/>
      </c>
      <c r="D1303" s="953" t="str">
        <f t="shared" si="243"/>
        <v/>
      </c>
      <c r="E1303" s="953" t="str">
        <f t="shared" si="244"/>
        <v/>
      </c>
      <c r="F1303" s="953" t="str">
        <f t="shared" si="245"/>
        <v/>
      </c>
      <c r="G1303" s="953" t="str">
        <f t="shared" si="246"/>
        <v/>
      </c>
      <c r="H1303" s="953">
        <f t="shared" si="247"/>
        <v>0</v>
      </c>
      <c r="I1303" s="953">
        <f t="shared" si="248"/>
        <v>0</v>
      </c>
      <c r="J1303" s="953">
        <f t="shared" si="249"/>
        <v>0</v>
      </c>
      <c r="K1303" s="953" t="str">
        <f t="shared" si="250"/>
        <v/>
      </c>
      <c r="L1303" s="570" t="str">
        <f t="shared" si="251"/>
        <v/>
      </c>
      <c r="M1303" s="570" t="str">
        <f t="shared" si="252"/>
        <v/>
      </c>
    </row>
    <row r="1304" spans="1:13">
      <c r="A1304" s="570" t="str">
        <f t="shared" si="253"/>
        <v/>
      </c>
      <c r="C1304" s="953" t="str">
        <f t="shared" si="242"/>
        <v/>
      </c>
      <c r="D1304" s="953" t="str">
        <f t="shared" si="243"/>
        <v/>
      </c>
      <c r="E1304" s="953" t="str">
        <f t="shared" si="244"/>
        <v/>
      </c>
      <c r="F1304" s="953" t="str">
        <f t="shared" si="245"/>
        <v/>
      </c>
      <c r="G1304" s="953" t="str">
        <f t="shared" si="246"/>
        <v/>
      </c>
      <c r="H1304" s="953">
        <f t="shared" si="247"/>
        <v>0</v>
      </c>
      <c r="I1304" s="953">
        <f t="shared" si="248"/>
        <v>0</v>
      </c>
      <c r="J1304" s="953">
        <f t="shared" si="249"/>
        <v>0</v>
      </c>
      <c r="K1304" s="953" t="str">
        <f t="shared" si="250"/>
        <v/>
      </c>
      <c r="L1304" s="570" t="str">
        <f t="shared" si="251"/>
        <v/>
      </c>
      <c r="M1304" s="570" t="str">
        <f t="shared" si="252"/>
        <v/>
      </c>
    </row>
    <row r="1305" spans="1:13">
      <c r="A1305" s="570" t="str">
        <f t="shared" si="253"/>
        <v/>
      </c>
      <c r="C1305" s="953" t="str">
        <f t="shared" si="242"/>
        <v/>
      </c>
      <c r="D1305" s="953" t="str">
        <f t="shared" si="243"/>
        <v/>
      </c>
      <c r="E1305" s="953" t="str">
        <f t="shared" si="244"/>
        <v/>
      </c>
      <c r="F1305" s="953" t="str">
        <f t="shared" si="245"/>
        <v/>
      </c>
      <c r="G1305" s="953" t="str">
        <f t="shared" si="246"/>
        <v/>
      </c>
      <c r="H1305" s="953">
        <f t="shared" si="247"/>
        <v>0</v>
      </c>
      <c r="I1305" s="953">
        <f t="shared" si="248"/>
        <v>0</v>
      </c>
      <c r="J1305" s="953">
        <f t="shared" si="249"/>
        <v>0</v>
      </c>
      <c r="K1305" s="953" t="str">
        <f t="shared" si="250"/>
        <v/>
      </c>
      <c r="L1305" s="570" t="str">
        <f t="shared" si="251"/>
        <v/>
      </c>
      <c r="M1305" s="570" t="str">
        <f t="shared" si="252"/>
        <v/>
      </c>
    </row>
    <row r="1306" spans="1:13">
      <c r="A1306" s="570" t="str">
        <f t="shared" si="253"/>
        <v/>
      </c>
      <c r="C1306" s="953" t="str">
        <f t="shared" si="242"/>
        <v/>
      </c>
      <c r="D1306" s="953" t="str">
        <f t="shared" si="243"/>
        <v/>
      </c>
      <c r="E1306" s="953" t="str">
        <f t="shared" si="244"/>
        <v/>
      </c>
      <c r="F1306" s="953" t="str">
        <f t="shared" si="245"/>
        <v/>
      </c>
      <c r="G1306" s="953" t="str">
        <f t="shared" si="246"/>
        <v/>
      </c>
      <c r="H1306" s="953">
        <f t="shared" si="247"/>
        <v>0</v>
      </c>
      <c r="I1306" s="953">
        <f t="shared" si="248"/>
        <v>0</v>
      </c>
      <c r="J1306" s="953">
        <f t="shared" si="249"/>
        <v>0</v>
      </c>
      <c r="K1306" s="953" t="str">
        <f t="shared" si="250"/>
        <v/>
      </c>
      <c r="L1306" s="570" t="str">
        <f t="shared" si="251"/>
        <v/>
      </c>
      <c r="M1306" s="570" t="str">
        <f t="shared" si="252"/>
        <v/>
      </c>
    </row>
    <row r="1307" spans="1:13">
      <c r="A1307" s="570" t="str">
        <f t="shared" si="253"/>
        <v/>
      </c>
      <c r="C1307" s="953" t="str">
        <f t="shared" si="242"/>
        <v/>
      </c>
      <c r="D1307" s="953" t="str">
        <f t="shared" si="243"/>
        <v/>
      </c>
      <c r="E1307" s="953" t="str">
        <f t="shared" si="244"/>
        <v/>
      </c>
      <c r="F1307" s="953" t="str">
        <f t="shared" si="245"/>
        <v/>
      </c>
      <c r="G1307" s="953" t="str">
        <f t="shared" si="246"/>
        <v/>
      </c>
      <c r="H1307" s="953">
        <f t="shared" si="247"/>
        <v>0</v>
      </c>
      <c r="I1307" s="953">
        <f t="shared" si="248"/>
        <v>0</v>
      </c>
      <c r="J1307" s="953">
        <f t="shared" si="249"/>
        <v>0</v>
      </c>
      <c r="K1307" s="953" t="str">
        <f t="shared" si="250"/>
        <v/>
      </c>
      <c r="L1307" s="570" t="str">
        <f t="shared" si="251"/>
        <v/>
      </c>
      <c r="M1307" s="570" t="str">
        <f t="shared" si="252"/>
        <v/>
      </c>
    </row>
    <row r="1308" spans="1:13">
      <c r="A1308" s="570" t="str">
        <f t="shared" si="253"/>
        <v/>
      </c>
      <c r="C1308" s="953" t="str">
        <f t="shared" si="242"/>
        <v/>
      </c>
      <c r="D1308" s="953" t="str">
        <f t="shared" si="243"/>
        <v/>
      </c>
      <c r="E1308" s="953" t="str">
        <f t="shared" si="244"/>
        <v/>
      </c>
      <c r="F1308" s="953" t="str">
        <f t="shared" si="245"/>
        <v/>
      </c>
      <c r="G1308" s="953" t="str">
        <f t="shared" si="246"/>
        <v/>
      </c>
      <c r="H1308" s="953">
        <f t="shared" si="247"/>
        <v>0</v>
      </c>
      <c r="I1308" s="953">
        <f t="shared" si="248"/>
        <v>0</v>
      </c>
      <c r="J1308" s="953">
        <f t="shared" si="249"/>
        <v>0</v>
      </c>
      <c r="K1308" s="953" t="str">
        <f t="shared" si="250"/>
        <v/>
      </c>
      <c r="L1308" s="570" t="str">
        <f t="shared" si="251"/>
        <v/>
      </c>
      <c r="M1308" s="570" t="str">
        <f t="shared" si="252"/>
        <v/>
      </c>
    </row>
    <row r="1309" spans="1:13">
      <c r="A1309" s="570" t="str">
        <f t="shared" si="253"/>
        <v/>
      </c>
      <c r="C1309" s="953" t="str">
        <f t="shared" si="242"/>
        <v/>
      </c>
      <c r="D1309" s="953" t="str">
        <f t="shared" si="243"/>
        <v/>
      </c>
      <c r="E1309" s="953" t="str">
        <f t="shared" si="244"/>
        <v/>
      </c>
      <c r="F1309" s="953" t="str">
        <f t="shared" si="245"/>
        <v/>
      </c>
      <c r="G1309" s="953" t="str">
        <f t="shared" si="246"/>
        <v/>
      </c>
      <c r="H1309" s="953">
        <f t="shared" si="247"/>
        <v>0</v>
      </c>
      <c r="I1309" s="953">
        <f t="shared" si="248"/>
        <v>0</v>
      </c>
      <c r="J1309" s="953">
        <f t="shared" si="249"/>
        <v>0</v>
      </c>
      <c r="K1309" s="953" t="str">
        <f t="shared" si="250"/>
        <v/>
      </c>
      <c r="L1309" s="570" t="str">
        <f t="shared" si="251"/>
        <v/>
      </c>
      <c r="M1309" s="570" t="str">
        <f t="shared" si="252"/>
        <v/>
      </c>
    </row>
    <row r="1310" spans="1:13">
      <c r="A1310" s="570" t="str">
        <f t="shared" si="253"/>
        <v/>
      </c>
      <c r="C1310" s="953" t="str">
        <f t="shared" si="242"/>
        <v/>
      </c>
      <c r="D1310" s="953" t="str">
        <f t="shared" si="243"/>
        <v/>
      </c>
      <c r="E1310" s="953" t="str">
        <f t="shared" si="244"/>
        <v/>
      </c>
      <c r="F1310" s="953" t="str">
        <f t="shared" si="245"/>
        <v/>
      </c>
      <c r="G1310" s="953" t="str">
        <f t="shared" si="246"/>
        <v/>
      </c>
      <c r="H1310" s="953">
        <f t="shared" si="247"/>
        <v>0</v>
      </c>
      <c r="I1310" s="953">
        <f t="shared" si="248"/>
        <v>0</v>
      </c>
      <c r="J1310" s="953">
        <f t="shared" si="249"/>
        <v>0</v>
      </c>
      <c r="K1310" s="953" t="str">
        <f t="shared" si="250"/>
        <v/>
      </c>
      <c r="L1310" s="570" t="str">
        <f t="shared" si="251"/>
        <v/>
      </c>
      <c r="M1310" s="570" t="str">
        <f t="shared" si="252"/>
        <v/>
      </c>
    </row>
    <row r="1311" spans="1:13">
      <c r="A1311" s="570" t="str">
        <f t="shared" si="253"/>
        <v/>
      </c>
      <c r="C1311" s="953" t="str">
        <f t="shared" si="242"/>
        <v/>
      </c>
      <c r="D1311" s="953" t="str">
        <f t="shared" si="243"/>
        <v/>
      </c>
      <c r="E1311" s="953" t="str">
        <f t="shared" si="244"/>
        <v/>
      </c>
      <c r="F1311" s="953" t="str">
        <f t="shared" si="245"/>
        <v/>
      </c>
      <c r="G1311" s="953" t="str">
        <f t="shared" si="246"/>
        <v/>
      </c>
      <c r="H1311" s="953">
        <f t="shared" si="247"/>
        <v>0</v>
      </c>
      <c r="I1311" s="953">
        <f t="shared" si="248"/>
        <v>0</v>
      </c>
      <c r="J1311" s="953">
        <f t="shared" si="249"/>
        <v>0</v>
      </c>
      <c r="K1311" s="953" t="str">
        <f t="shared" si="250"/>
        <v/>
      </c>
      <c r="L1311" s="570" t="str">
        <f t="shared" si="251"/>
        <v/>
      </c>
      <c r="M1311" s="570" t="str">
        <f t="shared" si="252"/>
        <v/>
      </c>
    </row>
    <row r="1312" spans="1:13">
      <c r="A1312" s="570" t="str">
        <f t="shared" si="253"/>
        <v/>
      </c>
      <c r="C1312" s="953" t="str">
        <f t="shared" si="242"/>
        <v/>
      </c>
      <c r="D1312" s="953" t="str">
        <f t="shared" si="243"/>
        <v/>
      </c>
      <c r="E1312" s="953" t="str">
        <f t="shared" si="244"/>
        <v/>
      </c>
      <c r="F1312" s="953" t="str">
        <f t="shared" si="245"/>
        <v/>
      </c>
      <c r="G1312" s="953" t="str">
        <f t="shared" si="246"/>
        <v/>
      </c>
      <c r="H1312" s="953">
        <f t="shared" si="247"/>
        <v>0</v>
      </c>
      <c r="I1312" s="953">
        <f t="shared" si="248"/>
        <v>0</v>
      </c>
      <c r="J1312" s="953">
        <f t="shared" si="249"/>
        <v>0</v>
      </c>
      <c r="K1312" s="953" t="str">
        <f t="shared" si="250"/>
        <v/>
      </c>
      <c r="L1312" s="570" t="str">
        <f t="shared" si="251"/>
        <v/>
      </c>
      <c r="M1312" s="570" t="str">
        <f t="shared" si="252"/>
        <v/>
      </c>
    </row>
    <row r="1313" spans="1:13">
      <c r="A1313" s="570" t="str">
        <f t="shared" si="253"/>
        <v/>
      </c>
      <c r="C1313" s="953" t="str">
        <f t="shared" si="242"/>
        <v/>
      </c>
      <c r="D1313" s="953" t="str">
        <f t="shared" si="243"/>
        <v/>
      </c>
      <c r="E1313" s="953" t="str">
        <f t="shared" si="244"/>
        <v/>
      </c>
      <c r="F1313" s="953" t="str">
        <f t="shared" si="245"/>
        <v/>
      </c>
      <c r="G1313" s="953" t="str">
        <f t="shared" si="246"/>
        <v/>
      </c>
      <c r="H1313" s="953">
        <f t="shared" si="247"/>
        <v>0</v>
      </c>
      <c r="I1313" s="953">
        <f t="shared" si="248"/>
        <v>0</v>
      </c>
      <c r="J1313" s="953">
        <f t="shared" si="249"/>
        <v>0</v>
      </c>
      <c r="K1313" s="953" t="str">
        <f t="shared" si="250"/>
        <v/>
      </c>
      <c r="L1313" s="570" t="str">
        <f t="shared" si="251"/>
        <v/>
      </c>
      <c r="M1313" s="570" t="str">
        <f t="shared" si="252"/>
        <v/>
      </c>
    </row>
    <row r="1314" spans="1:13">
      <c r="A1314" s="570" t="str">
        <f t="shared" si="253"/>
        <v/>
      </c>
      <c r="C1314" s="953" t="str">
        <f t="shared" si="242"/>
        <v/>
      </c>
      <c r="D1314" s="953" t="str">
        <f t="shared" si="243"/>
        <v/>
      </c>
      <c r="E1314" s="953" t="str">
        <f t="shared" si="244"/>
        <v/>
      </c>
      <c r="F1314" s="953" t="str">
        <f t="shared" si="245"/>
        <v/>
      </c>
      <c r="G1314" s="953" t="str">
        <f t="shared" si="246"/>
        <v/>
      </c>
      <c r="H1314" s="953">
        <f t="shared" si="247"/>
        <v>0</v>
      </c>
      <c r="I1314" s="953">
        <f t="shared" si="248"/>
        <v>0</v>
      </c>
      <c r="J1314" s="953">
        <f t="shared" si="249"/>
        <v>0</v>
      </c>
      <c r="K1314" s="953" t="str">
        <f t="shared" si="250"/>
        <v/>
      </c>
      <c r="L1314" s="570" t="str">
        <f t="shared" si="251"/>
        <v/>
      </c>
      <c r="M1314" s="570" t="str">
        <f t="shared" si="252"/>
        <v/>
      </c>
    </row>
    <row r="1315" spans="1:13">
      <c r="A1315" s="570" t="str">
        <f t="shared" si="253"/>
        <v/>
      </c>
      <c r="C1315" s="953" t="str">
        <f t="shared" si="242"/>
        <v/>
      </c>
      <c r="D1315" s="953" t="str">
        <f t="shared" si="243"/>
        <v/>
      </c>
      <c r="E1315" s="953" t="str">
        <f t="shared" si="244"/>
        <v/>
      </c>
      <c r="F1315" s="953" t="str">
        <f t="shared" si="245"/>
        <v/>
      </c>
      <c r="G1315" s="953" t="str">
        <f t="shared" si="246"/>
        <v/>
      </c>
      <c r="H1315" s="953">
        <f t="shared" si="247"/>
        <v>0</v>
      </c>
      <c r="I1315" s="953">
        <f t="shared" si="248"/>
        <v>0</v>
      </c>
      <c r="J1315" s="953">
        <f t="shared" si="249"/>
        <v>0</v>
      </c>
      <c r="K1315" s="953" t="str">
        <f t="shared" si="250"/>
        <v/>
      </c>
      <c r="L1315" s="570" t="str">
        <f t="shared" si="251"/>
        <v/>
      </c>
      <c r="M1315" s="570" t="str">
        <f t="shared" si="252"/>
        <v/>
      </c>
    </row>
    <row r="1316" spans="1:13">
      <c r="A1316" s="570" t="str">
        <f t="shared" si="253"/>
        <v/>
      </c>
      <c r="C1316" s="953" t="str">
        <f t="shared" si="242"/>
        <v/>
      </c>
      <c r="D1316" s="953" t="str">
        <f t="shared" si="243"/>
        <v/>
      </c>
      <c r="E1316" s="953" t="str">
        <f t="shared" si="244"/>
        <v/>
      </c>
      <c r="F1316" s="953" t="str">
        <f t="shared" si="245"/>
        <v/>
      </c>
      <c r="G1316" s="953" t="str">
        <f t="shared" si="246"/>
        <v/>
      </c>
      <c r="H1316" s="953">
        <f t="shared" si="247"/>
        <v>0</v>
      </c>
      <c r="I1316" s="953">
        <f t="shared" si="248"/>
        <v>0</v>
      </c>
      <c r="J1316" s="953">
        <f t="shared" si="249"/>
        <v>0</v>
      </c>
      <c r="K1316" s="953" t="str">
        <f t="shared" si="250"/>
        <v/>
      </c>
      <c r="L1316" s="570" t="str">
        <f t="shared" si="251"/>
        <v/>
      </c>
      <c r="M1316" s="570" t="str">
        <f t="shared" si="252"/>
        <v/>
      </c>
    </row>
    <row r="1317" spans="1:13">
      <c r="A1317" s="570" t="str">
        <f t="shared" si="253"/>
        <v/>
      </c>
      <c r="C1317" s="953" t="str">
        <f t="shared" si="242"/>
        <v/>
      </c>
      <c r="D1317" s="953" t="str">
        <f t="shared" si="243"/>
        <v/>
      </c>
      <c r="E1317" s="953" t="str">
        <f t="shared" si="244"/>
        <v/>
      </c>
      <c r="F1317" s="953" t="str">
        <f t="shared" si="245"/>
        <v/>
      </c>
      <c r="G1317" s="953" t="str">
        <f t="shared" si="246"/>
        <v/>
      </c>
      <c r="H1317" s="953">
        <f t="shared" si="247"/>
        <v>0</v>
      </c>
      <c r="I1317" s="953">
        <f t="shared" si="248"/>
        <v>0</v>
      </c>
      <c r="J1317" s="953">
        <f t="shared" si="249"/>
        <v>0</v>
      </c>
      <c r="K1317" s="953" t="str">
        <f t="shared" si="250"/>
        <v/>
      </c>
      <c r="L1317" s="570" t="str">
        <f t="shared" si="251"/>
        <v/>
      </c>
      <c r="M1317" s="570" t="str">
        <f t="shared" si="252"/>
        <v/>
      </c>
    </row>
    <row r="1318" spans="1:13">
      <c r="A1318" s="570" t="str">
        <f t="shared" si="253"/>
        <v/>
      </c>
      <c r="C1318" s="953" t="str">
        <f t="shared" si="242"/>
        <v/>
      </c>
      <c r="D1318" s="953" t="str">
        <f t="shared" si="243"/>
        <v/>
      </c>
      <c r="E1318" s="953" t="str">
        <f t="shared" si="244"/>
        <v/>
      </c>
      <c r="F1318" s="953" t="str">
        <f t="shared" si="245"/>
        <v/>
      </c>
      <c r="G1318" s="953" t="str">
        <f t="shared" si="246"/>
        <v/>
      </c>
      <c r="H1318" s="953">
        <f t="shared" si="247"/>
        <v>0</v>
      </c>
      <c r="I1318" s="953">
        <f t="shared" si="248"/>
        <v>0</v>
      </c>
      <c r="J1318" s="953">
        <f t="shared" si="249"/>
        <v>0</v>
      </c>
      <c r="K1318" s="953" t="str">
        <f t="shared" si="250"/>
        <v/>
      </c>
      <c r="L1318" s="570" t="str">
        <f t="shared" si="251"/>
        <v/>
      </c>
      <c r="M1318" s="570" t="str">
        <f t="shared" si="252"/>
        <v/>
      </c>
    </row>
    <row r="1319" spans="1:13">
      <c r="A1319" s="570" t="str">
        <f t="shared" si="253"/>
        <v/>
      </c>
      <c r="C1319" s="953" t="str">
        <f t="shared" si="242"/>
        <v/>
      </c>
      <c r="D1319" s="953" t="str">
        <f t="shared" si="243"/>
        <v/>
      </c>
      <c r="E1319" s="953" t="str">
        <f t="shared" si="244"/>
        <v/>
      </c>
      <c r="F1319" s="953" t="str">
        <f t="shared" si="245"/>
        <v/>
      </c>
      <c r="G1319" s="953" t="str">
        <f t="shared" si="246"/>
        <v/>
      </c>
      <c r="H1319" s="953">
        <f t="shared" si="247"/>
        <v>0</v>
      </c>
      <c r="I1319" s="953">
        <f t="shared" si="248"/>
        <v>0</v>
      </c>
      <c r="J1319" s="953">
        <f t="shared" si="249"/>
        <v>0</v>
      </c>
      <c r="K1319" s="953" t="str">
        <f t="shared" si="250"/>
        <v/>
      </c>
      <c r="L1319" s="570" t="str">
        <f t="shared" si="251"/>
        <v/>
      </c>
      <c r="M1319" s="570" t="str">
        <f t="shared" si="252"/>
        <v/>
      </c>
    </row>
    <row r="1320" spans="1:13">
      <c r="A1320" s="570" t="str">
        <f t="shared" si="253"/>
        <v/>
      </c>
      <c r="C1320" s="953" t="str">
        <f t="shared" si="242"/>
        <v/>
      </c>
      <c r="D1320" s="953" t="str">
        <f t="shared" si="243"/>
        <v/>
      </c>
      <c r="E1320" s="953" t="str">
        <f t="shared" si="244"/>
        <v/>
      </c>
      <c r="F1320" s="953" t="str">
        <f t="shared" si="245"/>
        <v/>
      </c>
      <c r="G1320" s="953" t="str">
        <f t="shared" si="246"/>
        <v/>
      </c>
      <c r="H1320" s="953">
        <f t="shared" si="247"/>
        <v>0</v>
      </c>
      <c r="I1320" s="953">
        <f t="shared" si="248"/>
        <v>0</v>
      </c>
      <c r="J1320" s="953">
        <f t="shared" si="249"/>
        <v>0</v>
      </c>
      <c r="K1320" s="953" t="str">
        <f t="shared" si="250"/>
        <v/>
      </c>
      <c r="L1320" s="570" t="str">
        <f t="shared" si="251"/>
        <v/>
      </c>
      <c r="M1320" s="570" t="str">
        <f t="shared" si="252"/>
        <v/>
      </c>
    </row>
    <row r="1321" spans="1:13">
      <c r="A1321" s="570" t="str">
        <f t="shared" si="253"/>
        <v/>
      </c>
      <c r="C1321" s="953" t="str">
        <f t="shared" si="242"/>
        <v/>
      </c>
      <c r="D1321" s="953" t="str">
        <f t="shared" si="243"/>
        <v/>
      </c>
      <c r="E1321" s="953" t="str">
        <f t="shared" si="244"/>
        <v/>
      </c>
      <c r="F1321" s="953" t="str">
        <f t="shared" si="245"/>
        <v/>
      </c>
      <c r="G1321" s="953" t="str">
        <f t="shared" si="246"/>
        <v/>
      </c>
      <c r="H1321" s="953">
        <f t="shared" si="247"/>
        <v>0</v>
      </c>
      <c r="I1321" s="953">
        <f t="shared" si="248"/>
        <v>0</v>
      </c>
      <c r="J1321" s="953">
        <f t="shared" si="249"/>
        <v>0</v>
      </c>
      <c r="K1321" s="953" t="str">
        <f t="shared" si="250"/>
        <v/>
      </c>
      <c r="L1321" s="570" t="str">
        <f t="shared" si="251"/>
        <v/>
      </c>
      <c r="M1321" s="570" t="str">
        <f t="shared" si="252"/>
        <v/>
      </c>
    </row>
    <row r="1322" spans="1:13">
      <c r="A1322" s="570" t="str">
        <f t="shared" si="253"/>
        <v/>
      </c>
      <c r="C1322" s="953" t="str">
        <f t="shared" si="242"/>
        <v/>
      </c>
      <c r="D1322" s="953" t="str">
        <f t="shared" si="243"/>
        <v/>
      </c>
      <c r="E1322" s="953" t="str">
        <f t="shared" si="244"/>
        <v/>
      </c>
      <c r="F1322" s="953" t="str">
        <f t="shared" si="245"/>
        <v/>
      </c>
      <c r="G1322" s="953" t="str">
        <f t="shared" si="246"/>
        <v/>
      </c>
      <c r="H1322" s="953">
        <f t="shared" si="247"/>
        <v>0</v>
      </c>
      <c r="I1322" s="953">
        <f t="shared" si="248"/>
        <v>0</v>
      </c>
      <c r="J1322" s="953">
        <f t="shared" si="249"/>
        <v>0</v>
      </c>
      <c r="K1322" s="953" t="str">
        <f t="shared" si="250"/>
        <v/>
      </c>
      <c r="L1322" s="570" t="str">
        <f t="shared" si="251"/>
        <v/>
      </c>
      <c r="M1322" s="570" t="str">
        <f t="shared" si="252"/>
        <v/>
      </c>
    </row>
    <row r="1323" spans="1:13">
      <c r="A1323" s="570" t="str">
        <f t="shared" si="253"/>
        <v/>
      </c>
      <c r="C1323" s="953" t="str">
        <f t="shared" si="242"/>
        <v/>
      </c>
      <c r="D1323" s="953" t="str">
        <f t="shared" si="243"/>
        <v/>
      </c>
      <c r="E1323" s="953" t="str">
        <f t="shared" si="244"/>
        <v/>
      </c>
      <c r="F1323" s="953" t="str">
        <f t="shared" si="245"/>
        <v/>
      </c>
      <c r="G1323" s="953" t="str">
        <f t="shared" si="246"/>
        <v/>
      </c>
      <c r="H1323" s="953">
        <f t="shared" si="247"/>
        <v>0</v>
      </c>
      <c r="I1323" s="953">
        <f t="shared" si="248"/>
        <v>0</v>
      </c>
      <c r="J1323" s="953">
        <f t="shared" si="249"/>
        <v>0</v>
      </c>
      <c r="K1323" s="953" t="str">
        <f t="shared" si="250"/>
        <v/>
      </c>
      <c r="L1323" s="570" t="str">
        <f t="shared" si="251"/>
        <v/>
      </c>
      <c r="M1323" s="570" t="str">
        <f t="shared" si="252"/>
        <v/>
      </c>
    </row>
    <row r="1324" spans="1:13">
      <c r="A1324" s="570" t="str">
        <f t="shared" si="253"/>
        <v/>
      </c>
      <c r="C1324" s="953" t="str">
        <f t="shared" si="242"/>
        <v/>
      </c>
      <c r="D1324" s="953" t="str">
        <f t="shared" si="243"/>
        <v/>
      </c>
      <c r="E1324" s="953" t="str">
        <f t="shared" si="244"/>
        <v/>
      </c>
      <c r="F1324" s="953" t="str">
        <f t="shared" si="245"/>
        <v/>
      </c>
      <c r="G1324" s="953" t="str">
        <f t="shared" si="246"/>
        <v/>
      </c>
      <c r="H1324" s="953">
        <f t="shared" si="247"/>
        <v>0</v>
      </c>
      <c r="I1324" s="953">
        <f t="shared" si="248"/>
        <v>0</v>
      </c>
      <c r="J1324" s="953">
        <f t="shared" si="249"/>
        <v>0</v>
      </c>
      <c r="K1324" s="953" t="str">
        <f t="shared" si="250"/>
        <v/>
      </c>
      <c r="L1324" s="570" t="str">
        <f t="shared" si="251"/>
        <v/>
      </c>
      <c r="M1324" s="570" t="str">
        <f t="shared" si="252"/>
        <v/>
      </c>
    </row>
    <row r="1325" spans="1:13">
      <c r="A1325" s="570" t="str">
        <f t="shared" si="253"/>
        <v/>
      </c>
      <c r="C1325" s="953" t="str">
        <f t="shared" si="242"/>
        <v/>
      </c>
      <c r="D1325" s="953" t="str">
        <f t="shared" si="243"/>
        <v/>
      </c>
      <c r="E1325" s="953" t="str">
        <f t="shared" si="244"/>
        <v/>
      </c>
      <c r="F1325" s="953" t="str">
        <f t="shared" si="245"/>
        <v/>
      </c>
      <c r="G1325" s="953" t="str">
        <f t="shared" si="246"/>
        <v/>
      </c>
      <c r="H1325" s="953">
        <f t="shared" si="247"/>
        <v>0</v>
      </c>
      <c r="I1325" s="953">
        <f t="shared" si="248"/>
        <v>0</v>
      </c>
      <c r="J1325" s="953">
        <f t="shared" si="249"/>
        <v>0</v>
      </c>
      <c r="K1325" s="953" t="str">
        <f t="shared" si="250"/>
        <v/>
      </c>
      <c r="L1325" s="570" t="str">
        <f t="shared" si="251"/>
        <v/>
      </c>
      <c r="M1325" s="570" t="str">
        <f t="shared" si="252"/>
        <v/>
      </c>
    </row>
    <row r="1326" spans="1:13">
      <c r="A1326" s="570" t="str">
        <f t="shared" si="253"/>
        <v/>
      </c>
      <c r="C1326" s="953" t="str">
        <f t="shared" si="242"/>
        <v/>
      </c>
      <c r="D1326" s="953" t="str">
        <f t="shared" si="243"/>
        <v/>
      </c>
      <c r="E1326" s="953" t="str">
        <f t="shared" si="244"/>
        <v/>
      </c>
      <c r="F1326" s="953" t="str">
        <f t="shared" si="245"/>
        <v/>
      </c>
      <c r="G1326" s="953" t="str">
        <f t="shared" si="246"/>
        <v/>
      </c>
      <c r="H1326" s="953">
        <f t="shared" si="247"/>
        <v>0</v>
      </c>
      <c r="I1326" s="953">
        <f t="shared" si="248"/>
        <v>0</v>
      </c>
      <c r="J1326" s="953">
        <f t="shared" si="249"/>
        <v>0</v>
      </c>
      <c r="K1326" s="953" t="str">
        <f t="shared" si="250"/>
        <v/>
      </c>
      <c r="L1326" s="570" t="str">
        <f t="shared" si="251"/>
        <v/>
      </c>
      <c r="M1326" s="570" t="str">
        <f t="shared" si="252"/>
        <v/>
      </c>
    </row>
    <row r="1327" spans="1:13">
      <c r="A1327" s="570" t="str">
        <f t="shared" si="253"/>
        <v/>
      </c>
      <c r="C1327" s="953" t="str">
        <f t="shared" si="242"/>
        <v/>
      </c>
      <c r="D1327" s="953" t="str">
        <f t="shared" si="243"/>
        <v/>
      </c>
      <c r="E1327" s="953" t="str">
        <f t="shared" si="244"/>
        <v/>
      </c>
      <c r="F1327" s="953" t="str">
        <f t="shared" si="245"/>
        <v/>
      </c>
      <c r="G1327" s="953" t="str">
        <f t="shared" si="246"/>
        <v/>
      </c>
      <c r="H1327" s="953">
        <f t="shared" si="247"/>
        <v>0</v>
      </c>
      <c r="I1327" s="953">
        <f t="shared" si="248"/>
        <v>0</v>
      </c>
      <c r="J1327" s="953">
        <f t="shared" si="249"/>
        <v>0</v>
      </c>
      <c r="K1327" s="953" t="str">
        <f t="shared" si="250"/>
        <v/>
      </c>
      <c r="L1327" s="570" t="str">
        <f t="shared" si="251"/>
        <v/>
      </c>
      <c r="M1327" s="570" t="str">
        <f t="shared" si="252"/>
        <v/>
      </c>
    </row>
    <row r="1328" spans="1:13">
      <c r="A1328" s="570" t="str">
        <f t="shared" si="253"/>
        <v/>
      </c>
      <c r="C1328" s="953" t="str">
        <f t="shared" si="242"/>
        <v/>
      </c>
      <c r="D1328" s="953" t="str">
        <f t="shared" si="243"/>
        <v/>
      </c>
      <c r="E1328" s="953" t="str">
        <f t="shared" si="244"/>
        <v/>
      </c>
      <c r="F1328" s="953" t="str">
        <f t="shared" si="245"/>
        <v/>
      </c>
      <c r="G1328" s="953" t="str">
        <f t="shared" si="246"/>
        <v/>
      </c>
      <c r="H1328" s="953">
        <f t="shared" si="247"/>
        <v>0</v>
      </c>
      <c r="I1328" s="953">
        <f t="shared" si="248"/>
        <v>0</v>
      </c>
      <c r="J1328" s="953">
        <f t="shared" si="249"/>
        <v>0</v>
      </c>
      <c r="K1328" s="953" t="str">
        <f t="shared" si="250"/>
        <v/>
      </c>
      <c r="L1328" s="570" t="str">
        <f t="shared" si="251"/>
        <v/>
      </c>
      <c r="M1328" s="570" t="str">
        <f t="shared" si="252"/>
        <v/>
      </c>
    </row>
    <row r="1329" spans="1:13">
      <c r="A1329" s="570" t="str">
        <f t="shared" si="253"/>
        <v/>
      </c>
      <c r="C1329" s="953" t="str">
        <f t="shared" si="242"/>
        <v/>
      </c>
      <c r="D1329" s="953" t="str">
        <f t="shared" si="243"/>
        <v/>
      </c>
      <c r="E1329" s="953" t="str">
        <f t="shared" si="244"/>
        <v/>
      </c>
      <c r="F1329" s="953" t="str">
        <f t="shared" si="245"/>
        <v/>
      </c>
      <c r="G1329" s="953" t="str">
        <f t="shared" si="246"/>
        <v/>
      </c>
      <c r="H1329" s="953">
        <f t="shared" si="247"/>
        <v>0</v>
      </c>
      <c r="I1329" s="953">
        <f t="shared" si="248"/>
        <v>0</v>
      </c>
      <c r="J1329" s="953">
        <f t="shared" si="249"/>
        <v>0</v>
      </c>
      <c r="K1329" s="953" t="str">
        <f t="shared" si="250"/>
        <v/>
      </c>
      <c r="L1329" s="570" t="str">
        <f t="shared" si="251"/>
        <v/>
      </c>
      <c r="M1329" s="570" t="str">
        <f t="shared" si="252"/>
        <v/>
      </c>
    </row>
    <row r="1330" spans="1:13">
      <c r="A1330" s="570" t="str">
        <f t="shared" si="253"/>
        <v/>
      </c>
      <c r="C1330" s="953" t="str">
        <f t="shared" si="242"/>
        <v/>
      </c>
      <c r="D1330" s="953" t="str">
        <f t="shared" si="243"/>
        <v/>
      </c>
      <c r="E1330" s="953" t="str">
        <f t="shared" si="244"/>
        <v/>
      </c>
      <c r="F1330" s="953" t="str">
        <f t="shared" si="245"/>
        <v/>
      </c>
      <c r="G1330" s="953" t="str">
        <f t="shared" si="246"/>
        <v/>
      </c>
      <c r="H1330" s="953">
        <f t="shared" si="247"/>
        <v>0</v>
      </c>
      <c r="I1330" s="953">
        <f t="shared" si="248"/>
        <v>0</v>
      </c>
      <c r="J1330" s="953">
        <f t="shared" si="249"/>
        <v>0</v>
      </c>
      <c r="K1330" s="953" t="str">
        <f t="shared" si="250"/>
        <v/>
      </c>
      <c r="L1330" s="570" t="str">
        <f t="shared" si="251"/>
        <v/>
      </c>
      <c r="M1330" s="570" t="str">
        <f t="shared" si="252"/>
        <v/>
      </c>
    </row>
    <row r="1331" spans="1:13">
      <c r="A1331" s="570" t="str">
        <f t="shared" si="253"/>
        <v/>
      </c>
      <c r="C1331" s="953" t="str">
        <f t="shared" si="242"/>
        <v/>
      </c>
      <c r="D1331" s="953" t="str">
        <f t="shared" si="243"/>
        <v/>
      </c>
      <c r="E1331" s="953" t="str">
        <f t="shared" si="244"/>
        <v/>
      </c>
      <c r="F1331" s="953" t="str">
        <f t="shared" si="245"/>
        <v/>
      </c>
      <c r="G1331" s="953" t="str">
        <f t="shared" si="246"/>
        <v/>
      </c>
      <c r="H1331" s="953">
        <f t="shared" si="247"/>
        <v>0</v>
      </c>
      <c r="I1331" s="953">
        <f t="shared" si="248"/>
        <v>0</v>
      </c>
      <c r="J1331" s="953">
        <f t="shared" si="249"/>
        <v>0</v>
      </c>
      <c r="K1331" s="953" t="str">
        <f t="shared" si="250"/>
        <v/>
      </c>
      <c r="L1331" s="570" t="str">
        <f t="shared" si="251"/>
        <v/>
      </c>
      <c r="M1331" s="570" t="str">
        <f t="shared" si="252"/>
        <v/>
      </c>
    </row>
    <row r="1332" spans="1:13">
      <c r="A1332" s="570" t="str">
        <f t="shared" si="253"/>
        <v/>
      </c>
      <c r="C1332" s="953" t="str">
        <f t="shared" si="242"/>
        <v/>
      </c>
      <c r="D1332" s="953" t="str">
        <f t="shared" si="243"/>
        <v/>
      </c>
      <c r="E1332" s="953" t="str">
        <f t="shared" si="244"/>
        <v/>
      </c>
      <c r="F1332" s="953" t="str">
        <f t="shared" si="245"/>
        <v/>
      </c>
      <c r="G1332" s="953" t="str">
        <f t="shared" si="246"/>
        <v/>
      </c>
      <c r="H1332" s="953">
        <f t="shared" si="247"/>
        <v>0</v>
      </c>
      <c r="I1332" s="953">
        <f t="shared" si="248"/>
        <v>0</v>
      </c>
      <c r="J1332" s="953">
        <f t="shared" si="249"/>
        <v>0</v>
      </c>
      <c r="K1332" s="953" t="str">
        <f t="shared" si="250"/>
        <v/>
      </c>
      <c r="L1332" s="570" t="str">
        <f t="shared" si="251"/>
        <v/>
      </c>
      <c r="M1332" s="570" t="str">
        <f t="shared" si="252"/>
        <v/>
      </c>
    </row>
    <row r="1333" spans="1:13">
      <c r="A1333" s="570" t="str">
        <f t="shared" si="253"/>
        <v/>
      </c>
      <c r="C1333" s="953" t="str">
        <f t="shared" si="242"/>
        <v/>
      </c>
      <c r="D1333" s="953" t="str">
        <f t="shared" si="243"/>
        <v/>
      </c>
      <c r="E1333" s="953" t="str">
        <f t="shared" si="244"/>
        <v/>
      </c>
      <c r="F1333" s="953" t="str">
        <f t="shared" si="245"/>
        <v/>
      </c>
      <c r="G1333" s="953" t="str">
        <f t="shared" si="246"/>
        <v/>
      </c>
      <c r="H1333" s="953">
        <f t="shared" si="247"/>
        <v>0</v>
      </c>
      <c r="I1333" s="953">
        <f t="shared" si="248"/>
        <v>0</v>
      </c>
      <c r="J1333" s="953">
        <f t="shared" si="249"/>
        <v>0</v>
      </c>
      <c r="K1333" s="953" t="str">
        <f t="shared" si="250"/>
        <v/>
      </c>
      <c r="L1333" s="570" t="str">
        <f t="shared" si="251"/>
        <v/>
      </c>
      <c r="M1333" s="570" t="str">
        <f t="shared" si="252"/>
        <v/>
      </c>
    </row>
    <row r="1334" spans="1:13">
      <c r="A1334" s="570" t="str">
        <f t="shared" si="253"/>
        <v/>
      </c>
      <c r="C1334" s="953" t="str">
        <f t="shared" si="242"/>
        <v/>
      </c>
      <c r="D1334" s="953" t="str">
        <f t="shared" si="243"/>
        <v/>
      </c>
      <c r="E1334" s="953" t="str">
        <f t="shared" si="244"/>
        <v/>
      </c>
      <c r="F1334" s="953" t="str">
        <f t="shared" si="245"/>
        <v/>
      </c>
      <c r="G1334" s="953" t="str">
        <f t="shared" si="246"/>
        <v/>
      </c>
      <c r="H1334" s="953">
        <f t="shared" si="247"/>
        <v>0</v>
      </c>
      <c r="I1334" s="953">
        <f t="shared" si="248"/>
        <v>0</v>
      </c>
      <c r="J1334" s="953">
        <f t="shared" si="249"/>
        <v>0</v>
      </c>
      <c r="K1334" s="953" t="str">
        <f t="shared" si="250"/>
        <v/>
      </c>
      <c r="L1334" s="570" t="str">
        <f t="shared" si="251"/>
        <v/>
      </c>
      <c r="M1334" s="570" t="str">
        <f t="shared" si="252"/>
        <v/>
      </c>
    </row>
    <row r="1335" spans="1:13">
      <c r="A1335" s="570" t="str">
        <f t="shared" si="253"/>
        <v/>
      </c>
      <c r="C1335" s="953" t="str">
        <f t="shared" si="242"/>
        <v/>
      </c>
      <c r="D1335" s="953" t="str">
        <f t="shared" si="243"/>
        <v/>
      </c>
      <c r="E1335" s="953" t="str">
        <f t="shared" si="244"/>
        <v/>
      </c>
      <c r="F1335" s="953" t="str">
        <f t="shared" si="245"/>
        <v/>
      </c>
      <c r="G1335" s="953" t="str">
        <f t="shared" si="246"/>
        <v/>
      </c>
      <c r="H1335" s="953">
        <f t="shared" si="247"/>
        <v>0</v>
      </c>
      <c r="I1335" s="953">
        <f t="shared" si="248"/>
        <v>0</v>
      </c>
      <c r="J1335" s="953">
        <f t="shared" si="249"/>
        <v>0</v>
      </c>
      <c r="K1335" s="953" t="str">
        <f t="shared" si="250"/>
        <v/>
      </c>
      <c r="L1335" s="570" t="str">
        <f t="shared" si="251"/>
        <v/>
      </c>
      <c r="M1335" s="570" t="str">
        <f t="shared" si="252"/>
        <v/>
      </c>
    </row>
    <row r="1336" spans="1:13">
      <c r="A1336" s="570" t="str">
        <f t="shared" si="253"/>
        <v/>
      </c>
      <c r="C1336" s="953" t="str">
        <f t="shared" si="242"/>
        <v/>
      </c>
      <c r="D1336" s="953" t="str">
        <f t="shared" si="243"/>
        <v/>
      </c>
      <c r="E1336" s="953" t="str">
        <f t="shared" si="244"/>
        <v/>
      </c>
      <c r="F1336" s="953" t="str">
        <f t="shared" si="245"/>
        <v/>
      </c>
      <c r="G1336" s="953" t="str">
        <f t="shared" si="246"/>
        <v/>
      </c>
      <c r="H1336" s="953">
        <f t="shared" si="247"/>
        <v>0</v>
      </c>
      <c r="I1336" s="953">
        <f t="shared" si="248"/>
        <v>0</v>
      </c>
      <c r="J1336" s="953">
        <f t="shared" si="249"/>
        <v>0</v>
      </c>
      <c r="K1336" s="953" t="str">
        <f t="shared" si="250"/>
        <v/>
      </c>
      <c r="L1336" s="570" t="str">
        <f t="shared" si="251"/>
        <v/>
      </c>
      <c r="M1336" s="570" t="str">
        <f t="shared" si="252"/>
        <v/>
      </c>
    </row>
    <row r="1337" spans="1:13">
      <c r="A1337" s="570" t="str">
        <f t="shared" si="253"/>
        <v/>
      </c>
      <c r="C1337" s="953" t="str">
        <f t="shared" si="242"/>
        <v/>
      </c>
      <c r="D1337" s="953" t="str">
        <f t="shared" si="243"/>
        <v/>
      </c>
      <c r="E1337" s="953" t="str">
        <f t="shared" si="244"/>
        <v/>
      </c>
      <c r="F1337" s="953" t="str">
        <f t="shared" si="245"/>
        <v/>
      </c>
      <c r="G1337" s="953" t="str">
        <f t="shared" si="246"/>
        <v/>
      </c>
      <c r="H1337" s="953">
        <f t="shared" si="247"/>
        <v>0</v>
      </c>
      <c r="I1337" s="953">
        <f t="shared" si="248"/>
        <v>0</v>
      </c>
      <c r="J1337" s="953">
        <f t="shared" si="249"/>
        <v>0</v>
      </c>
      <c r="K1337" s="953" t="str">
        <f t="shared" si="250"/>
        <v/>
      </c>
      <c r="L1337" s="570" t="str">
        <f t="shared" si="251"/>
        <v/>
      </c>
      <c r="M1337" s="570" t="str">
        <f t="shared" si="252"/>
        <v/>
      </c>
    </row>
    <row r="1338" spans="1:13">
      <c r="A1338" s="570" t="str">
        <f t="shared" si="253"/>
        <v/>
      </c>
      <c r="C1338" s="953" t="str">
        <f t="shared" si="242"/>
        <v/>
      </c>
      <c r="D1338" s="953" t="str">
        <f t="shared" si="243"/>
        <v/>
      </c>
      <c r="E1338" s="953" t="str">
        <f t="shared" si="244"/>
        <v/>
      </c>
      <c r="F1338" s="953" t="str">
        <f t="shared" si="245"/>
        <v/>
      </c>
      <c r="G1338" s="953" t="str">
        <f t="shared" si="246"/>
        <v/>
      </c>
      <c r="H1338" s="953">
        <f t="shared" si="247"/>
        <v>0</v>
      </c>
      <c r="I1338" s="953">
        <f t="shared" si="248"/>
        <v>0</v>
      </c>
      <c r="J1338" s="953">
        <f t="shared" si="249"/>
        <v>0</v>
      </c>
      <c r="K1338" s="953" t="str">
        <f t="shared" si="250"/>
        <v/>
      </c>
      <c r="L1338" s="570" t="str">
        <f t="shared" si="251"/>
        <v/>
      </c>
      <c r="M1338" s="570" t="str">
        <f t="shared" si="252"/>
        <v/>
      </c>
    </row>
    <row r="1339" spans="1:13">
      <c r="A1339" s="570" t="str">
        <f t="shared" si="253"/>
        <v/>
      </c>
      <c r="C1339" s="953" t="str">
        <f t="shared" si="242"/>
        <v/>
      </c>
      <c r="D1339" s="953" t="str">
        <f t="shared" si="243"/>
        <v/>
      </c>
      <c r="E1339" s="953" t="str">
        <f t="shared" si="244"/>
        <v/>
      </c>
      <c r="F1339" s="953" t="str">
        <f t="shared" si="245"/>
        <v/>
      </c>
      <c r="G1339" s="953" t="str">
        <f t="shared" si="246"/>
        <v/>
      </c>
      <c r="H1339" s="953">
        <f t="shared" si="247"/>
        <v>0</v>
      </c>
      <c r="I1339" s="953">
        <f t="shared" si="248"/>
        <v>0</v>
      </c>
      <c r="J1339" s="953">
        <f t="shared" si="249"/>
        <v>0</v>
      </c>
      <c r="K1339" s="953" t="str">
        <f t="shared" si="250"/>
        <v/>
      </c>
      <c r="L1339" s="570" t="str">
        <f t="shared" si="251"/>
        <v/>
      </c>
      <c r="M1339" s="570" t="str">
        <f t="shared" si="252"/>
        <v/>
      </c>
    </row>
    <row r="1340" spans="1:13">
      <c r="A1340" s="570" t="str">
        <f t="shared" si="253"/>
        <v/>
      </c>
      <c r="C1340" s="953" t="str">
        <f t="shared" si="242"/>
        <v/>
      </c>
      <c r="D1340" s="953" t="str">
        <f t="shared" si="243"/>
        <v/>
      </c>
      <c r="E1340" s="953" t="str">
        <f t="shared" si="244"/>
        <v/>
      </c>
      <c r="F1340" s="953" t="str">
        <f t="shared" si="245"/>
        <v/>
      </c>
      <c r="G1340" s="953" t="str">
        <f t="shared" si="246"/>
        <v/>
      </c>
      <c r="H1340" s="953">
        <f t="shared" si="247"/>
        <v>0</v>
      </c>
      <c r="I1340" s="953">
        <f t="shared" si="248"/>
        <v>0</v>
      </c>
      <c r="J1340" s="953">
        <f t="shared" si="249"/>
        <v>0</v>
      </c>
      <c r="K1340" s="953" t="str">
        <f t="shared" si="250"/>
        <v/>
      </c>
      <c r="L1340" s="570" t="str">
        <f t="shared" si="251"/>
        <v/>
      </c>
      <c r="M1340" s="570" t="str">
        <f t="shared" si="252"/>
        <v/>
      </c>
    </row>
    <row r="1341" spans="1:13">
      <c r="A1341" s="570" t="str">
        <f t="shared" si="253"/>
        <v/>
      </c>
      <c r="C1341" s="953" t="str">
        <f t="shared" si="242"/>
        <v/>
      </c>
      <c r="D1341" s="953" t="str">
        <f t="shared" si="243"/>
        <v/>
      </c>
      <c r="E1341" s="953" t="str">
        <f t="shared" si="244"/>
        <v/>
      </c>
      <c r="F1341" s="953" t="str">
        <f t="shared" si="245"/>
        <v/>
      </c>
      <c r="G1341" s="953" t="str">
        <f t="shared" si="246"/>
        <v/>
      </c>
      <c r="H1341" s="953">
        <f t="shared" si="247"/>
        <v>0</v>
      </c>
      <c r="I1341" s="953">
        <f t="shared" si="248"/>
        <v>0</v>
      </c>
      <c r="J1341" s="953">
        <f t="shared" si="249"/>
        <v>0</v>
      </c>
      <c r="K1341" s="953" t="str">
        <f t="shared" si="250"/>
        <v/>
      </c>
      <c r="L1341" s="570" t="str">
        <f t="shared" si="251"/>
        <v/>
      </c>
      <c r="M1341" s="570" t="str">
        <f t="shared" si="252"/>
        <v/>
      </c>
    </row>
    <row r="1342" spans="1:13">
      <c r="A1342" s="570" t="str">
        <f t="shared" si="253"/>
        <v/>
      </c>
      <c r="C1342" s="953" t="str">
        <f t="shared" si="242"/>
        <v/>
      </c>
      <c r="D1342" s="953" t="str">
        <f t="shared" si="243"/>
        <v/>
      </c>
      <c r="E1342" s="953" t="str">
        <f t="shared" si="244"/>
        <v/>
      </c>
      <c r="F1342" s="953" t="str">
        <f t="shared" si="245"/>
        <v/>
      </c>
      <c r="G1342" s="953" t="str">
        <f t="shared" si="246"/>
        <v/>
      </c>
      <c r="H1342" s="953">
        <f t="shared" si="247"/>
        <v>0</v>
      </c>
      <c r="I1342" s="953">
        <f t="shared" si="248"/>
        <v>0</v>
      </c>
      <c r="J1342" s="953">
        <f t="shared" si="249"/>
        <v>0</v>
      </c>
      <c r="K1342" s="953" t="str">
        <f t="shared" si="250"/>
        <v/>
      </c>
      <c r="L1342" s="570" t="str">
        <f t="shared" si="251"/>
        <v/>
      </c>
      <c r="M1342" s="570" t="str">
        <f t="shared" si="252"/>
        <v/>
      </c>
    </row>
    <row r="1343" spans="1:13">
      <c r="A1343" s="570" t="str">
        <f t="shared" si="253"/>
        <v/>
      </c>
      <c r="C1343" s="953" t="str">
        <f t="shared" si="242"/>
        <v/>
      </c>
      <c r="D1343" s="953" t="str">
        <f t="shared" si="243"/>
        <v/>
      </c>
      <c r="E1343" s="953" t="str">
        <f t="shared" si="244"/>
        <v/>
      </c>
      <c r="F1343" s="953" t="str">
        <f t="shared" si="245"/>
        <v/>
      </c>
      <c r="G1343" s="953" t="str">
        <f t="shared" si="246"/>
        <v/>
      </c>
      <c r="H1343" s="953">
        <f t="shared" si="247"/>
        <v>0</v>
      </c>
      <c r="I1343" s="953">
        <f t="shared" si="248"/>
        <v>0</v>
      </c>
      <c r="J1343" s="953">
        <f t="shared" si="249"/>
        <v>0</v>
      </c>
      <c r="K1343" s="953" t="str">
        <f t="shared" si="250"/>
        <v/>
      </c>
      <c r="L1343" s="570" t="str">
        <f t="shared" si="251"/>
        <v/>
      </c>
      <c r="M1343" s="570" t="str">
        <f t="shared" si="252"/>
        <v/>
      </c>
    </row>
    <row r="1344" spans="1:13">
      <c r="A1344" s="570" t="str">
        <f t="shared" si="253"/>
        <v/>
      </c>
      <c r="C1344" s="953" t="str">
        <f t="shared" si="242"/>
        <v/>
      </c>
      <c r="D1344" s="953" t="str">
        <f t="shared" si="243"/>
        <v/>
      </c>
      <c r="E1344" s="953" t="str">
        <f t="shared" si="244"/>
        <v/>
      </c>
      <c r="F1344" s="953" t="str">
        <f t="shared" si="245"/>
        <v/>
      </c>
      <c r="G1344" s="953" t="str">
        <f t="shared" si="246"/>
        <v/>
      </c>
      <c r="H1344" s="953">
        <f t="shared" si="247"/>
        <v>0</v>
      </c>
      <c r="I1344" s="953">
        <f t="shared" si="248"/>
        <v>0</v>
      </c>
      <c r="J1344" s="953">
        <f t="shared" si="249"/>
        <v>0</v>
      </c>
      <c r="K1344" s="953" t="str">
        <f t="shared" si="250"/>
        <v/>
      </c>
      <c r="L1344" s="570" t="str">
        <f t="shared" si="251"/>
        <v/>
      </c>
      <c r="M1344" s="570" t="str">
        <f t="shared" si="252"/>
        <v/>
      </c>
    </row>
    <row r="1345" spans="1:13">
      <c r="A1345" s="570" t="str">
        <f t="shared" si="253"/>
        <v/>
      </c>
      <c r="C1345" s="953" t="str">
        <f t="shared" si="242"/>
        <v/>
      </c>
      <c r="D1345" s="953" t="str">
        <f t="shared" si="243"/>
        <v/>
      </c>
      <c r="E1345" s="953" t="str">
        <f t="shared" si="244"/>
        <v/>
      </c>
      <c r="F1345" s="953" t="str">
        <f t="shared" si="245"/>
        <v/>
      </c>
      <c r="G1345" s="953" t="str">
        <f t="shared" si="246"/>
        <v/>
      </c>
      <c r="H1345" s="953">
        <f t="shared" si="247"/>
        <v>0</v>
      </c>
      <c r="I1345" s="953">
        <f t="shared" si="248"/>
        <v>0</v>
      </c>
      <c r="J1345" s="953">
        <f t="shared" si="249"/>
        <v>0</v>
      </c>
      <c r="K1345" s="953" t="str">
        <f t="shared" si="250"/>
        <v/>
      </c>
      <c r="L1345" s="570" t="str">
        <f t="shared" si="251"/>
        <v/>
      </c>
      <c r="M1345" s="570" t="str">
        <f t="shared" si="252"/>
        <v/>
      </c>
    </row>
    <row r="1346" spans="1:13">
      <c r="A1346" s="570" t="str">
        <f t="shared" si="253"/>
        <v/>
      </c>
      <c r="C1346" s="953" t="str">
        <f t="shared" ref="C1346:C1409" si="254">IF(Etabs="Etabs 9.7.4",IF(INDEX(Mode_1,ROW($E1346),COLUMN(A$1))&lt;&gt;"",INDEX(Mode_1,ROW($E1346),COLUMN(A$1)),""),IF(Etabs="Etabs 2013 trở lên",IF(INDEX(Mode_2,ROW($E1348),COLUMN(A$1))&lt;&gt;"",INDEX(Mode_2,ROW($E1348),COLUMN(A$1)),""),""))</f>
        <v/>
      </c>
      <c r="D1346" s="953" t="str">
        <f t="shared" ref="D1346:D1409" si="255">IF(Etabs="Etabs 9.7.4",IF(INDEX(Mode_1,ROW($E1346),COLUMN(B$1))&lt;&gt;"",INDEX(Mode_1,ROW($E1346),COLUMN(B$1)),""),IF(Etabs="Etabs 2013 trở lên",IF(INDEX(Mode_2,ROW($E1348),COLUMN(B$1))&lt;&gt;"",INDEX(Mode_2,ROW($E1348),COLUMN(B$1)),""),""))</f>
        <v/>
      </c>
      <c r="E1346" s="953" t="str">
        <f t="shared" ref="E1346:E1409" si="256">IF(Etabs="Etabs 9.7.4",IF(INDEX(Mode_1,ROW($E1346),COLUMN(C$1))&lt;&gt;"",INDEX(Mode_1,ROW($E1346),COLUMN(C$1)),""),IF(Etabs="Etabs 2013 trở lên",$M1346,""))</f>
        <v/>
      </c>
      <c r="F1346" s="953" t="str">
        <f t="shared" ref="F1346:F1409" si="257">IF(Etabs="Etabs 9.7.4",IF(INDEX(Mode_1,ROW($E1346),COLUMN(D$1))&lt;&gt;"",INDEX(Mode_1,ROW($E1346),COLUMN(D$1)),""),IF(Etabs="Etabs 2013 trở lên",IF(INDEX(Mode_2,ROW($E1348),COLUMN(D$1))&lt;&gt;"",INDEX(Mode_2,ROW($E1348),COLUMN(D$1)),""),""))</f>
        <v/>
      </c>
      <c r="G1346" s="953" t="str">
        <f t="shared" ref="G1346:G1409" si="258">IF(Etabs="Etabs 9.7.4",IF(INDEX(Mode_1,ROW($E1346),COLUMN(E$1))&lt;&gt;"",INDEX(Mode_1,ROW($E1346),COLUMN(E$1)),""),IF(Etabs="Etabs 2013 trở lên",IF(INDEX(Mode_2,ROW($E1348),COLUMN(E$1))&lt;&gt;"",INDEX(Mode_2,ROW($E1348),COLUMN(E$1)),""),""))</f>
        <v/>
      </c>
      <c r="H1346" s="953">
        <f t="shared" ref="H1346:H1409" si="259">IF(Etabs="Etabs 9.7.4",IF(INDEX(Mode_1,ROW($E1346),COLUMN(F$1))&lt;&gt;"",INDEX(Mode_1,ROW($E1346),COLUMN(F$1)),""),IF(Etabs="Etabs 2013 trở lên",0,""))</f>
        <v>0</v>
      </c>
      <c r="I1346" s="953">
        <f t="shared" ref="I1346:I1409" si="260">IF(Etabs="Etabs 9.7.4",IF(INDEX(Mode_1,ROW($E1346),COLUMN(G$1))&lt;&gt;"",INDEX(Mode_1,ROW($E1346),COLUMN(G$1)),""),IF(Etabs="Etabs 2013 trở lên",0,""))</f>
        <v>0</v>
      </c>
      <c r="J1346" s="953">
        <f t="shared" ref="J1346:J1409" si="261">IF(Etabs="Etabs 9.7.4",IF(INDEX(Mode_1,ROW($E1346),COLUMN(H$1))&lt;&gt;"",INDEX(Mode_1,ROW($E1346),COLUMN(H$1)),""),IF(Etabs="Etabs 2013 trở lên",0,""))</f>
        <v>0</v>
      </c>
      <c r="K1346" s="953" t="str">
        <f t="shared" ref="K1346:K1409" si="262">IF(Etabs="Etabs 9.7.4",IF(INDEX(Mode_1,ROW($E1346),COLUMN(I$1))&lt;&gt;"",INDEX(Mode_1,ROW($E1346),COLUMN(I$1)),""),IF(Etabs="Etabs 2013 trở lên",IF(INDEX(Mode_2,ROW($E1348),COLUMN(F$1))&lt;&gt;"",INDEX(Mode_2,ROW($E1348),COLUMN(F$1)),""),""))</f>
        <v/>
      </c>
      <c r="L1346" s="570" t="str">
        <f t="shared" ref="L1346:L1409" si="263">IF(Etabs="Etabs 9.7.4",IF(INDEX(Mode_1,ROW($E1346),COLUMN(C$1))&lt;&gt;"",INDEX(Mode_1,ROW($E1346),COLUMN(C$1)),""),IF(Etabs="Etabs 2013 trở lên",IF(INDEX(Mode_2,ROW($E1348),COLUMN(C$1))&lt;&gt;"",INDEX(Mode_2,ROW($E1348),COLUMN(C$1)),""),""))</f>
        <v/>
      </c>
      <c r="M1346" s="570" t="str">
        <f t="shared" si="252"/>
        <v/>
      </c>
    </row>
    <row r="1347" spans="1:13">
      <c r="A1347" s="570" t="str">
        <f t="shared" si="253"/>
        <v/>
      </c>
      <c r="C1347" s="953" t="str">
        <f t="shared" si="254"/>
        <v/>
      </c>
      <c r="D1347" s="953" t="str">
        <f t="shared" si="255"/>
        <v/>
      </c>
      <c r="E1347" s="953" t="str">
        <f t="shared" si="256"/>
        <v/>
      </c>
      <c r="F1347" s="953" t="str">
        <f t="shared" si="257"/>
        <v/>
      </c>
      <c r="G1347" s="953" t="str">
        <f t="shared" si="258"/>
        <v/>
      </c>
      <c r="H1347" s="953">
        <f t="shared" si="259"/>
        <v>0</v>
      </c>
      <c r="I1347" s="953">
        <f t="shared" si="260"/>
        <v>0</v>
      </c>
      <c r="J1347" s="953">
        <f t="shared" si="261"/>
        <v>0</v>
      </c>
      <c r="K1347" s="953" t="str">
        <f t="shared" si="262"/>
        <v/>
      </c>
      <c r="L1347" s="570" t="str">
        <f t="shared" si="263"/>
        <v/>
      </c>
      <c r="M1347" s="570" t="str">
        <f t="shared" ref="M1347:M1410" si="264">IFERROR(VALUE(RIGHT(L1347,LEN(L1347)-6)),"")</f>
        <v/>
      </c>
    </row>
    <row r="1348" spans="1:13">
      <c r="A1348" s="570" t="str">
        <f t="shared" si="253"/>
        <v/>
      </c>
      <c r="C1348" s="953" t="str">
        <f t="shared" si="254"/>
        <v/>
      </c>
      <c r="D1348" s="953" t="str">
        <f t="shared" si="255"/>
        <v/>
      </c>
      <c r="E1348" s="953" t="str">
        <f t="shared" si="256"/>
        <v/>
      </c>
      <c r="F1348" s="953" t="str">
        <f t="shared" si="257"/>
        <v/>
      </c>
      <c r="G1348" s="953" t="str">
        <f t="shared" si="258"/>
        <v/>
      </c>
      <c r="H1348" s="953">
        <f t="shared" si="259"/>
        <v>0</v>
      </c>
      <c r="I1348" s="953">
        <f t="shared" si="260"/>
        <v>0</v>
      </c>
      <c r="J1348" s="953">
        <f t="shared" si="261"/>
        <v>0</v>
      </c>
      <c r="K1348" s="953" t="str">
        <f t="shared" si="262"/>
        <v/>
      </c>
      <c r="L1348" s="570" t="str">
        <f t="shared" si="263"/>
        <v/>
      </c>
      <c r="M1348" s="570" t="str">
        <f t="shared" si="264"/>
        <v/>
      </c>
    </row>
    <row r="1349" spans="1:13">
      <c r="A1349" s="570" t="str">
        <f t="shared" si="253"/>
        <v/>
      </c>
      <c r="C1349" s="953" t="str">
        <f t="shared" si="254"/>
        <v/>
      </c>
      <c r="D1349" s="953" t="str">
        <f t="shared" si="255"/>
        <v/>
      </c>
      <c r="E1349" s="953" t="str">
        <f t="shared" si="256"/>
        <v/>
      </c>
      <c r="F1349" s="953" t="str">
        <f t="shared" si="257"/>
        <v/>
      </c>
      <c r="G1349" s="953" t="str">
        <f t="shared" si="258"/>
        <v/>
      </c>
      <c r="H1349" s="953">
        <f t="shared" si="259"/>
        <v>0</v>
      </c>
      <c r="I1349" s="953">
        <f t="shared" si="260"/>
        <v>0</v>
      </c>
      <c r="J1349" s="953">
        <f t="shared" si="261"/>
        <v>0</v>
      </c>
      <c r="K1349" s="953" t="str">
        <f t="shared" si="262"/>
        <v/>
      </c>
      <c r="L1349" s="570" t="str">
        <f t="shared" si="263"/>
        <v/>
      </c>
      <c r="M1349" s="570" t="str">
        <f t="shared" si="264"/>
        <v/>
      </c>
    </row>
    <row r="1350" spans="1:13">
      <c r="A1350" s="570" t="str">
        <f t="shared" ref="A1350:A1413" si="265">C1350&amp;E1350</f>
        <v/>
      </c>
      <c r="C1350" s="953" t="str">
        <f t="shared" si="254"/>
        <v/>
      </c>
      <c r="D1350" s="953" t="str">
        <f t="shared" si="255"/>
        <v/>
      </c>
      <c r="E1350" s="953" t="str">
        <f t="shared" si="256"/>
        <v/>
      </c>
      <c r="F1350" s="953" t="str">
        <f t="shared" si="257"/>
        <v/>
      </c>
      <c r="G1350" s="953" t="str">
        <f t="shared" si="258"/>
        <v/>
      </c>
      <c r="H1350" s="953">
        <f t="shared" si="259"/>
        <v>0</v>
      </c>
      <c r="I1350" s="953">
        <f t="shared" si="260"/>
        <v>0</v>
      </c>
      <c r="J1350" s="953">
        <f t="shared" si="261"/>
        <v>0</v>
      </c>
      <c r="K1350" s="953" t="str">
        <f t="shared" si="262"/>
        <v/>
      </c>
      <c r="L1350" s="570" t="str">
        <f t="shared" si="263"/>
        <v/>
      </c>
      <c r="M1350" s="570" t="str">
        <f t="shared" si="264"/>
        <v/>
      </c>
    </row>
    <row r="1351" spans="1:13">
      <c r="A1351" s="570" t="str">
        <f t="shared" si="265"/>
        <v/>
      </c>
      <c r="C1351" s="953" t="str">
        <f t="shared" si="254"/>
        <v/>
      </c>
      <c r="D1351" s="953" t="str">
        <f t="shared" si="255"/>
        <v/>
      </c>
      <c r="E1351" s="953" t="str">
        <f t="shared" si="256"/>
        <v/>
      </c>
      <c r="F1351" s="953" t="str">
        <f t="shared" si="257"/>
        <v/>
      </c>
      <c r="G1351" s="953" t="str">
        <f t="shared" si="258"/>
        <v/>
      </c>
      <c r="H1351" s="953">
        <f t="shared" si="259"/>
        <v>0</v>
      </c>
      <c r="I1351" s="953">
        <f t="shared" si="260"/>
        <v>0</v>
      </c>
      <c r="J1351" s="953">
        <f t="shared" si="261"/>
        <v>0</v>
      </c>
      <c r="K1351" s="953" t="str">
        <f t="shared" si="262"/>
        <v/>
      </c>
      <c r="L1351" s="570" t="str">
        <f t="shared" si="263"/>
        <v/>
      </c>
      <c r="M1351" s="570" t="str">
        <f t="shared" si="264"/>
        <v/>
      </c>
    </row>
    <row r="1352" spans="1:13">
      <c r="A1352" s="570" t="str">
        <f t="shared" si="265"/>
        <v/>
      </c>
      <c r="C1352" s="953" t="str">
        <f t="shared" si="254"/>
        <v/>
      </c>
      <c r="D1352" s="953" t="str">
        <f t="shared" si="255"/>
        <v/>
      </c>
      <c r="E1352" s="953" t="str">
        <f t="shared" si="256"/>
        <v/>
      </c>
      <c r="F1352" s="953" t="str">
        <f t="shared" si="257"/>
        <v/>
      </c>
      <c r="G1352" s="953" t="str">
        <f t="shared" si="258"/>
        <v/>
      </c>
      <c r="H1352" s="953">
        <f t="shared" si="259"/>
        <v>0</v>
      </c>
      <c r="I1352" s="953">
        <f t="shared" si="260"/>
        <v>0</v>
      </c>
      <c r="J1352" s="953">
        <f t="shared" si="261"/>
        <v>0</v>
      </c>
      <c r="K1352" s="953" t="str">
        <f t="shared" si="262"/>
        <v/>
      </c>
      <c r="L1352" s="570" t="str">
        <f t="shared" si="263"/>
        <v/>
      </c>
      <c r="M1352" s="570" t="str">
        <f t="shared" si="264"/>
        <v/>
      </c>
    </row>
    <row r="1353" spans="1:13">
      <c r="A1353" s="570" t="str">
        <f t="shared" si="265"/>
        <v/>
      </c>
      <c r="C1353" s="953" t="str">
        <f t="shared" si="254"/>
        <v/>
      </c>
      <c r="D1353" s="953" t="str">
        <f t="shared" si="255"/>
        <v/>
      </c>
      <c r="E1353" s="953" t="str">
        <f t="shared" si="256"/>
        <v/>
      </c>
      <c r="F1353" s="953" t="str">
        <f t="shared" si="257"/>
        <v/>
      </c>
      <c r="G1353" s="953" t="str">
        <f t="shared" si="258"/>
        <v/>
      </c>
      <c r="H1353" s="953">
        <f t="shared" si="259"/>
        <v>0</v>
      </c>
      <c r="I1353" s="953">
        <f t="shared" si="260"/>
        <v>0</v>
      </c>
      <c r="J1353" s="953">
        <f t="shared" si="261"/>
        <v>0</v>
      </c>
      <c r="K1353" s="953" t="str">
        <f t="shared" si="262"/>
        <v/>
      </c>
      <c r="L1353" s="570" t="str">
        <f t="shared" si="263"/>
        <v/>
      </c>
      <c r="M1353" s="570" t="str">
        <f t="shared" si="264"/>
        <v/>
      </c>
    </row>
    <row r="1354" spans="1:13">
      <c r="A1354" s="570" t="str">
        <f t="shared" si="265"/>
        <v/>
      </c>
      <c r="C1354" s="953" t="str">
        <f t="shared" si="254"/>
        <v/>
      </c>
      <c r="D1354" s="953" t="str">
        <f t="shared" si="255"/>
        <v/>
      </c>
      <c r="E1354" s="953" t="str">
        <f t="shared" si="256"/>
        <v/>
      </c>
      <c r="F1354" s="953" t="str">
        <f t="shared" si="257"/>
        <v/>
      </c>
      <c r="G1354" s="953" t="str">
        <f t="shared" si="258"/>
        <v/>
      </c>
      <c r="H1354" s="953">
        <f t="shared" si="259"/>
        <v>0</v>
      </c>
      <c r="I1354" s="953">
        <f t="shared" si="260"/>
        <v>0</v>
      </c>
      <c r="J1354" s="953">
        <f t="shared" si="261"/>
        <v>0</v>
      </c>
      <c r="K1354" s="953" t="str">
        <f t="shared" si="262"/>
        <v/>
      </c>
      <c r="L1354" s="570" t="str">
        <f t="shared" si="263"/>
        <v/>
      </c>
      <c r="M1354" s="570" t="str">
        <f t="shared" si="264"/>
        <v/>
      </c>
    </row>
    <row r="1355" spans="1:13">
      <c r="A1355" s="570" t="str">
        <f t="shared" si="265"/>
        <v/>
      </c>
      <c r="C1355" s="953" t="str">
        <f t="shared" si="254"/>
        <v/>
      </c>
      <c r="D1355" s="953" t="str">
        <f t="shared" si="255"/>
        <v/>
      </c>
      <c r="E1355" s="953" t="str">
        <f t="shared" si="256"/>
        <v/>
      </c>
      <c r="F1355" s="953" t="str">
        <f t="shared" si="257"/>
        <v/>
      </c>
      <c r="G1355" s="953" t="str">
        <f t="shared" si="258"/>
        <v/>
      </c>
      <c r="H1355" s="953">
        <f t="shared" si="259"/>
        <v>0</v>
      </c>
      <c r="I1355" s="953">
        <f t="shared" si="260"/>
        <v>0</v>
      </c>
      <c r="J1355" s="953">
        <f t="shared" si="261"/>
        <v>0</v>
      </c>
      <c r="K1355" s="953" t="str">
        <f t="shared" si="262"/>
        <v/>
      </c>
      <c r="L1355" s="570" t="str">
        <f t="shared" si="263"/>
        <v/>
      </c>
      <c r="M1355" s="570" t="str">
        <f t="shared" si="264"/>
        <v/>
      </c>
    </row>
    <row r="1356" spans="1:13">
      <c r="A1356" s="570" t="str">
        <f t="shared" si="265"/>
        <v/>
      </c>
      <c r="C1356" s="953" t="str">
        <f t="shared" si="254"/>
        <v/>
      </c>
      <c r="D1356" s="953" t="str">
        <f t="shared" si="255"/>
        <v/>
      </c>
      <c r="E1356" s="953" t="str">
        <f t="shared" si="256"/>
        <v/>
      </c>
      <c r="F1356" s="953" t="str">
        <f t="shared" si="257"/>
        <v/>
      </c>
      <c r="G1356" s="953" t="str">
        <f t="shared" si="258"/>
        <v/>
      </c>
      <c r="H1356" s="953">
        <f t="shared" si="259"/>
        <v>0</v>
      </c>
      <c r="I1356" s="953">
        <f t="shared" si="260"/>
        <v>0</v>
      </c>
      <c r="J1356" s="953">
        <f t="shared" si="261"/>
        <v>0</v>
      </c>
      <c r="K1356" s="953" t="str">
        <f t="shared" si="262"/>
        <v/>
      </c>
      <c r="L1356" s="570" t="str">
        <f t="shared" si="263"/>
        <v/>
      </c>
      <c r="M1356" s="570" t="str">
        <f t="shared" si="264"/>
        <v/>
      </c>
    </row>
    <row r="1357" spans="1:13">
      <c r="A1357" s="570" t="str">
        <f t="shared" si="265"/>
        <v/>
      </c>
      <c r="C1357" s="953" t="str">
        <f t="shared" si="254"/>
        <v/>
      </c>
      <c r="D1357" s="953" t="str">
        <f t="shared" si="255"/>
        <v/>
      </c>
      <c r="E1357" s="953" t="str">
        <f t="shared" si="256"/>
        <v/>
      </c>
      <c r="F1357" s="953" t="str">
        <f t="shared" si="257"/>
        <v/>
      </c>
      <c r="G1357" s="953" t="str">
        <f t="shared" si="258"/>
        <v/>
      </c>
      <c r="H1357" s="953">
        <f t="shared" si="259"/>
        <v>0</v>
      </c>
      <c r="I1357" s="953">
        <f t="shared" si="260"/>
        <v>0</v>
      </c>
      <c r="J1357" s="953">
        <f t="shared" si="261"/>
        <v>0</v>
      </c>
      <c r="K1357" s="953" t="str">
        <f t="shared" si="262"/>
        <v/>
      </c>
      <c r="L1357" s="570" t="str">
        <f t="shared" si="263"/>
        <v/>
      </c>
      <c r="M1357" s="570" t="str">
        <f t="shared" si="264"/>
        <v/>
      </c>
    </row>
    <row r="1358" spans="1:13">
      <c r="A1358" s="570" t="str">
        <f t="shared" si="265"/>
        <v/>
      </c>
      <c r="C1358" s="953" t="str">
        <f t="shared" si="254"/>
        <v/>
      </c>
      <c r="D1358" s="953" t="str">
        <f t="shared" si="255"/>
        <v/>
      </c>
      <c r="E1358" s="953" t="str">
        <f t="shared" si="256"/>
        <v/>
      </c>
      <c r="F1358" s="953" t="str">
        <f t="shared" si="257"/>
        <v/>
      </c>
      <c r="G1358" s="953" t="str">
        <f t="shared" si="258"/>
        <v/>
      </c>
      <c r="H1358" s="953">
        <f t="shared" si="259"/>
        <v>0</v>
      </c>
      <c r="I1358" s="953">
        <f t="shared" si="260"/>
        <v>0</v>
      </c>
      <c r="J1358" s="953">
        <f t="shared" si="261"/>
        <v>0</v>
      </c>
      <c r="K1358" s="953" t="str">
        <f t="shared" si="262"/>
        <v/>
      </c>
      <c r="L1358" s="570" t="str">
        <f t="shared" si="263"/>
        <v/>
      </c>
      <c r="M1358" s="570" t="str">
        <f t="shared" si="264"/>
        <v/>
      </c>
    </row>
    <row r="1359" spans="1:13">
      <c r="A1359" s="570" t="str">
        <f t="shared" si="265"/>
        <v/>
      </c>
      <c r="C1359" s="953" t="str">
        <f t="shared" si="254"/>
        <v/>
      </c>
      <c r="D1359" s="953" t="str">
        <f t="shared" si="255"/>
        <v/>
      </c>
      <c r="E1359" s="953" t="str">
        <f t="shared" si="256"/>
        <v/>
      </c>
      <c r="F1359" s="953" t="str">
        <f t="shared" si="257"/>
        <v/>
      </c>
      <c r="G1359" s="953" t="str">
        <f t="shared" si="258"/>
        <v/>
      </c>
      <c r="H1359" s="953">
        <f t="shared" si="259"/>
        <v>0</v>
      </c>
      <c r="I1359" s="953">
        <f t="shared" si="260"/>
        <v>0</v>
      </c>
      <c r="J1359" s="953">
        <f t="shared" si="261"/>
        <v>0</v>
      </c>
      <c r="K1359" s="953" t="str">
        <f t="shared" si="262"/>
        <v/>
      </c>
      <c r="L1359" s="570" t="str">
        <f t="shared" si="263"/>
        <v/>
      </c>
      <c r="M1359" s="570" t="str">
        <f t="shared" si="264"/>
        <v/>
      </c>
    </row>
    <row r="1360" spans="1:13">
      <c r="A1360" s="570" t="str">
        <f t="shared" si="265"/>
        <v/>
      </c>
      <c r="C1360" s="953" t="str">
        <f t="shared" si="254"/>
        <v/>
      </c>
      <c r="D1360" s="953" t="str">
        <f t="shared" si="255"/>
        <v/>
      </c>
      <c r="E1360" s="953" t="str">
        <f t="shared" si="256"/>
        <v/>
      </c>
      <c r="F1360" s="953" t="str">
        <f t="shared" si="257"/>
        <v/>
      </c>
      <c r="G1360" s="953" t="str">
        <f t="shared" si="258"/>
        <v/>
      </c>
      <c r="H1360" s="953">
        <f t="shared" si="259"/>
        <v>0</v>
      </c>
      <c r="I1360" s="953">
        <f t="shared" si="260"/>
        <v>0</v>
      </c>
      <c r="J1360" s="953">
        <f t="shared" si="261"/>
        <v>0</v>
      </c>
      <c r="K1360" s="953" t="str">
        <f t="shared" si="262"/>
        <v/>
      </c>
      <c r="L1360" s="570" t="str">
        <f t="shared" si="263"/>
        <v/>
      </c>
      <c r="M1360" s="570" t="str">
        <f t="shared" si="264"/>
        <v/>
      </c>
    </row>
    <row r="1361" spans="1:13">
      <c r="A1361" s="570" t="str">
        <f t="shared" si="265"/>
        <v/>
      </c>
      <c r="C1361" s="953" t="str">
        <f t="shared" si="254"/>
        <v/>
      </c>
      <c r="D1361" s="953" t="str">
        <f t="shared" si="255"/>
        <v/>
      </c>
      <c r="E1361" s="953" t="str">
        <f t="shared" si="256"/>
        <v/>
      </c>
      <c r="F1361" s="953" t="str">
        <f t="shared" si="257"/>
        <v/>
      </c>
      <c r="G1361" s="953" t="str">
        <f t="shared" si="258"/>
        <v/>
      </c>
      <c r="H1361" s="953">
        <f t="shared" si="259"/>
        <v>0</v>
      </c>
      <c r="I1361" s="953">
        <f t="shared" si="260"/>
        <v>0</v>
      </c>
      <c r="J1361" s="953">
        <f t="shared" si="261"/>
        <v>0</v>
      </c>
      <c r="K1361" s="953" t="str">
        <f t="shared" si="262"/>
        <v/>
      </c>
      <c r="L1361" s="570" t="str">
        <f t="shared" si="263"/>
        <v/>
      </c>
      <c r="M1361" s="570" t="str">
        <f t="shared" si="264"/>
        <v/>
      </c>
    </row>
    <row r="1362" spans="1:13">
      <c r="A1362" s="570" t="str">
        <f t="shared" si="265"/>
        <v/>
      </c>
      <c r="C1362" s="953" t="str">
        <f t="shared" si="254"/>
        <v/>
      </c>
      <c r="D1362" s="953" t="str">
        <f t="shared" si="255"/>
        <v/>
      </c>
      <c r="E1362" s="953" t="str">
        <f t="shared" si="256"/>
        <v/>
      </c>
      <c r="F1362" s="953" t="str">
        <f t="shared" si="257"/>
        <v/>
      </c>
      <c r="G1362" s="953" t="str">
        <f t="shared" si="258"/>
        <v/>
      </c>
      <c r="H1362" s="953">
        <f t="shared" si="259"/>
        <v>0</v>
      </c>
      <c r="I1362" s="953">
        <f t="shared" si="260"/>
        <v>0</v>
      </c>
      <c r="J1362" s="953">
        <f t="shared" si="261"/>
        <v>0</v>
      </c>
      <c r="K1362" s="953" t="str">
        <f t="shared" si="262"/>
        <v/>
      </c>
      <c r="L1362" s="570" t="str">
        <f t="shared" si="263"/>
        <v/>
      </c>
      <c r="M1362" s="570" t="str">
        <f t="shared" si="264"/>
        <v/>
      </c>
    </row>
    <row r="1363" spans="1:13">
      <c r="A1363" s="570" t="str">
        <f t="shared" si="265"/>
        <v/>
      </c>
      <c r="C1363" s="953" t="str">
        <f t="shared" si="254"/>
        <v/>
      </c>
      <c r="D1363" s="953" t="str">
        <f t="shared" si="255"/>
        <v/>
      </c>
      <c r="E1363" s="953" t="str">
        <f t="shared" si="256"/>
        <v/>
      </c>
      <c r="F1363" s="953" t="str">
        <f t="shared" si="257"/>
        <v/>
      </c>
      <c r="G1363" s="953" t="str">
        <f t="shared" si="258"/>
        <v/>
      </c>
      <c r="H1363" s="953">
        <f t="shared" si="259"/>
        <v>0</v>
      </c>
      <c r="I1363" s="953">
        <f t="shared" si="260"/>
        <v>0</v>
      </c>
      <c r="J1363" s="953">
        <f t="shared" si="261"/>
        <v>0</v>
      </c>
      <c r="K1363" s="953" t="str">
        <f t="shared" si="262"/>
        <v/>
      </c>
      <c r="L1363" s="570" t="str">
        <f t="shared" si="263"/>
        <v/>
      </c>
      <c r="M1363" s="570" t="str">
        <f t="shared" si="264"/>
        <v/>
      </c>
    </row>
    <row r="1364" spans="1:13">
      <c r="A1364" s="570" t="str">
        <f t="shared" si="265"/>
        <v/>
      </c>
      <c r="C1364" s="953" t="str">
        <f t="shared" si="254"/>
        <v/>
      </c>
      <c r="D1364" s="953" t="str">
        <f t="shared" si="255"/>
        <v/>
      </c>
      <c r="E1364" s="953" t="str">
        <f t="shared" si="256"/>
        <v/>
      </c>
      <c r="F1364" s="953" t="str">
        <f t="shared" si="257"/>
        <v/>
      </c>
      <c r="G1364" s="953" t="str">
        <f t="shared" si="258"/>
        <v/>
      </c>
      <c r="H1364" s="953">
        <f t="shared" si="259"/>
        <v>0</v>
      </c>
      <c r="I1364" s="953">
        <f t="shared" si="260"/>
        <v>0</v>
      </c>
      <c r="J1364" s="953">
        <f t="shared" si="261"/>
        <v>0</v>
      </c>
      <c r="K1364" s="953" t="str">
        <f t="shared" si="262"/>
        <v/>
      </c>
      <c r="L1364" s="570" t="str">
        <f t="shared" si="263"/>
        <v/>
      </c>
      <c r="M1364" s="570" t="str">
        <f t="shared" si="264"/>
        <v/>
      </c>
    </row>
    <row r="1365" spans="1:13">
      <c r="A1365" s="570" t="str">
        <f t="shared" si="265"/>
        <v/>
      </c>
      <c r="C1365" s="953" t="str">
        <f t="shared" si="254"/>
        <v/>
      </c>
      <c r="D1365" s="953" t="str">
        <f t="shared" si="255"/>
        <v/>
      </c>
      <c r="E1365" s="953" t="str">
        <f t="shared" si="256"/>
        <v/>
      </c>
      <c r="F1365" s="953" t="str">
        <f t="shared" si="257"/>
        <v/>
      </c>
      <c r="G1365" s="953" t="str">
        <f t="shared" si="258"/>
        <v/>
      </c>
      <c r="H1365" s="953">
        <f t="shared" si="259"/>
        <v>0</v>
      </c>
      <c r="I1365" s="953">
        <f t="shared" si="260"/>
        <v>0</v>
      </c>
      <c r="J1365" s="953">
        <f t="shared" si="261"/>
        <v>0</v>
      </c>
      <c r="K1365" s="953" t="str">
        <f t="shared" si="262"/>
        <v/>
      </c>
      <c r="L1365" s="570" t="str">
        <f t="shared" si="263"/>
        <v/>
      </c>
      <c r="M1365" s="570" t="str">
        <f t="shared" si="264"/>
        <v/>
      </c>
    </row>
    <row r="1366" spans="1:13">
      <c r="A1366" s="570" t="str">
        <f t="shared" si="265"/>
        <v/>
      </c>
      <c r="C1366" s="953" t="str">
        <f t="shared" si="254"/>
        <v/>
      </c>
      <c r="D1366" s="953" t="str">
        <f t="shared" si="255"/>
        <v/>
      </c>
      <c r="E1366" s="953" t="str">
        <f t="shared" si="256"/>
        <v/>
      </c>
      <c r="F1366" s="953" t="str">
        <f t="shared" si="257"/>
        <v/>
      </c>
      <c r="G1366" s="953" t="str">
        <f t="shared" si="258"/>
        <v/>
      </c>
      <c r="H1366" s="953">
        <f t="shared" si="259"/>
        <v>0</v>
      </c>
      <c r="I1366" s="953">
        <f t="shared" si="260"/>
        <v>0</v>
      </c>
      <c r="J1366" s="953">
        <f t="shared" si="261"/>
        <v>0</v>
      </c>
      <c r="K1366" s="953" t="str">
        <f t="shared" si="262"/>
        <v/>
      </c>
      <c r="L1366" s="570" t="str">
        <f t="shared" si="263"/>
        <v/>
      </c>
      <c r="M1366" s="570" t="str">
        <f t="shared" si="264"/>
        <v/>
      </c>
    </row>
    <row r="1367" spans="1:13">
      <c r="A1367" s="570" t="str">
        <f t="shared" si="265"/>
        <v/>
      </c>
      <c r="C1367" s="953" t="str">
        <f t="shared" si="254"/>
        <v/>
      </c>
      <c r="D1367" s="953" t="str">
        <f t="shared" si="255"/>
        <v/>
      </c>
      <c r="E1367" s="953" t="str">
        <f t="shared" si="256"/>
        <v/>
      </c>
      <c r="F1367" s="953" t="str">
        <f t="shared" si="257"/>
        <v/>
      </c>
      <c r="G1367" s="953" t="str">
        <f t="shared" si="258"/>
        <v/>
      </c>
      <c r="H1367" s="953">
        <f t="shared" si="259"/>
        <v>0</v>
      </c>
      <c r="I1367" s="953">
        <f t="shared" si="260"/>
        <v>0</v>
      </c>
      <c r="J1367" s="953">
        <f t="shared" si="261"/>
        <v>0</v>
      </c>
      <c r="K1367" s="953" t="str">
        <f t="shared" si="262"/>
        <v/>
      </c>
      <c r="L1367" s="570" t="str">
        <f t="shared" si="263"/>
        <v/>
      </c>
      <c r="M1367" s="570" t="str">
        <f t="shared" si="264"/>
        <v/>
      </c>
    </row>
    <row r="1368" spans="1:13">
      <c r="A1368" s="570" t="str">
        <f t="shared" si="265"/>
        <v/>
      </c>
      <c r="C1368" s="953" t="str">
        <f t="shared" si="254"/>
        <v/>
      </c>
      <c r="D1368" s="953" t="str">
        <f t="shared" si="255"/>
        <v/>
      </c>
      <c r="E1368" s="953" t="str">
        <f t="shared" si="256"/>
        <v/>
      </c>
      <c r="F1368" s="953" t="str">
        <f t="shared" si="257"/>
        <v/>
      </c>
      <c r="G1368" s="953" t="str">
        <f t="shared" si="258"/>
        <v/>
      </c>
      <c r="H1368" s="953">
        <f t="shared" si="259"/>
        <v>0</v>
      </c>
      <c r="I1368" s="953">
        <f t="shared" si="260"/>
        <v>0</v>
      </c>
      <c r="J1368" s="953">
        <f t="shared" si="261"/>
        <v>0</v>
      </c>
      <c r="K1368" s="953" t="str">
        <f t="shared" si="262"/>
        <v/>
      </c>
      <c r="L1368" s="570" t="str">
        <f t="shared" si="263"/>
        <v/>
      </c>
      <c r="M1368" s="570" t="str">
        <f t="shared" si="264"/>
        <v/>
      </c>
    </row>
    <row r="1369" spans="1:13">
      <c r="A1369" s="570" t="str">
        <f t="shared" si="265"/>
        <v/>
      </c>
      <c r="C1369" s="953" t="str">
        <f t="shared" si="254"/>
        <v/>
      </c>
      <c r="D1369" s="953" t="str">
        <f t="shared" si="255"/>
        <v/>
      </c>
      <c r="E1369" s="953" t="str">
        <f t="shared" si="256"/>
        <v/>
      </c>
      <c r="F1369" s="953" t="str">
        <f t="shared" si="257"/>
        <v/>
      </c>
      <c r="G1369" s="953" t="str">
        <f t="shared" si="258"/>
        <v/>
      </c>
      <c r="H1369" s="953">
        <f t="shared" si="259"/>
        <v>0</v>
      </c>
      <c r="I1369" s="953">
        <f t="shared" si="260"/>
        <v>0</v>
      </c>
      <c r="J1369" s="953">
        <f t="shared" si="261"/>
        <v>0</v>
      </c>
      <c r="K1369" s="953" t="str">
        <f t="shared" si="262"/>
        <v/>
      </c>
      <c r="L1369" s="570" t="str">
        <f t="shared" si="263"/>
        <v/>
      </c>
      <c r="M1369" s="570" t="str">
        <f t="shared" si="264"/>
        <v/>
      </c>
    </row>
    <row r="1370" spans="1:13">
      <c r="A1370" s="570" t="str">
        <f t="shared" si="265"/>
        <v/>
      </c>
      <c r="C1370" s="953" t="str">
        <f t="shared" si="254"/>
        <v/>
      </c>
      <c r="D1370" s="953" t="str">
        <f t="shared" si="255"/>
        <v/>
      </c>
      <c r="E1370" s="953" t="str">
        <f t="shared" si="256"/>
        <v/>
      </c>
      <c r="F1370" s="953" t="str">
        <f t="shared" si="257"/>
        <v/>
      </c>
      <c r="G1370" s="953" t="str">
        <f t="shared" si="258"/>
        <v/>
      </c>
      <c r="H1370" s="953">
        <f t="shared" si="259"/>
        <v>0</v>
      </c>
      <c r="I1370" s="953">
        <f t="shared" si="260"/>
        <v>0</v>
      </c>
      <c r="J1370" s="953">
        <f t="shared" si="261"/>
        <v>0</v>
      </c>
      <c r="K1370" s="953" t="str">
        <f t="shared" si="262"/>
        <v/>
      </c>
      <c r="L1370" s="570" t="str">
        <f t="shared" si="263"/>
        <v/>
      </c>
      <c r="M1370" s="570" t="str">
        <f t="shared" si="264"/>
        <v/>
      </c>
    </row>
    <row r="1371" spans="1:13">
      <c r="A1371" s="570" t="str">
        <f t="shared" si="265"/>
        <v/>
      </c>
      <c r="C1371" s="953" t="str">
        <f t="shared" si="254"/>
        <v/>
      </c>
      <c r="D1371" s="953" t="str">
        <f t="shared" si="255"/>
        <v/>
      </c>
      <c r="E1371" s="953" t="str">
        <f t="shared" si="256"/>
        <v/>
      </c>
      <c r="F1371" s="953" t="str">
        <f t="shared" si="257"/>
        <v/>
      </c>
      <c r="G1371" s="953" t="str">
        <f t="shared" si="258"/>
        <v/>
      </c>
      <c r="H1371" s="953">
        <f t="shared" si="259"/>
        <v>0</v>
      </c>
      <c r="I1371" s="953">
        <f t="shared" si="260"/>
        <v>0</v>
      </c>
      <c r="J1371" s="953">
        <f t="shared" si="261"/>
        <v>0</v>
      </c>
      <c r="K1371" s="953" t="str">
        <f t="shared" si="262"/>
        <v/>
      </c>
      <c r="L1371" s="570" t="str">
        <f t="shared" si="263"/>
        <v/>
      </c>
      <c r="M1371" s="570" t="str">
        <f t="shared" si="264"/>
        <v/>
      </c>
    </row>
    <row r="1372" spans="1:13">
      <c r="A1372" s="570" t="str">
        <f t="shared" si="265"/>
        <v/>
      </c>
      <c r="C1372" s="953" t="str">
        <f t="shared" si="254"/>
        <v/>
      </c>
      <c r="D1372" s="953" t="str">
        <f t="shared" si="255"/>
        <v/>
      </c>
      <c r="E1372" s="953" t="str">
        <f t="shared" si="256"/>
        <v/>
      </c>
      <c r="F1372" s="953" t="str">
        <f t="shared" si="257"/>
        <v/>
      </c>
      <c r="G1372" s="953" t="str">
        <f t="shared" si="258"/>
        <v/>
      </c>
      <c r="H1372" s="953">
        <f t="shared" si="259"/>
        <v>0</v>
      </c>
      <c r="I1372" s="953">
        <f t="shared" si="260"/>
        <v>0</v>
      </c>
      <c r="J1372" s="953">
        <f t="shared" si="261"/>
        <v>0</v>
      </c>
      <c r="K1372" s="953" t="str">
        <f t="shared" si="262"/>
        <v/>
      </c>
      <c r="L1372" s="570" t="str">
        <f t="shared" si="263"/>
        <v/>
      </c>
      <c r="M1372" s="570" t="str">
        <f t="shared" si="264"/>
        <v/>
      </c>
    </row>
    <row r="1373" spans="1:13">
      <c r="A1373" s="570" t="str">
        <f t="shared" si="265"/>
        <v/>
      </c>
      <c r="C1373" s="953" t="str">
        <f t="shared" si="254"/>
        <v/>
      </c>
      <c r="D1373" s="953" t="str">
        <f t="shared" si="255"/>
        <v/>
      </c>
      <c r="E1373" s="953" t="str">
        <f t="shared" si="256"/>
        <v/>
      </c>
      <c r="F1373" s="953" t="str">
        <f t="shared" si="257"/>
        <v/>
      </c>
      <c r="G1373" s="953" t="str">
        <f t="shared" si="258"/>
        <v/>
      </c>
      <c r="H1373" s="953">
        <f t="shared" si="259"/>
        <v>0</v>
      </c>
      <c r="I1373" s="953">
        <f t="shared" si="260"/>
        <v>0</v>
      </c>
      <c r="J1373" s="953">
        <f t="shared" si="261"/>
        <v>0</v>
      </c>
      <c r="K1373" s="953" t="str">
        <f t="shared" si="262"/>
        <v/>
      </c>
      <c r="L1373" s="570" t="str">
        <f t="shared" si="263"/>
        <v/>
      </c>
      <c r="M1373" s="570" t="str">
        <f t="shared" si="264"/>
        <v/>
      </c>
    </row>
    <row r="1374" spans="1:13">
      <c r="A1374" s="570" t="str">
        <f t="shared" si="265"/>
        <v/>
      </c>
      <c r="C1374" s="953" t="str">
        <f t="shared" si="254"/>
        <v/>
      </c>
      <c r="D1374" s="953" t="str">
        <f t="shared" si="255"/>
        <v/>
      </c>
      <c r="E1374" s="953" t="str">
        <f t="shared" si="256"/>
        <v/>
      </c>
      <c r="F1374" s="953" t="str">
        <f t="shared" si="257"/>
        <v/>
      </c>
      <c r="G1374" s="953" t="str">
        <f t="shared" si="258"/>
        <v/>
      </c>
      <c r="H1374" s="953">
        <f t="shared" si="259"/>
        <v>0</v>
      </c>
      <c r="I1374" s="953">
        <f t="shared" si="260"/>
        <v>0</v>
      </c>
      <c r="J1374" s="953">
        <f t="shared" si="261"/>
        <v>0</v>
      </c>
      <c r="K1374" s="953" t="str">
        <f t="shared" si="262"/>
        <v/>
      </c>
      <c r="L1374" s="570" t="str">
        <f t="shared" si="263"/>
        <v/>
      </c>
      <c r="M1374" s="570" t="str">
        <f t="shared" si="264"/>
        <v/>
      </c>
    </row>
    <row r="1375" spans="1:13">
      <c r="A1375" s="570" t="str">
        <f t="shared" si="265"/>
        <v/>
      </c>
      <c r="C1375" s="953" t="str">
        <f t="shared" si="254"/>
        <v/>
      </c>
      <c r="D1375" s="953" t="str">
        <f t="shared" si="255"/>
        <v/>
      </c>
      <c r="E1375" s="953" t="str">
        <f t="shared" si="256"/>
        <v/>
      </c>
      <c r="F1375" s="953" t="str">
        <f t="shared" si="257"/>
        <v/>
      </c>
      <c r="G1375" s="953" t="str">
        <f t="shared" si="258"/>
        <v/>
      </c>
      <c r="H1375" s="953">
        <f t="shared" si="259"/>
        <v>0</v>
      </c>
      <c r="I1375" s="953">
        <f t="shared" si="260"/>
        <v>0</v>
      </c>
      <c r="J1375" s="953">
        <f t="shared" si="261"/>
        <v>0</v>
      </c>
      <c r="K1375" s="953" t="str">
        <f t="shared" si="262"/>
        <v/>
      </c>
      <c r="L1375" s="570" t="str">
        <f t="shared" si="263"/>
        <v/>
      </c>
      <c r="M1375" s="570" t="str">
        <f t="shared" si="264"/>
        <v/>
      </c>
    </row>
    <row r="1376" spans="1:13">
      <c r="A1376" s="570" t="str">
        <f t="shared" si="265"/>
        <v/>
      </c>
      <c r="C1376" s="953" t="str">
        <f t="shared" si="254"/>
        <v/>
      </c>
      <c r="D1376" s="953" t="str">
        <f t="shared" si="255"/>
        <v/>
      </c>
      <c r="E1376" s="953" t="str">
        <f t="shared" si="256"/>
        <v/>
      </c>
      <c r="F1376" s="953" t="str">
        <f t="shared" si="257"/>
        <v/>
      </c>
      <c r="G1376" s="953" t="str">
        <f t="shared" si="258"/>
        <v/>
      </c>
      <c r="H1376" s="953">
        <f t="shared" si="259"/>
        <v>0</v>
      </c>
      <c r="I1376" s="953">
        <f t="shared" si="260"/>
        <v>0</v>
      </c>
      <c r="J1376" s="953">
        <f t="shared" si="261"/>
        <v>0</v>
      </c>
      <c r="K1376" s="953" t="str">
        <f t="shared" si="262"/>
        <v/>
      </c>
      <c r="L1376" s="570" t="str">
        <f t="shared" si="263"/>
        <v/>
      </c>
      <c r="M1376" s="570" t="str">
        <f t="shared" si="264"/>
        <v/>
      </c>
    </row>
    <row r="1377" spans="1:13">
      <c r="A1377" s="570" t="str">
        <f t="shared" si="265"/>
        <v/>
      </c>
      <c r="C1377" s="953" t="str">
        <f t="shared" si="254"/>
        <v/>
      </c>
      <c r="D1377" s="953" t="str">
        <f t="shared" si="255"/>
        <v/>
      </c>
      <c r="E1377" s="953" t="str">
        <f t="shared" si="256"/>
        <v/>
      </c>
      <c r="F1377" s="953" t="str">
        <f t="shared" si="257"/>
        <v/>
      </c>
      <c r="G1377" s="953" t="str">
        <f t="shared" si="258"/>
        <v/>
      </c>
      <c r="H1377" s="953">
        <f t="shared" si="259"/>
        <v>0</v>
      </c>
      <c r="I1377" s="953">
        <f t="shared" si="260"/>
        <v>0</v>
      </c>
      <c r="J1377" s="953">
        <f t="shared" si="261"/>
        <v>0</v>
      </c>
      <c r="K1377" s="953" t="str">
        <f t="shared" si="262"/>
        <v/>
      </c>
      <c r="L1377" s="570" t="str">
        <f t="shared" si="263"/>
        <v/>
      </c>
      <c r="M1377" s="570" t="str">
        <f t="shared" si="264"/>
        <v/>
      </c>
    </row>
    <row r="1378" spans="1:13">
      <c r="A1378" s="570" t="str">
        <f t="shared" si="265"/>
        <v/>
      </c>
      <c r="C1378" s="953" t="str">
        <f t="shared" si="254"/>
        <v/>
      </c>
      <c r="D1378" s="953" t="str">
        <f t="shared" si="255"/>
        <v/>
      </c>
      <c r="E1378" s="953" t="str">
        <f t="shared" si="256"/>
        <v/>
      </c>
      <c r="F1378" s="953" t="str">
        <f t="shared" si="257"/>
        <v/>
      </c>
      <c r="G1378" s="953" t="str">
        <f t="shared" si="258"/>
        <v/>
      </c>
      <c r="H1378" s="953">
        <f t="shared" si="259"/>
        <v>0</v>
      </c>
      <c r="I1378" s="953">
        <f t="shared" si="260"/>
        <v>0</v>
      </c>
      <c r="J1378" s="953">
        <f t="shared" si="261"/>
        <v>0</v>
      </c>
      <c r="K1378" s="953" t="str">
        <f t="shared" si="262"/>
        <v/>
      </c>
      <c r="L1378" s="570" t="str">
        <f t="shared" si="263"/>
        <v/>
      </c>
      <c r="M1378" s="570" t="str">
        <f t="shared" si="264"/>
        <v/>
      </c>
    </row>
    <row r="1379" spans="1:13">
      <c r="A1379" s="570" t="str">
        <f t="shared" si="265"/>
        <v/>
      </c>
      <c r="C1379" s="953" t="str">
        <f t="shared" si="254"/>
        <v/>
      </c>
      <c r="D1379" s="953" t="str">
        <f t="shared" si="255"/>
        <v/>
      </c>
      <c r="E1379" s="953" t="str">
        <f t="shared" si="256"/>
        <v/>
      </c>
      <c r="F1379" s="953" t="str">
        <f t="shared" si="257"/>
        <v/>
      </c>
      <c r="G1379" s="953" t="str">
        <f t="shared" si="258"/>
        <v/>
      </c>
      <c r="H1379" s="953">
        <f t="shared" si="259"/>
        <v>0</v>
      </c>
      <c r="I1379" s="953">
        <f t="shared" si="260"/>
        <v>0</v>
      </c>
      <c r="J1379" s="953">
        <f t="shared" si="261"/>
        <v>0</v>
      </c>
      <c r="K1379" s="953" t="str">
        <f t="shared" si="262"/>
        <v/>
      </c>
      <c r="L1379" s="570" t="str">
        <f t="shared" si="263"/>
        <v/>
      </c>
      <c r="M1379" s="570" t="str">
        <f t="shared" si="264"/>
        <v/>
      </c>
    </row>
    <row r="1380" spans="1:13">
      <c r="A1380" s="570" t="str">
        <f t="shared" si="265"/>
        <v/>
      </c>
      <c r="C1380" s="953" t="str">
        <f t="shared" si="254"/>
        <v/>
      </c>
      <c r="D1380" s="953" t="str">
        <f t="shared" si="255"/>
        <v/>
      </c>
      <c r="E1380" s="953" t="str">
        <f t="shared" si="256"/>
        <v/>
      </c>
      <c r="F1380" s="953" t="str">
        <f t="shared" si="257"/>
        <v/>
      </c>
      <c r="G1380" s="953" t="str">
        <f t="shared" si="258"/>
        <v/>
      </c>
      <c r="H1380" s="953">
        <f t="shared" si="259"/>
        <v>0</v>
      </c>
      <c r="I1380" s="953">
        <f t="shared" si="260"/>
        <v>0</v>
      </c>
      <c r="J1380" s="953">
        <f t="shared" si="261"/>
        <v>0</v>
      </c>
      <c r="K1380" s="953" t="str">
        <f t="shared" si="262"/>
        <v/>
      </c>
      <c r="L1380" s="570" t="str">
        <f t="shared" si="263"/>
        <v/>
      </c>
      <c r="M1380" s="570" t="str">
        <f t="shared" si="264"/>
        <v/>
      </c>
    </row>
    <row r="1381" spans="1:13">
      <c r="A1381" s="570" t="str">
        <f t="shared" si="265"/>
        <v/>
      </c>
      <c r="C1381" s="953" t="str">
        <f t="shared" si="254"/>
        <v/>
      </c>
      <c r="D1381" s="953" t="str">
        <f t="shared" si="255"/>
        <v/>
      </c>
      <c r="E1381" s="953" t="str">
        <f t="shared" si="256"/>
        <v/>
      </c>
      <c r="F1381" s="953" t="str">
        <f t="shared" si="257"/>
        <v/>
      </c>
      <c r="G1381" s="953" t="str">
        <f t="shared" si="258"/>
        <v/>
      </c>
      <c r="H1381" s="953">
        <f t="shared" si="259"/>
        <v>0</v>
      </c>
      <c r="I1381" s="953">
        <f t="shared" si="260"/>
        <v>0</v>
      </c>
      <c r="J1381" s="953">
        <f t="shared" si="261"/>
        <v>0</v>
      </c>
      <c r="K1381" s="953" t="str">
        <f t="shared" si="262"/>
        <v/>
      </c>
      <c r="L1381" s="570" t="str">
        <f t="shared" si="263"/>
        <v/>
      </c>
      <c r="M1381" s="570" t="str">
        <f t="shared" si="264"/>
        <v/>
      </c>
    </row>
    <row r="1382" spans="1:13">
      <c r="A1382" s="570" t="str">
        <f t="shared" si="265"/>
        <v/>
      </c>
      <c r="C1382" s="953" t="str">
        <f t="shared" si="254"/>
        <v/>
      </c>
      <c r="D1382" s="953" t="str">
        <f t="shared" si="255"/>
        <v/>
      </c>
      <c r="E1382" s="953" t="str">
        <f t="shared" si="256"/>
        <v/>
      </c>
      <c r="F1382" s="953" t="str">
        <f t="shared" si="257"/>
        <v/>
      </c>
      <c r="G1382" s="953" t="str">
        <f t="shared" si="258"/>
        <v/>
      </c>
      <c r="H1382" s="953">
        <f t="shared" si="259"/>
        <v>0</v>
      </c>
      <c r="I1382" s="953">
        <f t="shared" si="260"/>
        <v>0</v>
      </c>
      <c r="J1382" s="953">
        <f t="shared" si="261"/>
        <v>0</v>
      </c>
      <c r="K1382" s="953" t="str">
        <f t="shared" si="262"/>
        <v/>
      </c>
      <c r="L1382" s="570" t="str">
        <f t="shared" si="263"/>
        <v/>
      </c>
      <c r="M1382" s="570" t="str">
        <f t="shared" si="264"/>
        <v/>
      </c>
    </row>
    <row r="1383" spans="1:13">
      <c r="A1383" s="570" t="str">
        <f t="shared" si="265"/>
        <v/>
      </c>
      <c r="C1383" s="953" t="str">
        <f t="shared" si="254"/>
        <v/>
      </c>
      <c r="D1383" s="953" t="str">
        <f t="shared" si="255"/>
        <v/>
      </c>
      <c r="E1383" s="953" t="str">
        <f t="shared" si="256"/>
        <v/>
      </c>
      <c r="F1383" s="953" t="str">
        <f t="shared" si="257"/>
        <v/>
      </c>
      <c r="G1383" s="953" t="str">
        <f t="shared" si="258"/>
        <v/>
      </c>
      <c r="H1383" s="953">
        <f t="shared" si="259"/>
        <v>0</v>
      </c>
      <c r="I1383" s="953">
        <f t="shared" si="260"/>
        <v>0</v>
      </c>
      <c r="J1383" s="953">
        <f t="shared" si="261"/>
        <v>0</v>
      </c>
      <c r="K1383" s="953" t="str">
        <f t="shared" si="262"/>
        <v/>
      </c>
      <c r="L1383" s="570" t="str">
        <f t="shared" si="263"/>
        <v/>
      </c>
      <c r="M1383" s="570" t="str">
        <f t="shared" si="264"/>
        <v/>
      </c>
    </row>
    <row r="1384" spans="1:13">
      <c r="A1384" s="570" t="str">
        <f t="shared" si="265"/>
        <v/>
      </c>
      <c r="C1384" s="953" t="str">
        <f t="shared" si="254"/>
        <v/>
      </c>
      <c r="D1384" s="953" t="str">
        <f t="shared" si="255"/>
        <v/>
      </c>
      <c r="E1384" s="953" t="str">
        <f t="shared" si="256"/>
        <v/>
      </c>
      <c r="F1384" s="953" t="str">
        <f t="shared" si="257"/>
        <v/>
      </c>
      <c r="G1384" s="953" t="str">
        <f t="shared" si="258"/>
        <v/>
      </c>
      <c r="H1384" s="953">
        <f t="shared" si="259"/>
        <v>0</v>
      </c>
      <c r="I1384" s="953">
        <f t="shared" si="260"/>
        <v>0</v>
      </c>
      <c r="J1384" s="953">
        <f t="shared" si="261"/>
        <v>0</v>
      </c>
      <c r="K1384" s="953" t="str">
        <f t="shared" si="262"/>
        <v/>
      </c>
      <c r="L1384" s="570" t="str">
        <f t="shared" si="263"/>
        <v/>
      </c>
      <c r="M1384" s="570" t="str">
        <f t="shared" si="264"/>
        <v/>
      </c>
    </row>
    <row r="1385" spans="1:13">
      <c r="A1385" s="570" t="str">
        <f t="shared" si="265"/>
        <v/>
      </c>
      <c r="C1385" s="953" t="str">
        <f t="shared" si="254"/>
        <v/>
      </c>
      <c r="D1385" s="953" t="str">
        <f t="shared" si="255"/>
        <v/>
      </c>
      <c r="E1385" s="953" t="str">
        <f t="shared" si="256"/>
        <v/>
      </c>
      <c r="F1385" s="953" t="str">
        <f t="shared" si="257"/>
        <v/>
      </c>
      <c r="G1385" s="953" t="str">
        <f t="shared" si="258"/>
        <v/>
      </c>
      <c r="H1385" s="953">
        <f t="shared" si="259"/>
        <v>0</v>
      </c>
      <c r="I1385" s="953">
        <f t="shared" si="260"/>
        <v>0</v>
      </c>
      <c r="J1385" s="953">
        <f t="shared" si="261"/>
        <v>0</v>
      </c>
      <c r="K1385" s="953" t="str">
        <f t="shared" si="262"/>
        <v/>
      </c>
      <c r="L1385" s="570" t="str">
        <f t="shared" si="263"/>
        <v/>
      </c>
      <c r="M1385" s="570" t="str">
        <f t="shared" si="264"/>
        <v/>
      </c>
    </row>
    <row r="1386" spans="1:13">
      <c r="A1386" s="570" t="str">
        <f t="shared" si="265"/>
        <v/>
      </c>
      <c r="C1386" s="953" t="str">
        <f t="shared" si="254"/>
        <v/>
      </c>
      <c r="D1386" s="953" t="str">
        <f t="shared" si="255"/>
        <v/>
      </c>
      <c r="E1386" s="953" t="str">
        <f t="shared" si="256"/>
        <v/>
      </c>
      <c r="F1386" s="953" t="str">
        <f t="shared" si="257"/>
        <v/>
      </c>
      <c r="G1386" s="953" t="str">
        <f t="shared" si="258"/>
        <v/>
      </c>
      <c r="H1386" s="953">
        <f t="shared" si="259"/>
        <v>0</v>
      </c>
      <c r="I1386" s="953">
        <f t="shared" si="260"/>
        <v>0</v>
      </c>
      <c r="J1386" s="953">
        <f t="shared" si="261"/>
        <v>0</v>
      </c>
      <c r="K1386" s="953" t="str">
        <f t="shared" si="262"/>
        <v/>
      </c>
      <c r="L1386" s="570" t="str">
        <f t="shared" si="263"/>
        <v/>
      </c>
      <c r="M1386" s="570" t="str">
        <f t="shared" si="264"/>
        <v/>
      </c>
    </row>
    <row r="1387" spans="1:13">
      <c r="A1387" s="570" t="str">
        <f t="shared" si="265"/>
        <v/>
      </c>
      <c r="C1387" s="953" t="str">
        <f t="shared" si="254"/>
        <v/>
      </c>
      <c r="D1387" s="953" t="str">
        <f t="shared" si="255"/>
        <v/>
      </c>
      <c r="E1387" s="953" t="str">
        <f t="shared" si="256"/>
        <v/>
      </c>
      <c r="F1387" s="953" t="str">
        <f t="shared" si="257"/>
        <v/>
      </c>
      <c r="G1387" s="953" t="str">
        <f t="shared" si="258"/>
        <v/>
      </c>
      <c r="H1387" s="953">
        <f t="shared" si="259"/>
        <v>0</v>
      </c>
      <c r="I1387" s="953">
        <f t="shared" si="260"/>
        <v>0</v>
      </c>
      <c r="J1387" s="953">
        <f t="shared" si="261"/>
        <v>0</v>
      </c>
      <c r="K1387" s="953" t="str">
        <f t="shared" si="262"/>
        <v/>
      </c>
      <c r="L1387" s="570" t="str">
        <f t="shared" si="263"/>
        <v/>
      </c>
      <c r="M1387" s="570" t="str">
        <f t="shared" si="264"/>
        <v/>
      </c>
    </row>
    <row r="1388" spans="1:13">
      <c r="A1388" s="570" t="str">
        <f t="shared" si="265"/>
        <v/>
      </c>
      <c r="C1388" s="953" t="str">
        <f t="shared" si="254"/>
        <v/>
      </c>
      <c r="D1388" s="953" t="str">
        <f t="shared" si="255"/>
        <v/>
      </c>
      <c r="E1388" s="953" t="str">
        <f t="shared" si="256"/>
        <v/>
      </c>
      <c r="F1388" s="953" t="str">
        <f t="shared" si="257"/>
        <v/>
      </c>
      <c r="G1388" s="953" t="str">
        <f t="shared" si="258"/>
        <v/>
      </c>
      <c r="H1388" s="953">
        <f t="shared" si="259"/>
        <v>0</v>
      </c>
      <c r="I1388" s="953">
        <f t="shared" si="260"/>
        <v>0</v>
      </c>
      <c r="J1388" s="953">
        <f t="shared" si="261"/>
        <v>0</v>
      </c>
      <c r="K1388" s="953" t="str">
        <f t="shared" si="262"/>
        <v/>
      </c>
      <c r="L1388" s="570" t="str">
        <f t="shared" si="263"/>
        <v/>
      </c>
      <c r="M1388" s="570" t="str">
        <f t="shared" si="264"/>
        <v/>
      </c>
    </row>
    <row r="1389" spans="1:13">
      <c r="A1389" s="570" t="str">
        <f t="shared" si="265"/>
        <v/>
      </c>
      <c r="C1389" s="953" t="str">
        <f t="shared" si="254"/>
        <v/>
      </c>
      <c r="D1389" s="953" t="str">
        <f t="shared" si="255"/>
        <v/>
      </c>
      <c r="E1389" s="953" t="str">
        <f t="shared" si="256"/>
        <v/>
      </c>
      <c r="F1389" s="953" t="str">
        <f t="shared" si="257"/>
        <v/>
      </c>
      <c r="G1389" s="953" t="str">
        <f t="shared" si="258"/>
        <v/>
      </c>
      <c r="H1389" s="953">
        <f t="shared" si="259"/>
        <v>0</v>
      </c>
      <c r="I1389" s="953">
        <f t="shared" si="260"/>
        <v>0</v>
      </c>
      <c r="J1389" s="953">
        <f t="shared" si="261"/>
        <v>0</v>
      </c>
      <c r="K1389" s="953" t="str">
        <f t="shared" si="262"/>
        <v/>
      </c>
      <c r="L1389" s="570" t="str">
        <f t="shared" si="263"/>
        <v/>
      </c>
      <c r="M1389" s="570" t="str">
        <f t="shared" si="264"/>
        <v/>
      </c>
    </row>
    <row r="1390" spans="1:13">
      <c r="A1390" s="570" t="str">
        <f t="shared" si="265"/>
        <v/>
      </c>
      <c r="C1390" s="953" t="str">
        <f t="shared" si="254"/>
        <v/>
      </c>
      <c r="D1390" s="953" t="str">
        <f t="shared" si="255"/>
        <v/>
      </c>
      <c r="E1390" s="953" t="str">
        <f t="shared" si="256"/>
        <v/>
      </c>
      <c r="F1390" s="953" t="str">
        <f t="shared" si="257"/>
        <v/>
      </c>
      <c r="G1390" s="953" t="str">
        <f t="shared" si="258"/>
        <v/>
      </c>
      <c r="H1390" s="953">
        <f t="shared" si="259"/>
        <v>0</v>
      </c>
      <c r="I1390" s="953">
        <f t="shared" si="260"/>
        <v>0</v>
      </c>
      <c r="J1390" s="953">
        <f t="shared" si="261"/>
        <v>0</v>
      </c>
      <c r="K1390" s="953" t="str">
        <f t="shared" si="262"/>
        <v/>
      </c>
      <c r="L1390" s="570" t="str">
        <f t="shared" si="263"/>
        <v/>
      </c>
      <c r="M1390" s="570" t="str">
        <f t="shared" si="264"/>
        <v/>
      </c>
    </row>
    <row r="1391" spans="1:13">
      <c r="A1391" s="570" t="str">
        <f t="shared" si="265"/>
        <v/>
      </c>
      <c r="C1391" s="953" t="str">
        <f t="shared" si="254"/>
        <v/>
      </c>
      <c r="D1391" s="953" t="str">
        <f t="shared" si="255"/>
        <v/>
      </c>
      <c r="E1391" s="953" t="str">
        <f t="shared" si="256"/>
        <v/>
      </c>
      <c r="F1391" s="953" t="str">
        <f t="shared" si="257"/>
        <v/>
      </c>
      <c r="G1391" s="953" t="str">
        <f t="shared" si="258"/>
        <v/>
      </c>
      <c r="H1391" s="953">
        <f t="shared" si="259"/>
        <v>0</v>
      </c>
      <c r="I1391" s="953">
        <f t="shared" si="260"/>
        <v>0</v>
      </c>
      <c r="J1391" s="953">
        <f t="shared" si="261"/>
        <v>0</v>
      </c>
      <c r="K1391" s="953" t="str">
        <f t="shared" si="262"/>
        <v/>
      </c>
      <c r="L1391" s="570" t="str">
        <f t="shared" si="263"/>
        <v/>
      </c>
      <c r="M1391" s="570" t="str">
        <f t="shared" si="264"/>
        <v/>
      </c>
    </row>
    <row r="1392" spans="1:13">
      <c r="A1392" s="570" t="str">
        <f t="shared" si="265"/>
        <v/>
      </c>
      <c r="C1392" s="953" t="str">
        <f t="shared" si="254"/>
        <v/>
      </c>
      <c r="D1392" s="953" t="str">
        <f t="shared" si="255"/>
        <v/>
      </c>
      <c r="E1392" s="953" t="str">
        <f t="shared" si="256"/>
        <v/>
      </c>
      <c r="F1392" s="953" t="str">
        <f t="shared" si="257"/>
        <v/>
      </c>
      <c r="G1392" s="953" t="str">
        <f t="shared" si="258"/>
        <v/>
      </c>
      <c r="H1392" s="953">
        <f t="shared" si="259"/>
        <v>0</v>
      </c>
      <c r="I1392" s="953">
        <f t="shared" si="260"/>
        <v>0</v>
      </c>
      <c r="J1392" s="953">
        <f t="shared" si="261"/>
        <v>0</v>
      </c>
      <c r="K1392" s="953" t="str">
        <f t="shared" si="262"/>
        <v/>
      </c>
      <c r="L1392" s="570" t="str">
        <f t="shared" si="263"/>
        <v/>
      </c>
      <c r="M1392" s="570" t="str">
        <f t="shared" si="264"/>
        <v/>
      </c>
    </row>
    <row r="1393" spans="1:13">
      <c r="A1393" s="570" t="str">
        <f t="shared" si="265"/>
        <v/>
      </c>
      <c r="C1393" s="953" t="str">
        <f t="shared" si="254"/>
        <v/>
      </c>
      <c r="D1393" s="953" t="str">
        <f t="shared" si="255"/>
        <v/>
      </c>
      <c r="E1393" s="953" t="str">
        <f t="shared" si="256"/>
        <v/>
      </c>
      <c r="F1393" s="953" t="str">
        <f t="shared" si="257"/>
        <v/>
      </c>
      <c r="G1393" s="953" t="str">
        <f t="shared" si="258"/>
        <v/>
      </c>
      <c r="H1393" s="953">
        <f t="shared" si="259"/>
        <v>0</v>
      </c>
      <c r="I1393" s="953">
        <f t="shared" si="260"/>
        <v>0</v>
      </c>
      <c r="J1393" s="953">
        <f t="shared" si="261"/>
        <v>0</v>
      </c>
      <c r="K1393" s="953" t="str">
        <f t="shared" si="262"/>
        <v/>
      </c>
      <c r="L1393" s="570" t="str">
        <f t="shared" si="263"/>
        <v/>
      </c>
      <c r="M1393" s="570" t="str">
        <f t="shared" si="264"/>
        <v/>
      </c>
    </row>
    <row r="1394" spans="1:13">
      <c r="A1394" s="570" t="str">
        <f t="shared" si="265"/>
        <v/>
      </c>
      <c r="C1394" s="953" t="str">
        <f t="shared" si="254"/>
        <v/>
      </c>
      <c r="D1394" s="953" t="str">
        <f t="shared" si="255"/>
        <v/>
      </c>
      <c r="E1394" s="953" t="str">
        <f t="shared" si="256"/>
        <v/>
      </c>
      <c r="F1394" s="953" t="str">
        <f t="shared" si="257"/>
        <v/>
      </c>
      <c r="G1394" s="953" t="str">
        <f t="shared" si="258"/>
        <v/>
      </c>
      <c r="H1394" s="953">
        <f t="shared" si="259"/>
        <v>0</v>
      </c>
      <c r="I1394" s="953">
        <f t="shared" si="260"/>
        <v>0</v>
      </c>
      <c r="J1394" s="953">
        <f t="shared" si="261"/>
        <v>0</v>
      </c>
      <c r="K1394" s="953" t="str">
        <f t="shared" si="262"/>
        <v/>
      </c>
      <c r="L1394" s="570" t="str">
        <f t="shared" si="263"/>
        <v/>
      </c>
      <c r="M1394" s="570" t="str">
        <f t="shared" si="264"/>
        <v/>
      </c>
    </row>
    <row r="1395" spans="1:13">
      <c r="A1395" s="570" t="str">
        <f t="shared" si="265"/>
        <v/>
      </c>
      <c r="C1395" s="953" t="str">
        <f t="shared" si="254"/>
        <v/>
      </c>
      <c r="D1395" s="953" t="str">
        <f t="shared" si="255"/>
        <v/>
      </c>
      <c r="E1395" s="953" t="str">
        <f t="shared" si="256"/>
        <v/>
      </c>
      <c r="F1395" s="953" t="str">
        <f t="shared" si="257"/>
        <v/>
      </c>
      <c r="G1395" s="953" t="str">
        <f t="shared" si="258"/>
        <v/>
      </c>
      <c r="H1395" s="953">
        <f t="shared" si="259"/>
        <v>0</v>
      </c>
      <c r="I1395" s="953">
        <f t="shared" si="260"/>
        <v>0</v>
      </c>
      <c r="J1395" s="953">
        <f t="shared" si="261"/>
        <v>0</v>
      </c>
      <c r="K1395" s="953" t="str">
        <f t="shared" si="262"/>
        <v/>
      </c>
      <c r="L1395" s="570" t="str">
        <f t="shared" si="263"/>
        <v/>
      </c>
      <c r="M1395" s="570" t="str">
        <f t="shared" si="264"/>
        <v/>
      </c>
    </row>
    <row r="1396" spans="1:13">
      <c r="A1396" s="570" t="str">
        <f t="shared" si="265"/>
        <v/>
      </c>
      <c r="C1396" s="953" t="str">
        <f t="shared" si="254"/>
        <v/>
      </c>
      <c r="D1396" s="953" t="str">
        <f t="shared" si="255"/>
        <v/>
      </c>
      <c r="E1396" s="953" t="str">
        <f t="shared" si="256"/>
        <v/>
      </c>
      <c r="F1396" s="953" t="str">
        <f t="shared" si="257"/>
        <v/>
      </c>
      <c r="G1396" s="953" t="str">
        <f t="shared" si="258"/>
        <v/>
      </c>
      <c r="H1396" s="953">
        <f t="shared" si="259"/>
        <v>0</v>
      </c>
      <c r="I1396" s="953">
        <f t="shared" si="260"/>
        <v>0</v>
      </c>
      <c r="J1396" s="953">
        <f t="shared" si="261"/>
        <v>0</v>
      </c>
      <c r="K1396" s="953" t="str">
        <f t="shared" si="262"/>
        <v/>
      </c>
      <c r="L1396" s="570" t="str">
        <f t="shared" si="263"/>
        <v/>
      </c>
      <c r="M1396" s="570" t="str">
        <f t="shared" si="264"/>
        <v/>
      </c>
    </row>
    <row r="1397" spans="1:13">
      <c r="A1397" s="570" t="str">
        <f t="shared" si="265"/>
        <v/>
      </c>
      <c r="C1397" s="953" t="str">
        <f t="shared" si="254"/>
        <v/>
      </c>
      <c r="D1397" s="953" t="str">
        <f t="shared" si="255"/>
        <v/>
      </c>
      <c r="E1397" s="953" t="str">
        <f t="shared" si="256"/>
        <v/>
      </c>
      <c r="F1397" s="953" t="str">
        <f t="shared" si="257"/>
        <v/>
      </c>
      <c r="G1397" s="953" t="str">
        <f t="shared" si="258"/>
        <v/>
      </c>
      <c r="H1397" s="953">
        <f t="shared" si="259"/>
        <v>0</v>
      </c>
      <c r="I1397" s="953">
        <f t="shared" si="260"/>
        <v>0</v>
      </c>
      <c r="J1397" s="953">
        <f t="shared" si="261"/>
        <v>0</v>
      </c>
      <c r="K1397" s="953" t="str">
        <f t="shared" si="262"/>
        <v/>
      </c>
      <c r="L1397" s="570" t="str">
        <f t="shared" si="263"/>
        <v/>
      </c>
      <c r="M1397" s="570" t="str">
        <f t="shared" si="264"/>
        <v/>
      </c>
    </row>
    <row r="1398" spans="1:13">
      <c r="A1398" s="570" t="str">
        <f t="shared" si="265"/>
        <v/>
      </c>
      <c r="C1398" s="953" t="str">
        <f t="shared" si="254"/>
        <v/>
      </c>
      <c r="D1398" s="953" t="str">
        <f t="shared" si="255"/>
        <v/>
      </c>
      <c r="E1398" s="953" t="str">
        <f t="shared" si="256"/>
        <v/>
      </c>
      <c r="F1398" s="953" t="str">
        <f t="shared" si="257"/>
        <v/>
      </c>
      <c r="G1398" s="953" t="str">
        <f t="shared" si="258"/>
        <v/>
      </c>
      <c r="H1398" s="953">
        <f t="shared" si="259"/>
        <v>0</v>
      </c>
      <c r="I1398" s="953">
        <f t="shared" si="260"/>
        <v>0</v>
      </c>
      <c r="J1398" s="953">
        <f t="shared" si="261"/>
        <v>0</v>
      </c>
      <c r="K1398" s="953" t="str">
        <f t="shared" si="262"/>
        <v/>
      </c>
      <c r="L1398" s="570" t="str">
        <f t="shared" si="263"/>
        <v/>
      </c>
      <c r="M1398" s="570" t="str">
        <f t="shared" si="264"/>
        <v/>
      </c>
    </row>
    <row r="1399" spans="1:13">
      <c r="A1399" s="570" t="str">
        <f t="shared" si="265"/>
        <v/>
      </c>
      <c r="C1399" s="953" t="str">
        <f t="shared" si="254"/>
        <v/>
      </c>
      <c r="D1399" s="953" t="str">
        <f t="shared" si="255"/>
        <v/>
      </c>
      <c r="E1399" s="953" t="str">
        <f t="shared" si="256"/>
        <v/>
      </c>
      <c r="F1399" s="953" t="str">
        <f t="shared" si="257"/>
        <v/>
      </c>
      <c r="G1399" s="953" t="str">
        <f t="shared" si="258"/>
        <v/>
      </c>
      <c r="H1399" s="953">
        <f t="shared" si="259"/>
        <v>0</v>
      </c>
      <c r="I1399" s="953">
        <f t="shared" si="260"/>
        <v>0</v>
      </c>
      <c r="J1399" s="953">
        <f t="shared" si="261"/>
        <v>0</v>
      </c>
      <c r="K1399" s="953" t="str">
        <f t="shared" si="262"/>
        <v/>
      </c>
      <c r="L1399" s="570" t="str">
        <f t="shared" si="263"/>
        <v/>
      </c>
      <c r="M1399" s="570" t="str">
        <f t="shared" si="264"/>
        <v/>
      </c>
    </row>
    <row r="1400" spans="1:13">
      <c r="A1400" s="570" t="str">
        <f t="shared" si="265"/>
        <v/>
      </c>
      <c r="C1400" s="953" t="str">
        <f t="shared" si="254"/>
        <v/>
      </c>
      <c r="D1400" s="953" t="str">
        <f t="shared" si="255"/>
        <v/>
      </c>
      <c r="E1400" s="953" t="str">
        <f t="shared" si="256"/>
        <v/>
      </c>
      <c r="F1400" s="953" t="str">
        <f t="shared" si="257"/>
        <v/>
      </c>
      <c r="G1400" s="953" t="str">
        <f t="shared" si="258"/>
        <v/>
      </c>
      <c r="H1400" s="953">
        <f t="shared" si="259"/>
        <v>0</v>
      </c>
      <c r="I1400" s="953">
        <f t="shared" si="260"/>
        <v>0</v>
      </c>
      <c r="J1400" s="953">
        <f t="shared" si="261"/>
        <v>0</v>
      </c>
      <c r="K1400" s="953" t="str">
        <f t="shared" si="262"/>
        <v/>
      </c>
      <c r="L1400" s="570" t="str">
        <f t="shared" si="263"/>
        <v/>
      </c>
      <c r="M1400" s="570" t="str">
        <f t="shared" si="264"/>
        <v/>
      </c>
    </row>
    <row r="1401" spans="1:13">
      <c r="A1401" s="570" t="str">
        <f t="shared" si="265"/>
        <v/>
      </c>
      <c r="C1401" s="953" t="str">
        <f t="shared" si="254"/>
        <v/>
      </c>
      <c r="D1401" s="953" t="str">
        <f t="shared" si="255"/>
        <v/>
      </c>
      <c r="E1401" s="953" t="str">
        <f t="shared" si="256"/>
        <v/>
      </c>
      <c r="F1401" s="953" t="str">
        <f t="shared" si="257"/>
        <v/>
      </c>
      <c r="G1401" s="953" t="str">
        <f t="shared" si="258"/>
        <v/>
      </c>
      <c r="H1401" s="953">
        <f t="shared" si="259"/>
        <v>0</v>
      </c>
      <c r="I1401" s="953">
        <f t="shared" si="260"/>
        <v>0</v>
      </c>
      <c r="J1401" s="953">
        <f t="shared" si="261"/>
        <v>0</v>
      </c>
      <c r="K1401" s="953" t="str">
        <f t="shared" si="262"/>
        <v/>
      </c>
      <c r="L1401" s="570" t="str">
        <f t="shared" si="263"/>
        <v/>
      </c>
      <c r="M1401" s="570" t="str">
        <f t="shared" si="264"/>
        <v/>
      </c>
    </row>
    <row r="1402" spans="1:13">
      <c r="A1402" s="570" t="str">
        <f t="shared" si="265"/>
        <v/>
      </c>
      <c r="C1402" s="953" t="str">
        <f t="shared" si="254"/>
        <v/>
      </c>
      <c r="D1402" s="953" t="str">
        <f t="shared" si="255"/>
        <v/>
      </c>
      <c r="E1402" s="953" t="str">
        <f t="shared" si="256"/>
        <v/>
      </c>
      <c r="F1402" s="953" t="str">
        <f t="shared" si="257"/>
        <v/>
      </c>
      <c r="G1402" s="953" t="str">
        <f t="shared" si="258"/>
        <v/>
      </c>
      <c r="H1402" s="953">
        <f t="shared" si="259"/>
        <v>0</v>
      </c>
      <c r="I1402" s="953">
        <f t="shared" si="260"/>
        <v>0</v>
      </c>
      <c r="J1402" s="953">
        <f t="shared" si="261"/>
        <v>0</v>
      </c>
      <c r="K1402" s="953" t="str">
        <f t="shared" si="262"/>
        <v/>
      </c>
      <c r="L1402" s="570" t="str">
        <f t="shared" si="263"/>
        <v/>
      </c>
      <c r="M1402" s="570" t="str">
        <f t="shared" si="264"/>
        <v/>
      </c>
    </row>
    <row r="1403" spans="1:13">
      <c r="A1403" s="570" t="str">
        <f t="shared" si="265"/>
        <v/>
      </c>
      <c r="C1403" s="953" t="str">
        <f t="shared" si="254"/>
        <v/>
      </c>
      <c r="D1403" s="953" t="str">
        <f t="shared" si="255"/>
        <v/>
      </c>
      <c r="E1403" s="953" t="str">
        <f t="shared" si="256"/>
        <v/>
      </c>
      <c r="F1403" s="953" t="str">
        <f t="shared" si="257"/>
        <v/>
      </c>
      <c r="G1403" s="953" t="str">
        <f t="shared" si="258"/>
        <v/>
      </c>
      <c r="H1403" s="953">
        <f t="shared" si="259"/>
        <v>0</v>
      </c>
      <c r="I1403" s="953">
        <f t="shared" si="260"/>
        <v>0</v>
      </c>
      <c r="J1403" s="953">
        <f t="shared" si="261"/>
        <v>0</v>
      </c>
      <c r="K1403" s="953" t="str">
        <f t="shared" si="262"/>
        <v/>
      </c>
      <c r="L1403" s="570" t="str">
        <f t="shared" si="263"/>
        <v/>
      </c>
      <c r="M1403" s="570" t="str">
        <f t="shared" si="264"/>
        <v/>
      </c>
    </row>
    <row r="1404" spans="1:13">
      <c r="A1404" s="570" t="str">
        <f t="shared" si="265"/>
        <v/>
      </c>
      <c r="C1404" s="953" t="str">
        <f t="shared" si="254"/>
        <v/>
      </c>
      <c r="D1404" s="953" t="str">
        <f t="shared" si="255"/>
        <v/>
      </c>
      <c r="E1404" s="953" t="str">
        <f t="shared" si="256"/>
        <v/>
      </c>
      <c r="F1404" s="953" t="str">
        <f t="shared" si="257"/>
        <v/>
      </c>
      <c r="G1404" s="953" t="str">
        <f t="shared" si="258"/>
        <v/>
      </c>
      <c r="H1404" s="953">
        <f t="shared" si="259"/>
        <v>0</v>
      </c>
      <c r="I1404" s="953">
        <f t="shared" si="260"/>
        <v>0</v>
      </c>
      <c r="J1404" s="953">
        <f t="shared" si="261"/>
        <v>0</v>
      </c>
      <c r="K1404" s="953" t="str">
        <f t="shared" si="262"/>
        <v/>
      </c>
      <c r="L1404" s="570" t="str">
        <f t="shared" si="263"/>
        <v/>
      </c>
      <c r="M1404" s="570" t="str">
        <f t="shared" si="264"/>
        <v/>
      </c>
    </row>
    <row r="1405" spans="1:13">
      <c r="A1405" s="570" t="str">
        <f t="shared" si="265"/>
        <v/>
      </c>
      <c r="C1405" s="953" t="str">
        <f t="shared" si="254"/>
        <v/>
      </c>
      <c r="D1405" s="953" t="str">
        <f t="shared" si="255"/>
        <v/>
      </c>
      <c r="E1405" s="953" t="str">
        <f t="shared" si="256"/>
        <v/>
      </c>
      <c r="F1405" s="953" t="str">
        <f t="shared" si="257"/>
        <v/>
      </c>
      <c r="G1405" s="953" t="str">
        <f t="shared" si="258"/>
        <v/>
      </c>
      <c r="H1405" s="953">
        <f t="shared" si="259"/>
        <v>0</v>
      </c>
      <c r="I1405" s="953">
        <f t="shared" si="260"/>
        <v>0</v>
      </c>
      <c r="J1405" s="953">
        <f t="shared" si="261"/>
        <v>0</v>
      </c>
      <c r="K1405" s="953" t="str">
        <f t="shared" si="262"/>
        <v/>
      </c>
      <c r="L1405" s="570" t="str">
        <f t="shared" si="263"/>
        <v/>
      </c>
      <c r="M1405" s="570" t="str">
        <f t="shared" si="264"/>
        <v/>
      </c>
    </row>
    <row r="1406" spans="1:13">
      <c r="A1406" s="570" t="str">
        <f t="shared" si="265"/>
        <v/>
      </c>
      <c r="C1406" s="953" t="str">
        <f t="shared" si="254"/>
        <v/>
      </c>
      <c r="D1406" s="953" t="str">
        <f t="shared" si="255"/>
        <v/>
      </c>
      <c r="E1406" s="953" t="str">
        <f t="shared" si="256"/>
        <v/>
      </c>
      <c r="F1406" s="953" t="str">
        <f t="shared" si="257"/>
        <v/>
      </c>
      <c r="G1406" s="953" t="str">
        <f t="shared" si="258"/>
        <v/>
      </c>
      <c r="H1406" s="953">
        <f t="shared" si="259"/>
        <v>0</v>
      </c>
      <c r="I1406" s="953">
        <f t="shared" si="260"/>
        <v>0</v>
      </c>
      <c r="J1406" s="953">
        <f t="shared" si="261"/>
        <v>0</v>
      </c>
      <c r="K1406" s="953" t="str">
        <f t="shared" si="262"/>
        <v/>
      </c>
      <c r="L1406" s="570" t="str">
        <f t="shared" si="263"/>
        <v/>
      </c>
      <c r="M1406" s="570" t="str">
        <f t="shared" si="264"/>
        <v/>
      </c>
    </row>
    <row r="1407" spans="1:13">
      <c r="A1407" s="570" t="str">
        <f t="shared" si="265"/>
        <v/>
      </c>
      <c r="C1407" s="953" t="str">
        <f t="shared" si="254"/>
        <v/>
      </c>
      <c r="D1407" s="953" t="str">
        <f t="shared" si="255"/>
        <v/>
      </c>
      <c r="E1407" s="953" t="str">
        <f t="shared" si="256"/>
        <v/>
      </c>
      <c r="F1407" s="953" t="str">
        <f t="shared" si="257"/>
        <v/>
      </c>
      <c r="G1407" s="953" t="str">
        <f t="shared" si="258"/>
        <v/>
      </c>
      <c r="H1407" s="953">
        <f t="shared" si="259"/>
        <v>0</v>
      </c>
      <c r="I1407" s="953">
        <f t="shared" si="260"/>
        <v>0</v>
      </c>
      <c r="J1407" s="953">
        <f t="shared" si="261"/>
        <v>0</v>
      </c>
      <c r="K1407" s="953" t="str">
        <f t="shared" si="262"/>
        <v/>
      </c>
      <c r="L1407" s="570" t="str">
        <f t="shared" si="263"/>
        <v/>
      </c>
      <c r="M1407" s="570" t="str">
        <f t="shared" si="264"/>
        <v/>
      </c>
    </row>
    <row r="1408" spans="1:13">
      <c r="A1408" s="570" t="str">
        <f t="shared" si="265"/>
        <v/>
      </c>
      <c r="C1408" s="953" t="str">
        <f t="shared" si="254"/>
        <v/>
      </c>
      <c r="D1408" s="953" t="str">
        <f t="shared" si="255"/>
        <v/>
      </c>
      <c r="E1408" s="953" t="str">
        <f t="shared" si="256"/>
        <v/>
      </c>
      <c r="F1408" s="953" t="str">
        <f t="shared" si="257"/>
        <v/>
      </c>
      <c r="G1408" s="953" t="str">
        <f t="shared" si="258"/>
        <v/>
      </c>
      <c r="H1408" s="953">
        <f t="shared" si="259"/>
        <v>0</v>
      </c>
      <c r="I1408" s="953">
        <f t="shared" si="260"/>
        <v>0</v>
      </c>
      <c r="J1408" s="953">
        <f t="shared" si="261"/>
        <v>0</v>
      </c>
      <c r="K1408" s="953" t="str">
        <f t="shared" si="262"/>
        <v/>
      </c>
      <c r="L1408" s="570" t="str">
        <f t="shared" si="263"/>
        <v/>
      </c>
      <c r="M1408" s="570" t="str">
        <f t="shared" si="264"/>
        <v/>
      </c>
    </row>
    <row r="1409" spans="1:13">
      <c r="A1409" s="570" t="str">
        <f t="shared" si="265"/>
        <v/>
      </c>
      <c r="C1409" s="953" t="str">
        <f t="shared" si="254"/>
        <v/>
      </c>
      <c r="D1409" s="953" t="str">
        <f t="shared" si="255"/>
        <v/>
      </c>
      <c r="E1409" s="953" t="str">
        <f t="shared" si="256"/>
        <v/>
      </c>
      <c r="F1409" s="953" t="str">
        <f t="shared" si="257"/>
        <v/>
      </c>
      <c r="G1409" s="953" t="str">
        <f t="shared" si="258"/>
        <v/>
      </c>
      <c r="H1409" s="953">
        <f t="shared" si="259"/>
        <v>0</v>
      </c>
      <c r="I1409" s="953">
        <f t="shared" si="260"/>
        <v>0</v>
      </c>
      <c r="J1409" s="953">
        <f t="shared" si="261"/>
        <v>0</v>
      </c>
      <c r="K1409" s="953" t="str">
        <f t="shared" si="262"/>
        <v/>
      </c>
      <c r="L1409" s="570" t="str">
        <f t="shared" si="263"/>
        <v/>
      </c>
      <c r="M1409" s="570" t="str">
        <f t="shared" si="264"/>
        <v/>
      </c>
    </row>
    <row r="1410" spans="1:13">
      <c r="A1410" s="570" t="str">
        <f t="shared" si="265"/>
        <v/>
      </c>
      <c r="C1410" s="953" t="str">
        <f t="shared" ref="C1410:C1473" si="266">IF(Etabs="Etabs 9.7.4",IF(INDEX(Mode_1,ROW($E1410),COLUMN(A$1))&lt;&gt;"",INDEX(Mode_1,ROW($E1410),COLUMN(A$1)),""),IF(Etabs="Etabs 2013 trở lên",IF(INDEX(Mode_2,ROW($E1412),COLUMN(A$1))&lt;&gt;"",INDEX(Mode_2,ROW($E1412),COLUMN(A$1)),""),""))</f>
        <v/>
      </c>
      <c r="D1410" s="953" t="str">
        <f t="shared" ref="D1410:D1473" si="267">IF(Etabs="Etabs 9.7.4",IF(INDEX(Mode_1,ROW($E1410),COLUMN(B$1))&lt;&gt;"",INDEX(Mode_1,ROW($E1410),COLUMN(B$1)),""),IF(Etabs="Etabs 2013 trở lên",IF(INDEX(Mode_2,ROW($E1412),COLUMN(B$1))&lt;&gt;"",INDEX(Mode_2,ROW($E1412),COLUMN(B$1)),""),""))</f>
        <v/>
      </c>
      <c r="E1410" s="953" t="str">
        <f t="shared" ref="E1410:E1473" si="268">IF(Etabs="Etabs 9.7.4",IF(INDEX(Mode_1,ROW($E1410),COLUMN(C$1))&lt;&gt;"",INDEX(Mode_1,ROW($E1410),COLUMN(C$1)),""),IF(Etabs="Etabs 2013 trở lên",$M1410,""))</f>
        <v/>
      </c>
      <c r="F1410" s="953" t="str">
        <f t="shared" ref="F1410:F1473" si="269">IF(Etabs="Etabs 9.7.4",IF(INDEX(Mode_1,ROW($E1410),COLUMN(D$1))&lt;&gt;"",INDEX(Mode_1,ROW($E1410),COLUMN(D$1)),""),IF(Etabs="Etabs 2013 trở lên",IF(INDEX(Mode_2,ROW($E1412),COLUMN(D$1))&lt;&gt;"",INDEX(Mode_2,ROW($E1412),COLUMN(D$1)),""),""))</f>
        <v/>
      </c>
      <c r="G1410" s="953" t="str">
        <f t="shared" ref="G1410:G1473" si="270">IF(Etabs="Etabs 9.7.4",IF(INDEX(Mode_1,ROW($E1410),COLUMN(E$1))&lt;&gt;"",INDEX(Mode_1,ROW($E1410),COLUMN(E$1)),""),IF(Etabs="Etabs 2013 trở lên",IF(INDEX(Mode_2,ROW($E1412),COLUMN(E$1))&lt;&gt;"",INDEX(Mode_2,ROW($E1412),COLUMN(E$1)),""),""))</f>
        <v/>
      </c>
      <c r="H1410" s="953">
        <f t="shared" ref="H1410:H1473" si="271">IF(Etabs="Etabs 9.7.4",IF(INDEX(Mode_1,ROW($E1410),COLUMN(F$1))&lt;&gt;"",INDEX(Mode_1,ROW($E1410),COLUMN(F$1)),""),IF(Etabs="Etabs 2013 trở lên",0,""))</f>
        <v>0</v>
      </c>
      <c r="I1410" s="953">
        <f t="shared" ref="I1410:I1473" si="272">IF(Etabs="Etabs 9.7.4",IF(INDEX(Mode_1,ROW($E1410),COLUMN(G$1))&lt;&gt;"",INDEX(Mode_1,ROW($E1410),COLUMN(G$1)),""),IF(Etabs="Etabs 2013 trở lên",0,""))</f>
        <v>0</v>
      </c>
      <c r="J1410" s="953">
        <f t="shared" ref="J1410:J1473" si="273">IF(Etabs="Etabs 9.7.4",IF(INDEX(Mode_1,ROW($E1410),COLUMN(H$1))&lt;&gt;"",INDEX(Mode_1,ROW($E1410),COLUMN(H$1)),""),IF(Etabs="Etabs 2013 trở lên",0,""))</f>
        <v>0</v>
      </c>
      <c r="K1410" s="953" t="str">
        <f t="shared" ref="K1410:K1473" si="274">IF(Etabs="Etabs 9.7.4",IF(INDEX(Mode_1,ROW($E1410),COLUMN(I$1))&lt;&gt;"",INDEX(Mode_1,ROW($E1410),COLUMN(I$1)),""),IF(Etabs="Etabs 2013 trở lên",IF(INDEX(Mode_2,ROW($E1412),COLUMN(F$1))&lt;&gt;"",INDEX(Mode_2,ROW($E1412),COLUMN(F$1)),""),""))</f>
        <v/>
      </c>
      <c r="L1410" s="570" t="str">
        <f t="shared" ref="L1410:L1473" si="275">IF(Etabs="Etabs 9.7.4",IF(INDEX(Mode_1,ROW($E1410),COLUMN(C$1))&lt;&gt;"",INDEX(Mode_1,ROW($E1410),COLUMN(C$1)),""),IF(Etabs="Etabs 2013 trở lên",IF(INDEX(Mode_2,ROW($E1412),COLUMN(C$1))&lt;&gt;"",INDEX(Mode_2,ROW($E1412),COLUMN(C$1)),""),""))</f>
        <v/>
      </c>
      <c r="M1410" s="570" t="str">
        <f t="shared" si="264"/>
        <v/>
      </c>
    </row>
    <row r="1411" spans="1:13">
      <c r="A1411" s="570" t="str">
        <f t="shared" si="265"/>
        <v/>
      </c>
      <c r="C1411" s="953" t="str">
        <f t="shared" si="266"/>
        <v/>
      </c>
      <c r="D1411" s="953" t="str">
        <f t="shared" si="267"/>
        <v/>
      </c>
      <c r="E1411" s="953" t="str">
        <f t="shared" si="268"/>
        <v/>
      </c>
      <c r="F1411" s="953" t="str">
        <f t="shared" si="269"/>
        <v/>
      </c>
      <c r="G1411" s="953" t="str">
        <f t="shared" si="270"/>
        <v/>
      </c>
      <c r="H1411" s="953">
        <f t="shared" si="271"/>
        <v>0</v>
      </c>
      <c r="I1411" s="953">
        <f t="shared" si="272"/>
        <v>0</v>
      </c>
      <c r="J1411" s="953">
        <f t="shared" si="273"/>
        <v>0</v>
      </c>
      <c r="K1411" s="953" t="str">
        <f t="shared" si="274"/>
        <v/>
      </c>
      <c r="L1411" s="570" t="str">
        <f t="shared" si="275"/>
        <v/>
      </c>
      <c r="M1411" s="570" t="str">
        <f t="shared" ref="M1411:M1474" si="276">IFERROR(VALUE(RIGHT(L1411,LEN(L1411)-6)),"")</f>
        <v/>
      </c>
    </row>
    <row r="1412" spans="1:13">
      <c r="A1412" s="570" t="str">
        <f t="shared" si="265"/>
        <v/>
      </c>
      <c r="C1412" s="953" t="str">
        <f t="shared" si="266"/>
        <v/>
      </c>
      <c r="D1412" s="953" t="str">
        <f t="shared" si="267"/>
        <v/>
      </c>
      <c r="E1412" s="953" t="str">
        <f t="shared" si="268"/>
        <v/>
      </c>
      <c r="F1412" s="953" t="str">
        <f t="shared" si="269"/>
        <v/>
      </c>
      <c r="G1412" s="953" t="str">
        <f t="shared" si="270"/>
        <v/>
      </c>
      <c r="H1412" s="953">
        <f t="shared" si="271"/>
        <v>0</v>
      </c>
      <c r="I1412" s="953">
        <f t="shared" si="272"/>
        <v>0</v>
      </c>
      <c r="J1412" s="953">
        <f t="shared" si="273"/>
        <v>0</v>
      </c>
      <c r="K1412" s="953" t="str">
        <f t="shared" si="274"/>
        <v/>
      </c>
      <c r="L1412" s="570" t="str">
        <f t="shared" si="275"/>
        <v/>
      </c>
      <c r="M1412" s="570" t="str">
        <f t="shared" si="276"/>
        <v/>
      </c>
    </row>
    <row r="1413" spans="1:13">
      <c r="A1413" s="570" t="str">
        <f t="shared" si="265"/>
        <v/>
      </c>
      <c r="C1413" s="953" t="str">
        <f t="shared" si="266"/>
        <v/>
      </c>
      <c r="D1413" s="953" t="str">
        <f t="shared" si="267"/>
        <v/>
      </c>
      <c r="E1413" s="953" t="str">
        <f t="shared" si="268"/>
        <v/>
      </c>
      <c r="F1413" s="953" t="str">
        <f t="shared" si="269"/>
        <v/>
      </c>
      <c r="G1413" s="953" t="str">
        <f t="shared" si="270"/>
        <v/>
      </c>
      <c r="H1413" s="953">
        <f t="shared" si="271"/>
        <v>0</v>
      </c>
      <c r="I1413" s="953">
        <f t="shared" si="272"/>
        <v>0</v>
      </c>
      <c r="J1413" s="953">
        <f t="shared" si="273"/>
        <v>0</v>
      </c>
      <c r="K1413" s="953" t="str">
        <f t="shared" si="274"/>
        <v/>
      </c>
      <c r="L1413" s="570" t="str">
        <f t="shared" si="275"/>
        <v/>
      </c>
      <c r="M1413" s="570" t="str">
        <f t="shared" si="276"/>
        <v/>
      </c>
    </row>
    <row r="1414" spans="1:13">
      <c r="A1414" s="570" t="str">
        <f t="shared" ref="A1414:A1477" si="277">C1414&amp;E1414</f>
        <v/>
      </c>
      <c r="C1414" s="953" t="str">
        <f t="shared" si="266"/>
        <v/>
      </c>
      <c r="D1414" s="953" t="str">
        <f t="shared" si="267"/>
        <v/>
      </c>
      <c r="E1414" s="953" t="str">
        <f t="shared" si="268"/>
        <v/>
      </c>
      <c r="F1414" s="953" t="str">
        <f t="shared" si="269"/>
        <v/>
      </c>
      <c r="G1414" s="953" t="str">
        <f t="shared" si="270"/>
        <v/>
      </c>
      <c r="H1414" s="953">
        <f t="shared" si="271"/>
        <v>0</v>
      </c>
      <c r="I1414" s="953">
        <f t="shared" si="272"/>
        <v>0</v>
      </c>
      <c r="J1414" s="953">
        <f t="shared" si="273"/>
        <v>0</v>
      </c>
      <c r="K1414" s="953" t="str">
        <f t="shared" si="274"/>
        <v/>
      </c>
      <c r="L1414" s="570" t="str">
        <f t="shared" si="275"/>
        <v/>
      </c>
      <c r="M1414" s="570" t="str">
        <f t="shared" si="276"/>
        <v/>
      </c>
    </row>
    <row r="1415" spans="1:13">
      <c r="A1415" s="570" t="str">
        <f t="shared" si="277"/>
        <v/>
      </c>
      <c r="C1415" s="953" t="str">
        <f t="shared" si="266"/>
        <v/>
      </c>
      <c r="D1415" s="953" t="str">
        <f t="shared" si="267"/>
        <v/>
      </c>
      <c r="E1415" s="953" t="str">
        <f t="shared" si="268"/>
        <v/>
      </c>
      <c r="F1415" s="953" t="str">
        <f t="shared" si="269"/>
        <v/>
      </c>
      <c r="G1415" s="953" t="str">
        <f t="shared" si="270"/>
        <v/>
      </c>
      <c r="H1415" s="953">
        <f t="shared" si="271"/>
        <v>0</v>
      </c>
      <c r="I1415" s="953">
        <f t="shared" si="272"/>
        <v>0</v>
      </c>
      <c r="J1415" s="953">
        <f t="shared" si="273"/>
        <v>0</v>
      </c>
      <c r="K1415" s="953" t="str">
        <f t="shared" si="274"/>
        <v/>
      </c>
      <c r="L1415" s="570" t="str">
        <f t="shared" si="275"/>
        <v/>
      </c>
      <c r="M1415" s="570" t="str">
        <f t="shared" si="276"/>
        <v/>
      </c>
    </row>
    <row r="1416" spans="1:13">
      <c r="A1416" s="570" t="str">
        <f t="shared" si="277"/>
        <v/>
      </c>
      <c r="C1416" s="953" t="str">
        <f t="shared" si="266"/>
        <v/>
      </c>
      <c r="D1416" s="953" t="str">
        <f t="shared" si="267"/>
        <v/>
      </c>
      <c r="E1416" s="953" t="str">
        <f t="shared" si="268"/>
        <v/>
      </c>
      <c r="F1416" s="953" t="str">
        <f t="shared" si="269"/>
        <v/>
      </c>
      <c r="G1416" s="953" t="str">
        <f t="shared" si="270"/>
        <v/>
      </c>
      <c r="H1416" s="953">
        <f t="shared" si="271"/>
        <v>0</v>
      </c>
      <c r="I1416" s="953">
        <f t="shared" si="272"/>
        <v>0</v>
      </c>
      <c r="J1416" s="953">
        <f t="shared" si="273"/>
        <v>0</v>
      </c>
      <c r="K1416" s="953" t="str">
        <f t="shared" si="274"/>
        <v/>
      </c>
      <c r="L1416" s="570" t="str">
        <f t="shared" si="275"/>
        <v/>
      </c>
      <c r="M1416" s="570" t="str">
        <f t="shared" si="276"/>
        <v/>
      </c>
    </row>
    <row r="1417" spans="1:13">
      <c r="A1417" s="570" t="str">
        <f t="shared" si="277"/>
        <v/>
      </c>
      <c r="C1417" s="953" t="str">
        <f t="shared" si="266"/>
        <v/>
      </c>
      <c r="D1417" s="953" t="str">
        <f t="shared" si="267"/>
        <v/>
      </c>
      <c r="E1417" s="953" t="str">
        <f t="shared" si="268"/>
        <v/>
      </c>
      <c r="F1417" s="953" t="str">
        <f t="shared" si="269"/>
        <v/>
      </c>
      <c r="G1417" s="953" t="str">
        <f t="shared" si="270"/>
        <v/>
      </c>
      <c r="H1417" s="953">
        <f t="shared" si="271"/>
        <v>0</v>
      </c>
      <c r="I1417" s="953">
        <f t="shared" si="272"/>
        <v>0</v>
      </c>
      <c r="J1417" s="953">
        <f t="shared" si="273"/>
        <v>0</v>
      </c>
      <c r="K1417" s="953" t="str">
        <f t="shared" si="274"/>
        <v/>
      </c>
      <c r="L1417" s="570" t="str">
        <f t="shared" si="275"/>
        <v/>
      </c>
      <c r="M1417" s="570" t="str">
        <f t="shared" si="276"/>
        <v/>
      </c>
    </row>
    <row r="1418" spans="1:13">
      <c r="A1418" s="570" t="str">
        <f t="shared" si="277"/>
        <v/>
      </c>
      <c r="C1418" s="953" t="str">
        <f t="shared" si="266"/>
        <v/>
      </c>
      <c r="D1418" s="953" t="str">
        <f t="shared" si="267"/>
        <v/>
      </c>
      <c r="E1418" s="953" t="str">
        <f t="shared" si="268"/>
        <v/>
      </c>
      <c r="F1418" s="953" t="str">
        <f t="shared" si="269"/>
        <v/>
      </c>
      <c r="G1418" s="953" t="str">
        <f t="shared" si="270"/>
        <v/>
      </c>
      <c r="H1418" s="953">
        <f t="shared" si="271"/>
        <v>0</v>
      </c>
      <c r="I1418" s="953">
        <f t="shared" si="272"/>
        <v>0</v>
      </c>
      <c r="J1418" s="953">
        <f t="shared" si="273"/>
        <v>0</v>
      </c>
      <c r="K1418" s="953" t="str">
        <f t="shared" si="274"/>
        <v/>
      </c>
      <c r="L1418" s="570" t="str">
        <f t="shared" si="275"/>
        <v/>
      </c>
      <c r="M1418" s="570" t="str">
        <f t="shared" si="276"/>
        <v/>
      </c>
    </row>
    <row r="1419" spans="1:13">
      <c r="A1419" s="570" t="str">
        <f t="shared" si="277"/>
        <v/>
      </c>
      <c r="C1419" s="953" t="str">
        <f t="shared" si="266"/>
        <v/>
      </c>
      <c r="D1419" s="953" t="str">
        <f t="shared" si="267"/>
        <v/>
      </c>
      <c r="E1419" s="953" t="str">
        <f t="shared" si="268"/>
        <v/>
      </c>
      <c r="F1419" s="953" t="str">
        <f t="shared" si="269"/>
        <v/>
      </c>
      <c r="G1419" s="953" t="str">
        <f t="shared" si="270"/>
        <v/>
      </c>
      <c r="H1419" s="953">
        <f t="shared" si="271"/>
        <v>0</v>
      </c>
      <c r="I1419" s="953">
        <f t="shared" si="272"/>
        <v>0</v>
      </c>
      <c r="J1419" s="953">
        <f t="shared" si="273"/>
        <v>0</v>
      </c>
      <c r="K1419" s="953" t="str">
        <f t="shared" si="274"/>
        <v/>
      </c>
      <c r="L1419" s="570" t="str">
        <f t="shared" si="275"/>
        <v/>
      </c>
      <c r="M1419" s="570" t="str">
        <f t="shared" si="276"/>
        <v/>
      </c>
    </row>
    <row r="1420" spans="1:13">
      <c r="A1420" s="570" t="str">
        <f t="shared" si="277"/>
        <v/>
      </c>
      <c r="C1420" s="953" t="str">
        <f t="shared" si="266"/>
        <v/>
      </c>
      <c r="D1420" s="953" t="str">
        <f t="shared" si="267"/>
        <v/>
      </c>
      <c r="E1420" s="953" t="str">
        <f t="shared" si="268"/>
        <v/>
      </c>
      <c r="F1420" s="953" t="str">
        <f t="shared" si="269"/>
        <v/>
      </c>
      <c r="G1420" s="953" t="str">
        <f t="shared" si="270"/>
        <v/>
      </c>
      <c r="H1420" s="953">
        <f t="shared" si="271"/>
        <v>0</v>
      </c>
      <c r="I1420" s="953">
        <f t="shared" si="272"/>
        <v>0</v>
      </c>
      <c r="J1420" s="953">
        <f t="shared" si="273"/>
        <v>0</v>
      </c>
      <c r="K1420" s="953" t="str">
        <f t="shared" si="274"/>
        <v/>
      </c>
      <c r="L1420" s="570" t="str">
        <f t="shared" si="275"/>
        <v/>
      </c>
      <c r="M1420" s="570" t="str">
        <f t="shared" si="276"/>
        <v/>
      </c>
    </row>
    <row r="1421" spans="1:13">
      <c r="A1421" s="570" t="str">
        <f t="shared" si="277"/>
        <v/>
      </c>
      <c r="C1421" s="953" t="str">
        <f t="shared" si="266"/>
        <v/>
      </c>
      <c r="D1421" s="953" t="str">
        <f t="shared" si="267"/>
        <v/>
      </c>
      <c r="E1421" s="953" t="str">
        <f t="shared" si="268"/>
        <v/>
      </c>
      <c r="F1421" s="953" t="str">
        <f t="shared" si="269"/>
        <v/>
      </c>
      <c r="G1421" s="953" t="str">
        <f t="shared" si="270"/>
        <v/>
      </c>
      <c r="H1421" s="953">
        <f t="shared" si="271"/>
        <v>0</v>
      </c>
      <c r="I1421" s="953">
        <f t="shared" si="272"/>
        <v>0</v>
      </c>
      <c r="J1421" s="953">
        <f t="shared" si="273"/>
        <v>0</v>
      </c>
      <c r="K1421" s="953" t="str">
        <f t="shared" si="274"/>
        <v/>
      </c>
      <c r="L1421" s="570" t="str">
        <f t="shared" si="275"/>
        <v/>
      </c>
      <c r="M1421" s="570" t="str">
        <f t="shared" si="276"/>
        <v/>
      </c>
    </row>
    <row r="1422" spans="1:13">
      <c r="A1422" s="570" t="str">
        <f t="shared" si="277"/>
        <v/>
      </c>
      <c r="C1422" s="953" t="str">
        <f t="shared" si="266"/>
        <v/>
      </c>
      <c r="D1422" s="953" t="str">
        <f t="shared" si="267"/>
        <v/>
      </c>
      <c r="E1422" s="953" t="str">
        <f t="shared" si="268"/>
        <v/>
      </c>
      <c r="F1422" s="953" t="str">
        <f t="shared" si="269"/>
        <v/>
      </c>
      <c r="G1422" s="953" t="str">
        <f t="shared" si="270"/>
        <v/>
      </c>
      <c r="H1422" s="953">
        <f t="shared" si="271"/>
        <v>0</v>
      </c>
      <c r="I1422" s="953">
        <f t="shared" si="272"/>
        <v>0</v>
      </c>
      <c r="J1422" s="953">
        <f t="shared" si="273"/>
        <v>0</v>
      </c>
      <c r="K1422" s="953" t="str">
        <f t="shared" si="274"/>
        <v/>
      </c>
      <c r="L1422" s="570" t="str">
        <f t="shared" si="275"/>
        <v/>
      </c>
      <c r="M1422" s="570" t="str">
        <f t="shared" si="276"/>
        <v/>
      </c>
    </row>
    <row r="1423" spans="1:13">
      <c r="A1423" s="570" t="str">
        <f t="shared" si="277"/>
        <v/>
      </c>
      <c r="C1423" s="953" t="str">
        <f t="shared" si="266"/>
        <v/>
      </c>
      <c r="D1423" s="953" t="str">
        <f t="shared" si="267"/>
        <v/>
      </c>
      <c r="E1423" s="953" t="str">
        <f t="shared" si="268"/>
        <v/>
      </c>
      <c r="F1423" s="953" t="str">
        <f t="shared" si="269"/>
        <v/>
      </c>
      <c r="G1423" s="953" t="str">
        <f t="shared" si="270"/>
        <v/>
      </c>
      <c r="H1423" s="953">
        <f t="shared" si="271"/>
        <v>0</v>
      </c>
      <c r="I1423" s="953">
        <f t="shared" si="272"/>
        <v>0</v>
      </c>
      <c r="J1423" s="953">
        <f t="shared" si="273"/>
        <v>0</v>
      </c>
      <c r="K1423" s="953" t="str">
        <f t="shared" si="274"/>
        <v/>
      </c>
      <c r="L1423" s="570" t="str">
        <f t="shared" si="275"/>
        <v/>
      </c>
      <c r="M1423" s="570" t="str">
        <f t="shared" si="276"/>
        <v/>
      </c>
    </row>
    <row r="1424" spans="1:13">
      <c r="A1424" s="570" t="str">
        <f t="shared" si="277"/>
        <v/>
      </c>
      <c r="C1424" s="953" t="str">
        <f t="shared" si="266"/>
        <v/>
      </c>
      <c r="D1424" s="953" t="str">
        <f t="shared" si="267"/>
        <v/>
      </c>
      <c r="E1424" s="953" t="str">
        <f t="shared" si="268"/>
        <v/>
      </c>
      <c r="F1424" s="953" t="str">
        <f t="shared" si="269"/>
        <v/>
      </c>
      <c r="G1424" s="953" t="str">
        <f t="shared" si="270"/>
        <v/>
      </c>
      <c r="H1424" s="953">
        <f t="shared" si="271"/>
        <v>0</v>
      </c>
      <c r="I1424" s="953">
        <f t="shared" si="272"/>
        <v>0</v>
      </c>
      <c r="J1424" s="953">
        <f t="shared" si="273"/>
        <v>0</v>
      </c>
      <c r="K1424" s="953" t="str">
        <f t="shared" si="274"/>
        <v/>
      </c>
      <c r="L1424" s="570" t="str">
        <f t="shared" si="275"/>
        <v/>
      </c>
      <c r="M1424" s="570" t="str">
        <f t="shared" si="276"/>
        <v/>
      </c>
    </row>
    <row r="1425" spans="1:13">
      <c r="A1425" s="570" t="str">
        <f t="shared" si="277"/>
        <v/>
      </c>
      <c r="C1425" s="953" t="str">
        <f t="shared" si="266"/>
        <v/>
      </c>
      <c r="D1425" s="953" t="str">
        <f t="shared" si="267"/>
        <v/>
      </c>
      <c r="E1425" s="953" t="str">
        <f t="shared" si="268"/>
        <v/>
      </c>
      <c r="F1425" s="953" t="str">
        <f t="shared" si="269"/>
        <v/>
      </c>
      <c r="G1425" s="953" t="str">
        <f t="shared" si="270"/>
        <v/>
      </c>
      <c r="H1425" s="953">
        <f t="shared" si="271"/>
        <v>0</v>
      </c>
      <c r="I1425" s="953">
        <f t="shared" si="272"/>
        <v>0</v>
      </c>
      <c r="J1425" s="953">
        <f t="shared" si="273"/>
        <v>0</v>
      </c>
      <c r="K1425" s="953" t="str">
        <f t="shared" si="274"/>
        <v/>
      </c>
      <c r="L1425" s="570" t="str">
        <f t="shared" si="275"/>
        <v/>
      </c>
      <c r="M1425" s="570" t="str">
        <f t="shared" si="276"/>
        <v/>
      </c>
    </row>
    <row r="1426" spans="1:13">
      <c r="A1426" s="570" t="str">
        <f t="shared" si="277"/>
        <v/>
      </c>
      <c r="C1426" s="953" t="str">
        <f t="shared" si="266"/>
        <v/>
      </c>
      <c r="D1426" s="953" t="str">
        <f t="shared" si="267"/>
        <v/>
      </c>
      <c r="E1426" s="953" t="str">
        <f t="shared" si="268"/>
        <v/>
      </c>
      <c r="F1426" s="953" t="str">
        <f t="shared" si="269"/>
        <v/>
      </c>
      <c r="G1426" s="953" t="str">
        <f t="shared" si="270"/>
        <v/>
      </c>
      <c r="H1426" s="953">
        <f t="shared" si="271"/>
        <v>0</v>
      </c>
      <c r="I1426" s="953">
        <f t="shared" si="272"/>
        <v>0</v>
      </c>
      <c r="J1426" s="953">
        <f t="shared" si="273"/>
        <v>0</v>
      </c>
      <c r="K1426" s="953" t="str">
        <f t="shared" si="274"/>
        <v/>
      </c>
      <c r="L1426" s="570" t="str">
        <f t="shared" si="275"/>
        <v/>
      </c>
      <c r="M1426" s="570" t="str">
        <f t="shared" si="276"/>
        <v/>
      </c>
    </row>
    <row r="1427" spans="1:13">
      <c r="A1427" s="570" t="str">
        <f t="shared" si="277"/>
        <v/>
      </c>
      <c r="C1427" s="953" t="str">
        <f t="shared" si="266"/>
        <v/>
      </c>
      <c r="D1427" s="953" t="str">
        <f t="shared" si="267"/>
        <v/>
      </c>
      <c r="E1427" s="953" t="str">
        <f t="shared" si="268"/>
        <v/>
      </c>
      <c r="F1427" s="953" t="str">
        <f t="shared" si="269"/>
        <v/>
      </c>
      <c r="G1427" s="953" t="str">
        <f t="shared" si="270"/>
        <v/>
      </c>
      <c r="H1427" s="953">
        <f t="shared" si="271"/>
        <v>0</v>
      </c>
      <c r="I1427" s="953">
        <f t="shared" si="272"/>
        <v>0</v>
      </c>
      <c r="J1427" s="953">
        <f t="shared" si="273"/>
        <v>0</v>
      </c>
      <c r="K1427" s="953" t="str">
        <f t="shared" si="274"/>
        <v/>
      </c>
      <c r="L1427" s="570" t="str">
        <f t="shared" si="275"/>
        <v/>
      </c>
      <c r="M1427" s="570" t="str">
        <f t="shared" si="276"/>
        <v/>
      </c>
    </row>
    <row r="1428" spans="1:13">
      <c r="A1428" s="570" t="str">
        <f t="shared" si="277"/>
        <v/>
      </c>
      <c r="C1428" s="953" t="str">
        <f t="shared" si="266"/>
        <v/>
      </c>
      <c r="D1428" s="953" t="str">
        <f t="shared" si="267"/>
        <v/>
      </c>
      <c r="E1428" s="953" t="str">
        <f t="shared" si="268"/>
        <v/>
      </c>
      <c r="F1428" s="953" t="str">
        <f t="shared" si="269"/>
        <v/>
      </c>
      <c r="G1428" s="953" t="str">
        <f t="shared" si="270"/>
        <v/>
      </c>
      <c r="H1428" s="953">
        <f t="shared" si="271"/>
        <v>0</v>
      </c>
      <c r="I1428" s="953">
        <f t="shared" si="272"/>
        <v>0</v>
      </c>
      <c r="J1428" s="953">
        <f t="shared" si="273"/>
        <v>0</v>
      </c>
      <c r="K1428" s="953" t="str">
        <f t="shared" si="274"/>
        <v/>
      </c>
      <c r="L1428" s="570" t="str">
        <f t="shared" si="275"/>
        <v/>
      </c>
      <c r="M1428" s="570" t="str">
        <f t="shared" si="276"/>
        <v/>
      </c>
    </row>
    <row r="1429" spans="1:13">
      <c r="A1429" s="570" t="str">
        <f t="shared" si="277"/>
        <v/>
      </c>
      <c r="C1429" s="953" t="str">
        <f t="shared" si="266"/>
        <v/>
      </c>
      <c r="D1429" s="953" t="str">
        <f t="shared" si="267"/>
        <v/>
      </c>
      <c r="E1429" s="953" t="str">
        <f t="shared" si="268"/>
        <v/>
      </c>
      <c r="F1429" s="953" t="str">
        <f t="shared" si="269"/>
        <v/>
      </c>
      <c r="G1429" s="953" t="str">
        <f t="shared" si="270"/>
        <v/>
      </c>
      <c r="H1429" s="953">
        <f t="shared" si="271"/>
        <v>0</v>
      </c>
      <c r="I1429" s="953">
        <f t="shared" si="272"/>
        <v>0</v>
      </c>
      <c r="J1429" s="953">
        <f t="shared" si="273"/>
        <v>0</v>
      </c>
      <c r="K1429" s="953" t="str">
        <f t="shared" si="274"/>
        <v/>
      </c>
      <c r="L1429" s="570" t="str">
        <f t="shared" si="275"/>
        <v/>
      </c>
      <c r="M1429" s="570" t="str">
        <f t="shared" si="276"/>
        <v/>
      </c>
    </row>
    <row r="1430" spans="1:13">
      <c r="A1430" s="570" t="str">
        <f t="shared" si="277"/>
        <v/>
      </c>
      <c r="C1430" s="953" t="str">
        <f t="shared" si="266"/>
        <v/>
      </c>
      <c r="D1430" s="953" t="str">
        <f t="shared" si="267"/>
        <v/>
      </c>
      <c r="E1430" s="953" t="str">
        <f t="shared" si="268"/>
        <v/>
      </c>
      <c r="F1430" s="953" t="str">
        <f t="shared" si="269"/>
        <v/>
      </c>
      <c r="G1430" s="953" t="str">
        <f t="shared" si="270"/>
        <v/>
      </c>
      <c r="H1430" s="953">
        <f t="shared" si="271"/>
        <v>0</v>
      </c>
      <c r="I1430" s="953">
        <f t="shared" si="272"/>
        <v>0</v>
      </c>
      <c r="J1430" s="953">
        <f t="shared" si="273"/>
        <v>0</v>
      </c>
      <c r="K1430" s="953" t="str">
        <f t="shared" si="274"/>
        <v/>
      </c>
      <c r="L1430" s="570" t="str">
        <f t="shared" si="275"/>
        <v/>
      </c>
      <c r="M1430" s="570" t="str">
        <f t="shared" si="276"/>
        <v/>
      </c>
    </row>
    <row r="1431" spans="1:13">
      <c r="A1431" s="570" t="str">
        <f t="shared" si="277"/>
        <v/>
      </c>
      <c r="C1431" s="953" t="str">
        <f t="shared" si="266"/>
        <v/>
      </c>
      <c r="D1431" s="953" t="str">
        <f t="shared" si="267"/>
        <v/>
      </c>
      <c r="E1431" s="953" t="str">
        <f t="shared" si="268"/>
        <v/>
      </c>
      <c r="F1431" s="953" t="str">
        <f t="shared" si="269"/>
        <v/>
      </c>
      <c r="G1431" s="953" t="str">
        <f t="shared" si="270"/>
        <v/>
      </c>
      <c r="H1431" s="953">
        <f t="shared" si="271"/>
        <v>0</v>
      </c>
      <c r="I1431" s="953">
        <f t="shared" si="272"/>
        <v>0</v>
      </c>
      <c r="J1431" s="953">
        <f t="shared" si="273"/>
        <v>0</v>
      </c>
      <c r="K1431" s="953" t="str">
        <f t="shared" si="274"/>
        <v/>
      </c>
      <c r="L1431" s="570" t="str">
        <f t="shared" si="275"/>
        <v/>
      </c>
      <c r="M1431" s="570" t="str">
        <f t="shared" si="276"/>
        <v/>
      </c>
    </row>
    <row r="1432" spans="1:13">
      <c r="A1432" s="570" t="str">
        <f t="shared" si="277"/>
        <v/>
      </c>
      <c r="C1432" s="953" t="str">
        <f t="shared" si="266"/>
        <v/>
      </c>
      <c r="D1432" s="953" t="str">
        <f t="shared" si="267"/>
        <v/>
      </c>
      <c r="E1432" s="953" t="str">
        <f t="shared" si="268"/>
        <v/>
      </c>
      <c r="F1432" s="953" t="str">
        <f t="shared" si="269"/>
        <v/>
      </c>
      <c r="G1432" s="953" t="str">
        <f t="shared" si="270"/>
        <v/>
      </c>
      <c r="H1432" s="953">
        <f t="shared" si="271"/>
        <v>0</v>
      </c>
      <c r="I1432" s="953">
        <f t="shared" si="272"/>
        <v>0</v>
      </c>
      <c r="J1432" s="953">
        <f t="shared" si="273"/>
        <v>0</v>
      </c>
      <c r="K1432" s="953" t="str">
        <f t="shared" si="274"/>
        <v/>
      </c>
      <c r="L1432" s="570" t="str">
        <f t="shared" si="275"/>
        <v/>
      </c>
      <c r="M1432" s="570" t="str">
        <f t="shared" si="276"/>
        <v/>
      </c>
    </row>
    <row r="1433" spans="1:13">
      <c r="A1433" s="570" t="str">
        <f t="shared" si="277"/>
        <v/>
      </c>
      <c r="C1433" s="953" t="str">
        <f t="shared" si="266"/>
        <v/>
      </c>
      <c r="D1433" s="953" t="str">
        <f t="shared" si="267"/>
        <v/>
      </c>
      <c r="E1433" s="953" t="str">
        <f t="shared" si="268"/>
        <v/>
      </c>
      <c r="F1433" s="953" t="str">
        <f t="shared" si="269"/>
        <v/>
      </c>
      <c r="G1433" s="953" t="str">
        <f t="shared" si="270"/>
        <v/>
      </c>
      <c r="H1433" s="953">
        <f t="shared" si="271"/>
        <v>0</v>
      </c>
      <c r="I1433" s="953">
        <f t="shared" si="272"/>
        <v>0</v>
      </c>
      <c r="J1433" s="953">
        <f t="shared" si="273"/>
        <v>0</v>
      </c>
      <c r="K1433" s="953" t="str">
        <f t="shared" si="274"/>
        <v/>
      </c>
      <c r="L1433" s="570" t="str">
        <f t="shared" si="275"/>
        <v/>
      </c>
      <c r="M1433" s="570" t="str">
        <f t="shared" si="276"/>
        <v/>
      </c>
    </row>
    <row r="1434" spans="1:13">
      <c r="A1434" s="570" t="str">
        <f t="shared" si="277"/>
        <v/>
      </c>
      <c r="C1434" s="953" t="str">
        <f t="shared" si="266"/>
        <v/>
      </c>
      <c r="D1434" s="953" t="str">
        <f t="shared" si="267"/>
        <v/>
      </c>
      <c r="E1434" s="953" t="str">
        <f t="shared" si="268"/>
        <v/>
      </c>
      <c r="F1434" s="953" t="str">
        <f t="shared" si="269"/>
        <v/>
      </c>
      <c r="G1434" s="953" t="str">
        <f t="shared" si="270"/>
        <v/>
      </c>
      <c r="H1434" s="953">
        <f t="shared" si="271"/>
        <v>0</v>
      </c>
      <c r="I1434" s="953">
        <f t="shared" si="272"/>
        <v>0</v>
      </c>
      <c r="J1434" s="953">
        <f t="shared" si="273"/>
        <v>0</v>
      </c>
      <c r="K1434" s="953" t="str">
        <f t="shared" si="274"/>
        <v/>
      </c>
      <c r="L1434" s="570" t="str">
        <f t="shared" si="275"/>
        <v/>
      </c>
      <c r="M1434" s="570" t="str">
        <f t="shared" si="276"/>
        <v/>
      </c>
    </row>
    <row r="1435" spans="1:13">
      <c r="A1435" s="570" t="str">
        <f t="shared" si="277"/>
        <v/>
      </c>
      <c r="C1435" s="953" t="str">
        <f t="shared" si="266"/>
        <v/>
      </c>
      <c r="D1435" s="953" t="str">
        <f t="shared" si="267"/>
        <v/>
      </c>
      <c r="E1435" s="953" t="str">
        <f t="shared" si="268"/>
        <v/>
      </c>
      <c r="F1435" s="953" t="str">
        <f t="shared" si="269"/>
        <v/>
      </c>
      <c r="G1435" s="953" t="str">
        <f t="shared" si="270"/>
        <v/>
      </c>
      <c r="H1435" s="953">
        <f t="shared" si="271"/>
        <v>0</v>
      </c>
      <c r="I1435" s="953">
        <f t="shared" si="272"/>
        <v>0</v>
      </c>
      <c r="J1435" s="953">
        <f t="shared" si="273"/>
        <v>0</v>
      </c>
      <c r="K1435" s="953" t="str">
        <f t="shared" si="274"/>
        <v/>
      </c>
      <c r="L1435" s="570" t="str">
        <f t="shared" si="275"/>
        <v/>
      </c>
      <c r="M1435" s="570" t="str">
        <f t="shared" si="276"/>
        <v/>
      </c>
    </row>
    <row r="1436" spans="1:13">
      <c r="A1436" s="570" t="str">
        <f t="shared" si="277"/>
        <v/>
      </c>
      <c r="C1436" s="953" t="str">
        <f t="shared" si="266"/>
        <v/>
      </c>
      <c r="D1436" s="953" t="str">
        <f t="shared" si="267"/>
        <v/>
      </c>
      <c r="E1436" s="953" t="str">
        <f t="shared" si="268"/>
        <v/>
      </c>
      <c r="F1436" s="953" t="str">
        <f t="shared" si="269"/>
        <v/>
      </c>
      <c r="G1436" s="953" t="str">
        <f t="shared" si="270"/>
        <v/>
      </c>
      <c r="H1436" s="953">
        <f t="shared" si="271"/>
        <v>0</v>
      </c>
      <c r="I1436" s="953">
        <f t="shared" si="272"/>
        <v>0</v>
      </c>
      <c r="J1436" s="953">
        <f t="shared" si="273"/>
        <v>0</v>
      </c>
      <c r="K1436" s="953" t="str">
        <f t="shared" si="274"/>
        <v/>
      </c>
      <c r="L1436" s="570" t="str">
        <f t="shared" si="275"/>
        <v/>
      </c>
      <c r="M1436" s="570" t="str">
        <f t="shared" si="276"/>
        <v/>
      </c>
    </row>
    <row r="1437" spans="1:13">
      <c r="A1437" s="570" t="str">
        <f t="shared" si="277"/>
        <v/>
      </c>
      <c r="C1437" s="953" t="str">
        <f t="shared" si="266"/>
        <v/>
      </c>
      <c r="D1437" s="953" t="str">
        <f t="shared" si="267"/>
        <v/>
      </c>
      <c r="E1437" s="953" t="str">
        <f t="shared" si="268"/>
        <v/>
      </c>
      <c r="F1437" s="953" t="str">
        <f t="shared" si="269"/>
        <v/>
      </c>
      <c r="G1437" s="953" t="str">
        <f t="shared" si="270"/>
        <v/>
      </c>
      <c r="H1437" s="953">
        <f t="shared" si="271"/>
        <v>0</v>
      </c>
      <c r="I1437" s="953">
        <f t="shared" si="272"/>
        <v>0</v>
      </c>
      <c r="J1437" s="953">
        <f t="shared" si="273"/>
        <v>0</v>
      </c>
      <c r="K1437" s="953" t="str">
        <f t="shared" si="274"/>
        <v/>
      </c>
      <c r="L1437" s="570" t="str">
        <f t="shared" si="275"/>
        <v/>
      </c>
      <c r="M1437" s="570" t="str">
        <f t="shared" si="276"/>
        <v/>
      </c>
    </row>
    <row r="1438" spans="1:13">
      <c r="A1438" s="570" t="str">
        <f t="shared" si="277"/>
        <v/>
      </c>
      <c r="C1438" s="953" t="str">
        <f t="shared" si="266"/>
        <v/>
      </c>
      <c r="D1438" s="953" t="str">
        <f t="shared" si="267"/>
        <v/>
      </c>
      <c r="E1438" s="953" t="str">
        <f t="shared" si="268"/>
        <v/>
      </c>
      <c r="F1438" s="953" t="str">
        <f t="shared" si="269"/>
        <v/>
      </c>
      <c r="G1438" s="953" t="str">
        <f t="shared" si="270"/>
        <v/>
      </c>
      <c r="H1438" s="953">
        <f t="shared" si="271"/>
        <v>0</v>
      </c>
      <c r="I1438" s="953">
        <f t="shared" si="272"/>
        <v>0</v>
      </c>
      <c r="J1438" s="953">
        <f t="shared" si="273"/>
        <v>0</v>
      </c>
      <c r="K1438" s="953" t="str">
        <f t="shared" si="274"/>
        <v/>
      </c>
      <c r="L1438" s="570" t="str">
        <f t="shared" si="275"/>
        <v/>
      </c>
      <c r="M1438" s="570" t="str">
        <f t="shared" si="276"/>
        <v/>
      </c>
    </row>
    <row r="1439" spans="1:13">
      <c r="A1439" s="570" t="str">
        <f t="shared" si="277"/>
        <v/>
      </c>
      <c r="C1439" s="953" t="str">
        <f t="shared" si="266"/>
        <v/>
      </c>
      <c r="D1439" s="953" t="str">
        <f t="shared" si="267"/>
        <v/>
      </c>
      <c r="E1439" s="953" t="str">
        <f t="shared" si="268"/>
        <v/>
      </c>
      <c r="F1439" s="953" t="str">
        <f t="shared" si="269"/>
        <v/>
      </c>
      <c r="G1439" s="953" t="str">
        <f t="shared" si="270"/>
        <v/>
      </c>
      <c r="H1439" s="953">
        <f t="shared" si="271"/>
        <v>0</v>
      </c>
      <c r="I1439" s="953">
        <f t="shared" si="272"/>
        <v>0</v>
      </c>
      <c r="J1439" s="953">
        <f t="shared" si="273"/>
        <v>0</v>
      </c>
      <c r="K1439" s="953" t="str">
        <f t="shared" si="274"/>
        <v/>
      </c>
      <c r="L1439" s="570" t="str">
        <f t="shared" si="275"/>
        <v/>
      </c>
      <c r="M1439" s="570" t="str">
        <f t="shared" si="276"/>
        <v/>
      </c>
    </row>
    <row r="1440" spans="1:13">
      <c r="A1440" s="570" t="str">
        <f t="shared" si="277"/>
        <v/>
      </c>
      <c r="C1440" s="953" t="str">
        <f t="shared" si="266"/>
        <v/>
      </c>
      <c r="D1440" s="953" t="str">
        <f t="shared" si="267"/>
        <v/>
      </c>
      <c r="E1440" s="953" t="str">
        <f t="shared" si="268"/>
        <v/>
      </c>
      <c r="F1440" s="953" t="str">
        <f t="shared" si="269"/>
        <v/>
      </c>
      <c r="G1440" s="953" t="str">
        <f t="shared" si="270"/>
        <v/>
      </c>
      <c r="H1440" s="953">
        <f t="shared" si="271"/>
        <v>0</v>
      </c>
      <c r="I1440" s="953">
        <f t="shared" si="272"/>
        <v>0</v>
      </c>
      <c r="J1440" s="953">
        <f t="shared" si="273"/>
        <v>0</v>
      </c>
      <c r="K1440" s="953" t="str">
        <f t="shared" si="274"/>
        <v/>
      </c>
      <c r="L1440" s="570" t="str">
        <f t="shared" si="275"/>
        <v/>
      </c>
      <c r="M1440" s="570" t="str">
        <f t="shared" si="276"/>
        <v/>
      </c>
    </row>
    <row r="1441" spans="1:13">
      <c r="A1441" s="570" t="str">
        <f t="shared" si="277"/>
        <v/>
      </c>
      <c r="C1441" s="953" t="str">
        <f t="shared" si="266"/>
        <v/>
      </c>
      <c r="D1441" s="953" t="str">
        <f t="shared" si="267"/>
        <v/>
      </c>
      <c r="E1441" s="953" t="str">
        <f t="shared" si="268"/>
        <v/>
      </c>
      <c r="F1441" s="953" t="str">
        <f t="shared" si="269"/>
        <v/>
      </c>
      <c r="G1441" s="953" t="str">
        <f t="shared" si="270"/>
        <v/>
      </c>
      <c r="H1441" s="953">
        <f t="shared" si="271"/>
        <v>0</v>
      </c>
      <c r="I1441" s="953">
        <f t="shared" si="272"/>
        <v>0</v>
      </c>
      <c r="J1441" s="953">
        <f t="shared" si="273"/>
        <v>0</v>
      </c>
      <c r="K1441" s="953" t="str">
        <f t="shared" si="274"/>
        <v/>
      </c>
      <c r="L1441" s="570" t="str">
        <f t="shared" si="275"/>
        <v/>
      </c>
      <c r="M1441" s="570" t="str">
        <f t="shared" si="276"/>
        <v/>
      </c>
    </row>
    <row r="1442" spans="1:13">
      <c r="A1442" s="570" t="str">
        <f t="shared" si="277"/>
        <v/>
      </c>
      <c r="C1442" s="953" t="str">
        <f t="shared" si="266"/>
        <v/>
      </c>
      <c r="D1442" s="953" t="str">
        <f t="shared" si="267"/>
        <v/>
      </c>
      <c r="E1442" s="953" t="str">
        <f t="shared" si="268"/>
        <v/>
      </c>
      <c r="F1442" s="953" t="str">
        <f t="shared" si="269"/>
        <v/>
      </c>
      <c r="G1442" s="953" t="str">
        <f t="shared" si="270"/>
        <v/>
      </c>
      <c r="H1442" s="953">
        <f t="shared" si="271"/>
        <v>0</v>
      </c>
      <c r="I1442" s="953">
        <f t="shared" si="272"/>
        <v>0</v>
      </c>
      <c r="J1442" s="953">
        <f t="shared" si="273"/>
        <v>0</v>
      </c>
      <c r="K1442" s="953" t="str">
        <f t="shared" si="274"/>
        <v/>
      </c>
      <c r="L1442" s="570" t="str">
        <f t="shared" si="275"/>
        <v/>
      </c>
      <c r="M1442" s="570" t="str">
        <f t="shared" si="276"/>
        <v/>
      </c>
    </row>
    <row r="1443" spans="1:13">
      <c r="A1443" s="570" t="str">
        <f t="shared" si="277"/>
        <v/>
      </c>
      <c r="C1443" s="953" t="str">
        <f t="shared" si="266"/>
        <v/>
      </c>
      <c r="D1443" s="953" t="str">
        <f t="shared" si="267"/>
        <v/>
      </c>
      <c r="E1443" s="953" t="str">
        <f t="shared" si="268"/>
        <v/>
      </c>
      <c r="F1443" s="953" t="str">
        <f t="shared" si="269"/>
        <v/>
      </c>
      <c r="G1443" s="953" t="str">
        <f t="shared" si="270"/>
        <v/>
      </c>
      <c r="H1443" s="953">
        <f t="shared" si="271"/>
        <v>0</v>
      </c>
      <c r="I1443" s="953">
        <f t="shared" si="272"/>
        <v>0</v>
      </c>
      <c r="J1443" s="953">
        <f t="shared" si="273"/>
        <v>0</v>
      </c>
      <c r="K1443" s="953" t="str">
        <f t="shared" si="274"/>
        <v/>
      </c>
      <c r="L1443" s="570" t="str">
        <f t="shared" si="275"/>
        <v/>
      </c>
      <c r="M1443" s="570" t="str">
        <f t="shared" si="276"/>
        <v/>
      </c>
    </row>
    <row r="1444" spans="1:13">
      <c r="A1444" s="570" t="str">
        <f t="shared" si="277"/>
        <v/>
      </c>
      <c r="C1444" s="953" t="str">
        <f t="shared" si="266"/>
        <v/>
      </c>
      <c r="D1444" s="953" t="str">
        <f t="shared" si="267"/>
        <v/>
      </c>
      <c r="E1444" s="953" t="str">
        <f t="shared" si="268"/>
        <v/>
      </c>
      <c r="F1444" s="953" t="str">
        <f t="shared" si="269"/>
        <v/>
      </c>
      <c r="G1444" s="953" t="str">
        <f t="shared" si="270"/>
        <v/>
      </c>
      <c r="H1444" s="953">
        <f t="shared" si="271"/>
        <v>0</v>
      </c>
      <c r="I1444" s="953">
        <f t="shared" si="272"/>
        <v>0</v>
      </c>
      <c r="J1444" s="953">
        <f t="shared" si="273"/>
        <v>0</v>
      </c>
      <c r="K1444" s="953" t="str">
        <f t="shared" si="274"/>
        <v/>
      </c>
      <c r="L1444" s="570" t="str">
        <f t="shared" si="275"/>
        <v/>
      </c>
      <c r="M1444" s="570" t="str">
        <f t="shared" si="276"/>
        <v/>
      </c>
    </row>
    <row r="1445" spans="1:13">
      <c r="A1445" s="570" t="str">
        <f t="shared" si="277"/>
        <v/>
      </c>
      <c r="C1445" s="953" t="str">
        <f t="shared" si="266"/>
        <v/>
      </c>
      <c r="D1445" s="953" t="str">
        <f t="shared" si="267"/>
        <v/>
      </c>
      <c r="E1445" s="953" t="str">
        <f t="shared" si="268"/>
        <v/>
      </c>
      <c r="F1445" s="953" t="str">
        <f t="shared" si="269"/>
        <v/>
      </c>
      <c r="G1445" s="953" t="str">
        <f t="shared" si="270"/>
        <v/>
      </c>
      <c r="H1445" s="953">
        <f t="shared" si="271"/>
        <v>0</v>
      </c>
      <c r="I1445" s="953">
        <f t="shared" si="272"/>
        <v>0</v>
      </c>
      <c r="J1445" s="953">
        <f t="shared" si="273"/>
        <v>0</v>
      </c>
      <c r="K1445" s="953" t="str">
        <f t="shared" si="274"/>
        <v/>
      </c>
      <c r="L1445" s="570" t="str">
        <f t="shared" si="275"/>
        <v/>
      </c>
      <c r="M1445" s="570" t="str">
        <f t="shared" si="276"/>
        <v/>
      </c>
    </row>
    <row r="1446" spans="1:13">
      <c r="A1446" s="570" t="str">
        <f t="shared" si="277"/>
        <v/>
      </c>
      <c r="C1446" s="953" t="str">
        <f t="shared" si="266"/>
        <v/>
      </c>
      <c r="D1446" s="953" t="str">
        <f t="shared" si="267"/>
        <v/>
      </c>
      <c r="E1446" s="953" t="str">
        <f t="shared" si="268"/>
        <v/>
      </c>
      <c r="F1446" s="953" t="str">
        <f t="shared" si="269"/>
        <v/>
      </c>
      <c r="G1446" s="953" t="str">
        <f t="shared" si="270"/>
        <v/>
      </c>
      <c r="H1446" s="953">
        <f t="shared" si="271"/>
        <v>0</v>
      </c>
      <c r="I1446" s="953">
        <f t="shared" si="272"/>
        <v>0</v>
      </c>
      <c r="J1446" s="953">
        <f t="shared" si="273"/>
        <v>0</v>
      </c>
      <c r="K1446" s="953" t="str">
        <f t="shared" si="274"/>
        <v/>
      </c>
      <c r="L1446" s="570" t="str">
        <f t="shared" si="275"/>
        <v/>
      </c>
      <c r="M1446" s="570" t="str">
        <f t="shared" si="276"/>
        <v/>
      </c>
    </row>
    <row r="1447" spans="1:13">
      <c r="A1447" s="570" t="str">
        <f t="shared" si="277"/>
        <v/>
      </c>
      <c r="C1447" s="953" t="str">
        <f t="shared" si="266"/>
        <v/>
      </c>
      <c r="D1447" s="953" t="str">
        <f t="shared" si="267"/>
        <v/>
      </c>
      <c r="E1447" s="953" t="str">
        <f t="shared" si="268"/>
        <v/>
      </c>
      <c r="F1447" s="953" t="str">
        <f t="shared" si="269"/>
        <v/>
      </c>
      <c r="G1447" s="953" t="str">
        <f t="shared" si="270"/>
        <v/>
      </c>
      <c r="H1447" s="953">
        <f t="shared" si="271"/>
        <v>0</v>
      </c>
      <c r="I1447" s="953">
        <f t="shared" si="272"/>
        <v>0</v>
      </c>
      <c r="J1447" s="953">
        <f t="shared" si="273"/>
        <v>0</v>
      </c>
      <c r="K1447" s="953" t="str">
        <f t="shared" si="274"/>
        <v/>
      </c>
      <c r="L1447" s="570" t="str">
        <f t="shared" si="275"/>
        <v/>
      </c>
      <c r="M1447" s="570" t="str">
        <f t="shared" si="276"/>
        <v/>
      </c>
    </row>
    <row r="1448" spans="1:13">
      <c r="A1448" s="570" t="str">
        <f t="shared" si="277"/>
        <v/>
      </c>
      <c r="C1448" s="953" t="str">
        <f t="shared" si="266"/>
        <v/>
      </c>
      <c r="D1448" s="953" t="str">
        <f t="shared" si="267"/>
        <v/>
      </c>
      <c r="E1448" s="953" t="str">
        <f t="shared" si="268"/>
        <v/>
      </c>
      <c r="F1448" s="953" t="str">
        <f t="shared" si="269"/>
        <v/>
      </c>
      <c r="G1448" s="953" t="str">
        <f t="shared" si="270"/>
        <v/>
      </c>
      <c r="H1448" s="953">
        <f t="shared" si="271"/>
        <v>0</v>
      </c>
      <c r="I1448" s="953">
        <f t="shared" si="272"/>
        <v>0</v>
      </c>
      <c r="J1448" s="953">
        <f t="shared" si="273"/>
        <v>0</v>
      </c>
      <c r="K1448" s="953" t="str">
        <f t="shared" si="274"/>
        <v/>
      </c>
      <c r="L1448" s="570" t="str">
        <f t="shared" si="275"/>
        <v/>
      </c>
      <c r="M1448" s="570" t="str">
        <f t="shared" si="276"/>
        <v/>
      </c>
    </row>
    <row r="1449" spans="1:13">
      <c r="A1449" s="570" t="str">
        <f t="shared" si="277"/>
        <v/>
      </c>
      <c r="C1449" s="953" t="str">
        <f t="shared" si="266"/>
        <v/>
      </c>
      <c r="D1449" s="953" t="str">
        <f t="shared" si="267"/>
        <v/>
      </c>
      <c r="E1449" s="953" t="str">
        <f t="shared" si="268"/>
        <v/>
      </c>
      <c r="F1449" s="953" t="str">
        <f t="shared" si="269"/>
        <v/>
      </c>
      <c r="G1449" s="953" t="str">
        <f t="shared" si="270"/>
        <v/>
      </c>
      <c r="H1449" s="953">
        <f t="shared" si="271"/>
        <v>0</v>
      </c>
      <c r="I1449" s="953">
        <f t="shared" si="272"/>
        <v>0</v>
      </c>
      <c r="J1449" s="953">
        <f t="shared" si="273"/>
        <v>0</v>
      </c>
      <c r="K1449" s="953" t="str">
        <f t="shared" si="274"/>
        <v/>
      </c>
      <c r="L1449" s="570" t="str">
        <f t="shared" si="275"/>
        <v/>
      </c>
      <c r="M1449" s="570" t="str">
        <f t="shared" si="276"/>
        <v/>
      </c>
    </row>
    <row r="1450" spans="1:13">
      <c r="A1450" s="570" t="str">
        <f t="shared" si="277"/>
        <v/>
      </c>
      <c r="C1450" s="953" t="str">
        <f t="shared" si="266"/>
        <v/>
      </c>
      <c r="D1450" s="953" t="str">
        <f t="shared" si="267"/>
        <v/>
      </c>
      <c r="E1450" s="953" t="str">
        <f t="shared" si="268"/>
        <v/>
      </c>
      <c r="F1450" s="953" t="str">
        <f t="shared" si="269"/>
        <v/>
      </c>
      <c r="G1450" s="953" t="str">
        <f t="shared" si="270"/>
        <v/>
      </c>
      <c r="H1450" s="953">
        <f t="shared" si="271"/>
        <v>0</v>
      </c>
      <c r="I1450" s="953">
        <f t="shared" si="272"/>
        <v>0</v>
      </c>
      <c r="J1450" s="953">
        <f t="shared" si="273"/>
        <v>0</v>
      </c>
      <c r="K1450" s="953" t="str">
        <f t="shared" si="274"/>
        <v/>
      </c>
      <c r="L1450" s="570" t="str">
        <f t="shared" si="275"/>
        <v/>
      </c>
      <c r="M1450" s="570" t="str">
        <f t="shared" si="276"/>
        <v/>
      </c>
    </row>
    <row r="1451" spans="1:13">
      <c r="A1451" s="570" t="str">
        <f t="shared" si="277"/>
        <v/>
      </c>
      <c r="C1451" s="953" t="str">
        <f t="shared" si="266"/>
        <v/>
      </c>
      <c r="D1451" s="953" t="str">
        <f t="shared" si="267"/>
        <v/>
      </c>
      <c r="E1451" s="953" t="str">
        <f t="shared" si="268"/>
        <v/>
      </c>
      <c r="F1451" s="953" t="str">
        <f t="shared" si="269"/>
        <v/>
      </c>
      <c r="G1451" s="953" t="str">
        <f t="shared" si="270"/>
        <v/>
      </c>
      <c r="H1451" s="953">
        <f t="shared" si="271"/>
        <v>0</v>
      </c>
      <c r="I1451" s="953">
        <f t="shared" si="272"/>
        <v>0</v>
      </c>
      <c r="J1451" s="953">
        <f t="shared" si="273"/>
        <v>0</v>
      </c>
      <c r="K1451" s="953" t="str">
        <f t="shared" si="274"/>
        <v/>
      </c>
      <c r="L1451" s="570" t="str">
        <f t="shared" si="275"/>
        <v/>
      </c>
      <c r="M1451" s="570" t="str">
        <f t="shared" si="276"/>
        <v/>
      </c>
    </row>
    <row r="1452" spans="1:13">
      <c r="A1452" s="570" t="str">
        <f t="shared" si="277"/>
        <v/>
      </c>
      <c r="C1452" s="953" t="str">
        <f t="shared" si="266"/>
        <v/>
      </c>
      <c r="D1452" s="953" t="str">
        <f t="shared" si="267"/>
        <v/>
      </c>
      <c r="E1452" s="953" t="str">
        <f t="shared" si="268"/>
        <v/>
      </c>
      <c r="F1452" s="953" t="str">
        <f t="shared" si="269"/>
        <v/>
      </c>
      <c r="G1452" s="953" t="str">
        <f t="shared" si="270"/>
        <v/>
      </c>
      <c r="H1452" s="953">
        <f t="shared" si="271"/>
        <v>0</v>
      </c>
      <c r="I1452" s="953">
        <f t="shared" si="272"/>
        <v>0</v>
      </c>
      <c r="J1452" s="953">
        <f t="shared" si="273"/>
        <v>0</v>
      </c>
      <c r="K1452" s="953" t="str">
        <f t="shared" si="274"/>
        <v/>
      </c>
      <c r="L1452" s="570" t="str">
        <f t="shared" si="275"/>
        <v/>
      </c>
      <c r="M1452" s="570" t="str">
        <f t="shared" si="276"/>
        <v/>
      </c>
    </row>
    <row r="1453" spans="1:13">
      <c r="A1453" s="570" t="str">
        <f t="shared" si="277"/>
        <v/>
      </c>
      <c r="C1453" s="953" t="str">
        <f t="shared" si="266"/>
        <v/>
      </c>
      <c r="D1453" s="953" t="str">
        <f t="shared" si="267"/>
        <v/>
      </c>
      <c r="E1453" s="953" t="str">
        <f t="shared" si="268"/>
        <v/>
      </c>
      <c r="F1453" s="953" t="str">
        <f t="shared" si="269"/>
        <v/>
      </c>
      <c r="G1453" s="953" t="str">
        <f t="shared" si="270"/>
        <v/>
      </c>
      <c r="H1453" s="953">
        <f t="shared" si="271"/>
        <v>0</v>
      </c>
      <c r="I1453" s="953">
        <f t="shared" si="272"/>
        <v>0</v>
      </c>
      <c r="J1453" s="953">
        <f t="shared" si="273"/>
        <v>0</v>
      </c>
      <c r="K1453" s="953" t="str">
        <f t="shared" si="274"/>
        <v/>
      </c>
      <c r="L1453" s="570" t="str">
        <f t="shared" si="275"/>
        <v/>
      </c>
      <c r="M1453" s="570" t="str">
        <f t="shared" si="276"/>
        <v/>
      </c>
    </row>
    <row r="1454" spans="1:13">
      <c r="A1454" s="570" t="str">
        <f t="shared" si="277"/>
        <v/>
      </c>
      <c r="C1454" s="953" t="str">
        <f t="shared" si="266"/>
        <v/>
      </c>
      <c r="D1454" s="953" t="str">
        <f t="shared" si="267"/>
        <v/>
      </c>
      <c r="E1454" s="953" t="str">
        <f t="shared" si="268"/>
        <v/>
      </c>
      <c r="F1454" s="953" t="str">
        <f t="shared" si="269"/>
        <v/>
      </c>
      <c r="G1454" s="953" t="str">
        <f t="shared" si="270"/>
        <v/>
      </c>
      <c r="H1454" s="953">
        <f t="shared" si="271"/>
        <v>0</v>
      </c>
      <c r="I1454" s="953">
        <f t="shared" si="272"/>
        <v>0</v>
      </c>
      <c r="J1454" s="953">
        <f t="shared" si="273"/>
        <v>0</v>
      </c>
      <c r="K1454" s="953" t="str">
        <f t="shared" si="274"/>
        <v/>
      </c>
      <c r="L1454" s="570" t="str">
        <f t="shared" si="275"/>
        <v/>
      </c>
      <c r="M1454" s="570" t="str">
        <f t="shared" si="276"/>
        <v/>
      </c>
    </row>
    <row r="1455" spans="1:13">
      <c r="A1455" s="570" t="str">
        <f t="shared" si="277"/>
        <v/>
      </c>
      <c r="C1455" s="953" t="str">
        <f t="shared" si="266"/>
        <v/>
      </c>
      <c r="D1455" s="953" t="str">
        <f t="shared" si="267"/>
        <v/>
      </c>
      <c r="E1455" s="953" t="str">
        <f t="shared" si="268"/>
        <v/>
      </c>
      <c r="F1455" s="953" t="str">
        <f t="shared" si="269"/>
        <v/>
      </c>
      <c r="G1455" s="953" t="str">
        <f t="shared" si="270"/>
        <v/>
      </c>
      <c r="H1455" s="953">
        <f t="shared" si="271"/>
        <v>0</v>
      </c>
      <c r="I1455" s="953">
        <f t="shared" si="272"/>
        <v>0</v>
      </c>
      <c r="J1455" s="953">
        <f t="shared" si="273"/>
        <v>0</v>
      </c>
      <c r="K1455" s="953" t="str">
        <f t="shared" si="274"/>
        <v/>
      </c>
      <c r="L1455" s="570" t="str">
        <f t="shared" si="275"/>
        <v/>
      </c>
      <c r="M1455" s="570" t="str">
        <f t="shared" si="276"/>
        <v/>
      </c>
    </row>
    <row r="1456" spans="1:13">
      <c r="A1456" s="570" t="str">
        <f t="shared" si="277"/>
        <v/>
      </c>
      <c r="C1456" s="953" t="str">
        <f t="shared" si="266"/>
        <v/>
      </c>
      <c r="D1456" s="953" t="str">
        <f t="shared" si="267"/>
        <v/>
      </c>
      <c r="E1456" s="953" t="str">
        <f t="shared" si="268"/>
        <v/>
      </c>
      <c r="F1456" s="953" t="str">
        <f t="shared" si="269"/>
        <v/>
      </c>
      <c r="G1456" s="953" t="str">
        <f t="shared" si="270"/>
        <v/>
      </c>
      <c r="H1456" s="953">
        <f t="shared" si="271"/>
        <v>0</v>
      </c>
      <c r="I1456" s="953">
        <f t="shared" si="272"/>
        <v>0</v>
      </c>
      <c r="J1456" s="953">
        <f t="shared" si="273"/>
        <v>0</v>
      </c>
      <c r="K1456" s="953" t="str">
        <f t="shared" si="274"/>
        <v/>
      </c>
      <c r="L1456" s="570" t="str">
        <f t="shared" si="275"/>
        <v/>
      </c>
      <c r="M1456" s="570" t="str">
        <f t="shared" si="276"/>
        <v/>
      </c>
    </row>
    <row r="1457" spans="1:13">
      <c r="A1457" s="570" t="str">
        <f t="shared" si="277"/>
        <v/>
      </c>
      <c r="C1457" s="953" t="str">
        <f t="shared" si="266"/>
        <v/>
      </c>
      <c r="D1457" s="953" t="str">
        <f t="shared" si="267"/>
        <v/>
      </c>
      <c r="E1457" s="953" t="str">
        <f t="shared" si="268"/>
        <v/>
      </c>
      <c r="F1457" s="953" t="str">
        <f t="shared" si="269"/>
        <v/>
      </c>
      <c r="G1457" s="953" t="str">
        <f t="shared" si="270"/>
        <v/>
      </c>
      <c r="H1457" s="953">
        <f t="shared" si="271"/>
        <v>0</v>
      </c>
      <c r="I1457" s="953">
        <f t="shared" si="272"/>
        <v>0</v>
      </c>
      <c r="J1457" s="953">
        <f t="shared" si="273"/>
        <v>0</v>
      </c>
      <c r="K1457" s="953" t="str">
        <f t="shared" si="274"/>
        <v/>
      </c>
      <c r="L1457" s="570" t="str">
        <f t="shared" si="275"/>
        <v/>
      </c>
      <c r="M1457" s="570" t="str">
        <f t="shared" si="276"/>
        <v/>
      </c>
    </row>
    <row r="1458" spans="1:13">
      <c r="A1458" s="570" t="str">
        <f t="shared" si="277"/>
        <v/>
      </c>
      <c r="C1458" s="953" t="str">
        <f t="shared" si="266"/>
        <v/>
      </c>
      <c r="D1458" s="953" t="str">
        <f t="shared" si="267"/>
        <v/>
      </c>
      <c r="E1458" s="953" t="str">
        <f t="shared" si="268"/>
        <v/>
      </c>
      <c r="F1458" s="953" t="str">
        <f t="shared" si="269"/>
        <v/>
      </c>
      <c r="G1458" s="953" t="str">
        <f t="shared" si="270"/>
        <v/>
      </c>
      <c r="H1458" s="953">
        <f t="shared" si="271"/>
        <v>0</v>
      </c>
      <c r="I1458" s="953">
        <f t="shared" si="272"/>
        <v>0</v>
      </c>
      <c r="J1458" s="953">
        <f t="shared" si="273"/>
        <v>0</v>
      </c>
      <c r="K1458" s="953" t="str">
        <f t="shared" si="274"/>
        <v/>
      </c>
      <c r="L1458" s="570" t="str">
        <f t="shared" si="275"/>
        <v/>
      </c>
      <c r="M1458" s="570" t="str">
        <f t="shared" si="276"/>
        <v/>
      </c>
    </row>
    <row r="1459" spans="1:13">
      <c r="A1459" s="570" t="str">
        <f t="shared" si="277"/>
        <v/>
      </c>
      <c r="C1459" s="953" t="str">
        <f t="shared" si="266"/>
        <v/>
      </c>
      <c r="D1459" s="953" t="str">
        <f t="shared" si="267"/>
        <v/>
      </c>
      <c r="E1459" s="953" t="str">
        <f t="shared" si="268"/>
        <v/>
      </c>
      <c r="F1459" s="953" t="str">
        <f t="shared" si="269"/>
        <v/>
      </c>
      <c r="G1459" s="953" t="str">
        <f t="shared" si="270"/>
        <v/>
      </c>
      <c r="H1459" s="953">
        <f t="shared" si="271"/>
        <v>0</v>
      </c>
      <c r="I1459" s="953">
        <f t="shared" si="272"/>
        <v>0</v>
      </c>
      <c r="J1459" s="953">
        <f t="shared" si="273"/>
        <v>0</v>
      </c>
      <c r="K1459" s="953" t="str">
        <f t="shared" si="274"/>
        <v/>
      </c>
      <c r="L1459" s="570" t="str">
        <f t="shared" si="275"/>
        <v/>
      </c>
      <c r="M1459" s="570" t="str">
        <f t="shared" si="276"/>
        <v/>
      </c>
    </row>
    <row r="1460" spans="1:13">
      <c r="A1460" s="570" t="str">
        <f t="shared" si="277"/>
        <v/>
      </c>
      <c r="C1460" s="953" t="str">
        <f t="shared" si="266"/>
        <v/>
      </c>
      <c r="D1460" s="953" t="str">
        <f t="shared" si="267"/>
        <v/>
      </c>
      <c r="E1460" s="953" t="str">
        <f t="shared" si="268"/>
        <v/>
      </c>
      <c r="F1460" s="953" t="str">
        <f t="shared" si="269"/>
        <v/>
      </c>
      <c r="G1460" s="953" t="str">
        <f t="shared" si="270"/>
        <v/>
      </c>
      <c r="H1460" s="953">
        <f t="shared" si="271"/>
        <v>0</v>
      </c>
      <c r="I1460" s="953">
        <f t="shared" si="272"/>
        <v>0</v>
      </c>
      <c r="J1460" s="953">
        <f t="shared" si="273"/>
        <v>0</v>
      </c>
      <c r="K1460" s="953" t="str">
        <f t="shared" si="274"/>
        <v/>
      </c>
      <c r="L1460" s="570" t="str">
        <f t="shared" si="275"/>
        <v/>
      </c>
      <c r="M1460" s="570" t="str">
        <f t="shared" si="276"/>
        <v/>
      </c>
    </row>
    <row r="1461" spans="1:13">
      <c r="A1461" s="570" t="str">
        <f t="shared" si="277"/>
        <v/>
      </c>
      <c r="C1461" s="953" t="str">
        <f t="shared" si="266"/>
        <v/>
      </c>
      <c r="D1461" s="953" t="str">
        <f t="shared" si="267"/>
        <v/>
      </c>
      <c r="E1461" s="953" t="str">
        <f t="shared" si="268"/>
        <v/>
      </c>
      <c r="F1461" s="953" t="str">
        <f t="shared" si="269"/>
        <v/>
      </c>
      <c r="G1461" s="953" t="str">
        <f t="shared" si="270"/>
        <v/>
      </c>
      <c r="H1461" s="953">
        <f t="shared" si="271"/>
        <v>0</v>
      </c>
      <c r="I1461" s="953">
        <f t="shared" si="272"/>
        <v>0</v>
      </c>
      <c r="J1461" s="953">
        <f t="shared" si="273"/>
        <v>0</v>
      </c>
      <c r="K1461" s="953" t="str">
        <f t="shared" si="274"/>
        <v/>
      </c>
      <c r="L1461" s="570" t="str">
        <f t="shared" si="275"/>
        <v/>
      </c>
      <c r="M1461" s="570" t="str">
        <f t="shared" si="276"/>
        <v/>
      </c>
    </row>
    <row r="1462" spans="1:13">
      <c r="A1462" s="570" t="str">
        <f t="shared" si="277"/>
        <v/>
      </c>
      <c r="C1462" s="953" t="str">
        <f t="shared" si="266"/>
        <v/>
      </c>
      <c r="D1462" s="953" t="str">
        <f t="shared" si="267"/>
        <v/>
      </c>
      <c r="E1462" s="953" t="str">
        <f t="shared" si="268"/>
        <v/>
      </c>
      <c r="F1462" s="953" t="str">
        <f t="shared" si="269"/>
        <v/>
      </c>
      <c r="G1462" s="953" t="str">
        <f t="shared" si="270"/>
        <v/>
      </c>
      <c r="H1462" s="953">
        <f t="shared" si="271"/>
        <v>0</v>
      </c>
      <c r="I1462" s="953">
        <f t="shared" si="272"/>
        <v>0</v>
      </c>
      <c r="J1462" s="953">
        <f t="shared" si="273"/>
        <v>0</v>
      </c>
      <c r="K1462" s="953" t="str">
        <f t="shared" si="274"/>
        <v/>
      </c>
      <c r="L1462" s="570" t="str">
        <f t="shared" si="275"/>
        <v/>
      </c>
      <c r="M1462" s="570" t="str">
        <f t="shared" si="276"/>
        <v/>
      </c>
    </row>
    <row r="1463" spans="1:13">
      <c r="A1463" s="570" t="str">
        <f t="shared" si="277"/>
        <v/>
      </c>
      <c r="C1463" s="953" t="str">
        <f t="shared" si="266"/>
        <v/>
      </c>
      <c r="D1463" s="953" t="str">
        <f t="shared" si="267"/>
        <v/>
      </c>
      <c r="E1463" s="953" t="str">
        <f t="shared" si="268"/>
        <v/>
      </c>
      <c r="F1463" s="953" t="str">
        <f t="shared" si="269"/>
        <v/>
      </c>
      <c r="G1463" s="953" t="str">
        <f t="shared" si="270"/>
        <v/>
      </c>
      <c r="H1463" s="953">
        <f t="shared" si="271"/>
        <v>0</v>
      </c>
      <c r="I1463" s="953">
        <f t="shared" si="272"/>
        <v>0</v>
      </c>
      <c r="J1463" s="953">
        <f t="shared" si="273"/>
        <v>0</v>
      </c>
      <c r="K1463" s="953" t="str">
        <f t="shared" si="274"/>
        <v/>
      </c>
      <c r="L1463" s="570" t="str">
        <f t="shared" si="275"/>
        <v/>
      </c>
      <c r="M1463" s="570" t="str">
        <f t="shared" si="276"/>
        <v/>
      </c>
    </row>
    <row r="1464" spans="1:13">
      <c r="A1464" s="570" t="str">
        <f t="shared" si="277"/>
        <v/>
      </c>
      <c r="C1464" s="953" t="str">
        <f t="shared" si="266"/>
        <v/>
      </c>
      <c r="D1464" s="953" t="str">
        <f t="shared" si="267"/>
        <v/>
      </c>
      <c r="E1464" s="953" t="str">
        <f t="shared" si="268"/>
        <v/>
      </c>
      <c r="F1464" s="953" t="str">
        <f t="shared" si="269"/>
        <v/>
      </c>
      <c r="G1464" s="953" t="str">
        <f t="shared" si="270"/>
        <v/>
      </c>
      <c r="H1464" s="953">
        <f t="shared" si="271"/>
        <v>0</v>
      </c>
      <c r="I1464" s="953">
        <f t="shared" si="272"/>
        <v>0</v>
      </c>
      <c r="J1464" s="953">
        <f t="shared" si="273"/>
        <v>0</v>
      </c>
      <c r="K1464" s="953" t="str">
        <f t="shared" si="274"/>
        <v/>
      </c>
      <c r="L1464" s="570" t="str">
        <f t="shared" si="275"/>
        <v/>
      </c>
      <c r="M1464" s="570" t="str">
        <f t="shared" si="276"/>
        <v/>
      </c>
    </row>
    <row r="1465" spans="1:13">
      <c r="A1465" s="570" t="str">
        <f t="shared" si="277"/>
        <v/>
      </c>
      <c r="C1465" s="953" t="str">
        <f t="shared" si="266"/>
        <v/>
      </c>
      <c r="D1465" s="953" t="str">
        <f t="shared" si="267"/>
        <v/>
      </c>
      <c r="E1465" s="953" t="str">
        <f t="shared" si="268"/>
        <v/>
      </c>
      <c r="F1465" s="953" t="str">
        <f t="shared" si="269"/>
        <v/>
      </c>
      <c r="G1465" s="953" t="str">
        <f t="shared" si="270"/>
        <v/>
      </c>
      <c r="H1465" s="953">
        <f t="shared" si="271"/>
        <v>0</v>
      </c>
      <c r="I1465" s="953">
        <f t="shared" si="272"/>
        <v>0</v>
      </c>
      <c r="J1465" s="953">
        <f t="shared" si="273"/>
        <v>0</v>
      </c>
      <c r="K1465" s="953" t="str">
        <f t="shared" si="274"/>
        <v/>
      </c>
      <c r="L1465" s="570" t="str">
        <f t="shared" si="275"/>
        <v/>
      </c>
      <c r="M1465" s="570" t="str">
        <f t="shared" si="276"/>
        <v/>
      </c>
    </row>
    <row r="1466" spans="1:13">
      <c r="A1466" s="570" t="str">
        <f t="shared" si="277"/>
        <v/>
      </c>
      <c r="C1466" s="953" t="str">
        <f t="shared" si="266"/>
        <v/>
      </c>
      <c r="D1466" s="953" t="str">
        <f t="shared" si="267"/>
        <v/>
      </c>
      <c r="E1466" s="953" t="str">
        <f t="shared" si="268"/>
        <v/>
      </c>
      <c r="F1466" s="953" t="str">
        <f t="shared" si="269"/>
        <v/>
      </c>
      <c r="G1466" s="953" t="str">
        <f t="shared" si="270"/>
        <v/>
      </c>
      <c r="H1466" s="953">
        <f t="shared" si="271"/>
        <v>0</v>
      </c>
      <c r="I1466" s="953">
        <f t="shared" si="272"/>
        <v>0</v>
      </c>
      <c r="J1466" s="953">
        <f t="shared" si="273"/>
        <v>0</v>
      </c>
      <c r="K1466" s="953" t="str">
        <f t="shared" si="274"/>
        <v/>
      </c>
      <c r="L1466" s="570" t="str">
        <f t="shared" si="275"/>
        <v/>
      </c>
      <c r="M1466" s="570" t="str">
        <f t="shared" si="276"/>
        <v/>
      </c>
    </row>
    <row r="1467" spans="1:13">
      <c r="A1467" s="570" t="str">
        <f t="shared" si="277"/>
        <v/>
      </c>
      <c r="C1467" s="953" t="str">
        <f t="shared" si="266"/>
        <v/>
      </c>
      <c r="D1467" s="953" t="str">
        <f t="shared" si="267"/>
        <v/>
      </c>
      <c r="E1467" s="953" t="str">
        <f t="shared" si="268"/>
        <v/>
      </c>
      <c r="F1467" s="953" t="str">
        <f t="shared" si="269"/>
        <v/>
      </c>
      <c r="G1467" s="953" t="str">
        <f t="shared" si="270"/>
        <v/>
      </c>
      <c r="H1467" s="953">
        <f t="shared" si="271"/>
        <v>0</v>
      </c>
      <c r="I1467" s="953">
        <f t="shared" si="272"/>
        <v>0</v>
      </c>
      <c r="J1467" s="953">
        <f t="shared" si="273"/>
        <v>0</v>
      </c>
      <c r="K1467" s="953" t="str">
        <f t="shared" si="274"/>
        <v/>
      </c>
      <c r="L1467" s="570" t="str">
        <f t="shared" si="275"/>
        <v/>
      </c>
      <c r="M1467" s="570" t="str">
        <f t="shared" si="276"/>
        <v/>
      </c>
    </row>
    <row r="1468" spans="1:13">
      <c r="A1468" s="570" t="str">
        <f t="shared" si="277"/>
        <v/>
      </c>
      <c r="C1468" s="953" t="str">
        <f t="shared" si="266"/>
        <v/>
      </c>
      <c r="D1468" s="953" t="str">
        <f t="shared" si="267"/>
        <v/>
      </c>
      <c r="E1468" s="953" t="str">
        <f t="shared" si="268"/>
        <v/>
      </c>
      <c r="F1468" s="953" t="str">
        <f t="shared" si="269"/>
        <v/>
      </c>
      <c r="G1468" s="953" t="str">
        <f t="shared" si="270"/>
        <v/>
      </c>
      <c r="H1468" s="953">
        <f t="shared" si="271"/>
        <v>0</v>
      </c>
      <c r="I1468" s="953">
        <f t="shared" si="272"/>
        <v>0</v>
      </c>
      <c r="J1468" s="953">
        <f t="shared" si="273"/>
        <v>0</v>
      </c>
      <c r="K1468" s="953" t="str">
        <f t="shared" si="274"/>
        <v/>
      </c>
      <c r="L1468" s="570" t="str">
        <f t="shared" si="275"/>
        <v/>
      </c>
      <c r="M1468" s="570" t="str">
        <f t="shared" si="276"/>
        <v/>
      </c>
    </row>
    <row r="1469" spans="1:13">
      <c r="A1469" s="570" t="str">
        <f t="shared" si="277"/>
        <v/>
      </c>
      <c r="C1469" s="953" t="str">
        <f t="shared" si="266"/>
        <v/>
      </c>
      <c r="D1469" s="953" t="str">
        <f t="shared" si="267"/>
        <v/>
      </c>
      <c r="E1469" s="953" t="str">
        <f t="shared" si="268"/>
        <v/>
      </c>
      <c r="F1469" s="953" t="str">
        <f t="shared" si="269"/>
        <v/>
      </c>
      <c r="G1469" s="953" t="str">
        <f t="shared" si="270"/>
        <v/>
      </c>
      <c r="H1469" s="953">
        <f t="shared" si="271"/>
        <v>0</v>
      </c>
      <c r="I1469" s="953">
        <f t="shared" si="272"/>
        <v>0</v>
      </c>
      <c r="J1469" s="953">
        <f t="shared" si="273"/>
        <v>0</v>
      </c>
      <c r="K1469" s="953" t="str">
        <f t="shared" si="274"/>
        <v/>
      </c>
      <c r="L1469" s="570" t="str">
        <f t="shared" si="275"/>
        <v/>
      </c>
      <c r="M1469" s="570" t="str">
        <f t="shared" si="276"/>
        <v/>
      </c>
    </row>
    <row r="1470" spans="1:13">
      <c r="A1470" s="570" t="str">
        <f t="shared" si="277"/>
        <v/>
      </c>
      <c r="C1470" s="953" t="str">
        <f t="shared" si="266"/>
        <v/>
      </c>
      <c r="D1470" s="953" t="str">
        <f t="shared" si="267"/>
        <v/>
      </c>
      <c r="E1470" s="953" t="str">
        <f t="shared" si="268"/>
        <v/>
      </c>
      <c r="F1470" s="953" t="str">
        <f t="shared" si="269"/>
        <v/>
      </c>
      <c r="G1470" s="953" t="str">
        <f t="shared" si="270"/>
        <v/>
      </c>
      <c r="H1470" s="953">
        <f t="shared" si="271"/>
        <v>0</v>
      </c>
      <c r="I1470" s="953">
        <f t="shared" si="272"/>
        <v>0</v>
      </c>
      <c r="J1470" s="953">
        <f t="shared" si="273"/>
        <v>0</v>
      </c>
      <c r="K1470" s="953" t="str">
        <f t="shared" si="274"/>
        <v/>
      </c>
      <c r="L1470" s="570" t="str">
        <f t="shared" si="275"/>
        <v/>
      </c>
      <c r="M1470" s="570" t="str">
        <f t="shared" si="276"/>
        <v/>
      </c>
    </row>
    <row r="1471" spans="1:13">
      <c r="A1471" s="570" t="str">
        <f t="shared" si="277"/>
        <v/>
      </c>
      <c r="C1471" s="953" t="str">
        <f t="shared" si="266"/>
        <v/>
      </c>
      <c r="D1471" s="953" t="str">
        <f t="shared" si="267"/>
        <v/>
      </c>
      <c r="E1471" s="953" t="str">
        <f t="shared" si="268"/>
        <v/>
      </c>
      <c r="F1471" s="953" t="str">
        <f t="shared" si="269"/>
        <v/>
      </c>
      <c r="G1471" s="953" t="str">
        <f t="shared" si="270"/>
        <v/>
      </c>
      <c r="H1471" s="953">
        <f t="shared" si="271"/>
        <v>0</v>
      </c>
      <c r="I1471" s="953">
        <f t="shared" si="272"/>
        <v>0</v>
      </c>
      <c r="J1471" s="953">
        <f t="shared" si="273"/>
        <v>0</v>
      </c>
      <c r="K1471" s="953" t="str">
        <f t="shared" si="274"/>
        <v/>
      </c>
      <c r="L1471" s="570" t="str">
        <f t="shared" si="275"/>
        <v/>
      </c>
      <c r="M1471" s="570" t="str">
        <f t="shared" si="276"/>
        <v/>
      </c>
    </row>
    <row r="1472" spans="1:13">
      <c r="A1472" s="570" t="str">
        <f t="shared" si="277"/>
        <v/>
      </c>
      <c r="C1472" s="953" t="str">
        <f t="shared" si="266"/>
        <v/>
      </c>
      <c r="D1472" s="953" t="str">
        <f t="shared" si="267"/>
        <v/>
      </c>
      <c r="E1472" s="953" t="str">
        <f t="shared" si="268"/>
        <v/>
      </c>
      <c r="F1472" s="953" t="str">
        <f t="shared" si="269"/>
        <v/>
      </c>
      <c r="G1472" s="953" t="str">
        <f t="shared" si="270"/>
        <v/>
      </c>
      <c r="H1472" s="953">
        <f t="shared" si="271"/>
        <v>0</v>
      </c>
      <c r="I1472" s="953">
        <f t="shared" si="272"/>
        <v>0</v>
      </c>
      <c r="J1472" s="953">
        <f t="shared" si="273"/>
        <v>0</v>
      </c>
      <c r="K1472" s="953" t="str">
        <f t="shared" si="274"/>
        <v/>
      </c>
      <c r="L1472" s="570" t="str">
        <f t="shared" si="275"/>
        <v/>
      </c>
      <c r="M1472" s="570" t="str">
        <f t="shared" si="276"/>
        <v/>
      </c>
    </row>
    <row r="1473" spans="1:13">
      <c r="A1473" s="570" t="str">
        <f t="shared" si="277"/>
        <v/>
      </c>
      <c r="C1473" s="953" t="str">
        <f t="shared" si="266"/>
        <v/>
      </c>
      <c r="D1473" s="953" t="str">
        <f t="shared" si="267"/>
        <v/>
      </c>
      <c r="E1473" s="953" t="str">
        <f t="shared" si="268"/>
        <v/>
      </c>
      <c r="F1473" s="953" t="str">
        <f t="shared" si="269"/>
        <v/>
      </c>
      <c r="G1473" s="953" t="str">
        <f t="shared" si="270"/>
        <v/>
      </c>
      <c r="H1473" s="953">
        <f t="shared" si="271"/>
        <v>0</v>
      </c>
      <c r="I1473" s="953">
        <f t="shared" si="272"/>
        <v>0</v>
      </c>
      <c r="J1473" s="953">
        <f t="shared" si="273"/>
        <v>0</v>
      </c>
      <c r="K1473" s="953" t="str">
        <f t="shared" si="274"/>
        <v/>
      </c>
      <c r="L1473" s="570" t="str">
        <f t="shared" si="275"/>
        <v/>
      </c>
      <c r="M1473" s="570" t="str">
        <f t="shared" si="276"/>
        <v/>
      </c>
    </row>
    <row r="1474" spans="1:13">
      <c r="A1474" s="570" t="str">
        <f t="shared" si="277"/>
        <v/>
      </c>
      <c r="C1474" s="953" t="str">
        <f t="shared" ref="C1474:C1537" si="278">IF(Etabs="Etabs 9.7.4",IF(INDEX(Mode_1,ROW($E1474),COLUMN(A$1))&lt;&gt;"",INDEX(Mode_1,ROW($E1474),COLUMN(A$1)),""),IF(Etabs="Etabs 2013 trở lên",IF(INDEX(Mode_2,ROW($E1476),COLUMN(A$1))&lt;&gt;"",INDEX(Mode_2,ROW($E1476),COLUMN(A$1)),""),""))</f>
        <v/>
      </c>
      <c r="D1474" s="953" t="str">
        <f t="shared" ref="D1474:D1537" si="279">IF(Etabs="Etabs 9.7.4",IF(INDEX(Mode_1,ROW($E1474),COLUMN(B$1))&lt;&gt;"",INDEX(Mode_1,ROW($E1474),COLUMN(B$1)),""),IF(Etabs="Etabs 2013 trở lên",IF(INDEX(Mode_2,ROW($E1476),COLUMN(B$1))&lt;&gt;"",INDEX(Mode_2,ROW($E1476),COLUMN(B$1)),""),""))</f>
        <v/>
      </c>
      <c r="E1474" s="953" t="str">
        <f t="shared" ref="E1474:E1537" si="280">IF(Etabs="Etabs 9.7.4",IF(INDEX(Mode_1,ROW($E1474),COLUMN(C$1))&lt;&gt;"",INDEX(Mode_1,ROW($E1474),COLUMN(C$1)),""),IF(Etabs="Etabs 2013 trở lên",$M1474,""))</f>
        <v/>
      </c>
      <c r="F1474" s="953" t="str">
        <f t="shared" ref="F1474:F1537" si="281">IF(Etabs="Etabs 9.7.4",IF(INDEX(Mode_1,ROW($E1474),COLUMN(D$1))&lt;&gt;"",INDEX(Mode_1,ROW($E1474),COLUMN(D$1)),""),IF(Etabs="Etabs 2013 trở lên",IF(INDEX(Mode_2,ROW($E1476),COLUMN(D$1))&lt;&gt;"",INDEX(Mode_2,ROW($E1476),COLUMN(D$1)),""),""))</f>
        <v/>
      </c>
      <c r="G1474" s="953" t="str">
        <f t="shared" ref="G1474:G1537" si="282">IF(Etabs="Etabs 9.7.4",IF(INDEX(Mode_1,ROW($E1474),COLUMN(E$1))&lt;&gt;"",INDEX(Mode_1,ROW($E1474),COLUMN(E$1)),""),IF(Etabs="Etabs 2013 trở lên",IF(INDEX(Mode_2,ROW($E1476),COLUMN(E$1))&lt;&gt;"",INDEX(Mode_2,ROW($E1476),COLUMN(E$1)),""),""))</f>
        <v/>
      </c>
      <c r="H1474" s="953">
        <f t="shared" ref="H1474:H1537" si="283">IF(Etabs="Etabs 9.7.4",IF(INDEX(Mode_1,ROW($E1474),COLUMN(F$1))&lt;&gt;"",INDEX(Mode_1,ROW($E1474),COLUMN(F$1)),""),IF(Etabs="Etabs 2013 trở lên",0,""))</f>
        <v>0</v>
      </c>
      <c r="I1474" s="953">
        <f t="shared" ref="I1474:I1537" si="284">IF(Etabs="Etabs 9.7.4",IF(INDEX(Mode_1,ROW($E1474),COLUMN(G$1))&lt;&gt;"",INDEX(Mode_1,ROW($E1474),COLUMN(G$1)),""),IF(Etabs="Etabs 2013 trở lên",0,""))</f>
        <v>0</v>
      </c>
      <c r="J1474" s="953">
        <f t="shared" ref="J1474:J1537" si="285">IF(Etabs="Etabs 9.7.4",IF(INDEX(Mode_1,ROW($E1474),COLUMN(H$1))&lt;&gt;"",INDEX(Mode_1,ROW($E1474),COLUMN(H$1)),""),IF(Etabs="Etabs 2013 trở lên",0,""))</f>
        <v>0</v>
      </c>
      <c r="K1474" s="953" t="str">
        <f t="shared" ref="K1474:K1537" si="286">IF(Etabs="Etabs 9.7.4",IF(INDEX(Mode_1,ROW($E1474),COLUMN(I$1))&lt;&gt;"",INDEX(Mode_1,ROW($E1474),COLUMN(I$1)),""),IF(Etabs="Etabs 2013 trở lên",IF(INDEX(Mode_2,ROW($E1476),COLUMN(F$1))&lt;&gt;"",INDEX(Mode_2,ROW($E1476),COLUMN(F$1)),""),""))</f>
        <v/>
      </c>
      <c r="L1474" s="570" t="str">
        <f t="shared" ref="L1474:L1537" si="287">IF(Etabs="Etabs 9.7.4",IF(INDEX(Mode_1,ROW($E1474),COLUMN(C$1))&lt;&gt;"",INDEX(Mode_1,ROW($E1474),COLUMN(C$1)),""),IF(Etabs="Etabs 2013 trở lên",IF(INDEX(Mode_2,ROW($E1476),COLUMN(C$1))&lt;&gt;"",INDEX(Mode_2,ROW($E1476),COLUMN(C$1)),""),""))</f>
        <v/>
      </c>
      <c r="M1474" s="570" t="str">
        <f t="shared" si="276"/>
        <v/>
      </c>
    </row>
    <row r="1475" spans="1:13">
      <c r="A1475" s="570" t="str">
        <f t="shared" si="277"/>
        <v/>
      </c>
      <c r="C1475" s="953" t="str">
        <f t="shared" si="278"/>
        <v/>
      </c>
      <c r="D1475" s="953" t="str">
        <f t="shared" si="279"/>
        <v/>
      </c>
      <c r="E1475" s="953" t="str">
        <f t="shared" si="280"/>
        <v/>
      </c>
      <c r="F1475" s="953" t="str">
        <f t="shared" si="281"/>
        <v/>
      </c>
      <c r="G1475" s="953" t="str">
        <f t="shared" si="282"/>
        <v/>
      </c>
      <c r="H1475" s="953">
        <f t="shared" si="283"/>
        <v>0</v>
      </c>
      <c r="I1475" s="953">
        <f t="shared" si="284"/>
        <v>0</v>
      </c>
      <c r="J1475" s="953">
        <f t="shared" si="285"/>
        <v>0</v>
      </c>
      <c r="K1475" s="953" t="str">
        <f t="shared" si="286"/>
        <v/>
      </c>
      <c r="L1475" s="570" t="str">
        <f t="shared" si="287"/>
        <v/>
      </c>
      <c r="M1475" s="570" t="str">
        <f t="shared" ref="M1475:M1538" si="288">IFERROR(VALUE(RIGHT(L1475,LEN(L1475)-6)),"")</f>
        <v/>
      </c>
    </row>
    <row r="1476" spans="1:13">
      <c r="A1476" s="570" t="str">
        <f t="shared" si="277"/>
        <v/>
      </c>
      <c r="C1476" s="953" t="str">
        <f t="shared" si="278"/>
        <v/>
      </c>
      <c r="D1476" s="953" t="str">
        <f t="shared" si="279"/>
        <v/>
      </c>
      <c r="E1476" s="953" t="str">
        <f t="shared" si="280"/>
        <v/>
      </c>
      <c r="F1476" s="953" t="str">
        <f t="shared" si="281"/>
        <v/>
      </c>
      <c r="G1476" s="953" t="str">
        <f t="shared" si="282"/>
        <v/>
      </c>
      <c r="H1476" s="953">
        <f t="shared" si="283"/>
        <v>0</v>
      </c>
      <c r="I1476" s="953">
        <f t="shared" si="284"/>
        <v>0</v>
      </c>
      <c r="J1476" s="953">
        <f t="shared" si="285"/>
        <v>0</v>
      </c>
      <c r="K1476" s="953" t="str">
        <f t="shared" si="286"/>
        <v/>
      </c>
      <c r="L1476" s="570" t="str">
        <f t="shared" si="287"/>
        <v/>
      </c>
      <c r="M1476" s="570" t="str">
        <f t="shared" si="288"/>
        <v/>
      </c>
    </row>
    <row r="1477" spans="1:13">
      <c r="A1477" s="570" t="str">
        <f t="shared" si="277"/>
        <v/>
      </c>
      <c r="C1477" s="953" t="str">
        <f t="shared" si="278"/>
        <v/>
      </c>
      <c r="D1477" s="953" t="str">
        <f t="shared" si="279"/>
        <v/>
      </c>
      <c r="E1477" s="953" t="str">
        <f t="shared" si="280"/>
        <v/>
      </c>
      <c r="F1477" s="953" t="str">
        <f t="shared" si="281"/>
        <v/>
      </c>
      <c r="G1477" s="953" t="str">
        <f t="shared" si="282"/>
        <v/>
      </c>
      <c r="H1477" s="953">
        <f t="shared" si="283"/>
        <v>0</v>
      </c>
      <c r="I1477" s="953">
        <f t="shared" si="284"/>
        <v>0</v>
      </c>
      <c r="J1477" s="953">
        <f t="shared" si="285"/>
        <v>0</v>
      </c>
      <c r="K1477" s="953" t="str">
        <f t="shared" si="286"/>
        <v/>
      </c>
      <c r="L1477" s="570" t="str">
        <f t="shared" si="287"/>
        <v/>
      </c>
      <c r="M1477" s="570" t="str">
        <f t="shared" si="288"/>
        <v/>
      </c>
    </row>
    <row r="1478" spans="1:13">
      <c r="A1478" s="570" t="str">
        <f t="shared" ref="A1478:A1541" si="289">C1478&amp;E1478</f>
        <v/>
      </c>
      <c r="C1478" s="953" t="str">
        <f t="shared" si="278"/>
        <v/>
      </c>
      <c r="D1478" s="953" t="str">
        <f t="shared" si="279"/>
        <v/>
      </c>
      <c r="E1478" s="953" t="str">
        <f t="shared" si="280"/>
        <v/>
      </c>
      <c r="F1478" s="953" t="str">
        <f t="shared" si="281"/>
        <v/>
      </c>
      <c r="G1478" s="953" t="str">
        <f t="shared" si="282"/>
        <v/>
      </c>
      <c r="H1478" s="953">
        <f t="shared" si="283"/>
        <v>0</v>
      </c>
      <c r="I1478" s="953">
        <f t="shared" si="284"/>
        <v>0</v>
      </c>
      <c r="J1478" s="953">
        <f t="shared" si="285"/>
        <v>0</v>
      </c>
      <c r="K1478" s="953" t="str">
        <f t="shared" si="286"/>
        <v/>
      </c>
      <c r="L1478" s="570" t="str">
        <f t="shared" si="287"/>
        <v/>
      </c>
      <c r="M1478" s="570" t="str">
        <f t="shared" si="288"/>
        <v/>
      </c>
    </row>
    <row r="1479" spans="1:13">
      <c r="A1479" s="570" t="str">
        <f t="shared" si="289"/>
        <v/>
      </c>
      <c r="C1479" s="953" t="str">
        <f t="shared" si="278"/>
        <v/>
      </c>
      <c r="D1479" s="953" t="str">
        <f t="shared" si="279"/>
        <v/>
      </c>
      <c r="E1479" s="953" t="str">
        <f t="shared" si="280"/>
        <v/>
      </c>
      <c r="F1479" s="953" t="str">
        <f t="shared" si="281"/>
        <v/>
      </c>
      <c r="G1479" s="953" t="str">
        <f t="shared" si="282"/>
        <v/>
      </c>
      <c r="H1479" s="953">
        <f t="shared" si="283"/>
        <v>0</v>
      </c>
      <c r="I1479" s="953">
        <f t="shared" si="284"/>
        <v>0</v>
      </c>
      <c r="J1479" s="953">
        <f t="shared" si="285"/>
        <v>0</v>
      </c>
      <c r="K1479" s="953" t="str">
        <f t="shared" si="286"/>
        <v/>
      </c>
      <c r="L1479" s="570" t="str">
        <f t="shared" si="287"/>
        <v/>
      </c>
      <c r="M1479" s="570" t="str">
        <f t="shared" si="288"/>
        <v/>
      </c>
    </row>
    <row r="1480" spans="1:13">
      <c r="A1480" s="570" t="str">
        <f t="shared" si="289"/>
        <v/>
      </c>
      <c r="C1480" s="953" t="str">
        <f t="shared" si="278"/>
        <v/>
      </c>
      <c r="D1480" s="953" t="str">
        <f t="shared" si="279"/>
        <v/>
      </c>
      <c r="E1480" s="953" t="str">
        <f t="shared" si="280"/>
        <v/>
      </c>
      <c r="F1480" s="953" t="str">
        <f t="shared" si="281"/>
        <v/>
      </c>
      <c r="G1480" s="953" t="str">
        <f t="shared" si="282"/>
        <v/>
      </c>
      <c r="H1480" s="953">
        <f t="shared" si="283"/>
        <v>0</v>
      </c>
      <c r="I1480" s="953">
        <f t="shared" si="284"/>
        <v>0</v>
      </c>
      <c r="J1480" s="953">
        <f t="shared" si="285"/>
        <v>0</v>
      </c>
      <c r="K1480" s="953" t="str">
        <f t="shared" si="286"/>
        <v/>
      </c>
      <c r="L1480" s="570" t="str">
        <f t="shared" si="287"/>
        <v/>
      </c>
      <c r="M1480" s="570" t="str">
        <f t="shared" si="288"/>
        <v/>
      </c>
    </row>
    <row r="1481" spans="1:13">
      <c r="A1481" s="570" t="str">
        <f t="shared" si="289"/>
        <v/>
      </c>
      <c r="C1481" s="953" t="str">
        <f t="shared" si="278"/>
        <v/>
      </c>
      <c r="D1481" s="953" t="str">
        <f t="shared" si="279"/>
        <v/>
      </c>
      <c r="E1481" s="953" t="str">
        <f t="shared" si="280"/>
        <v/>
      </c>
      <c r="F1481" s="953" t="str">
        <f t="shared" si="281"/>
        <v/>
      </c>
      <c r="G1481" s="953" t="str">
        <f t="shared" si="282"/>
        <v/>
      </c>
      <c r="H1481" s="953">
        <f t="shared" si="283"/>
        <v>0</v>
      </c>
      <c r="I1481" s="953">
        <f t="shared" si="284"/>
        <v>0</v>
      </c>
      <c r="J1481" s="953">
        <f t="shared" si="285"/>
        <v>0</v>
      </c>
      <c r="K1481" s="953" t="str">
        <f t="shared" si="286"/>
        <v/>
      </c>
      <c r="L1481" s="570" t="str">
        <f t="shared" si="287"/>
        <v/>
      </c>
      <c r="M1481" s="570" t="str">
        <f t="shared" si="288"/>
        <v/>
      </c>
    </row>
    <row r="1482" spans="1:13">
      <c r="A1482" s="570" t="str">
        <f t="shared" si="289"/>
        <v/>
      </c>
      <c r="C1482" s="953" t="str">
        <f t="shared" si="278"/>
        <v/>
      </c>
      <c r="D1482" s="953" t="str">
        <f t="shared" si="279"/>
        <v/>
      </c>
      <c r="E1482" s="953" t="str">
        <f t="shared" si="280"/>
        <v/>
      </c>
      <c r="F1482" s="953" t="str">
        <f t="shared" si="281"/>
        <v/>
      </c>
      <c r="G1482" s="953" t="str">
        <f t="shared" si="282"/>
        <v/>
      </c>
      <c r="H1482" s="953">
        <f t="shared" si="283"/>
        <v>0</v>
      </c>
      <c r="I1482" s="953">
        <f t="shared" si="284"/>
        <v>0</v>
      </c>
      <c r="J1482" s="953">
        <f t="shared" si="285"/>
        <v>0</v>
      </c>
      <c r="K1482" s="953" t="str">
        <f t="shared" si="286"/>
        <v/>
      </c>
      <c r="L1482" s="570" t="str">
        <f t="shared" si="287"/>
        <v/>
      </c>
      <c r="M1482" s="570" t="str">
        <f t="shared" si="288"/>
        <v/>
      </c>
    </row>
    <row r="1483" spans="1:13">
      <c r="A1483" s="570" t="str">
        <f t="shared" si="289"/>
        <v/>
      </c>
      <c r="C1483" s="953" t="str">
        <f t="shared" si="278"/>
        <v/>
      </c>
      <c r="D1483" s="953" t="str">
        <f t="shared" si="279"/>
        <v/>
      </c>
      <c r="E1483" s="953" t="str">
        <f t="shared" si="280"/>
        <v/>
      </c>
      <c r="F1483" s="953" t="str">
        <f t="shared" si="281"/>
        <v/>
      </c>
      <c r="G1483" s="953" t="str">
        <f t="shared" si="282"/>
        <v/>
      </c>
      <c r="H1483" s="953">
        <f t="shared" si="283"/>
        <v>0</v>
      </c>
      <c r="I1483" s="953">
        <f t="shared" si="284"/>
        <v>0</v>
      </c>
      <c r="J1483" s="953">
        <f t="shared" si="285"/>
        <v>0</v>
      </c>
      <c r="K1483" s="953" t="str">
        <f t="shared" si="286"/>
        <v/>
      </c>
      <c r="L1483" s="570" t="str">
        <f t="shared" si="287"/>
        <v/>
      </c>
      <c r="M1483" s="570" t="str">
        <f t="shared" si="288"/>
        <v/>
      </c>
    </row>
    <row r="1484" spans="1:13">
      <c r="A1484" s="570" t="str">
        <f t="shared" si="289"/>
        <v/>
      </c>
      <c r="C1484" s="953" t="str">
        <f t="shared" si="278"/>
        <v/>
      </c>
      <c r="D1484" s="953" t="str">
        <f t="shared" si="279"/>
        <v/>
      </c>
      <c r="E1484" s="953" t="str">
        <f t="shared" si="280"/>
        <v/>
      </c>
      <c r="F1484" s="953" t="str">
        <f t="shared" si="281"/>
        <v/>
      </c>
      <c r="G1484" s="953" t="str">
        <f t="shared" si="282"/>
        <v/>
      </c>
      <c r="H1484" s="953">
        <f t="shared" si="283"/>
        <v>0</v>
      </c>
      <c r="I1484" s="953">
        <f t="shared" si="284"/>
        <v>0</v>
      </c>
      <c r="J1484" s="953">
        <f t="shared" si="285"/>
        <v>0</v>
      </c>
      <c r="K1484" s="953" t="str">
        <f t="shared" si="286"/>
        <v/>
      </c>
      <c r="L1484" s="570" t="str">
        <f t="shared" si="287"/>
        <v/>
      </c>
      <c r="M1484" s="570" t="str">
        <f t="shared" si="288"/>
        <v/>
      </c>
    </row>
    <row r="1485" spans="1:13">
      <c r="A1485" s="570" t="str">
        <f t="shared" si="289"/>
        <v/>
      </c>
      <c r="C1485" s="953" t="str">
        <f t="shared" si="278"/>
        <v/>
      </c>
      <c r="D1485" s="953" t="str">
        <f t="shared" si="279"/>
        <v/>
      </c>
      <c r="E1485" s="953" t="str">
        <f t="shared" si="280"/>
        <v/>
      </c>
      <c r="F1485" s="953" t="str">
        <f t="shared" si="281"/>
        <v/>
      </c>
      <c r="G1485" s="953" t="str">
        <f t="shared" si="282"/>
        <v/>
      </c>
      <c r="H1485" s="953">
        <f t="shared" si="283"/>
        <v>0</v>
      </c>
      <c r="I1485" s="953">
        <f t="shared" si="284"/>
        <v>0</v>
      </c>
      <c r="J1485" s="953">
        <f t="shared" si="285"/>
        <v>0</v>
      </c>
      <c r="K1485" s="953" t="str">
        <f t="shared" si="286"/>
        <v/>
      </c>
      <c r="L1485" s="570" t="str">
        <f t="shared" si="287"/>
        <v/>
      </c>
      <c r="M1485" s="570" t="str">
        <f t="shared" si="288"/>
        <v/>
      </c>
    </row>
    <row r="1486" spans="1:13">
      <c r="A1486" s="570" t="str">
        <f t="shared" si="289"/>
        <v/>
      </c>
      <c r="C1486" s="953" t="str">
        <f t="shared" si="278"/>
        <v/>
      </c>
      <c r="D1486" s="953" t="str">
        <f t="shared" si="279"/>
        <v/>
      </c>
      <c r="E1486" s="953" t="str">
        <f t="shared" si="280"/>
        <v/>
      </c>
      <c r="F1486" s="953" t="str">
        <f t="shared" si="281"/>
        <v/>
      </c>
      <c r="G1486" s="953" t="str">
        <f t="shared" si="282"/>
        <v/>
      </c>
      <c r="H1486" s="953">
        <f t="shared" si="283"/>
        <v>0</v>
      </c>
      <c r="I1486" s="953">
        <f t="shared" si="284"/>
        <v>0</v>
      </c>
      <c r="J1486" s="953">
        <f t="shared" si="285"/>
        <v>0</v>
      </c>
      <c r="K1486" s="953" t="str">
        <f t="shared" si="286"/>
        <v/>
      </c>
      <c r="L1486" s="570" t="str">
        <f t="shared" si="287"/>
        <v/>
      </c>
      <c r="M1486" s="570" t="str">
        <f t="shared" si="288"/>
        <v/>
      </c>
    </row>
    <row r="1487" spans="1:13">
      <c r="A1487" s="570" t="str">
        <f t="shared" si="289"/>
        <v/>
      </c>
      <c r="C1487" s="953" t="str">
        <f t="shared" si="278"/>
        <v/>
      </c>
      <c r="D1487" s="953" t="str">
        <f t="shared" si="279"/>
        <v/>
      </c>
      <c r="E1487" s="953" t="str">
        <f t="shared" si="280"/>
        <v/>
      </c>
      <c r="F1487" s="953" t="str">
        <f t="shared" si="281"/>
        <v/>
      </c>
      <c r="G1487" s="953" t="str">
        <f t="shared" si="282"/>
        <v/>
      </c>
      <c r="H1487" s="953">
        <f t="shared" si="283"/>
        <v>0</v>
      </c>
      <c r="I1487" s="953">
        <f t="shared" si="284"/>
        <v>0</v>
      </c>
      <c r="J1487" s="953">
        <f t="shared" si="285"/>
        <v>0</v>
      </c>
      <c r="K1487" s="953" t="str">
        <f t="shared" si="286"/>
        <v/>
      </c>
      <c r="L1487" s="570" t="str">
        <f t="shared" si="287"/>
        <v/>
      </c>
      <c r="M1487" s="570" t="str">
        <f t="shared" si="288"/>
        <v/>
      </c>
    </row>
    <row r="1488" spans="1:13">
      <c r="A1488" s="570" t="str">
        <f t="shared" si="289"/>
        <v/>
      </c>
      <c r="C1488" s="953" t="str">
        <f t="shared" si="278"/>
        <v/>
      </c>
      <c r="D1488" s="953" t="str">
        <f t="shared" si="279"/>
        <v/>
      </c>
      <c r="E1488" s="953" t="str">
        <f t="shared" si="280"/>
        <v/>
      </c>
      <c r="F1488" s="953" t="str">
        <f t="shared" si="281"/>
        <v/>
      </c>
      <c r="G1488" s="953" t="str">
        <f t="shared" si="282"/>
        <v/>
      </c>
      <c r="H1488" s="953">
        <f t="shared" si="283"/>
        <v>0</v>
      </c>
      <c r="I1488" s="953">
        <f t="shared" si="284"/>
        <v>0</v>
      </c>
      <c r="J1488" s="953">
        <f t="shared" si="285"/>
        <v>0</v>
      </c>
      <c r="K1488" s="953" t="str">
        <f t="shared" si="286"/>
        <v/>
      </c>
      <c r="L1488" s="570" t="str">
        <f t="shared" si="287"/>
        <v/>
      </c>
      <c r="M1488" s="570" t="str">
        <f t="shared" si="288"/>
        <v/>
      </c>
    </row>
    <row r="1489" spans="1:13">
      <c r="A1489" s="570" t="str">
        <f t="shared" si="289"/>
        <v/>
      </c>
      <c r="C1489" s="953" t="str">
        <f t="shared" si="278"/>
        <v/>
      </c>
      <c r="D1489" s="953" t="str">
        <f t="shared" si="279"/>
        <v/>
      </c>
      <c r="E1489" s="953" t="str">
        <f t="shared" si="280"/>
        <v/>
      </c>
      <c r="F1489" s="953" t="str">
        <f t="shared" si="281"/>
        <v/>
      </c>
      <c r="G1489" s="953" t="str">
        <f t="shared" si="282"/>
        <v/>
      </c>
      <c r="H1489" s="953">
        <f t="shared" si="283"/>
        <v>0</v>
      </c>
      <c r="I1489" s="953">
        <f t="shared" si="284"/>
        <v>0</v>
      </c>
      <c r="J1489" s="953">
        <f t="shared" si="285"/>
        <v>0</v>
      </c>
      <c r="K1489" s="953" t="str">
        <f t="shared" si="286"/>
        <v/>
      </c>
      <c r="L1489" s="570" t="str">
        <f t="shared" si="287"/>
        <v/>
      </c>
      <c r="M1489" s="570" t="str">
        <f t="shared" si="288"/>
        <v/>
      </c>
    </row>
    <row r="1490" spans="1:13">
      <c r="A1490" s="570" t="str">
        <f t="shared" si="289"/>
        <v/>
      </c>
      <c r="C1490" s="953" t="str">
        <f t="shared" si="278"/>
        <v/>
      </c>
      <c r="D1490" s="953" t="str">
        <f t="shared" si="279"/>
        <v/>
      </c>
      <c r="E1490" s="953" t="str">
        <f t="shared" si="280"/>
        <v/>
      </c>
      <c r="F1490" s="953" t="str">
        <f t="shared" si="281"/>
        <v/>
      </c>
      <c r="G1490" s="953" t="str">
        <f t="shared" si="282"/>
        <v/>
      </c>
      <c r="H1490" s="953">
        <f t="shared" si="283"/>
        <v>0</v>
      </c>
      <c r="I1490" s="953">
        <f t="shared" si="284"/>
        <v>0</v>
      </c>
      <c r="J1490" s="953">
        <f t="shared" si="285"/>
        <v>0</v>
      </c>
      <c r="K1490" s="953" t="str">
        <f t="shared" si="286"/>
        <v/>
      </c>
      <c r="L1490" s="570" t="str">
        <f t="shared" si="287"/>
        <v/>
      </c>
      <c r="M1490" s="570" t="str">
        <f t="shared" si="288"/>
        <v/>
      </c>
    </row>
    <row r="1491" spans="1:13">
      <c r="A1491" s="570" t="str">
        <f t="shared" si="289"/>
        <v/>
      </c>
      <c r="C1491" s="953" t="str">
        <f t="shared" si="278"/>
        <v/>
      </c>
      <c r="D1491" s="953" t="str">
        <f t="shared" si="279"/>
        <v/>
      </c>
      <c r="E1491" s="953" t="str">
        <f t="shared" si="280"/>
        <v/>
      </c>
      <c r="F1491" s="953" t="str">
        <f t="shared" si="281"/>
        <v/>
      </c>
      <c r="G1491" s="953" t="str">
        <f t="shared" si="282"/>
        <v/>
      </c>
      <c r="H1491" s="953">
        <f t="shared" si="283"/>
        <v>0</v>
      </c>
      <c r="I1491" s="953">
        <f t="shared" si="284"/>
        <v>0</v>
      </c>
      <c r="J1491" s="953">
        <f t="shared" si="285"/>
        <v>0</v>
      </c>
      <c r="K1491" s="953" t="str">
        <f t="shared" si="286"/>
        <v/>
      </c>
      <c r="L1491" s="570" t="str">
        <f t="shared" si="287"/>
        <v/>
      </c>
      <c r="M1491" s="570" t="str">
        <f t="shared" si="288"/>
        <v/>
      </c>
    </row>
    <row r="1492" spans="1:13">
      <c r="A1492" s="570" t="str">
        <f t="shared" si="289"/>
        <v/>
      </c>
      <c r="C1492" s="953" t="str">
        <f t="shared" si="278"/>
        <v/>
      </c>
      <c r="D1492" s="953" t="str">
        <f t="shared" si="279"/>
        <v/>
      </c>
      <c r="E1492" s="953" t="str">
        <f t="shared" si="280"/>
        <v/>
      </c>
      <c r="F1492" s="953" t="str">
        <f t="shared" si="281"/>
        <v/>
      </c>
      <c r="G1492" s="953" t="str">
        <f t="shared" si="282"/>
        <v/>
      </c>
      <c r="H1492" s="953">
        <f t="shared" si="283"/>
        <v>0</v>
      </c>
      <c r="I1492" s="953">
        <f t="shared" si="284"/>
        <v>0</v>
      </c>
      <c r="J1492" s="953">
        <f t="shared" si="285"/>
        <v>0</v>
      </c>
      <c r="K1492" s="953" t="str">
        <f t="shared" si="286"/>
        <v/>
      </c>
      <c r="L1492" s="570" t="str">
        <f t="shared" si="287"/>
        <v/>
      </c>
      <c r="M1492" s="570" t="str">
        <f t="shared" si="288"/>
        <v/>
      </c>
    </row>
    <row r="1493" spans="1:13">
      <c r="A1493" s="570" t="str">
        <f t="shared" si="289"/>
        <v/>
      </c>
      <c r="C1493" s="953" t="str">
        <f t="shared" si="278"/>
        <v/>
      </c>
      <c r="D1493" s="953" t="str">
        <f t="shared" si="279"/>
        <v/>
      </c>
      <c r="E1493" s="953" t="str">
        <f t="shared" si="280"/>
        <v/>
      </c>
      <c r="F1493" s="953" t="str">
        <f t="shared" si="281"/>
        <v/>
      </c>
      <c r="G1493" s="953" t="str">
        <f t="shared" si="282"/>
        <v/>
      </c>
      <c r="H1493" s="953">
        <f t="shared" si="283"/>
        <v>0</v>
      </c>
      <c r="I1493" s="953">
        <f t="shared" si="284"/>
        <v>0</v>
      </c>
      <c r="J1493" s="953">
        <f t="shared" si="285"/>
        <v>0</v>
      </c>
      <c r="K1493" s="953" t="str">
        <f t="shared" si="286"/>
        <v/>
      </c>
      <c r="L1493" s="570" t="str">
        <f t="shared" si="287"/>
        <v/>
      </c>
      <c r="M1493" s="570" t="str">
        <f t="shared" si="288"/>
        <v/>
      </c>
    </row>
    <row r="1494" spans="1:13">
      <c r="A1494" s="570" t="str">
        <f t="shared" si="289"/>
        <v/>
      </c>
      <c r="C1494" s="953" t="str">
        <f t="shared" si="278"/>
        <v/>
      </c>
      <c r="D1494" s="953" t="str">
        <f t="shared" si="279"/>
        <v/>
      </c>
      <c r="E1494" s="953" t="str">
        <f t="shared" si="280"/>
        <v/>
      </c>
      <c r="F1494" s="953" t="str">
        <f t="shared" si="281"/>
        <v/>
      </c>
      <c r="G1494" s="953" t="str">
        <f t="shared" si="282"/>
        <v/>
      </c>
      <c r="H1494" s="953">
        <f t="shared" si="283"/>
        <v>0</v>
      </c>
      <c r="I1494" s="953">
        <f t="shared" si="284"/>
        <v>0</v>
      </c>
      <c r="J1494" s="953">
        <f t="shared" si="285"/>
        <v>0</v>
      </c>
      <c r="K1494" s="953" t="str">
        <f t="shared" si="286"/>
        <v/>
      </c>
      <c r="L1494" s="570" t="str">
        <f t="shared" si="287"/>
        <v/>
      </c>
      <c r="M1494" s="570" t="str">
        <f t="shared" si="288"/>
        <v/>
      </c>
    </row>
    <row r="1495" spans="1:13">
      <c r="A1495" s="570" t="str">
        <f t="shared" si="289"/>
        <v/>
      </c>
      <c r="C1495" s="953" t="str">
        <f t="shared" si="278"/>
        <v/>
      </c>
      <c r="D1495" s="953" t="str">
        <f t="shared" si="279"/>
        <v/>
      </c>
      <c r="E1495" s="953" t="str">
        <f t="shared" si="280"/>
        <v/>
      </c>
      <c r="F1495" s="953" t="str">
        <f t="shared" si="281"/>
        <v/>
      </c>
      <c r="G1495" s="953" t="str">
        <f t="shared" si="282"/>
        <v/>
      </c>
      <c r="H1495" s="953">
        <f t="shared" si="283"/>
        <v>0</v>
      </c>
      <c r="I1495" s="953">
        <f t="shared" si="284"/>
        <v>0</v>
      </c>
      <c r="J1495" s="953">
        <f t="shared" si="285"/>
        <v>0</v>
      </c>
      <c r="K1495" s="953" t="str">
        <f t="shared" si="286"/>
        <v/>
      </c>
      <c r="L1495" s="570" t="str">
        <f t="shared" si="287"/>
        <v/>
      </c>
      <c r="M1495" s="570" t="str">
        <f t="shared" si="288"/>
        <v/>
      </c>
    </row>
    <row r="1496" spans="1:13">
      <c r="A1496" s="570" t="str">
        <f t="shared" si="289"/>
        <v/>
      </c>
      <c r="C1496" s="953" t="str">
        <f t="shared" si="278"/>
        <v/>
      </c>
      <c r="D1496" s="953" t="str">
        <f t="shared" si="279"/>
        <v/>
      </c>
      <c r="E1496" s="953" t="str">
        <f t="shared" si="280"/>
        <v/>
      </c>
      <c r="F1496" s="953" t="str">
        <f t="shared" si="281"/>
        <v/>
      </c>
      <c r="G1496" s="953" t="str">
        <f t="shared" si="282"/>
        <v/>
      </c>
      <c r="H1496" s="953">
        <f t="shared" si="283"/>
        <v>0</v>
      </c>
      <c r="I1496" s="953">
        <f t="shared" si="284"/>
        <v>0</v>
      </c>
      <c r="J1496" s="953">
        <f t="shared" si="285"/>
        <v>0</v>
      </c>
      <c r="K1496" s="953" t="str">
        <f t="shared" si="286"/>
        <v/>
      </c>
      <c r="L1496" s="570" t="str">
        <f t="shared" si="287"/>
        <v/>
      </c>
      <c r="M1496" s="570" t="str">
        <f t="shared" si="288"/>
        <v/>
      </c>
    </row>
    <row r="1497" spans="1:13">
      <c r="A1497" s="570" t="str">
        <f t="shared" si="289"/>
        <v/>
      </c>
      <c r="C1497" s="953" t="str">
        <f t="shared" si="278"/>
        <v/>
      </c>
      <c r="D1497" s="953" t="str">
        <f t="shared" si="279"/>
        <v/>
      </c>
      <c r="E1497" s="953" t="str">
        <f t="shared" si="280"/>
        <v/>
      </c>
      <c r="F1497" s="953" t="str">
        <f t="shared" si="281"/>
        <v/>
      </c>
      <c r="G1497" s="953" t="str">
        <f t="shared" si="282"/>
        <v/>
      </c>
      <c r="H1497" s="953">
        <f t="shared" si="283"/>
        <v>0</v>
      </c>
      <c r="I1497" s="953">
        <f t="shared" si="284"/>
        <v>0</v>
      </c>
      <c r="J1497" s="953">
        <f t="shared" si="285"/>
        <v>0</v>
      </c>
      <c r="K1497" s="953" t="str">
        <f t="shared" si="286"/>
        <v/>
      </c>
      <c r="L1497" s="570" t="str">
        <f t="shared" si="287"/>
        <v/>
      </c>
      <c r="M1497" s="570" t="str">
        <f t="shared" si="288"/>
        <v/>
      </c>
    </row>
    <row r="1498" spans="1:13">
      <c r="A1498" s="570" t="str">
        <f t="shared" si="289"/>
        <v/>
      </c>
      <c r="C1498" s="953" t="str">
        <f t="shared" si="278"/>
        <v/>
      </c>
      <c r="D1498" s="953" t="str">
        <f t="shared" si="279"/>
        <v/>
      </c>
      <c r="E1498" s="953" t="str">
        <f t="shared" si="280"/>
        <v/>
      </c>
      <c r="F1498" s="953" t="str">
        <f t="shared" si="281"/>
        <v/>
      </c>
      <c r="G1498" s="953" t="str">
        <f t="shared" si="282"/>
        <v/>
      </c>
      <c r="H1498" s="953">
        <f t="shared" si="283"/>
        <v>0</v>
      </c>
      <c r="I1498" s="953">
        <f t="shared" si="284"/>
        <v>0</v>
      </c>
      <c r="J1498" s="953">
        <f t="shared" si="285"/>
        <v>0</v>
      </c>
      <c r="K1498" s="953" t="str">
        <f t="shared" si="286"/>
        <v/>
      </c>
      <c r="L1498" s="570" t="str">
        <f t="shared" si="287"/>
        <v/>
      </c>
      <c r="M1498" s="570" t="str">
        <f t="shared" si="288"/>
        <v/>
      </c>
    </row>
    <row r="1499" spans="1:13">
      <c r="A1499" s="570" t="str">
        <f t="shared" si="289"/>
        <v/>
      </c>
      <c r="C1499" s="953" t="str">
        <f t="shared" si="278"/>
        <v/>
      </c>
      <c r="D1499" s="953" t="str">
        <f t="shared" si="279"/>
        <v/>
      </c>
      <c r="E1499" s="953" t="str">
        <f t="shared" si="280"/>
        <v/>
      </c>
      <c r="F1499" s="953" t="str">
        <f t="shared" si="281"/>
        <v/>
      </c>
      <c r="G1499" s="953" t="str">
        <f t="shared" si="282"/>
        <v/>
      </c>
      <c r="H1499" s="953">
        <f t="shared" si="283"/>
        <v>0</v>
      </c>
      <c r="I1499" s="953">
        <f t="shared" si="284"/>
        <v>0</v>
      </c>
      <c r="J1499" s="953">
        <f t="shared" si="285"/>
        <v>0</v>
      </c>
      <c r="K1499" s="953" t="str">
        <f t="shared" si="286"/>
        <v/>
      </c>
      <c r="L1499" s="570" t="str">
        <f t="shared" si="287"/>
        <v/>
      </c>
      <c r="M1499" s="570" t="str">
        <f t="shared" si="288"/>
        <v/>
      </c>
    </row>
    <row r="1500" spans="1:13">
      <c r="A1500" s="570" t="str">
        <f t="shared" si="289"/>
        <v/>
      </c>
      <c r="C1500" s="953" t="str">
        <f t="shared" si="278"/>
        <v/>
      </c>
      <c r="D1500" s="953" t="str">
        <f t="shared" si="279"/>
        <v/>
      </c>
      <c r="E1500" s="953" t="str">
        <f t="shared" si="280"/>
        <v/>
      </c>
      <c r="F1500" s="953" t="str">
        <f t="shared" si="281"/>
        <v/>
      </c>
      <c r="G1500" s="953" t="str">
        <f t="shared" si="282"/>
        <v/>
      </c>
      <c r="H1500" s="953">
        <f t="shared" si="283"/>
        <v>0</v>
      </c>
      <c r="I1500" s="953">
        <f t="shared" si="284"/>
        <v>0</v>
      </c>
      <c r="J1500" s="953">
        <f t="shared" si="285"/>
        <v>0</v>
      </c>
      <c r="K1500" s="953" t="str">
        <f t="shared" si="286"/>
        <v/>
      </c>
      <c r="L1500" s="570" t="str">
        <f t="shared" si="287"/>
        <v/>
      </c>
      <c r="M1500" s="570" t="str">
        <f t="shared" si="288"/>
        <v/>
      </c>
    </row>
    <row r="1501" spans="1:13">
      <c r="A1501" s="570" t="str">
        <f t="shared" si="289"/>
        <v/>
      </c>
      <c r="C1501" s="953" t="str">
        <f t="shared" si="278"/>
        <v/>
      </c>
      <c r="D1501" s="953" t="str">
        <f t="shared" si="279"/>
        <v/>
      </c>
      <c r="E1501" s="953" t="str">
        <f t="shared" si="280"/>
        <v/>
      </c>
      <c r="F1501" s="953" t="str">
        <f t="shared" si="281"/>
        <v/>
      </c>
      <c r="G1501" s="953" t="str">
        <f t="shared" si="282"/>
        <v/>
      </c>
      <c r="H1501" s="953">
        <f t="shared" si="283"/>
        <v>0</v>
      </c>
      <c r="I1501" s="953">
        <f t="shared" si="284"/>
        <v>0</v>
      </c>
      <c r="J1501" s="953">
        <f t="shared" si="285"/>
        <v>0</v>
      </c>
      <c r="K1501" s="953" t="str">
        <f t="shared" si="286"/>
        <v/>
      </c>
      <c r="L1501" s="570" t="str">
        <f t="shared" si="287"/>
        <v/>
      </c>
      <c r="M1501" s="570" t="str">
        <f t="shared" si="288"/>
        <v/>
      </c>
    </row>
    <row r="1502" spans="1:13">
      <c r="A1502" s="570" t="str">
        <f t="shared" si="289"/>
        <v/>
      </c>
      <c r="C1502" s="953" t="str">
        <f t="shared" si="278"/>
        <v/>
      </c>
      <c r="D1502" s="953" t="str">
        <f t="shared" si="279"/>
        <v/>
      </c>
      <c r="E1502" s="953" t="str">
        <f t="shared" si="280"/>
        <v/>
      </c>
      <c r="F1502" s="953" t="str">
        <f t="shared" si="281"/>
        <v/>
      </c>
      <c r="G1502" s="953" t="str">
        <f t="shared" si="282"/>
        <v/>
      </c>
      <c r="H1502" s="953">
        <f t="shared" si="283"/>
        <v>0</v>
      </c>
      <c r="I1502" s="953">
        <f t="shared" si="284"/>
        <v>0</v>
      </c>
      <c r="J1502" s="953">
        <f t="shared" si="285"/>
        <v>0</v>
      </c>
      <c r="K1502" s="953" t="str">
        <f t="shared" si="286"/>
        <v/>
      </c>
      <c r="L1502" s="570" t="str">
        <f t="shared" si="287"/>
        <v/>
      </c>
      <c r="M1502" s="570" t="str">
        <f t="shared" si="288"/>
        <v/>
      </c>
    </row>
    <row r="1503" spans="1:13">
      <c r="A1503" s="570" t="str">
        <f t="shared" si="289"/>
        <v/>
      </c>
      <c r="C1503" s="953" t="str">
        <f t="shared" si="278"/>
        <v/>
      </c>
      <c r="D1503" s="953" t="str">
        <f t="shared" si="279"/>
        <v/>
      </c>
      <c r="E1503" s="953" t="str">
        <f t="shared" si="280"/>
        <v/>
      </c>
      <c r="F1503" s="953" t="str">
        <f t="shared" si="281"/>
        <v/>
      </c>
      <c r="G1503" s="953" t="str">
        <f t="shared" si="282"/>
        <v/>
      </c>
      <c r="H1503" s="953">
        <f t="shared" si="283"/>
        <v>0</v>
      </c>
      <c r="I1503" s="953">
        <f t="shared" si="284"/>
        <v>0</v>
      </c>
      <c r="J1503" s="953">
        <f t="shared" si="285"/>
        <v>0</v>
      </c>
      <c r="K1503" s="953" t="str">
        <f t="shared" si="286"/>
        <v/>
      </c>
      <c r="L1503" s="570" t="str">
        <f t="shared" si="287"/>
        <v/>
      </c>
      <c r="M1503" s="570" t="str">
        <f t="shared" si="288"/>
        <v/>
      </c>
    </row>
    <row r="1504" spans="1:13">
      <c r="A1504" s="570" t="str">
        <f t="shared" si="289"/>
        <v/>
      </c>
      <c r="C1504" s="953" t="str">
        <f t="shared" si="278"/>
        <v/>
      </c>
      <c r="D1504" s="953" t="str">
        <f t="shared" si="279"/>
        <v/>
      </c>
      <c r="E1504" s="953" t="str">
        <f t="shared" si="280"/>
        <v/>
      </c>
      <c r="F1504" s="953" t="str">
        <f t="shared" si="281"/>
        <v/>
      </c>
      <c r="G1504" s="953" t="str">
        <f t="shared" si="282"/>
        <v/>
      </c>
      <c r="H1504" s="953">
        <f t="shared" si="283"/>
        <v>0</v>
      </c>
      <c r="I1504" s="953">
        <f t="shared" si="284"/>
        <v>0</v>
      </c>
      <c r="J1504" s="953">
        <f t="shared" si="285"/>
        <v>0</v>
      </c>
      <c r="K1504" s="953" t="str">
        <f t="shared" si="286"/>
        <v/>
      </c>
      <c r="L1504" s="570" t="str">
        <f t="shared" si="287"/>
        <v/>
      </c>
      <c r="M1504" s="570" t="str">
        <f t="shared" si="288"/>
        <v/>
      </c>
    </row>
    <row r="1505" spans="1:13">
      <c r="A1505" s="570" t="str">
        <f t="shared" si="289"/>
        <v/>
      </c>
      <c r="C1505" s="953" t="str">
        <f t="shared" si="278"/>
        <v/>
      </c>
      <c r="D1505" s="953" t="str">
        <f t="shared" si="279"/>
        <v/>
      </c>
      <c r="E1505" s="953" t="str">
        <f t="shared" si="280"/>
        <v/>
      </c>
      <c r="F1505" s="953" t="str">
        <f t="shared" si="281"/>
        <v/>
      </c>
      <c r="G1505" s="953" t="str">
        <f t="shared" si="282"/>
        <v/>
      </c>
      <c r="H1505" s="953">
        <f t="shared" si="283"/>
        <v>0</v>
      </c>
      <c r="I1505" s="953">
        <f t="shared" si="284"/>
        <v>0</v>
      </c>
      <c r="J1505" s="953">
        <f t="shared" si="285"/>
        <v>0</v>
      </c>
      <c r="K1505" s="953" t="str">
        <f t="shared" si="286"/>
        <v/>
      </c>
      <c r="L1505" s="570" t="str">
        <f t="shared" si="287"/>
        <v/>
      </c>
      <c r="M1505" s="570" t="str">
        <f t="shared" si="288"/>
        <v/>
      </c>
    </row>
    <row r="1506" spans="1:13">
      <c r="A1506" s="570" t="str">
        <f t="shared" si="289"/>
        <v/>
      </c>
      <c r="C1506" s="953" t="str">
        <f t="shared" si="278"/>
        <v/>
      </c>
      <c r="D1506" s="953" t="str">
        <f t="shared" si="279"/>
        <v/>
      </c>
      <c r="E1506" s="953" t="str">
        <f t="shared" si="280"/>
        <v/>
      </c>
      <c r="F1506" s="953" t="str">
        <f t="shared" si="281"/>
        <v/>
      </c>
      <c r="G1506" s="953" t="str">
        <f t="shared" si="282"/>
        <v/>
      </c>
      <c r="H1506" s="953">
        <f t="shared" si="283"/>
        <v>0</v>
      </c>
      <c r="I1506" s="953">
        <f t="shared" si="284"/>
        <v>0</v>
      </c>
      <c r="J1506" s="953">
        <f t="shared" si="285"/>
        <v>0</v>
      </c>
      <c r="K1506" s="953" t="str">
        <f t="shared" si="286"/>
        <v/>
      </c>
      <c r="L1506" s="570" t="str">
        <f t="shared" si="287"/>
        <v/>
      </c>
      <c r="M1506" s="570" t="str">
        <f t="shared" si="288"/>
        <v/>
      </c>
    </row>
    <row r="1507" spans="1:13">
      <c r="A1507" s="570" t="str">
        <f t="shared" si="289"/>
        <v/>
      </c>
      <c r="C1507" s="953" t="str">
        <f t="shared" si="278"/>
        <v/>
      </c>
      <c r="D1507" s="953" t="str">
        <f t="shared" si="279"/>
        <v/>
      </c>
      <c r="E1507" s="953" t="str">
        <f t="shared" si="280"/>
        <v/>
      </c>
      <c r="F1507" s="953" t="str">
        <f t="shared" si="281"/>
        <v/>
      </c>
      <c r="G1507" s="953" t="str">
        <f t="shared" si="282"/>
        <v/>
      </c>
      <c r="H1507" s="953">
        <f t="shared" si="283"/>
        <v>0</v>
      </c>
      <c r="I1507" s="953">
        <f t="shared" si="284"/>
        <v>0</v>
      </c>
      <c r="J1507" s="953">
        <f t="shared" si="285"/>
        <v>0</v>
      </c>
      <c r="K1507" s="953" t="str">
        <f t="shared" si="286"/>
        <v/>
      </c>
      <c r="L1507" s="570" t="str">
        <f t="shared" si="287"/>
        <v/>
      </c>
      <c r="M1507" s="570" t="str">
        <f t="shared" si="288"/>
        <v/>
      </c>
    </row>
    <row r="1508" spans="1:13">
      <c r="A1508" s="570" t="str">
        <f t="shared" si="289"/>
        <v/>
      </c>
      <c r="C1508" s="953" t="str">
        <f t="shared" si="278"/>
        <v/>
      </c>
      <c r="D1508" s="953" t="str">
        <f t="shared" si="279"/>
        <v/>
      </c>
      <c r="E1508" s="953" t="str">
        <f t="shared" si="280"/>
        <v/>
      </c>
      <c r="F1508" s="953" t="str">
        <f t="shared" si="281"/>
        <v/>
      </c>
      <c r="G1508" s="953" t="str">
        <f t="shared" si="282"/>
        <v/>
      </c>
      <c r="H1508" s="953">
        <f t="shared" si="283"/>
        <v>0</v>
      </c>
      <c r="I1508" s="953">
        <f t="shared" si="284"/>
        <v>0</v>
      </c>
      <c r="J1508" s="953">
        <f t="shared" si="285"/>
        <v>0</v>
      </c>
      <c r="K1508" s="953" t="str">
        <f t="shared" si="286"/>
        <v/>
      </c>
      <c r="L1508" s="570" t="str">
        <f t="shared" si="287"/>
        <v/>
      </c>
      <c r="M1508" s="570" t="str">
        <f t="shared" si="288"/>
        <v/>
      </c>
    </row>
    <row r="1509" spans="1:13">
      <c r="A1509" s="570" t="str">
        <f t="shared" si="289"/>
        <v/>
      </c>
      <c r="C1509" s="953" t="str">
        <f t="shared" si="278"/>
        <v/>
      </c>
      <c r="D1509" s="953" t="str">
        <f t="shared" si="279"/>
        <v/>
      </c>
      <c r="E1509" s="953" t="str">
        <f t="shared" si="280"/>
        <v/>
      </c>
      <c r="F1509" s="953" t="str">
        <f t="shared" si="281"/>
        <v/>
      </c>
      <c r="G1509" s="953" t="str">
        <f t="shared" si="282"/>
        <v/>
      </c>
      <c r="H1509" s="953">
        <f t="shared" si="283"/>
        <v>0</v>
      </c>
      <c r="I1509" s="953">
        <f t="shared" si="284"/>
        <v>0</v>
      </c>
      <c r="J1509" s="953">
        <f t="shared" si="285"/>
        <v>0</v>
      </c>
      <c r="K1509" s="953" t="str">
        <f t="shared" si="286"/>
        <v/>
      </c>
      <c r="L1509" s="570" t="str">
        <f t="shared" si="287"/>
        <v/>
      </c>
      <c r="M1509" s="570" t="str">
        <f t="shared" si="288"/>
        <v/>
      </c>
    </row>
    <row r="1510" spans="1:13">
      <c r="A1510" s="570" t="str">
        <f t="shared" si="289"/>
        <v/>
      </c>
      <c r="C1510" s="953" t="str">
        <f t="shared" si="278"/>
        <v/>
      </c>
      <c r="D1510" s="953" t="str">
        <f t="shared" si="279"/>
        <v/>
      </c>
      <c r="E1510" s="953" t="str">
        <f t="shared" si="280"/>
        <v/>
      </c>
      <c r="F1510" s="953" t="str">
        <f t="shared" si="281"/>
        <v/>
      </c>
      <c r="G1510" s="953" t="str">
        <f t="shared" si="282"/>
        <v/>
      </c>
      <c r="H1510" s="953">
        <f t="shared" si="283"/>
        <v>0</v>
      </c>
      <c r="I1510" s="953">
        <f t="shared" si="284"/>
        <v>0</v>
      </c>
      <c r="J1510" s="953">
        <f t="shared" si="285"/>
        <v>0</v>
      </c>
      <c r="K1510" s="953" t="str">
        <f t="shared" si="286"/>
        <v/>
      </c>
      <c r="L1510" s="570" t="str">
        <f t="shared" si="287"/>
        <v/>
      </c>
      <c r="M1510" s="570" t="str">
        <f t="shared" si="288"/>
        <v/>
      </c>
    </row>
    <row r="1511" spans="1:13">
      <c r="A1511" s="570" t="str">
        <f t="shared" si="289"/>
        <v/>
      </c>
      <c r="C1511" s="953" t="str">
        <f t="shared" si="278"/>
        <v/>
      </c>
      <c r="D1511" s="953" t="str">
        <f t="shared" si="279"/>
        <v/>
      </c>
      <c r="E1511" s="953" t="str">
        <f t="shared" si="280"/>
        <v/>
      </c>
      <c r="F1511" s="953" t="str">
        <f t="shared" si="281"/>
        <v/>
      </c>
      <c r="G1511" s="953" t="str">
        <f t="shared" si="282"/>
        <v/>
      </c>
      <c r="H1511" s="953">
        <f t="shared" si="283"/>
        <v>0</v>
      </c>
      <c r="I1511" s="953">
        <f t="shared" si="284"/>
        <v>0</v>
      </c>
      <c r="J1511" s="953">
        <f t="shared" si="285"/>
        <v>0</v>
      </c>
      <c r="K1511" s="953" t="str">
        <f t="shared" si="286"/>
        <v/>
      </c>
      <c r="L1511" s="570" t="str">
        <f t="shared" si="287"/>
        <v/>
      </c>
      <c r="M1511" s="570" t="str">
        <f t="shared" si="288"/>
        <v/>
      </c>
    </row>
    <row r="1512" spans="1:13">
      <c r="A1512" s="570" t="str">
        <f t="shared" si="289"/>
        <v/>
      </c>
      <c r="C1512" s="953" t="str">
        <f t="shared" si="278"/>
        <v/>
      </c>
      <c r="D1512" s="953" t="str">
        <f t="shared" si="279"/>
        <v/>
      </c>
      <c r="E1512" s="953" t="str">
        <f t="shared" si="280"/>
        <v/>
      </c>
      <c r="F1512" s="953" t="str">
        <f t="shared" si="281"/>
        <v/>
      </c>
      <c r="G1512" s="953" t="str">
        <f t="shared" si="282"/>
        <v/>
      </c>
      <c r="H1512" s="953">
        <f t="shared" si="283"/>
        <v>0</v>
      </c>
      <c r="I1512" s="953">
        <f t="shared" si="284"/>
        <v>0</v>
      </c>
      <c r="J1512" s="953">
        <f t="shared" si="285"/>
        <v>0</v>
      </c>
      <c r="K1512" s="953" t="str">
        <f t="shared" si="286"/>
        <v/>
      </c>
      <c r="L1512" s="570" t="str">
        <f t="shared" si="287"/>
        <v/>
      </c>
      <c r="M1512" s="570" t="str">
        <f t="shared" si="288"/>
        <v/>
      </c>
    </row>
    <row r="1513" spans="1:13">
      <c r="A1513" s="570" t="str">
        <f t="shared" si="289"/>
        <v/>
      </c>
      <c r="C1513" s="953" t="str">
        <f t="shared" si="278"/>
        <v/>
      </c>
      <c r="D1513" s="953" t="str">
        <f t="shared" si="279"/>
        <v/>
      </c>
      <c r="E1513" s="953" t="str">
        <f t="shared" si="280"/>
        <v/>
      </c>
      <c r="F1513" s="953" t="str">
        <f t="shared" si="281"/>
        <v/>
      </c>
      <c r="G1513" s="953" t="str">
        <f t="shared" si="282"/>
        <v/>
      </c>
      <c r="H1513" s="953">
        <f t="shared" si="283"/>
        <v>0</v>
      </c>
      <c r="I1513" s="953">
        <f t="shared" si="284"/>
        <v>0</v>
      </c>
      <c r="J1513" s="953">
        <f t="shared" si="285"/>
        <v>0</v>
      </c>
      <c r="K1513" s="953" t="str">
        <f t="shared" si="286"/>
        <v/>
      </c>
      <c r="L1513" s="570" t="str">
        <f t="shared" si="287"/>
        <v/>
      </c>
      <c r="M1513" s="570" t="str">
        <f t="shared" si="288"/>
        <v/>
      </c>
    </row>
    <row r="1514" spans="1:13">
      <c r="A1514" s="570" t="str">
        <f t="shared" si="289"/>
        <v/>
      </c>
      <c r="C1514" s="953" t="str">
        <f t="shared" si="278"/>
        <v/>
      </c>
      <c r="D1514" s="953" t="str">
        <f t="shared" si="279"/>
        <v/>
      </c>
      <c r="E1514" s="953" t="str">
        <f t="shared" si="280"/>
        <v/>
      </c>
      <c r="F1514" s="953" t="str">
        <f t="shared" si="281"/>
        <v/>
      </c>
      <c r="G1514" s="953" t="str">
        <f t="shared" si="282"/>
        <v/>
      </c>
      <c r="H1514" s="953">
        <f t="shared" si="283"/>
        <v>0</v>
      </c>
      <c r="I1514" s="953">
        <f t="shared" si="284"/>
        <v>0</v>
      </c>
      <c r="J1514" s="953">
        <f t="shared" si="285"/>
        <v>0</v>
      </c>
      <c r="K1514" s="953" t="str">
        <f t="shared" si="286"/>
        <v/>
      </c>
      <c r="L1514" s="570" t="str">
        <f t="shared" si="287"/>
        <v/>
      </c>
      <c r="M1514" s="570" t="str">
        <f t="shared" si="288"/>
        <v/>
      </c>
    </row>
    <row r="1515" spans="1:13">
      <c r="A1515" s="570" t="str">
        <f t="shared" si="289"/>
        <v/>
      </c>
      <c r="C1515" s="953" t="str">
        <f t="shared" si="278"/>
        <v/>
      </c>
      <c r="D1515" s="953" t="str">
        <f t="shared" si="279"/>
        <v/>
      </c>
      <c r="E1515" s="953" t="str">
        <f t="shared" si="280"/>
        <v/>
      </c>
      <c r="F1515" s="953" t="str">
        <f t="shared" si="281"/>
        <v/>
      </c>
      <c r="G1515" s="953" t="str">
        <f t="shared" si="282"/>
        <v/>
      </c>
      <c r="H1515" s="953">
        <f t="shared" si="283"/>
        <v>0</v>
      </c>
      <c r="I1515" s="953">
        <f t="shared" si="284"/>
        <v>0</v>
      </c>
      <c r="J1515" s="953">
        <f t="shared" si="285"/>
        <v>0</v>
      </c>
      <c r="K1515" s="953" t="str">
        <f t="shared" si="286"/>
        <v/>
      </c>
      <c r="L1515" s="570" t="str">
        <f t="shared" si="287"/>
        <v/>
      </c>
      <c r="M1515" s="570" t="str">
        <f t="shared" si="288"/>
        <v/>
      </c>
    </row>
    <row r="1516" spans="1:13">
      <c r="A1516" s="570" t="str">
        <f t="shared" si="289"/>
        <v/>
      </c>
      <c r="C1516" s="953" t="str">
        <f t="shared" si="278"/>
        <v/>
      </c>
      <c r="D1516" s="953" t="str">
        <f t="shared" si="279"/>
        <v/>
      </c>
      <c r="E1516" s="953" t="str">
        <f t="shared" si="280"/>
        <v/>
      </c>
      <c r="F1516" s="953" t="str">
        <f t="shared" si="281"/>
        <v/>
      </c>
      <c r="G1516" s="953" t="str">
        <f t="shared" si="282"/>
        <v/>
      </c>
      <c r="H1516" s="953">
        <f t="shared" si="283"/>
        <v>0</v>
      </c>
      <c r="I1516" s="953">
        <f t="shared" si="284"/>
        <v>0</v>
      </c>
      <c r="J1516" s="953">
        <f t="shared" si="285"/>
        <v>0</v>
      </c>
      <c r="K1516" s="953" t="str">
        <f t="shared" si="286"/>
        <v/>
      </c>
      <c r="L1516" s="570" t="str">
        <f t="shared" si="287"/>
        <v/>
      </c>
      <c r="M1516" s="570" t="str">
        <f t="shared" si="288"/>
        <v/>
      </c>
    </row>
    <row r="1517" spans="1:13">
      <c r="A1517" s="570" t="str">
        <f t="shared" si="289"/>
        <v/>
      </c>
      <c r="C1517" s="953" t="str">
        <f t="shared" si="278"/>
        <v/>
      </c>
      <c r="D1517" s="953" t="str">
        <f t="shared" si="279"/>
        <v/>
      </c>
      <c r="E1517" s="953" t="str">
        <f t="shared" si="280"/>
        <v/>
      </c>
      <c r="F1517" s="953" t="str">
        <f t="shared" si="281"/>
        <v/>
      </c>
      <c r="G1517" s="953" t="str">
        <f t="shared" si="282"/>
        <v/>
      </c>
      <c r="H1517" s="953">
        <f t="shared" si="283"/>
        <v>0</v>
      </c>
      <c r="I1517" s="953">
        <f t="shared" si="284"/>
        <v>0</v>
      </c>
      <c r="J1517" s="953">
        <f t="shared" si="285"/>
        <v>0</v>
      </c>
      <c r="K1517" s="953" t="str">
        <f t="shared" si="286"/>
        <v/>
      </c>
      <c r="L1517" s="570" t="str">
        <f t="shared" si="287"/>
        <v/>
      </c>
      <c r="M1517" s="570" t="str">
        <f t="shared" si="288"/>
        <v/>
      </c>
    </row>
    <row r="1518" spans="1:13">
      <c r="A1518" s="570" t="str">
        <f t="shared" si="289"/>
        <v/>
      </c>
      <c r="C1518" s="953" t="str">
        <f t="shared" si="278"/>
        <v/>
      </c>
      <c r="D1518" s="953" t="str">
        <f t="shared" si="279"/>
        <v/>
      </c>
      <c r="E1518" s="953" t="str">
        <f t="shared" si="280"/>
        <v/>
      </c>
      <c r="F1518" s="953" t="str">
        <f t="shared" si="281"/>
        <v/>
      </c>
      <c r="G1518" s="953" t="str">
        <f t="shared" si="282"/>
        <v/>
      </c>
      <c r="H1518" s="953">
        <f t="shared" si="283"/>
        <v>0</v>
      </c>
      <c r="I1518" s="953">
        <f t="shared" si="284"/>
        <v>0</v>
      </c>
      <c r="J1518" s="953">
        <f t="shared" si="285"/>
        <v>0</v>
      </c>
      <c r="K1518" s="953" t="str">
        <f t="shared" si="286"/>
        <v/>
      </c>
      <c r="L1518" s="570" t="str">
        <f t="shared" si="287"/>
        <v/>
      </c>
      <c r="M1518" s="570" t="str">
        <f t="shared" si="288"/>
        <v/>
      </c>
    </row>
    <row r="1519" spans="1:13">
      <c r="A1519" s="570" t="str">
        <f t="shared" si="289"/>
        <v/>
      </c>
      <c r="C1519" s="953" t="str">
        <f t="shared" si="278"/>
        <v/>
      </c>
      <c r="D1519" s="953" t="str">
        <f t="shared" si="279"/>
        <v/>
      </c>
      <c r="E1519" s="953" t="str">
        <f t="shared" si="280"/>
        <v/>
      </c>
      <c r="F1519" s="953" t="str">
        <f t="shared" si="281"/>
        <v/>
      </c>
      <c r="G1519" s="953" t="str">
        <f t="shared" si="282"/>
        <v/>
      </c>
      <c r="H1519" s="953">
        <f t="shared" si="283"/>
        <v>0</v>
      </c>
      <c r="I1519" s="953">
        <f t="shared" si="284"/>
        <v>0</v>
      </c>
      <c r="J1519" s="953">
        <f t="shared" si="285"/>
        <v>0</v>
      </c>
      <c r="K1519" s="953" t="str">
        <f t="shared" si="286"/>
        <v/>
      </c>
      <c r="L1519" s="570" t="str">
        <f t="shared" si="287"/>
        <v/>
      </c>
      <c r="M1519" s="570" t="str">
        <f t="shared" si="288"/>
        <v/>
      </c>
    </row>
    <row r="1520" spans="1:13">
      <c r="A1520" s="570" t="str">
        <f t="shared" si="289"/>
        <v/>
      </c>
      <c r="C1520" s="953" t="str">
        <f t="shared" si="278"/>
        <v/>
      </c>
      <c r="D1520" s="953" t="str">
        <f t="shared" si="279"/>
        <v/>
      </c>
      <c r="E1520" s="953" t="str">
        <f t="shared" si="280"/>
        <v/>
      </c>
      <c r="F1520" s="953" t="str">
        <f t="shared" si="281"/>
        <v/>
      </c>
      <c r="G1520" s="953" t="str">
        <f t="shared" si="282"/>
        <v/>
      </c>
      <c r="H1520" s="953">
        <f t="shared" si="283"/>
        <v>0</v>
      </c>
      <c r="I1520" s="953">
        <f t="shared" si="284"/>
        <v>0</v>
      </c>
      <c r="J1520" s="953">
        <f t="shared" si="285"/>
        <v>0</v>
      </c>
      <c r="K1520" s="953" t="str">
        <f t="shared" si="286"/>
        <v/>
      </c>
      <c r="L1520" s="570" t="str">
        <f t="shared" si="287"/>
        <v/>
      </c>
      <c r="M1520" s="570" t="str">
        <f t="shared" si="288"/>
        <v/>
      </c>
    </row>
    <row r="1521" spans="1:13">
      <c r="A1521" s="570" t="str">
        <f t="shared" si="289"/>
        <v/>
      </c>
      <c r="C1521" s="953" t="str">
        <f t="shared" si="278"/>
        <v/>
      </c>
      <c r="D1521" s="953" t="str">
        <f t="shared" si="279"/>
        <v/>
      </c>
      <c r="E1521" s="953" t="str">
        <f t="shared" si="280"/>
        <v/>
      </c>
      <c r="F1521" s="953" t="str">
        <f t="shared" si="281"/>
        <v/>
      </c>
      <c r="G1521" s="953" t="str">
        <f t="shared" si="282"/>
        <v/>
      </c>
      <c r="H1521" s="953">
        <f t="shared" si="283"/>
        <v>0</v>
      </c>
      <c r="I1521" s="953">
        <f t="shared" si="284"/>
        <v>0</v>
      </c>
      <c r="J1521" s="953">
        <f t="shared" si="285"/>
        <v>0</v>
      </c>
      <c r="K1521" s="953" t="str">
        <f t="shared" si="286"/>
        <v/>
      </c>
      <c r="L1521" s="570" t="str">
        <f t="shared" si="287"/>
        <v/>
      </c>
      <c r="M1521" s="570" t="str">
        <f t="shared" si="288"/>
        <v/>
      </c>
    </row>
    <row r="1522" spans="1:13">
      <c r="A1522" s="570" t="str">
        <f t="shared" si="289"/>
        <v/>
      </c>
      <c r="C1522" s="953" t="str">
        <f t="shared" si="278"/>
        <v/>
      </c>
      <c r="D1522" s="953" t="str">
        <f t="shared" si="279"/>
        <v/>
      </c>
      <c r="E1522" s="953" t="str">
        <f t="shared" si="280"/>
        <v/>
      </c>
      <c r="F1522" s="953" t="str">
        <f t="shared" si="281"/>
        <v/>
      </c>
      <c r="G1522" s="953" t="str">
        <f t="shared" si="282"/>
        <v/>
      </c>
      <c r="H1522" s="953">
        <f t="shared" si="283"/>
        <v>0</v>
      </c>
      <c r="I1522" s="953">
        <f t="shared" si="284"/>
        <v>0</v>
      </c>
      <c r="J1522" s="953">
        <f t="shared" si="285"/>
        <v>0</v>
      </c>
      <c r="K1522" s="953" t="str">
        <f t="shared" si="286"/>
        <v/>
      </c>
      <c r="L1522" s="570" t="str">
        <f t="shared" si="287"/>
        <v/>
      </c>
      <c r="M1522" s="570" t="str">
        <f t="shared" si="288"/>
        <v/>
      </c>
    </row>
    <row r="1523" spans="1:13">
      <c r="A1523" s="570" t="str">
        <f t="shared" si="289"/>
        <v/>
      </c>
      <c r="C1523" s="953" t="str">
        <f t="shared" si="278"/>
        <v/>
      </c>
      <c r="D1523" s="953" t="str">
        <f t="shared" si="279"/>
        <v/>
      </c>
      <c r="E1523" s="953" t="str">
        <f t="shared" si="280"/>
        <v/>
      </c>
      <c r="F1523" s="953" t="str">
        <f t="shared" si="281"/>
        <v/>
      </c>
      <c r="G1523" s="953" t="str">
        <f t="shared" si="282"/>
        <v/>
      </c>
      <c r="H1523" s="953">
        <f t="shared" si="283"/>
        <v>0</v>
      </c>
      <c r="I1523" s="953">
        <f t="shared" si="284"/>
        <v>0</v>
      </c>
      <c r="J1523" s="953">
        <f t="shared" si="285"/>
        <v>0</v>
      </c>
      <c r="K1523" s="953" t="str">
        <f t="shared" si="286"/>
        <v/>
      </c>
      <c r="L1523" s="570" t="str">
        <f t="shared" si="287"/>
        <v/>
      </c>
      <c r="M1523" s="570" t="str">
        <f t="shared" si="288"/>
        <v/>
      </c>
    </row>
    <row r="1524" spans="1:13">
      <c r="A1524" s="570" t="str">
        <f t="shared" si="289"/>
        <v/>
      </c>
      <c r="C1524" s="953" t="str">
        <f t="shared" si="278"/>
        <v/>
      </c>
      <c r="D1524" s="953" t="str">
        <f t="shared" si="279"/>
        <v/>
      </c>
      <c r="E1524" s="953" t="str">
        <f t="shared" si="280"/>
        <v/>
      </c>
      <c r="F1524" s="953" t="str">
        <f t="shared" si="281"/>
        <v/>
      </c>
      <c r="G1524" s="953" t="str">
        <f t="shared" si="282"/>
        <v/>
      </c>
      <c r="H1524" s="953">
        <f t="shared" si="283"/>
        <v>0</v>
      </c>
      <c r="I1524" s="953">
        <f t="shared" si="284"/>
        <v>0</v>
      </c>
      <c r="J1524" s="953">
        <f t="shared" si="285"/>
        <v>0</v>
      </c>
      <c r="K1524" s="953" t="str">
        <f t="shared" si="286"/>
        <v/>
      </c>
      <c r="L1524" s="570" t="str">
        <f t="shared" si="287"/>
        <v/>
      </c>
      <c r="M1524" s="570" t="str">
        <f t="shared" si="288"/>
        <v/>
      </c>
    </row>
    <row r="1525" spans="1:13">
      <c r="A1525" s="570" t="str">
        <f t="shared" si="289"/>
        <v/>
      </c>
      <c r="C1525" s="953" t="str">
        <f t="shared" si="278"/>
        <v/>
      </c>
      <c r="D1525" s="953" t="str">
        <f t="shared" si="279"/>
        <v/>
      </c>
      <c r="E1525" s="953" t="str">
        <f t="shared" si="280"/>
        <v/>
      </c>
      <c r="F1525" s="953" t="str">
        <f t="shared" si="281"/>
        <v/>
      </c>
      <c r="G1525" s="953" t="str">
        <f t="shared" si="282"/>
        <v/>
      </c>
      <c r="H1525" s="953">
        <f t="shared" si="283"/>
        <v>0</v>
      </c>
      <c r="I1525" s="953">
        <f t="shared" si="284"/>
        <v>0</v>
      </c>
      <c r="J1525" s="953">
        <f t="shared" si="285"/>
        <v>0</v>
      </c>
      <c r="K1525" s="953" t="str">
        <f t="shared" si="286"/>
        <v/>
      </c>
      <c r="L1525" s="570" t="str">
        <f t="shared" si="287"/>
        <v/>
      </c>
      <c r="M1525" s="570" t="str">
        <f t="shared" si="288"/>
        <v/>
      </c>
    </row>
    <row r="1526" spans="1:13">
      <c r="A1526" s="570" t="str">
        <f t="shared" si="289"/>
        <v/>
      </c>
      <c r="C1526" s="953" t="str">
        <f t="shared" si="278"/>
        <v/>
      </c>
      <c r="D1526" s="953" t="str">
        <f t="shared" si="279"/>
        <v/>
      </c>
      <c r="E1526" s="953" t="str">
        <f t="shared" si="280"/>
        <v/>
      </c>
      <c r="F1526" s="953" t="str">
        <f t="shared" si="281"/>
        <v/>
      </c>
      <c r="G1526" s="953" t="str">
        <f t="shared" si="282"/>
        <v/>
      </c>
      <c r="H1526" s="953">
        <f t="shared" si="283"/>
        <v>0</v>
      </c>
      <c r="I1526" s="953">
        <f t="shared" si="284"/>
        <v>0</v>
      </c>
      <c r="J1526" s="953">
        <f t="shared" si="285"/>
        <v>0</v>
      </c>
      <c r="K1526" s="953" t="str">
        <f t="shared" si="286"/>
        <v/>
      </c>
      <c r="L1526" s="570" t="str">
        <f t="shared" si="287"/>
        <v/>
      </c>
      <c r="M1526" s="570" t="str">
        <f t="shared" si="288"/>
        <v/>
      </c>
    </row>
    <row r="1527" spans="1:13">
      <c r="A1527" s="570" t="str">
        <f t="shared" si="289"/>
        <v/>
      </c>
      <c r="C1527" s="953" t="str">
        <f t="shared" si="278"/>
        <v/>
      </c>
      <c r="D1527" s="953" t="str">
        <f t="shared" si="279"/>
        <v/>
      </c>
      <c r="E1527" s="953" t="str">
        <f t="shared" si="280"/>
        <v/>
      </c>
      <c r="F1527" s="953" t="str">
        <f t="shared" si="281"/>
        <v/>
      </c>
      <c r="G1527" s="953" t="str">
        <f t="shared" si="282"/>
        <v/>
      </c>
      <c r="H1527" s="953">
        <f t="shared" si="283"/>
        <v>0</v>
      </c>
      <c r="I1527" s="953">
        <f t="shared" si="284"/>
        <v>0</v>
      </c>
      <c r="J1527" s="953">
        <f t="shared" si="285"/>
        <v>0</v>
      </c>
      <c r="K1527" s="953" t="str">
        <f t="shared" si="286"/>
        <v/>
      </c>
      <c r="L1527" s="570" t="str">
        <f t="shared" si="287"/>
        <v/>
      </c>
      <c r="M1527" s="570" t="str">
        <f t="shared" si="288"/>
        <v/>
      </c>
    </row>
    <row r="1528" spans="1:13">
      <c r="A1528" s="570" t="str">
        <f t="shared" si="289"/>
        <v/>
      </c>
      <c r="C1528" s="953" t="str">
        <f t="shared" si="278"/>
        <v/>
      </c>
      <c r="D1528" s="953" t="str">
        <f t="shared" si="279"/>
        <v/>
      </c>
      <c r="E1528" s="953" t="str">
        <f t="shared" si="280"/>
        <v/>
      </c>
      <c r="F1528" s="953" t="str">
        <f t="shared" si="281"/>
        <v/>
      </c>
      <c r="G1528" s="953" t="str">
        <f t="shared" si="282"/>
        <v/>
      </c>
      <c r="H1528" s="953">
        <f t="shared" si="283"/>
        <v>0</v>
      </c>
      <c r="I1528" s="953">
        <f t="shared" si="284"/>
        <v>0</v>
      </c>
      <c r="J1528" s="953">
        <f t="shared" si="285"/>
        <v>0</v>
      </c>
      <c r="K1528" s="953" t="str">
        <f t="shared" si="286"/>
        <v/>
      </c>
      <c r="L1528" s="570" t="str">
        <f t="shared" si="287"/>
        <v/>
      </c>
      <c r="M1528" s="570" t="str">
        <f t="shared" si="288"/>
        <v/>
      </c>
    </row>
    <row r="1529" spans="1:13">
      <c r="A1529" s="570" t="str">
        <f t="shared" si="289"/>
        <v/>
      </c>
      <c r="C1529" s="953" t="str">
        <f t="shared" si="278"/>
        <v/>
      </c>
      <c r="D1529" s="953" t="str">
        <f t="shared" si="279"/>
        <v/>
      </c>
      <c r="E1529" s="953" t="str">
        <f t="shared" si="280"/>
        <v/>
      </c>
      <c r="F1529" s="953" t="str">
        <f t="shared" si="281"/>
        <v/>
      </c>
      <c r="G1529" s="953" t="str">
        <f t="shared" si="282"/>
        <v/>
      </c>
      <c r="H1529" s="953">
        <f t="shared" si="283"/>
        <v>0</v>
      </c>
      <c r="I1529" s="953">
        <f t="shared" si="284"/>
        <v>0</v>
      </c>
      <c r="J1529" s="953">
        <f t="shared" si="285"/>
        <v>0</v>
      </c>
      <c r="K1529" s="953" t="str">
        <f t="shared" si="286"/>
        <v/>
      </c>
      <c r="L1529" s="570" t="str">
        <f t="shared" si="287"/>
        <v/>
      </c>
      <c r="M1529" s="570" t="str">
        <f t="shared" si="288"/>
        <v/>
      </c>
    </row>
    <row r="1530" spans="1:13">
      <c r="A1530" s="570" t="str">
        <f t="shared" si="289"/>
        <v/>
      </c>
      <c r="C1530" s="953" t="str">
        <f t="shared" si="278"/>
        <v/>
      </c>
      <c r="D1530" s="953" t="str">
        <f t="shared" si="279"/>
        <v/>
      </c>
      <c r="E1530" s="953" t="str">
        <f t="shared" si="280"/>
        <v/>
      </c>
      <c r="F1530" s="953" t="str">
        <f t="shared" si="281"/>
        <v/>
      </c>
      <c r="G1530" s="953" t="str">
        <f t="shared" si="282"/>
        <v/>
      </c>
      <c r="H1530" s="953">
        <f t="shared" si="283"/>
        <v>0</v>
      </c>
      <c r="I1530" s="953">
        <f t="shared" si="284"/>
        <v>0</v>
      </c>
      <c r="J1530" s="953">
        <f t="shared" si="285"/>
        <v>0</v>
      </c>
      <c r="K1530" s="953" t="str">
        <f t="shared" si="286"/>
        <v/>
      </c>
      <c r="L1530" s="570" t="str">
        <f t="shared" si="287"/>
        <v/>
      </c>
      <c r="M1530" s="570" t="str">
        <f t="shared" si="288"/>
        <v/>
      </c>
    </row>
    <row r="1531" spans="1:13">
      <c r="A1531" s="570" t="str">
        <f t="shared" si="289"/>
        <v/>
      </c>
      <c r="C1531" s="953" t="str">
        <f t="shared" si="278"/>
        <v/>
      </c>
      <c r="D1531" s="953" t="str">
        <f t="shared" si="279"/>
        <v/>
      </c>
      <c r="E1531" s="953" t="str">
        <f t="shared" si="280"/>
        <v/>
      </c>
      <c r="F1531" s="953" t="str">
        <f t="shared" si="281"/>
        <v/>
      </c>
      <c r="G1531" s="953" t="str">
        <f t="shared" si="282"/>
        <v/>
      </c>
      <c r="H1531" s="953">
        <f t="shared" si="283"/>
        <v>0</v>
      </c>
      <c r="I1531" s="953">
        <f t="shared" si="284"/>
        <v>0</v>
      </c>
      <c r="J1531" s="953">
        <f t="shared" si="285"/>
        <v>0</v>
      </c>
      <c r="K1531" s="953" t="str">
        <f t="shared" si="286"/>
        <v/>
      </c>
      <c r="L1531" s="570" t="str">
        <f t="shared" si="287"/>
        <v/>
      </c>
      <c r="M1531" s="570" t="str">
        <f t="shared" si="288"/>
        <v/>
      </c>
    </row>
    <row r="1532" spans="1:13">
      <c r="A1532" s="570" t="str">
        <f t="shared" si="289"/>
        <v/>
      </c>
      <c r="C1532" s="953" t="str">
        <f t="shared" si="278"/>
        <v/>
      </c>
      <c r="D1532" s="953" t="str">
        <f t="shared" si="279"/>
        <v/>
      </c>
      <c r="E1532" s="953" t="str">
        <f t="shared" si="280"/>
        <v/>
      </c>
      <c r="F1532" s="953" t="str">
        <f t="shared" si="281"/>
        <v/>
      </c>
      <c r="G1532" s="953" t="str">
        <f t="shared" si="282"/>
        <v/>
      </c>
      <c r="H1532" s="953">
        <f t="shared" si="283"/>
        <v>0</v>
      </c>
      <c r="I1532" s="953">
        <f t="shared" si="284"/>
        <v>0</v>
      </c>
      <c r="J1532" s="953">
        <f t="shared" si="285"/>
        <v>0</v>
      </c>
      <c r="K1532" s="953" t="str">
        <f t="shared" si="286"/>
        <v/>
      </c>
      <c r="L1532" s="570" t="str">
        <f t="shared" si="287"/>
        <v/>
      </c>
      <c r="M1532" s="570" t="str">
        <f t="shared" si="288"/>
        <v/>
      </c>
    </row>
    <row r="1533" spans="1:13">
      <c r="A1533" s="570" t="str">
        <f t="shared" si="289"/>
        <v/>
      </c>
      <c r="C1533" s="953" t="str">
        <f t="shared" si="278"/>
        <v/>
      </c>
      <c r="D1533" s="953" t="str">
        <f t="shared" si="279"/>
        <v/>
      </c>
      <c r="E1533" s="953" t="str">
        <f t="shared" si="280"/>
        <v/>
      </c>
      <c r="F1533" s="953" t="str">
        <f t="shared" si="281"/>
        <v/>
      </c>
      <c r="G1533" s="953" t="str">
        <f t="shared" si="282"/>
        <v/>
      </c>
      <c r="H1533" s="953">
        <f t="shared" si="283"/>
        <v>0</v>
      </c>
      <c r="I1533" s="953">
        <f t="shared" si="284"/>
        <v>0</v>
      </c>
      <c r="J1533" s="953">
        <f t="shared" si="285"/>
        <v>0</v>
      </c>
      <c r="K1533" s="953" t="str">
        <f t="shared" si="286"/>
        <v/>
      </c>
      <c r="L1533" s="570" t="str">
        <f t="shared" si="287"/>
        <v/>
      </c>
      <c r="M1533" s="570" t="str">
        <f t="shared" si="288"/>
        <v/>
      </c>
    </row>
    <row r="1534" spans="1:13">
      <c r="A1534" s="570" t="str">
        <f t="shared" si="289"/>
        <v/>
      </c>
      <c r="C1534" s="953" t="str">
        <f t="shared" si="278"/>
        <v/>
      </c>
      <c r="D1534" s="953" t="str">
        <f t="shared" si="279"/>
        <v/>
      </c>
      <c r="E1534" s="953" t="str">
        <f t="shared" si="280"/>
        <v/>
      </c>
      <c r="F1534" s="953" t="str">
        <f t="shared" si="281"/>
        <v/>
      </c>
      <c r="G1534" s="953" t="str">
        <f t="shared" si="282"/>
        <v/>
      </c>
      <c r="H1534" s="953">
        <f t="shared" si="283"/>
        <v>0</v>
      </c>
      <c r="I1534" s="953">
        <f t="shared" si="284"/>
        <v>0</v>
      </c>
      <c r="J1534" s="953">
        <f t="shared" si="285"/>
        <v>0</v>
      </c>
      <c r="K1534" s="953" t="str">
        <f t="shared" si="286"/>
        <v/>
      </c>
      <c r="L1534" s="570" t="str">
        <f t="shared" si="287"/>
        <v/>
      </c>
      <c r="M1534" s="570" t="str">
        <f t="shared" si="288"/>
        <v/>
      </c>
    </row>
    <row r="1535" spans="1:13">
      <c r="A1535" s="570" t="str">
        <f t="shared" si="289"/>
        <v/>
      </c>
      <c r="C1535" s="953" t="str">
        <f t="shared" si="278"/>
        <v/>
      </c>
      <c r="D1535" s="953" t="str">
        <f t="shared" si="279"/>
        <v/>
      </c>
      <c r="E1535" s="953" t="str">
        <f t="shared" si="280"/>
        <v/>
      </c>
      <c r="F1535" s="953" t="str">
        <f t="shared" si="281"/>
        <v/>
      </c>
      <c r="G1535" s="953" t="str">
        <f t="shared" si="282"/>
        <v/>
      </c>
      <c r="H1535" s="953">
        <f t="shared" si="283"/>
        <v>0</v>
      </c>
      <c r="I1535" s="953">
        <f t="shared" si="284"/>
        <v>0</v>
      </c>
      <c r="J1535" s="953">
        <f t="shared" si="285"/>
        <v>0</v>
      </c>
      <c r="K1535" s="953" t="str">
        <f t="shared" si="286"/>
        <v/>
      </c>
      <c r="L1535" s="570" t="str">
        <f t="shared" si="287"/>
        <v/>
      </c>
      <c r="M1535" s="570" t="str">
        <f t="shared" si="288"/>
        <v/>
      </c>
    </row>
    <row r="1536" spans="1:13">
      <c r="A1536" s="570" t="str">
        <f t="shared" si="289"/>
        <v/>
      </c>
      <c r="C1536" s="953" t="str">
        <f t="shared" si="278"/>
        <v/>
      </c>
      <c r="D1536" s="953" t="str">
        <f t="shared" si="279"/>
        <v/>
      </c>
      <c r="E1536" s="953" t="str">
        <f t="shared" si="280"/>
        <v/>
      </c>
      <c r="F1536" s="953" t="str">
        <f t="shared" si="281"/>
        <v/>
      </c>
      <c r="G1536" s="953" t="str">
        <f t="shared" si="282"/>
        <v/>
      </c>
      <c r="H1536" s="953">
        <f t="shared" si="283"/>
        <v>0</v>
      </c>
      <c r="I1536" s="953">
        <f t="shared" si="284"/>
        <v>0</v>
      </c>
      <c r="J1536" s="953">
        <f t="shared" si="285"/>
        <v>0</v>
      </c>
      <c r="K1536" s="953" t="str">
        <f t="shared" si="286"/>
        <v/>
      </c>
      <c r="L1536" s="570" t="str">
        <f t="shared" si="287"/>
        <v/>
      </c>
      <c r="M1536" s="570" t="str">
        <f t="shared" si="288"/>
        <v/>
      </c>
    </row>
    <row r="1537" spans="1:13">
      <c r="A1537" s="570" t="str">
        <f t="shared" si="289"/>
        <v/>
      </c>
      <c r="C1537" s="953" t="str">
        <f t="shared" si="278"/>
        <v/>
      </c>
      <c r="D1537" s="953" t="str">
        <f t="shared" si="279"/>
        <v/>
      </c>
      <c r="E1537" s="953" t="str">
        <f t="shared" si="280"/>
        <v/>
      </c>
      <c r="F1537" s="953" t="str">
        <f t="shared" si="281"/>
        <v/>
      </c>
      <c r="G1537" s="953" t="str">
        <f t="shared" si="282"/>
        <v/>
      </c>
      <c r="H1537" s="953">
        <f t="shared" si="283"/>
        <v>0</v>
      </c>
      <c r="I1537" s="953">
        <f t="shared" si="284"/>
        <v>0</v>
      </c>
      <c r="J1537" s="953">
        <f t="shared" si="285"/>
        <v>0</v>
      </c>
      <c r="K1537" s="953" t="str">
        <f t="shared" si="286"/>
        <v/>
      </c>
      <c r="L1537" s="570" t="str">
        <f t="shared" si="287"/>
        <v/>
      </c>
      <c r="M1537" s="570" t="str">
        <f t="shared" si="288"/>
        <v/>
      </c>
    </row>
    <row r="1538" spans="1:13">
      <c r="A1538" s="570" t="str">
        <f t="shared" si="289"/>
        <v/>
      </c>
      <c r="C1538" s="953" t="str">
        <f t="shared" ref="C1538:C1601" si="290">IF(Etabs="Etabs 9.7.4",IF(INDEX(Mode_1,ROW($E1538),COLUMN(A$1))&lt;&gt;"",INDEX(Mode_1,ROW($E1538),COLUMN(A$1)),""),IF(Etabs="Etabs 2013 trở lên",IF(INDEX(Mode_2,ROW($E1540),COLUMN(A$1))&lt;&gt;"",INDEX(Mode_2,ROW($E1540),COLUMN(A$1)),""),""))</f>
        <v/>
      </c>
      <c r="D1538" s="953" t="str">
        <f t="shared" ref="D1538:D1601" si="291">IF(Etabs="Etabs 9.7.4",IF(INDEX(Mode_1,ROW($E1538),COLUMN(B$1))&lt;&gt;"",INDEX(Mode_1,ROW($E1538),COLUMN(B$1)),""),IF(Etabs="Etabs 2013 trở lên",IF(INDEX(Mode_2,ROW($E1540),COLUMN(B$1))&lt;&gt;"",INDEX(Mode_2,ROW($E1540),COLUMN(B$1)),""),""))</f>
        <v/>
      </c>
      <c r="E1538" s="953" t="str">
        <f t="shared" ref="E1538:E1601" si="292">IF(Etabs="Etabs 9.7.4",IF(INDEX(Mode_1,ROW($E1538),COLUMN(C$1))&lt;&gt;"",INDEX(Mode_1,ROW($E1538),COLUMN(C$1)),""),IF(Etabs="Etabs 2013 trở lên",$M1538,""))</f>
        <v/>
      </c>
      <c r="F1538" s="953" t="str">
        <f t="shared" ref="F1538:F1601" si="293">IF(Etabs="Etabs 9.7.4",IF(INDEX(Mode_1,ROW($E1538),COLUMN(D$1))&lt;&gt;"",INDEX(Mode_1,ROW($E1538),COLUMN(D$1)),""),IF(Etabs="Etabs 2013 trở lên",IF(INDEX(Mode_2,ROW($E1540),COLUMN(D$1))&lt;&gt;"",INDEX(Mode_2,ROW($E1540),COLUMN(D$1)),""),""))</f>
        <v/>
      </c>
      <c r="G1538" s="953" t="str">
        <f t="shared" ref="G1538:G1601" si="294">IF(Etabs="Etabs 9.7.4",IF(INDEX(Mode_1,ROW($E1538),COLUMN(E$1))&lt;&gt;"",INDEX(Mode_1,ROW($E1538),COLUMN(E$1)),""),IF(Etabs="Etabs 2013 trở lên",IF(INDEX(Mode_2,ROW($E1540),COLUMN(E$1))&lt;&gt;"",INDEX(Mode_2,ROW($E1540),COLUMN(E$1)),""),""))</f>
        <v/>
      </c>
      <c r="H1538" s="953">
        <f t="shared" ref="H1538:H1601" si="295">IF(Etabs="Etabs 9.7.4",IF(INDEX(Mode_1,ROW($E1538),COLUMN(F$1))&lt;&gt;"",INDEX(Mode_1,ROW($E1538),COLUMN(F$1)),""),IF(Etabs="Etabs 2013 trở lên",0,""))</f>
        <v>0</v>
      </c>
      <c r="I1538" s="953">
        <f t="shared" ref="I1538:I1601" si="296">IF(Etabs="Etabs 9.7.4",IF(INDEX(Mode_1,ROW($E1538),COLUMN(G$1))&lt;&gt;"",INDEX(Mode_1,ROW($E1538),COLUMN(G$1)),""),IF(Etabs="Etabs 2013 trở lên",0,""))</f>
        <v>0</v>
      </c>
      <c r="J1538" s="953">
        <f t="shared" ref="J1538:J1601" si="297">IF(Etabs="Etabs 9.7.4",IF(INDEX(Mode_1,ROW($E1538),COLUMN(H$1))&lt;&gt;"",INDEX(Mode_1,ROW($E1538),COLUMN(H$1)),""),IF(Etabs="Etabs 2013 trở lên",0,""))</f>
        <v>0</v>
      </c>
      <c r="K1538" s="953" t="str">
        <f t="shared" ref="K1538:K1601" si="298">IF(Etabs="Etabs 9.7.4",IF(INDEX(Mode_1,ROW($E1538),COLUMN(I$1))&lt;&gt;"",INDEX(Mode_1,ROW($E1538),COLUMN(I$1)),""),IF(Etabs="Etabs 2013 trở lên",IF(INDEX(Mode_2,ROW($E1540),COLUMN(F$1))&lt;&gt;"",INDEX(Mode_2,ROW($E1540),COLUMN(F$1)),""),""))</f>
        <v/>
      </c>
      <c r="L1538" s="570" t="str">
        <f t="shared" ref="L1538:L1601" si="299">IF(Etabs="Etabs 9.7.4",IF(INDEX(Mode_1,ROW($E1538),COLUMN(C$1))&lt;&gt;"",INDEX(Mode_1,ROW($E1538),COLUMN(C$1)),""),IF(Etabs="Etabs 2013 trở lên",IF(INDEX(Mode_2,ROW($E1540),COLUMN(C$1))&lt;&gt;"",INDEX(Mode_2,ROW($E1540),COLUMN(C$1)),""),""))</f>
        <v/>
      </c>
      <c r="M1538" s="570" t="str">
        <f t="shared" si="288"/>
        <v/>
      </c>
    </row>
    <row r="1539" spans="1:13">
      <c r="A1539" s="570" t="str">
        <f t="shared" si="289"/>
        <v/>
      </c>
      <c r="C1539" s="953" t="str">
        <f t="shared" si="290"/>
        <v/>
      </c>
      <c r="D1539" s="953" t="str">
        <f t="shared" si="291"/>
        <v/>
      </c>
      <c r="E1539" s="953" t="str">
        <f t="shared" si="292"/>
        <v/>
      </c>
      <c r="F1539" s="953" t="str">
        <f t="shared" si="293"/>
        <v/>
      </c>
      <c r="G1539" s="953" t="str">
        <f t="shared" si="294"/>
        <v/>
      </c>
      <c r="H1539" s="953">
        <f t="shared" si="295"/>
        <v>0</v>
      </c>
      <c r="I1539" s="953">
        <f t="shared" si="296"/>
        <v>0</v>
      </c>
      <c r="J1539" s="953">
        <f t="shared" si="297"/>
        <v>0</v>
      </c>
      <c r="K1539" s="953" t="str">
        <f t="shared" si="298"/>
        <v/>
      </c>
      <c r="L1539" s="570" t="str">
        <f t="shared" si="299"/>
        <v/>
      </c>
      <c r="M1539" s="570" t="str">
        <f t="shared" ref="M1539:M1602" si="300">IFERROR(VALUE(RIGHT(L1539,LEN(L1539)-6)),"")</f>
        <v/>
      </c>
    </row>
    <row r="1540" spans="1:13">
      <c r="A1540" s="570" t="str">
        <f t="shared" si="289"/>
        <v/>
      </c>
      <c r="C1540" s="953" t="str">
        <f t="shared" si="290"/>
        <v/>
      </c>
      <c r="D1540" s="953" t="str">
        <f t="shared" si="291"/>
        <v/>
      </c>
      <c r="E1540" s="953" t="str">
        <f t="shared" si="292"/>
        <v/>
      </c>
      <c r="F1540" s="953" t="str">
        <f t="shared" si="293"/>
        <v/>
      </c>
      <c r="G1540" s="953" t="str">
        <f t="shared" si="294"/>
        <v/>
      </c>
      <c r="H1540" s="953">
        <f t="shared" si="295"/>
        <v>0</v>
      </c>
      <c r="I1540" s="953">
        <f t="shared" si="296"/>
        <v>0</v>
      </c>
      <c r="J1540" s="953">
        <f t="shared" si="297"/>
        <v>0</v>
      </c>
      <c r="K1540" s="953" t="str">
        <f t="shared" si="298"/>
        <v/>
      </c>
      <c r="L1540" s="570" t="str">
        <f t="shared" si="299"/>
        <v/>
      </c>
      <c r="M1540" s="570" t="str">
        <f t="shared" si="300"/>
        <v/>
      </c>
    </row>
    <row r="1541" spans="1:13">
      <c r="A1541" s="570" t="str">
        <f t="shared" si="289"/>
        <v/>
      </c>
      <c r="C1541" s="953" t="str">
        <f t="shared" si="290"/>
        <v/>
      </c>
      <c r="D1541" s="953" t="str">
        <f t="shared" si="291"/>
        <v/>
      </c>
      <c r="E1541" s="953" t="str">
        <f t="shared" si="292"/>
        <v/>
      </c>
      <c r="F1541" s="953" t="str">
        <f t="shared" si="293"/>
        <v/>
      </c>
      <c r="G1541" s="953" t="str">
        <f t="shared" si="294"/>
        <v/>
      </c>
      <c r="H1541" s="953">
        <f t="shared" si="295"/>
        <v>0</v>
      </c>
      <c r="I1541" s="953">
        <f t="shared" si="296"/>
        <v>0</v>
      </c>
      <c r="J1541" s="953">
        <f t="shared" si="297"/>
        <v>0</v>
      </c>
      <c r="K1541" s="953" t="str">
        <f t="shared" si="298"/>
        <v/>
      </c>
      <c r="L1541" s="570" t="str">
        <f t="shared" si="299"/>
        <v/>
      </c>
      <c r="M1541" s="570" t="str">
        <f t="shared" si="300"/>
        <v/>
      </c>
    </row>
    <row r="1542" spans="1:13">
      <c r="A1542" s="570" t="str">
        <f t="shared" ref="A1542:A1605" si="301">C1542&amp;E1542</f>
        <v/>
      </c>
      <c r="C1542" s="953" t="str">
        <f t="shared" si="290"/>
        <v/>
      </c>
      <c r="D1542" s="953" t="str">
        <f t="shared" si="291"/>
        <v/>
      </c>
      <c r="E1542" s="953" t="str">
        <f t="shared" si="292"/>
        <v/>
      </c>
      <c r="F1542" s="953" t="str">
        <f t="shared" si="293"/>
        <v/>
      </c>
      <c r="G1542" s="953" t="str">
        <f t="shared" si="294"/>
        <v/>
      </c>
      <c r="H1542" s="953">
        <f t="shared" si="295"/>
        <v>0</v>
      </c>
      <c r="I1542" s="953">
        <f t="shared" si="296"/>
        <v>0</v>
      </c>
      <c r="J1542" s="953">
        <f t="shared" si="297"/>
        <v>0</v>
      </c>
      <c r="K1542" s="953" t="str">
        <f t="shared" si="298"/>
        <v/>
      </c>
      <c r="L1542" s="570" t="str">
        <f t="shared" si="299"/>
        <v/>
      </c>
      <c r="M1542" s="570" t="str">
        <f t="shared" si="300"/>
        <v/>
      </c>
    </row>
    <row r="1543" spans="1:13">
      <c r="A1543" s="570" t="str">
        <f t="shared" si="301"/>
        <v/>
      </c>
      <c r="C1543" s="953" t="str">
        <f t="shared" si="290"/>
        <v/>
      </c>
      <c r="D1543" s="953" t="str">
        <f t="shared" si="291"/>
        <v/>
      </c>
      <c r="E1543" s="953" t="str">
        <f t="shared" si="292"/>
        <v/>
      </c>
      <c r="F1543" s="953" t="str">
        <f t="shared" si="293"/>
        <v/>
      </c>
      <c r="G1543" s="953" t="str">
        <f t="shared" si="294"/>
        <v/>
      </c>
      <c r="H1543" s="953">
        <f t="shared" si="295"/>
        <v>0</v>
      </c>
      <c r="I1543" s="953">
        <f t="shared" si="296"/>
        <v>0</v>
      </c>
      <c r="J1543" s="953">
        <f t="shared" si="297"/>
        <v>0</v>
      </c>
      <c r="K1543" s="953" t="str">
        <f t="shared" si="298"/>
        <v/>
      </c>
      <c r="L1543" s="570" t="str">
        <f t="shared" si="299"/>
        <v/>
      </c>
      <c r="M1543" s="570" t="str">
        <f t="shared" si="300"/>
        <v/>
      </c>
    </row>
    <row r="1544" spans="1:13">
      <c r="A1544" s="570" t="str">
        <f t="shared" si="301"/>
        <v/>
      </c>
      <c r="C1544" s="953" t="str">
        <f t="shared" si="290"/>
        <v/>
      </c>
      <c r="D1544" s="953" t="str">
        <f t="shared" si="291"/>
        <v/>
      </c>
      <c r="E1544" s="953" t="str">
        <f t="shared" si="292"/>
        <v/>
      </c>
      <c r="F1544" s="953" t="str">
        <f t="shared" si="293"/>
        <v/>
      </c>
      <c r="G1544" s="953" t="str">
        <f t="shared" si="294"/>
        <v/>
      </c>
      <c r="H1544" s="953">
        <f t="shared" si="295"/>
        <v>0</v>
      </c>
      <c r="I1544" s="953">
        <f t="shared" si="296"/>
        <v>0</v>
      </c>
      <c r="J1544" s="953">
        <f t="shared" si="297"/>
        <v>0</v>
      </c>
      <c r="K1544" s="953" t="str">
        <f t="shared" si="298"/>
        <v/>
      </c>
      <c r="L1544" s="570" t="str">
        <f t="shared" si="299"/>
        <v/>
      </c>
      <c r="M1544" s="570" t="str">
        <f t="shared" si="300"/>
        <v/>
      </c>
    </row>
    <row r="1545" spans="1:13">
      <c r="A1545" s="570" t="str">
        <f t="shared" si="301"/>
        <v/>
      </c>
      <c r="C1545" s="953" t="str">
        <f t="shared" si="290"/>
        <v/>
      </c>
      <c r="D1545" s="953" t="str">
        <f t="shared" si="291"/>
        <v/>
      </c>
      <c r="E1545" s="953" t="str">
        <f t="shared" si="292"/>
        <v/>
      </c>
      <c r="F1545" s="953" t="str">
        <f t="shared" si="293"/>
        <v/>
      </c>
      <c r="G1545" s="953" t="str">
        <f t="shared" si="294"/>
        <v/>
      </c>
      <c r="H1545" s="953">
        <f t="shared" si="295"/>
        <v>0</v>
      </c>
      <c r="I1545" s="953">
        <f t="shared" si="296"/>
        <v>0</v>
      </c>
      <c r="J1545" s="953">
        <f t="shared" si="297"/>
        <v>0</v>
      </c>
      <c r="K1545" s="953" t="str">
        <f t="shared" si="298"/>
        <v/>
      </c>
      <c r="L1545" s="570" t="str">
        <f t="shared" si="299"/>
        <v/>
      </c>
      <c r="M1545" s="570" t="str">
        <f t="shared" si="300"/>
        <v/>
      </c>
    </row>
    <row r="1546" spans="1:13">
      <c r="A1546" s="570" t="str">
        <f t="shared" si="301"/>
        <v/>
      </c>
      <c r="C1546" s="953" t="str">
        <f t="shared" si="290"/>
        <v/>
      </c>
      <c r="D1546" s="953" t="str">
        <f t="shared" si="291"/>
        <v/>
      </c>
      <c r="E1546" s="953" t="str">
        <f t="shared" si="292"/>
        <v/>
      </c>
      <c r="F1546" s="953" t="str">
        <f t="shared" si="293"/>
        <v/>
      </c>
      <c r="G1546" s="953" t="str">
        <f t="shared" si="294"/>
        <v/>
      </c>
      <c r="H1546" s="953">
        <f t="shared" si="295"/>
        <v>0</v>
      </c>
      <c r="I1546" s="953">
        <f t="shared" si="296"/>
        <v>0</v>
      </c>
      <c r="J1546" s="953">
        <f t="shared" si="297"/>
        <v>0</v>
      </c>
      <c r="K1546" s="953" t="str">
        <f t="shared" si="298"/>
        <v/>
      </c>
      <c r="L1546" s="570" t="str">
        <f t="shared" si="299"/>
        <v/>
      </c>
      <c r="M1546" s="570" t="str">
        <f t="shared" si="300"/>
        <v/>
      </c>
    </row>
    <row r="1547" spans="1:13">
      <c r="A1547" s="570" t="str">
        <f t="shared" si="301"/>
        <v/>
      </c>
      <c r="C1547" s="953" t="str">
        <f t="shared" si="290"/>
        <v/>
      </c>
      <c r="D1547" s="953" t="str">
        <f t="shared" si="291"/>
        <v/>
      </c>
      <c r="E1547" s="953" t="str">
        <f t="shared" si="292"/>
        <v/>
      </c>
      <c r="F1547" s="953" t="str">
        <f t="shared" si="293"/>
        <v/>
      </c>
      <c r="G1547" s="953" t="str">
        <f t="shared" si="294"/>
        <v/>
      </c>
      <c r="H1547" s="953">
        <f t="shared" si="295"/>
        <v>0</v>
      </c>
      <c r="I1547" s="953">
        <f t="shared" si="296"/>
        <v>0</v>
      </c>
      <c r="J1547" s="953">
        <f t="shared" si="297"/>
        <v>0</v>
      </c>
      <c r="K1547" s="953" t="str">
        <f t="shared" si="298"/>
        <v/>
      </c>
      <c r="L1547" s="570" t="str">
        <f t="shared" si="299"/>
        <v/>
      </c>
      <c r="M1547" s="570" t="str">
        <f t="shared" si="300"/>
        <v/>
      </c>
    </row>
    <row r="1548" spans="1:13">
      <c r="A1548" s="570" t="str">
        <f t="shared" si="301"/>
        <v/>
      </c>
      <c r="C1548" s="953" t="str">
        <f t="shared" si="290"/>
        <v/>
      </c>
      <c r="D1548" s="953" t="str">
        <f t="shared" si="291"/>
        <v/>
      </c>
      <c r="E1548" s="953" t="str">
        <f t="shared" si="292"/>
        <v/>
      </c>
      <c r="F1548" s="953" t="str">
        <f t="shared" si="293"/>
        <v/>
      </c>
      <c r="G1548" s="953" t="str">
        <f t="shared" si="294"/>
        <v/>
      </c>
      <c r="H1548" s="953">
        <f t="shared" si="295"/>
        <v>0</v>
      </c>
      <c r="I1548" s="953">
        <f t="shared" si="296"/>
        <v>0</v>
      </c>
      <c r="J1548" s="953">
        <f t="shared" si="297"/>
        <v>0</v>
      </c>
      <c r="K1548" s="953" t="str">
        <f t="shared" si="298"/>
        <v/>
      </c>
      <c r="L1548" s="570" t="str">
        <f t="shared" si="299"/>
        <v/>
      </c>
      <c r="M1548" s="570" t="str">
        <f t="shared" si="300"/>
        <v/>
      </c>
    </row>
    <row r="1549" spans="1:13">
      <c r="A1549" s="570" t="str">
        <f t="shared" si="301"/>
        <v/>
      </c>
      <c r="C1549" s="953" t="str">
        <f t="shared" si="290"/>
        <v/>
      </c>
      <c r="D1549" s="953" t="str">
        <f t="shared" si="291"/>
        <v/>
      </c>
      <c r="E1549" s="953" t="str">
        <f t="shared" si="292"/>
        <v/>
      </c>
      <c r="F1549" s="953" t="str">
        <f t="shared" si="293"/>
        <v/>
      </c>
      <c r="G1549" s="953" t="str">
        <f t="shared" si="294"/>
        <v/>
      </c>
      <c r="H1549" s="953">
        <f t="shared" si="295"/>
        <v>0</v>
      </c>
      <c r="I1549" s="953">
        <f t="shared" si="296"/>
        <v>0</v>
      </c>
      <c r="J1549" s="953">
        <f t="shared" si="297"/>
        <v>0</v>
      </c>
      <c r="K1549" s="953" t="str">
        <f t="shared" si="298"/>
        <v/>
      </c>
      <c r="L1549" s="570" t="str">
        <f t="shared" si="299"/>
        <v/>
      </c>
      <c r="M1549" s="570" t="str">
        <f t="shared" si="300"/>
        <v/>
      </c>
    </row>
    <row r="1550" spans="1:13">
      <c r="A1550" s="570" t="str">
        <f t="shared" si="301"/>
        <v/>
      </c>
      <c r="C1550" s="953" t="str">
        <f t="shared" si="290"/>
        <v/>
      </c>
      <c r="D1550" s="953" t="str">
        <f t="shared" si="291"/>
        <v/>
      </c>
      <c r="E1550" s="953" t="str">
        <f t="shared" si="292"/>
        <v/>
      </c>
      <c r="F1550" s="953" t="str">
        <f t="shared" si="293"/>
        <v/>
      </c>
      <c r="G1550" s="953" t="str">
        <f t="shared" si="294"/>
        <v/>
      </c>
      <c r="H1550" s="953">
        <f t="shared" si="295"/>
        <v>0</v>
      </c>
      <c r="I1550" s="953">
        <f t="shared" si="296"/>
        <v>0</v>
      </c>
      <c r="J1550" s="953">
        <f t="shared" si="297"/>
        <v>0</v>
      </c>
      <c r="K1550" s="953" t="str">
        <f t="shared" si="298"/>
        <v/>
      </c>
      <c r="L1550" s="570" t="str">
        <f t="shared" si="299"/>
        <v/>
      </c>
      <c r="M1550" s="570" t="str">
        <f t="shared" si="300"/>
        <v/>
      </c>
    </row>
    <row r="1551" spans="1:13">
      <c r="A1551" s="570" t="str">
        <f t="shared" si="301"/>
        <v/>
      </c>
      <c r="C1551" s="953" t="str">
        <f t="shared" si="290"/>
        <v/>
      </c>
      <c r="D1551" s="953" t="str">
        <f t="shared" si="291"/>
        <v/>
      </c>
      <c r="E1551" s="953" t="str">
        <f t="shared" si="292"/>
        <v/>
      </c>
      <c r="F1551" s="953" t="str">
        <f t="shared" si="293"/>
        <v/>
      </c>
      <c r="G1551" s="953" t="str">
        <f t="shared" si="294"/>
        <v/>
      </c>
      <c r="H1551" s="953">
        <f t="shared" si="295"/>
        <v>0</v>
      </c>
      <c r="I1551" s="953">
        <f t="shared" si="296"/>
        <v>0</v>
      </c>
      <c r="J1551" s="953">
        <f t="shared" si="297"/>
        <v>0</v>
      </c>
      <c r="K1551" s="953" t="str">
        <f t="shared" si="298"/>
        <v/>
      </c>
      <c r="L1551" s="570" t="str">
        <f t="shared" si="299"/>
        <v/>
      </c>
      <c r="M1551" s="570" t="str">
        <f t="shared" si="300"/>
        <v/>
      </c>
    </row>
    <row r="1552" spans="1:13">
      <c r="A1552" s="570" t="str">
        <f t="shared" si="301"/>
        <v/>
      </c>
      <c r="C1552" s="953" t="str">
        <f t="shared" si="290"/>
        <v/>
      </c>
      <c r="D1552" s="953" t="str">
        <f t="shared" si="291"/>
        <v/>
      </c>
      <c r="E1552" s="953" t="str">
        <f t="shared" si="292"/>
        <v/>
      </c>
      <c r="F1552" s="953" t="str">
        <f t="shared" si="293"/>
        <v/>
      </c>
      <c r="G1552" s="953" t="str">
        <f t="shared" si="294"/>
        <v/>
      </c>
      <c r="H1552" s="953">
        <f t="shared" si="295"/>
        <v>0</v>
      </c>
      <c r="I1552" s="953">
        <f t="shared" si="296"/>
        <v>0</v>
      </c>
      <c r="J1552" s="953">
        <f t="shared" si="297"/>
        <v>0</v>
      </c>
      <c r="K1552" s="953" t="str">
        <f t="shared" si="298"/>
        <v/>
      </c>
      <c r="L1552" s="570" t="str">
        <f t="shared" si="299"/>
        <v/>
      </c>
      <c r="M1552" s="570" t="str">
        <f t="shared" si="300"/>
        <v/>
      </c>
    </row>
    <row r="1553" spans="1:13">
      <c r="A1553" s="570" t="str">
        <f t="shared" si="301"/>
        <v/>
      </c>
      <c r="C1553" s="953" t="str">
        <f t="shared" si="290"/>
        <v/>
      </c>
      <c r="D1553" s="953" t="str">
        <f t="shared" si="291"/>
        <v/>
      </c>
      <c r="E1553" s="953" t="str">
        <f t="shared" si="292"/>
        <v/>
      </c>
      <c r="F1553" s="953" t="str">
        <f t="shared" si="293"/>
        <v/>
      </c>
      <c r="G1553" s="953" t="str">
        <f t="shared" si="294"/>
        <v/>
      </c>
      <c r="H1553" s="953">
        <f t="shared" si="295"/>
        <v>0</v>
      </c>
      <c r="I1553" s="953">
        <f t="shared" si="296"/>
        <v>0</v>
      </c>
      <c r="J1553" s="953">
        <f t="shared" si="297"/>
        <v>0</v>
      </c>
      <c r="K1553" s="953" t="str">
        <f t="shared" si="298"/>
        <v/>
      </c>
      <c r="L1553" s="570" t="str">
        <f t="shared" si="299"/>
        <v/>
      </c>
      <c r="M1553" s="570" t="str">
        <f t="shared" si="300"/>
        <v/>
      </c>
    </row>
    <row r="1554" spans="1:13">
      <c r="A1554" s="570" t="str">
        <f t="shared" si="301"/>
        <v/>
      </c>
      <c r="C1554" s="953" t="str">
        <f t="shared" si="290"/>
        <v/>
      </c>
      <c r="D1554" s="953" t="str">
        <f t="shared" si="291"/>
        <v/>
      </c>
      <c r="E1554" s="953" t="str">
        <f t="shared" si="292"/>
        <v/>
      </c>
      <c r="F1554" s="953" t="str">
        <f t="shared" si="293"/>
        <v/>
      </c>
      <c r="G1554" s="953" t="str">
        <f t="shared" si="294"/>
        <v/>
      </c>
      <c r="H1554" s="953">
        <f t="shared" si="295"/>
        <v>0</v>
      </c>
      <c r="I1554" s="953">
        <f t="shared" si="296"/>
        <v>0</v>
      </c>
      <c r="J1554" s="953">
        <f t="shared" si="297"/>
        <v>0</v>
      </c>
      <c r="K1554" s="953" t="str">
        <f t="shared" si="298"/>
        <v/>
      </c>
      <c r="L1554" s="570" t="str">
        <f t="shared" si="299"/>
        <v/>
      </c>
      <c r="M1554" s="570" t="str">
        <f t="shared" si="300"/>
        <v/>
      </c>
    </row>
    <row r="1555" spans="1:13">
      <c r="A1555" s="570" t="str">
        <f t="shared" si="301"/>
        <v/>
      </c>
      <c r="C1555" s="953" t="str">
        <f t="shared" si="290"/>
        <v/>
      </c>
      <c r="D1555" s="953" t="str">
        <f t="shared" si="291"/>
        <v/>
      </c>
      <c r="E1555" s="953" t="str">
        <f t="shared" si="292"/>
        <v/>
      </c>
      <c r="F1555" s="953" t="str">
        <f t="shared" si="293"/>
        <v/>
      </c>
      <c r="G1555" s="953" t="str">
        <f t="shared" si="294"/>
        <v/>
      </c>
      <c r="H1555" s="953">
        <f t="shared" si="295"/>
        <v>0</v>
      </c>
      <c r="I1555" s="953">
        <f t="shared" si="296"/>
        <v>0</v>
      </c>
      <c r="J1555" s="953">
        <f t="shared" si="297"/>
        <v>0</v>
      </c>
      <c r="K1555" s="953" t="str">
        <f t="shared" si="298"/>
        <v/>
      </c>
      <c r="L1555" s="570" t="str">
        <f t="shared" si="299"/>
        <v/>
      </c>
      <c r="M1555" s="570" t="str">
        <f t="shared" si="300"/>
        <v/>
      </c>
    </row>
    <row r="1556" spans="1:13">
      <c r="A1556" s="570" t="str">
        <f t="shared" si="301"/>
        <v/>
      </c>
      <c r="C1556" s="953" t="str">
        <f t="shared" si="290"/>
        <v/>
      </c>
      <c r="D1556" s="953" t="str">
        <f t="shared" si="291"/>
        <v/>
      </c>
      <c r="E1556" s="953" t="str">
        <f t="shared" si="292"/>
        <v/>
      </c>
      <c r="F1556" s="953" t="str">
        <f t="shared" si="293"/>
        <v/>
      </c>
      <c r="G1556" s="953" t="str">
        <f t="shared" si="294"/>
        <v/>
      </c>
      <c r="H1556" s="953">
        <f t="shared" si="295"/>
        <v>0</v>
      </c>
      <c r="I1556" s="953">
        <f t="shared" si="296"/>
        <v>0</v>
      </c>
      <c r="J1556" s="953">
        <f t="shared" si="297"/>
        <v>0</v>
      </c>
      <c r="K1556" s="953" t="str">
        <f t="shared" si="298"/>
        <v/>
      </c>
      <c r="L1556" s="570" t="str">
        <f t="shared" si="299"/>
        <v/>
      </c>
      <c r="M1556" s="570" t="str">
        <f t="shared" si="300"/>
        <v/>
      </c>
    </row>
    <row r="1557" spans="1:13">
      <c r="A1557" s="570" t="str">
        <f t="shared" si="301"/>
        <v/>
      </c>
      <c r="C1557" s="953" t="str">
        <f t="shared" si="290"/>
        <v/>
      </c>
      <c r="D1557" s="953" t="str">
        <f t="shared" si="291"/>
        <v/>
      </c>
      <c r="E1557" s="953" t="str">
        <f t="shared" si="292"/>
        <v/>
      </c>
      <c r="F1557" s="953" t="str">
        <f t="shared" si="293"/>
        <v/>
      </c>
      <c r="G1557" s="953" t="str">
        <f t="shared" si="294"/>
        <v/>
      </c>
      <c r="H1557" s="953">
        <f t="shared" si="295"/>
        <v>0</v>
      </c>
      <c r="I1557" s="953">
        <f t="shared" si="296"/>
        <v>0</v>
      </c>
      <c r="J1557" s="953">
        <f t="shared" si="297"/>
        <v>0</v>
      </c>
      <c r="K1557" s="953" t="str">
        <f t="shared" si="298"/>
        <v/>
      </c>
      <c r="L1557" s="570" t="str">
        <f t="shared" si="299"/>
        <v/>
      </c>
      <c r="M1557" s="570" t="str">
        <f t="shared" si="300"/>
        <v/>
      </c>
    </row>
    <row r="1558" spans="1:13">
      <c r="A1558" s="570" t="str">
        <f t="shared" si="301"/>
        <v/>
      </c>
      <c r="C1558" s="953" t="str">
        <f t="shared" si="290"/>
        <v/>
      </c>
      <c r="D1558" s="953" t="str">
        <f t="shared" si="291"/>
        <v/>
      </c>
      <c r="E1558" s="953" t="str">
        <f t="shared" si="292"/>
        <v/>
      </c>
      <c r="F1558" s="953" t="str">
        <f t="shared" si="293"/>
        <v/>
      </c>
      <c r="G1558" s="953" t="str">
        <f t="shared" si="294"/>
        <v/>
      </c>
      <c r="H1558" s="953">
        <f t="shared" si="295"/>
        <v>0</v>
      </c>
      <c r="I1558" s="953">
        <f t="shared" si="296"/>
        <v>0</v>
      </c>
      <c r="J1558" s="953">
        <f t="shared" si="297"/>
        <v>0</v>
      </c>
      <c r="K1558" s="953" t="str">
        <f t="shared" si="298"/>
        <v/>
      </c>
      <c r="L1558" s="570" t="str">
        <f t="shared" si="299"/>
        <v/>
      </c>
      <c r="M1558" s="570" t="str">
        <f t="shared" si="300"/>
        <v/>
      </c>
    </row>
    <row r="1559" spans="1:13">
      <c r="A1559" s="570" t="str">
        <f t="shared" si="301"/>
        <v/>
      </c>
      <c r="C1559" s="953" t="str">
        <f t="shared" si="290"/>
        <v/>
      </c>
      <c r="D1559" s="953" t="str">
        <f t="shared" si="291"/>
        <v/>
      </c>
      <c r="E1559" s="953" t="str">
        <f t="shared" si="292"/>
        <v/>
      </c>
      <c r="F1559" s="953" t="str">
        <f t="shared" si="293"/>
        <v/>
      </c>
      <c r="G1559" s="953" t="str">
        <f t="shared" si="294"/>
        <v/>
      </c>
      <c r="H1559" s="953">
        <f t="shared" si="295"/>
        <v>0</v>
      </c>
      <c r="I1559" s="953">
        <f t="shared" si="296"/>
        <v>0</v>
      </c>
      <c r="J1559" s="953">
        <f t="shared" si="297"/>
        <v>0</v>
      </c>
      <c r="K1559" s="953" t="str">
        <f t="shared" si="298"/>
        <v/>
      </c>
      <c r="L1559" s="570" t="str">
        <f t="shared" si="299"/>
        <v/>
      </c>
      <c r="M1559" s="570" t="str">
        <f t="shared" si="300"/>
        <v/>
      </c>
    </row>
    <row r="1560" spans="1:13">
      <c r="A1560" s="570" t="str">
        <f t="shared" si="301"/>
        <v/>
      </c>
      <c r="C1560" s="953" t="str">
        <f t="shared" si="290"/>
        <v/>
      </c>
      <c r="D1560" s="953" t="str">
        <f t="shared" si="291"/>
        <v/>
      </c>
      <c r="E1560" s="953" t="str">
        <f t="shared" si="292"/>
        <v/>
      </c>
      <c r="F1560" s="953" t="str">
        <f t="shared" si="293"/>
        <v/>
      </c>
      <c r="G1560" s="953" t="str">
        <f t="shared" si="294"/>
        <v/>
      </c>
      <c r="H1560" s="953">
        <f t="shared" si="295"/>
        <v>0</v>
      </c>
      <c r="I1560" s="953">
        <f t="shared" si="296"/>
        <v>0</v>
      </c>
      <c r="J1560" s="953">
        <f t="shared" si="297"/>
        <v>0</v>
      </c>
      <c r="K1560" s="953" t="str">
        <f t="shared" si="298"/>
        <v/>
      </c>
      <c r="L1560" s="570" t="str">
        <f t="shared" si="299"/>
        <v/>
      </c>
      <c r="M1560" s="570" t="str">
        <f t="shared" si="300"/>
        <v/>
      </c>
    </row>
    <row r="1561" spans="1:13">
      <c r="A1561" s="570" t="str">
        <f t="shared" si="301"/>
        <v/>
      </c>
      <c r="C1561" s="953" t="str">
        <f t="shared" si="290"/>
        <v/>
      </c>
      <c r="D1561" s="953" t="str">
        <f t="shared" si="291"/>
        <v/>
      </c>
      <c r="E1561" s="953" t="str">
        <f t="shared" si="292"/>
        <v/>
      </c>
      <c r="F1561" s="953" t="str">
        <f t="shared" si="293"/>
        <v/>
      </c>
      <c r="G1561" s="953" t="str">
        <f t="shared" si="294"/>
        <v/>
      </c>
      <c r="H1561" s="953">
        <f t="shared" si="295"/>
        <v>0</v>
      </c>
      <c r="I1561" s="953">
        <f t="shared" si="296"/>
        <v>0</v>
      </c>
      <c r="J1561" s="953">
        <f t="shared" si="297"/>
        <v>0</v>
      </c>
      <c r="K1561" s="953" t="str">
        <f t="shared" si="298"/>
        <v/>
      </c>
      <c r="L1561" s="570" t="str">
        <f t="shared" si="299"/>
        <v/>
      </c>
      <c r="M1561" s="570" t="str">
        <f t="shared" si="300"/>
        <v/>
      </c>
    </row>
    <row r="1562" spans="1:13">
      <c r="A1562" s="570" t="str">
        <f t="shared" si="301"/>
        <v/>
      </c>
      <c r="C1562" s="953" t="str">
        <f t="shared" si="290"/>
        <v/>
      </c>
      <c r="D1562" s="953" t="str">
        <f t="shared" si="291"/>
        <v/>
      </c>
      <c r="E1562" s="953" t="str">
        <f t="shared" si="292"/>
        <v/>
      </c>
      <c r="F1562" s="953" t="str">
        <f t="shared" si="293"/>
        <v/>
      </c>
      <c r="G1562" s="953" t="str">
        <f t="shared" si="294"/>
        <v/>
      </c>
      <c r="H1562" s="953">
        <f t="shared" si="295"/>
        <v>0</v>
      </c>
      <c r="I1562" s="953">
        <f t="shared" si="296"/>
        <v>0</v>
      </c>
      <c r="J1562" s="953">
        <f t="shared" si="297"/>
        <v>0</v>
      </c>
      <c r="K1562" s="953" t="str">
        <f t="shared" si="298"/>
        <v/>
      </c>
      <c r="L1562" s="570" t="str">
        <f t="shared" si="299"/>
        <v/>
      </c>
      <c r="M1562" s="570" t="str">
        <f t="shared" si="300"/>
        <v/>
      </c>
    </row>
    <row r="1563" spans="1:13">
      <c r="A1563" s="570" t="str">
        <f t="shared" si="301"/>
        <v/>
      </c>
      <c r="C1563" s="953" t="str">
        <f t="shared" si="290"/>
        <v/>
      </c>
      <c r="D1563" s="953" t="str">
        <f t="shared" si="291"/>
        <v/>
      </c>
      <c r="E1563" s="953" t="str">
        <f t="shared" si="292"/>
        <v/>
      </c>
      <c r="F1563" s="953" t="str">
        <f t="shared" si="293"/>
        <v/>
      </c>
      <c r="G1563" s="953" t="str">
        <f t="shared" si="294"/>
        <v/>
      </c>
      <c r="H1563" s="953">
        <f t="shared" si="295"/>
        <v>0</v>
      </c>
      <c r="I1563" s="953">
        <f t="shared" si="296"/>
        <v>0</v>
      </c>
      <c r="J1563" s="953">
        <f t="shared" si="297"/>
        <v>0</v>
      </c>
      <c r="K1563" s="953" t="str">
        <f t="shared" si="298"/>
        <v/>
      </c>
      <c r="L1563" s="570" t="str">
        <f t="shared" si="299"/>
        <v/>
      </c>
      <c r="M1563" s="570" t="str">
        <f t="shared" si="300"/>
        <v/>
      </c>
    </row>
    <row r="1564" spans="1:13">
      <c r="A1564" s="570" t="str">
        <f t="shared" si="301"/>
        <v/>
      </c>
      <c r="C1564" s="953" t="str">
        <f t="shared" si="290"/>
        <v/>
      </c>
      <c r="D1564" s="953" t="str">
        <f t="shared" si="291"/>
        <v/>
      </c>
      <c r="E1564" s="953" t="str">
        <f t="shared" si="292"/>
        <v/>
      </c>
      <c r="F1564" s="953" t="str">
        <f t="shared" si="293"/>
        <v/>
      </c>
      <c r="G1564" s="953" t="str">
        <f t="shared" si="294"/>
        <v/>
      </c>
      <c r="H1564" s="953">
        <f t="shared" si="295"/>
        <v>0</v>
      </c>
      <c r="I1564" s="953">
        <f t="shared" si="296"/>
        <v>0</v>
      </c>
      <c r="J1564" s="953">
        <f t="shared" si="297"/>
        <v>0</v>
      </c>
      <c r="K1564" s="953" t="str">
        <f t="shared" si="298"/>
        <v/>
      </c>
      <c r="L1564" s="570" t="str">
        <f t="shared" si="299"/>
        <v/>
      </c>
      <c r="M1564" s="570" t="str">
        <f t="shared" si="300"/>
        <v/>
      </c>
    </row>
    <row r="1565" spans="1:13">
      <c r="A1565" s="570" t="str">
        <f t="shared" si="301"/>
        <v/>
      </c>
      <c r="C1565" s="953" t="str">
        <f t="shared" si="290"/>
        <v/>
      </c>
      <c r="D1565" s="953" t="str">
        <f t="shared" si="291"/>
        <v/>
      </c>
      <c r="E1565" s="953" t="str">
        <f t="shared" si="292"/>
        <v/>
      </c>
      <c r="F1565" s="953" t="str">
        <f t="shared" si="293"/>
        <v/>
      </c>
      <c r="G1565" s="953" t="str">
        <f t="shared" si="294"/>
        <v/>
      </c>
      <c r="H1565" s="953">
        <f t="shared" si="295"/>
        <v>0</v>
      </c>
      <c r="I1565" s="953">
        <f t="shared" si="296"/>
        <v>0</v>
      </c>
      <c r="J1565" s="953">
        <f t="shared" si="297"/>
        <v>0</v>
      </c>
      <c r="K1565" s="953" t="str">
        <f t="shared" si="298"/>
        <v/>
      </c>
      <c r="L1565" s="570" t="str">
        <f t="shared" si="299"/>
        <v/>
      </c>
      <c r="M1565" s="570" t="str">
        <f t="shared" si="300"/>
        <v/>
      </c>
    </row>
    <row r="1566" spans="1:13">
      <c r="A1566" s="570" t="str">
        <f t="shared" si="301"/>
        <v/>
      </c>
      <c r="C1566" s="953" t="str">
        <f t="shared" si="290"/>
        <v/>
      </c>
      <c r="D1566" s="953" t="str">
        <f t="shared" si="291"/>
        <v/>
      </c>
      <c r="E1566" s="953" t="str">
        <f t="shared" si="292"/>
        <v/>
      </c>
      <c r="F1566" s="953" t="str">
        <f t="shared" si="293"/>
        <v/>
      </c>
      <c r="G1566" s="953" t="str">
        <f t="shared" si="294"/>
        <v/>
      </c>
      <c r="H1566" s="953">
        <f t="shared" si="295"/>
        <v>0</v>
      </c>
      <c r="I1566" s="953">
        <f t="shared" si="296"/>
        <v>0</v>
      </c>
      <c r="J1566" s="953">
        <f t="shared" si="297"/>
        <v>0</v>
      </c>
      <c r="K1566" s="953" t="str">
        <f t="shared" si="298"/>
        <v/>
      </c>
      <c r="L1566" s="570" t="str">
        <f t="shared" si="299"/>
        <v/>
      </c>
      <c r="M1566" s="570" t="str">
        <f t="shared" si="300"/>
        <v/>
      </c>
    </row>
    <row r="1567" spans="1:13">
      <c r="A1567" s="570" t="str">
        <f t="shared" si="301"/>
        <v/>
      </c>
      <c r="C1567" s="953" t="str">
        <f t="shared" si="290"/>
        <v/>
      </c>
      <c r="D1567" s="953" t="str">
        <f t="shared" si="291"/>
        <v/>
      </c>
      <c r="E1567" s="953" t="str">
        <f t="shared" si="292"/>
        <v/>
      </c>
      <c r="F1567" s="953" t="str">
        <f t="shared" si="293"/>
        <v/>
      </c>
      <c r="G1567" s="953" t="str">
        <f t="shared" si="294"/>
        <v/>
      </c>
      <c r="H1567" s="953">
        <f t="shared" si="295"/>
        <v>0</v>
      </c>
      <c r="I1567" s="953">
        <f t="shared" si="296"/>
        <v>0</v>
      </c>
      <c r="J1567" s="953">
        <f t="shared" si="297"/>
        <v>0</v>
      </c>
      <c r="K1567" s="953" t="str">
        <f t="shared" si="298"/>
        <v/>
      </c>
      <c r="L1567" s="570" t="str">
        <f t="shared" si="299"/>
        <v/>
      </c>
      <c r="M1567" s="570" t="str">
        <f t="shared" si="300"/>
        <v/>
      </c>
    </row>
    <row r="1568" spans="1:13">
      <c r="A1568" s="570" t="str">
        <f t="shared" si="301"/>
        <v/>
      </c>
      <c r="C1568" s="953" t="str">
        <f t="shared" si="290"/>
        <v/>
      </c>
      <c r="D1568" s="953" t="str">
        <f t="shared" si="291"/>
        <v/>
      </c>
      <c r="E1568" s="953" t="str">
        <f t="shared" si="292"/>
        <v/>
      </c>
      <c r="F1568" s="953" t="str">
        <f t="shared" si="293"/>
        <v/>
      </c>
      <c r="G1568" s="953" t="str">
        <f t="shared" si="294"/>
        <v/>
      </c>
      <c r="H1568" s="953">
        <f t="shared" si="295"/>
        <v>0</v>
      </c>
      <c r="I1568" s="953">
        <f t="shared" si="296"/>
        <v>0</v>
      </c>
      <c r="J1568" s="953">
        <f t="shared" si="297"/>
        <v>0</v>
      </c>
      <c r="K1568" s="953" t="str">
        <f t="shared" si="298"/>
        <v/>
      </c>
      <c r="L1568" s="570" t="str">
        <f t="shared" si="299"/>
        <v/>
      </c>
      <c r="M1568" s="570" t="str">
        <f t="shared" si="300"/>
        <v/>
      </c>
    </row>
    <row r="1569" spans="1:13">
      <c r="A1569" s="570" t="str">
        <f t="shared" si="301"/>
        <v/>
      </c>
      <c r="C1569" s="953" t="str">
        <f t="shared" si="290"/>
        <v/>
      </c>
      <c r="D1569" s="953" t="str">
        <f t="shared" si="291"/>
        <v/>
      </c>
      <c r="E1569" s="953" t="str">
        <f t="shared" si="292"/>
        <v/>
      </c>
      <c r="F1569" s="953" t="str">
        <f t="shared" si="293"/>
        <v/>
      </c>
      <c r="G1569" s="953" t="str">
        <f t="shared" si="294"/>
        <v/>
      </c>
      <c r="H1569" s="953">
        <f t="shared" si="295"/>
        <v>0</v>
      </c>
      <c r="I1569" s="953">
        <f t="shared" si="296"/>
        <v>0</v>
      </c>
      <c r="J1569" s="953">
        <f t="shared" si="297"/>
        <v>0</v>
      </c>
      <c r="K1569" s="953" t="str">
        <f t="shared" si="298"/>
        <v/>
      </c>
      <c r="L1569" s="570" t="str">
        <f t="shared" si="299"/>
        <v/>
      </c>
      <c r="M1569" s="570" t="str">
        <f t="shared" si="300"/>
        <v/>
      </c>
    </row>
    <row r="1570" spans="1:13">
      <c r="A1570" s="570" t="str">
        <f t="shared" si="301"/>
        <v/>
      </c>
      <c r="C1570" s="953" t="str">
        <f t="shared" si="290"/>
        <v/>
      </c>
      <c r="D1570" s="953" t="str">
        <f t="shared" si="291"/>
        <v/>
      </c>
      <c r="E1570" s="953" t="str">
        <f t="shared" si="292"/>
        <v/>
      </c>
      <c r="F1570" s="953" t="str">
        <f t="shared" si="293"/>
        <v/>
      </c>
      <c r="G1570" s="953" t="str">
        <f t="shared" si="294"/>
        <v/>
      </c>
      <c r="H1570" s="953">
        <f t="shared" si="295"/>
        <v>0</v>
      </c>
      <c r="I1570" s="953">
        <f t="shared" si="296"/>
        <v>0</v>
      </c>
      <c r="J1570" s="953">
        <f t="shared" si="297"/>
        <v>0</v>
      </c>
      <c r="K1570" s="953" t="str">
        <f t="shared" si="298"/>
        <v/>
      </c>
      <c r="L1570" s="570" t="str">
        <f t="shared" si="299"/>
        <v/>
      </c>
      <c r="M1570" s="570" t="str">
        <f t="shared" si="300"/>
        <v/>
      </c>
    </row>
    <row r="1571" spans="1:13">
      <c r="A1571" s="570" t="str">
        <f t="shared" si="301"/>
        <v/>
      </c>
      <c r="C1571" s="953" t="str">
        <f t="shared" si="290"/>
        <v/>
      </c>
      <c r="D1571" s="953" t="str">
        <f t="shared" si="291"/>
        <v/>
      </c>
      <c r="E1571" s="953" t="str">
        <f t="shared" si="292"/>
        <v/>
      </c>
      <c r="F1571" s="953" t="str">
        <f t="shared" si="293"/>
        <v/>
      </c>
      <c r="G1571" s="953" t="str">
        <f t="shared" si="294"/>
        <v/>
      </c>
      <c r="H1571" s="953">
        <f t="shared" si="295"/>
        <v>0</v>
      </c>
      <c r="I1571" s="953">
        <f t="shared" si="296"/>
        <v>0</v>
      </c>
      <c r="J1571" s="953">
        <f t="shared" si="297"/>
        <v>0</v>
      </c>
      <c r="K1571" s="953" t="str">
        <f t="shared" si="298"/>
        <v/>
      </c>
      <c r="L1571" s="570" t="str">
        <f t="shared" si="299"/>
        <v/>
      </c>
      <c r="M1571" s="570" t="str">
        <f t="shared" si="300"/>
        <v/>
      </c>
    </row>
    <row r="1572" spans="1:13">
      <c r="A1572" s="570" t="str">
        <f t="shared" si="301"/>
        <v/>
      </c>
      <c r="C1572" s="953" t="str">
        <f t="shared" si="290"/>
        <v/>
      </c>
      <c r="D1572" s="953" t="str">
        <f t="shared" si="291"/>
        <v/>
      </c>
      <c r="E1572" s="953" t="str">
        <f t="shared" si="292"/>
        <v/>
      </c>
      <c r="F1572" s="953" t="str">
        <f t="shared" si="293"/>
        <v/>
      </c>
      <c r="G1572" s="953" t="str">
        <f t="shared" si="294"/>
        <v/>
      </c>
      <c r="H1572" s="953">
        <f t="shared" si="295"/>
        <v>0</v>
      </c>
      <c r="I1572" s="953">
        <f t="shared" si="296"/>
        <v>0</v>
      </c>
      <c r="J1572" s="953">
        <f t="shared" si="297"/>
        <v>0</v>
      </c>
      <c r="K1572" s="953" t="str">
        <f t="shared" si="298"/>
        <v/>
      </c>
      <c r="L1572" s="570" t="str">
        <f t="shared" si="299"/>
        <v/>
      </c>
      <c r="M1572" s="570" t="str">
        <f t="shared" si="300"/>
        <v/>
      </c>
    </row>
    <row r="1573" spans="1:13">
      <c r="A1573" s="570" t="str">
        <f t="shared" si="301"/>
        <v/>
      </c>
      <c r="C1573" s="953" t="str">
        <f t="shared" si="290"/>
        <v/>
      </c>
      <c r="D1573" s="953" t="str">
        <f t="shared" si="291"/>
        <v/>
      </c>
      <c r="E1573" s="953" t="str">
        <f t="shared" si="292"/>
        <v/>
      </c>
      <c r="F1573" s="953" t="str">
        <f t="shared" si="293"/>
        <v/>
      </c>
      <c r="G1573" s="953" t="str">
        <f t="shared" si="294"/>
        <v/>
      </c>
      <c r="H1573" s="953">
        <f t="shared" si="295"/>
        <v>0</v>
      </c>
      <c r="I1573" s="953">
        <f t="shared" si="296"/>
        <v>0</v>
      </c>
      <c r="J1573" s="953">
        <f t="shared" si="297"/>
        <v>0</v>
      </c>
      <c r="K1573" s="953" t="str">
        <f t="shared" si="298"/>
        <v/>
      </c>
      <c r="L1573" s="570" t="str">
        <f t="shared" si="299"/>
        <v/>
      </c>
      <c r="M1573" s="570" t="str">
        <f t="shared" si="300"/>
        <v/>
      </c>
    </row>
    <row r="1574" spans="1:13">
      <c r="A1574" s="570" t="str">
        <f t="shared" si="301"/>
        <v/>
      </c>
      <c r="C1574" s="953" t="str">
        <f t="shared" si="290"/>
        <v/>
      </c>
      <c r="D1574" s="953" t="str">
        <f t="shared" si="291"/>
        <v/>
      </c>
      <c r="E1574" s="953" t="str">
        <f t="shared" si="292"/>
        <v/>
      </c>
      <c r="F1574" s="953" t="str">
        <f t="shared" si="293"/>
        <v/>
      </c>
      <c r="G1574" s="953" t="str">
        <f t="shared" si="294"/>
        <v/>
      </c>
      <c r="H1574" s="953">
        <f t="shared" si="295"/>
        <v>0</v>
      </c>
      <c r="I1574" s="953">
        <f t="shared" si="296"/>
        <v>0</v>
      </c>
      <c r="J1574" s="953">
        <f t="shared" si="297"/>
        <v>0</v>
      </c>
      <c r="K1574" s="953" t="str">
        <f t="shared" si="298"/>
        <v/>
      </c>
      <c r="L1574" s="570" t="str">
        <f t="shared" si="299"/>
        <v/>
      </c>
      <c r="M1574" s="570" t="str">
        <f t="shared" si="300"/>
        <v/>
      </c>
    </row>
    <row r="1575" spans="1:13">
      <c r="A1575" s="570" t="str">
        <f t="shared" si="301"/>
        <v/>
      </c>
      <c r="C1575" s="953" t="str">
        <f t="shared" si="290"/>
        <v/>
      </c>
      <c r="D1575" s="953" t="str">
        <f t="shared" si="291"/>
        <v/>
      </c>
      <c r="E1575" s="953" t="str">
        <f t="shared" si="292"/>
        <v/>
      </c>
      <c r="F1575" s="953" t="str">
        <f t="shared" si="293"/>
        <v/>
      </c>
      <c r="G1575" s="953" t="str">
        <f t="shared" si="294"/>
        <v/>
      </c>
      <c r="H1575" s="953">
        <f t="shared" si="295"/>
        <v>0</v>
      </c>
      <c r="I1575" s="953">
        <f t="shared" si="296"/>
        <v>0</v>
      </c>
      <c r="J1575" s="953">
        <f t="shared" si="297"/>
        <v>0</v>
      </c>
      <c r="K1575" s="953" t="str">
        <f t="shared" si="298"/>
        <v/>
      </c>
      <c r="L1575" s="570" t="str">
        <f t="shared" si="299"/>
        <v/>
      </c>
      <c r="M1575" s="570" t="str">
        <f t="shared" si="300"/>
        <v/>
      </c>
    </row>
    <row r="1576" spans="1:13">
      <c r="A1576" s="570" t="str">
        <f t="shared" si="301"/>
        <v/>
      </c>
      <c r="C1576" s="953" t="str">
        <f t="shared" si="290"/>
        <v/>
      </c>
      <c r="D1576" s="953" t="str">
        <f t="shared" si="291"/>
        <v/>
      </c>
      <c r="E1576" s="953" t="str">
        <f t="shared" si="292"/>
        <v/>
      </c>
      <c r="F1576" s="953" t="str">
        <f t="shared" si="293"/>
        <v/>
      </c>
      <c r="G1576" s="953" t="str">
        <f t="shared" si="294"/>
        <v/>
      </c>
      <c r="H1576" s="953">
        <f t="shared" si="295"/>
        <v>0</v>
      </c>
      <c r="I1576" s="953">
        <f t="shared" si="296"/>
        <v>0</v>
      </c>
      <c r="J1576" s="953">
        <f t="shared" si="297"/>
        <v>0</v>
      </c>
      <c r="K1576" s="953" t="str">
        <f t="shared" si="298"/>
        <v/>
      </c>
      <c r="L1576" s="570" t="str">
        <f t="shared" si="299"/>
        <v/>
      </c>
      <c r="M1576" s="570" t="str">
        <f t="shared" si="300"/>
        <v/>
      </c>
    </row>
    <row r="1577" spans="1:13">
      <c r="A1577" s="570" t="str">
        <f t="shared" si="301"/>
        <v/>
      </c>
      <c r="C1577" s="953" t="str">
        <f t="shared" si="290"/>
        <v/>
      </c>
      <c r="D1577" s="953" t="str">
        <f t="shared" si="291"/>
        <v/>
      </c>
      <c r="E1577" s="953" t="str">
        <f t="shared" si="292"/>
        <v/>
      </c>
      <c r="F1577" s="953" t="str">
        <f t="shared" si="293"/>
        <v/>
      </c>
      <c r="G1577" s="953" t="str">
        <f t="shared" si="294"/>
        <v/>
      </c>
      <c r="H1577" s="953">
        <f t="shared" si="295"/>
        <v>0</v>
      </c>
      <c r="I1577" s="953">
        <f t="shared" si="296"/>
        <v>0</v>
      </c>
      <c r="J1577" s="953">
        <f t="shared" si="297"/>
        <v>0</v>
      </c>
      <c r="K1577" s="953" t="str">
        <f t="shared" si="298"/>
        <v/>
      </c>
      <c r="L1577" s="570" t="str">
        <f t="shared" si="299"/>
        <v/>
      </c>
      <c r="M1577" s="570" t="str">
        <f t="shared" si="300"/>
        <v/>
      </c>
    </row>
    <row r="1578" spans="1:13">
      <c r="A1578" s="570" t="str">
        <f t="shared" si="301"/>
        <v/>
      </c>
      <c r="C1578" s="953" t="str">
        <f t="shared" si="290"/>
        <v/>
      </c>
      <c r="D1578" s="953" t="str">
        <f t="shared" si="291"/>
        <v/>
      </c>
      <c r="E1578" s="953" t="str">
        <f t="shared" si="292"/>
        <v/>
      </c>
      <c r="F1578" s="953" t="str">
        <f t="shared" si="293"/>
        <v/>
      </c>
      <c r="G1578" s="953" t="str">
        <f t="shared" si="294"/>
        <v/>
      </c>
      <c r="H1578" s="953">
        <f t="shared" si="295"/>
        <v>0</v>
      </c>
      <c r="I1578" s="953">
        <f t="shared" si="296"/>
        <v>0</v>
      </c>
      <c r="J1578" s="953">
        <f t="shared" si="297"/>
        <v>0</v>
      </c>
      <c r="K1578" s="953" t="str">
        <f t="shared" si="298"/>
        <v/>
      </c>
      <c r="L1578" s="570" t="str">
        <f t="shared" si="299"/>
        <v/>
      </c>
      <c r="M1578" s="570" t="str">
        <f t="shared" si="300"/>
        <v/>
      </c>
    </row>
    <row r="1579" spans="1:13">
      <c r="A1579" s="570" t="str">
        <f t="shared" si="301"/>
        <v/>
      </c>
      <c r="C1579" s="953" t="str">
        <f t="shared" si="290"/>
        <v/>
      </c>
      <c r="D1579" s="953" t="str">
        <f t="shared" si="291"/>
        <v/>
      </c>
      <c r="E1579" s="953" t="str">
        <f t="shared" si="292"/>
        <v/>
      </c>
      <c r="F1579" s="953" t="str">
        <f t="shared" si="293"/>
        <v/>
      </c>
      <c r="G1579" s="953" t="str">
        <f t="shared" si="294"/>
        <v/>
      </c>
      <c r="H1579" s="953">
        <f t="shared" si="295"/>
        <v>0</v>
      </c>
      <c r="I1579" s="953">
        <f t="shared" si="296"/>
        <v>0</v>
      </c>
      <c r="J1579" s="953">
        <f t="shared" si="297"/>
        <v>0</v>
      </c>
      <c r="K1579" s="953" t="str">
        <f t="shared" si="298"/>
        <v/>
      </c>
      <c r="L1579" s="570" t="str">
        <f t="shared" si="299"/>
        <v/>
      </c>
      <c r="M1579" s="570" t="str">
        <f t="shared" si="300"/>
        <v/>
      </c>
    </row>
    <row r="1580" spans="1:13">
      <c r="A1580" s="570" t="str">
        <f t="shared" si="301"/>
        <v/>
      </c>
      <c r="C1580" s="953" t="str">
        <f t="shared" si="290"/>
        <v/>
      </c>
      <c r="D1580" s="953" t="str">
        <f t="shared" si="291"/>
        <v/>
      </c>
      <c r="E1580" s="953" t="str">
        <f t="shared" si="292"/>
        <v/>
      </c>
      <c r="F1580" s="953" t="str">
        <f t="shared" si="293"/>
        <v/>
      </c>
      <c r="G1580" s="953" t="str">
        <f t="shared" si="294"/>
        <v/>
      </c>
      <c r="H1580" s="953">
        <f t="shared" si="295"/>
        <v>0</v>
      </c>
      <c r="I1580" s="953">
        <f t="shared" si="296"/>
        <v>0</v>
      </c>
      <c r="J1580" s="953">
        <f t="shared" si="297"/>
        <v>0</v>
      </c>
      <c r="K1580" s="953" t="str">
        <f t="shared" si="298"/>
        <v/>
      </c>
      <c r="L1580" s="570" t="str">
        <f t="shared" si="299"/>
        <v/>
      </c>
      <c r="M1580" s="570" t="str">
        <f t="shared" si="300"/>
        <v/>
      </c>
    </row>
    <row r="1581" spans="1:13">
      <c r="A1581" s="570" t="str">
        <f t="shared" si="301"/>
        <v/>
      </c>
      <c r="C1581" s="953" t="str">
        <f t="shared" si="290"/>
        <v/>
      </c>
      <c r="D1581" s="953" t="str">
        <f t="shared" si="291"/>
        <v/>
      </c>
      <c r="E1581" s="953" t="str">
        <f t="shared" si="292"/>
        <v/>
      </c>
      <c r="F1581" s="953" t="str">
        <f t="shared" si="293"/>
        <v/>
      </c>
      <c r="G1581" s="953" t="str">
        <f t="shared" si="294"/>
        <v/>
      </c>
      <c r="H1581" s="953">
        <f t="shared" si="295"/>
        <v>0</v>
      </c>
      <c r="I1581" s="953">
        <f t="shared" si="296"/>
        <v>0</v>
      </c>
      <c r="J1581" s="953">
        <f t="shared" si="297"/>
        <v>0</v>
      </c>
      <c r="K1581" s="953" t="str">
        <f t="shared" si="298"/>
        <v/>
      </c>
      <c r="L1581" s="570" t="str">
        <f t="shared" si="299"/>
        <v/>
      </c>
      <c r="M1581" s="570" t="str">
        <f t="shared" si="300"/>
        <v/>
      </c>
    </row>
    <row r="1582" spans="1:13">
      <c r="A1582" s="570" t="str">
        <f t="shared" si="301"/>
        <v/>
      </c>
      <c r="C1582" s="953" t="str">
        <f t="shared" si="290"/>
        <v/>
      </c>
      <c r="D1582" s="953" t="str">
        <f t="shared" si="291"/>
        <v/>
      </c>
      <c r="E1582" s="953" t="str">
        <f t="shared" si="292"/>
        <v/>
      </c>
      <c r="F1582" s="953" t="str">
        <f t="shared" si="293"/>
        <v/>
      </c>
      <c r="G1582" s="953" t="str">
        <f t="shared" si="294"/>
        <v/>
      </c>
      <c r="H1582" s="953">
        <f t="shared" si="295"/>
        <v>0</v>
      </c>
      <c r="I1582" s="953">
        <f t="shared" si="296"/>
        <v>0</v>
      </c>
      <c r="J1582" s="953">
        <f t="shared" si="297"/>
        <v>0</v>
      </c>
      <c r="K1582" s="953" t="str">
        <f t="shared" si="298"/>
        <v/>
      </c>
      <c r="L1582" s="570" t="str">
        <f t="shared" si="299"/>
        <v/>
      </c>
      <c r="M1582" s="570" t="str">
        <f t="shared" si="300"/>
        <v/>
      </c>
    </row>
    <row r="1583" spans="1:13">
      <c r="A1583" s="570" t="str">
        <f t="shared" si="301"/>
        <v/>
      </c>
      <c r="C1583" s="953" t="str">
        <f t="shared" si="290"/>
        <v/>
      </c>
      <c r="D1583" s="953" t="str">
        <f t="shared" si="291"/>
        <v/>
      </c>
      <c r="E1583" s="953" t="str">
        <f t="shared" si="292"/>
        <v/>
      </c>
      <c r="F1583" s="953" t="str">
        <f t="shared" si="293"/>
        <v/>
      </c>
      <c r="G1583" s="953" t="str">
        <f t="shared" si="294"/>
        <v/>
      </c>
      <c r="H1583" s="953">
        <f t="shared" si="295"/>
        <v>0</v>
      </c>
      <c r="I1583" s="953">
        <f t="shared" si="296"/>
        <v>0</v>
      </c>
      <c r="J1583" s="953">
        <f t="shared" si="297"/>
        <v>0</v>
      </c>
      <c r="K1583" s="953" t="str">
        <f t="shared" si="298"/>
        <v/>
      </c>
      <c r="L1583" s="570" t="str">
        <f t="shared" si="299"/>
        <v/>
      </c>
      <c r="M1583" s="570" t="str">
        <f t="shared" si="300"/>
        <v/>
      </c>
    </row>
    <row r="1584" spans="1:13">
      <c r="A1584" s="570" t="str">
        <f t="shared" si="301"/>
        <v/>
      </c>
      <c r="C1584" s="953" t="str">
        <f t="shared" si="290"/>
        <v/>
      </c>
      <c r="D1584" s="953" t="str">
        <f t="shared" si="291"/>
        <v/>
      </c>
      <c r="E1584" s="953" t="str">
        <f t="shared" si="292"/>
        <v/>
      </c>
      <c r="F1584" s="953" t="str">
        <f t="shared" si="293"/>
        <v/>
      </c>
      <c r="G1584" s="953" t="str">
        <f t="shared" si="294"/>
        <v/>
      </c>
      <c r="H1584" s="953">
        <f t="shared" si="295"/>
        <v>0</v>
      </c>
      <c r="I1584" s="953">
        <f t="shared" si="296"/>
        <v>0</v>
      </c>
      <c r="J1584" s="953">
        <f t="shared" si="297"/>
        <v>0</v>
      </c>
      <c r="K1584" s="953" t="str">
        <f t="shared" si="298"/>
        <v/>
      </c>
      <c r="L1584" s="570" t="str">
        <f t="shared" si="299"/>
        <v/>
      </c>
      <c r="M1584" s="570" t="str">
        <f t="shared" si="300"/>
        <v/>
      </c>
    </row>
    <row r="1585" spans="1:13">
      <c r="A1585" s="570" t="str">
        <f t="shared" si="301"/>
        <v/>
      </c>
      <c r="C1585" s="953" t="str">
        <f t="shared" si="290"/>
        <v/>
      </c>
      <c r="D1585" s="953" t="str">
        <f t="shared" si="291"/>
        <v/>
      </c>
      <c r="E1585" s="953" t="str">
        <f t="shared" si="292"/>
        <v/>
      </c>
      <c r="F1585" s="953" t="str">
        <f t="shared" si="293"/>
        <v/>
      </c>
      <c r="G1585" s="953" t="str">
        <f t="shared" si="294"/>
        <v/>
      </c>
      <c r="H1585" s="953">
        <f t="shared" si="295"/>
        <v>0</v>
      </c>
      <c r="I1585" s="953">
        <f t="shared" si="296"/>
        <v>0</v>
      </c>
      <c r="J1585" s="953">
        <f t="shared" si="297"/>
        <v>0</v>
      </c>
      <c r="K1585" s="953" t="str">
        <f t="shared" si="298"/>
        <v/>
      </c>
      <c r="L1585" s="570" t="str">
        <f t="shared" si="299"/>
        <v/>
      </c>
      <c r="M1585" s="570" t="str">
        <f t="shared" si="300"/>
        <v/>
      </c>
    </row>
    <row r="1586" spans="1:13">
      <c r="A1586" s="570" t="str">
        <f t="shared" si="301"/>
        <v/>
      </c>
      <c r="C1586" s="953" t="str">
        <f t="shared" si="290"/>
        <v/>
      </c>
      <c r="D1586" s="953" t="str">
        <f t="shared" si="291"/>
        <v/>
      </c>
      <c r="E1586" s="953" t="str">
        <f t="shared" si="292"/>
        <v/>
      </c>
      <c r="F1586" s="953" t="str">
        <f t="shared" si="293"/>
        <v/>
      </c>
      <c r="G1586" s="953" t="str">
        <f t="shared" si="294"/>
        <v/>
      </c>
      <c r="H1586" s="953">
        <f t="shared" si="295"/>
        <v>0</v>
      </c>
      <c r="I1586" s="953">
        <f t="shared" si="296"/>
        <v>0</v>
      </c>
      <c r="J1586" s="953">
        <f t="shared" si="297"/>
        <v>0</v>
      </c>
      <c r="K1586" s="953" t="str">
        <f t="shared" si="298"/>
        <v/>
      </c>
      <c r="L1586" s="570" t="str">
        <f t="shared" si="299"/>
        <v/>
      </c>
      <c r="M1586" s="570" t="str">
        <f t="shared" si="300"/>
        <v/>
      </c>
    </row>
    <row r="1587" spans="1:13">
      <c r="A1587" s="570" t="str">
        <f t="shared" si="301"/>
        <v/>
      </c>
      <c r="C1587" s="953" t="str">
        <f t="shared" si="290"/>
        <v/>
      </c>
      <c r="D1587" s="953" t="str">
        <f t="shared" si="291"/>
        <v/>
      </c>
      <c r="E1587" s="953" t="str">
        <f t="shared" si="292"/>
        <v/>
      </c>
      <c r="F1587" s="953" t="str">
        <f t="shared" si="293"/>
        <v/>
      </c>
      <c r="G1587" s="953" t="str">
        <f t="shared" si="294"/>
        <v/>
      </c>
      <c r="H1587" s="953">
        <f t="shared" si="295"/>
        <v>0</v>
      </c>
      <c r="I1587" s="953">
        <f t="shared" si="296"/>
        <v>0</v>
      </c>
      <c r="J1587" s="953">
        <f t="shared" si="297"/>
        <v>0</v>
      </c>
      <c r="K1587" s="953" t="str">
        <f t="shared" si="298"/>
        <v/>
      </c>
      <c r="L1587" s="570" t="str">
        <f t="shared" si="299"/>
        <v/>
      </c>
      <c r="M1587" s="570" t="str">
        <f t="shared" si="300"/>
        <v/>
      </c>
    </row>
    <row r="1588" spans="1:13">
      <c r="A1588" s="570" t="str">
        <f t="shared" si="301"/>
        <v/>
      </c>
      <c r="C1588" s="953" t="str">
        <f t="shared" si="290"/>
        <v/>
      </c>
      <c r="D1588" s="953" t="str">
        <f t="shared" si="291"/>
        <v/>
      </c>
      <c r="E1588" s="953" t="str">
        <f t="shared" si="292"/>
        <v/>
      </c>
      <c r="F1588" s="953" t="str">
        <f t="shared" si="293"/>
        <v/>
      </c>
      <c r="G1588" s="953" t="str">
        <f t="shared" si="294"/>
        <v/>
      </c>
      <c r="H1588" s="953">
        <f t="shared" si="295"/>
        <v>0</v>
      </c>
      <c r="I1588" s="953">
        <f t="shared" si="296"/>
        <v>0</v>
      </c>
      <c r="J1588" s="953">
        <f t="shared" si="297"/>
        <v>0</v>
      </c>
      <c r="K1588" s="953" t="str">
        <f t="shared" si="298"/>
        <v/>
      </c>
      <c r="L1588" s="570" t="str">
        <f t="shared" si="299"/>
        <v/>
      </c>
      <c r="M1588" s="570" t="str">
        <f t="shared" si="300"/>
        <v/>
      </c>
    </row>
    <row r="1589" spans="1:13">
      <c r="A1589" s="570" t="str">
        <f t="shared" si="301"/>
        <v/>
      </c>
      <c r="C1589" s="953" t="str">
        <f t="shared" si="290"/>
        <v/>
      </c>
      <c r="D1589" s="953" t="str">
        <f t="shared" si="291"/>
        <v/>
      </c>
      <c r="E1589" s="953" t="str">
        <f t="shared" si="292"/>
        <v/>
      </c>
      <c r="F1589" s="953" t="str">
        <f t="shared" si="293"/>
        <v/>
      </c>
      <c r="G1589" s="953" t="str">
        <f t="shared" si="294"/>
        <v/>
      </c>
      <c r="H1589" s="953">
        <f t="shared" si="295"/>
        <v>0</v>
      </c>
      <c r="I1589" s="953">
        <f t="shared" si="296"/>
        <v>0</v>
      </c>
      <c r="J1589" s="953">
        <f t="shared" si="297"/>
        <v>0</v>
      </c>
      <c r="K1589" s="953" t="str">
        <f t="shared" si="298"/>
        <v/>
      </c>
      <c r="L1589" s="570" t="str">
        <f t="shared" si="299"/>
        <v/>
      </c>
      <c r="M1589" s="570" t="str">
        <f t="shared" si="300"/>
        <v/>
      </c>
    </row>
    <row r="1590" spans="1:13">
      <c r="A1590" s="570" t="str">
        <f t="shared" si="301"/>
        <v/>
      </c>
      <c r="C1590" s="953" t="str">
        <f t="shared" si="290"/>
        <v/>
      </c>
      <c r="D1590" s="953" t="str">
        <f t="shared" si="291"/>
        <v/>
      </c>
      <c r="E1590" s="953" t="str">
        <f t="shared" si="292"/>
        <v/>
      </c>
      <c r="F1590" s="953" t="str">
        <f t="shared" si="293"/>
        <v/>
      </c>
      <c r="G1590" s="953" t="str">
        <f t="shared" si="294"/>
        <v/>
      </c>
      <c r="H1590" s="953">
        <f t="shared" si="295"/>
        <v>0</v>
      </c>
      <c r="I1590" s="953">
        <f t="shared" si="296"/>
        <v>0</v>
      </c>
      <c r="J1590" s="953">
        <f t="shared" si="297"/>
        <v>0</v>
      </c>
      <c r="K1590" s="953" t="str">
        <f t="shared" si="298"/>
        <v/>
      </c>
      <c r="L1590" s="570" t="str">
        <f t="shared" si="299"/>
        <v/>
      </c>
      <c r="M1590" s="570" t="str">
        <f t="shared" si="300"/>
        <v/>
      </c>
    </row>
    <row r="1591" spans="1:13">
      <c r="A1591" s="570" t="str">
        <f t="shared" si="301"/>
        <v/>
      </c>
      <c r="C1591" s="953" t="str">
        <f t="shared" si="290"/>
        <v/>
      </c>
      <c r="D1591" s="953" t="str">
        <f t="shared" si="291"/>
        <v/>
      </c>
      <c r="E1591" s="953" t="str">
        <f t="shared" si="292"/>
        <v/>
      </c>
      <c r="F1591" s="953" t="str">
        <f t="shared" si="293"/>
        <v/>
      </c>
      <c r="G1591" s="953" t="str">
        <f t="shared" si="294"/>
        <v/>
      </c>
      <c r="H1591" s="953">
        <f t="shared" si="295"/>
        <v>0</v>
      </c>
      <c r="I1591" s="953">
        <f t="shared" si="296"/>
        <v>0</v>
      </c>
      <c r="J1591" s="953">
        <f t="shared" si="297"/>
        <v>0</v>
      </c>
      <c r="K1591" s="953" t="str">
        <f t="shared" si="298"/>
        <v/>
      </c>
      <c r="L1591" s="570" t="str">
        <f t="shared" si="299"/>
        <v/>
      </c>
      <c r="M1591" s="570" t="str">
        <f t="shared" si="300"/>
        <v/>
      </c>
    </row>
    <row r="1592" spans="1:13">
      <c r="A1592" s="570" t="str">
        <f t="shared" si="301"/>
        <v/>
      </c>
      <c r="C1592" s="953" t="str">
        <f t="shared" si="290"/>
        <v/>
      </c>
      <c r="D1592" s="953" t="str">
        <f t="shared" si="291"/>
        <v/>
      </c>
      <c r="E1592" s="953" t="str">
        <f t="shared" si="292"/>
        <v/>
      </c>
      <c r="F1592" s="953" t="str">
        <f t="shared" si="293"/>
        <v/>
      </c>
      <c r="G1592" s="953" t="str">
        <f t="shared" si="294"/>
        <v/>
      </c>
      <c r="H1592" s="953">
        <f t="shared" si="295"/>
        <v>0</v>
      </c>
      <c r="I1592" s="953">
        <f t="shared" si="296"/>
        <v>0</v>
      </c>
      <c r="J1592" s="953">
        <f t="shared" si="297"/>
        <v>0</v>
      </c>
      <c r="K1592" s="953" t="str">
        <f t="shared" si="298"/>
        <v/>
      </c>
      <c r="L1592" s="570" t="str">
        <f t="shared" si="299"/>
        <v/>
      </c>
      <c r="M1592" s="570" t="str">
        <f t="shared" si="300"/>
        <v/>
      </c>
    </row>
    <row r="1593" spans="1:13">
      <c r="A1593" s="570" t="str">
        <f t="shared" si="301"/>
        <v/>
      </c>
      <c r="C1593" s="953" t="str">
        <f t="shared" si="290"/>
        <v/>
      </c>
      <c r="D1593" s="953" t="str">
        <f t="shared" si="291"/>
        <v/>
      </c>
      <c r="E1593" s="953" t="str">
        <f t="shared" si="292"/>
        <v/>
      </c>
      <c r="F1593" s="953" t="str">
        <f t="shared" si="293"/>
        <v/>
      </c>
      <c r="G1593" s="953" t="str">
        <f t="shared" si="294"/>
        <v/>
      </c>
      <c r="H1593" s="953">
        <f t="shared" si="295"/>
        <v>0</v>
      </c>
      <c r="I1593" s="953">
        <f t="shared" si="296"/>
        <v>0</v>
      </c>
      <c r="J1593" s="953">
        <f t="shared" si="297"/>
        <v>0</v>
      </c>
      <c r="K1593" s="953" t="str">
        <f t="shared" si="298"/>
        <v/>
      </c>
      <c r="L1593" s="570" t="str">
        <f t="shared" si="299"/>
        <v/>
      </c>
      <c r="M1593" s="570" t="str">
        <f t="shared" si="300"/>
        <v/>
      </c>
    </row>
    <row r="1594" spans="1:13">
      <c r="A1594" s="570" t="str">
        <f t="shared" si="301"/>
        <v/>
      </c>
      <c r="C1594" s="953" t="str">
        <f t="shared" si="290"/>
        <v/>
      </c>
      <c r="D1594" s="953" t="str">
        <f t="shared" si="291"/>
        <v/>
      </c>
      <c r="E1594" s="953" t="str">
        <f t="shared" si="292"/>
        <v/>
      </c>
      <c r="F1594" s="953" t="str">
        <f t="shared" si="293"/>
        <v/>
      </c>
      <c r="G1594" s="953" t="str">
        <f t="shared" si="294"/>
        <v/>
      </c>
      <c r="H1594" s="953">
        <f t="shared" si="295"/>
        <v>0</v>
      </c>
      <c r="I1594" s="953">
        <f t="shared" si="296"/>
        <v>0</v>
      </c>
      <c r="J1594" s="953">
        <f t="shared" si="297"/>
        <v>0</v>
      </c>
      <c r="K1594" s="953" t="str">
        <f t="shared" si="298"/>
        <v/>
      </c>
      <c r="L1594" s="570" t="str">
        <f t="shared" si="299"/>
        <v/>
      </c>
      <c r="M1594" s="570" t="str">
        <f t="shared" si="300"/>
        <v/>
      </c>
    </row>
    <row r="1595" spans="1:13">
      <c r="A1595" s="570" t="str">
        <f t="shared" si="301"/>
        <v/>
      </c>
      <c r="C1595" s="953" t="str">
        <f t="shared" si="290"/>
        <v/>
      </c>
      <c r="D1595" s="953" t="str">
        <f t="shared" si="291"/>
        <v/>
      </c>
      <c r="E1595" s="953" t="str">
        <f t="shared" si="292"/>
        <v/>
      </c>
      <c r="F1595" s="953" t="str">
        <f t="shared" si="293"/>
        <v/>
      </c>
      <c r="G1595" s="953" t="str">
        <f t="shared" si="294"/>
        <v/>
      </c>
      <c r="H1595" s="953">
        <f t="shared" si="295"/>
        <v>0</v>
      </c>
      <c r="I1595" s="953">
        <f t="shared" si="296"/>
        <v>0</v>
      </c>
      <c r="J1595" s="953">
        <f t="shared" si="297"/>
        <v>0</v>
      </c>
      <c r="K1595" s="953" t="str">
        <f t="shared" si="298"/>
        <v/>
      </c>
      <c r="L1595" s="570" t="str">
        <f t="shared" si="299"/>
        <v/>
      </c>
      <c r="M1595" s="570" t="str">
        <f t="shared" si="300"/>
        <v/>
      </c>
    </row>
    <row r="1596" spans="1:13">
      <c r="A1596" s="570" t="str">
        <f t="shared" si="301"/>
        <v/>
      </c>
      <c r="C1596" s="953" t="str">
        <f t="shared" si="290"/>
        <v/>
      </c>
      <c r="D1596" s="953" t="str">
        <f t="shared" si="291"/>
        <v/>
      </c>
      <c r="E1596" s="953" t="str">
        <f t="shared" si="292"/>
        <v/>
      </c>
      <c r="F1596" s="953" t="str">
        <f t="shared" si="293"/>
        <v/>
      </c>
      <c r="G1596" s="953" t="str">
        <f t="shared" si="294"/>
        <v/>
      </c>
      <c r="H1596" s="953">
        <f t="shared" si="295"/>
        <v>0</v>
      </c>
      <c r="I1596" s="953">
        <f t="shared" si="296"/>
        <v>0</v>
      </c>
      <c r="J1596" s="953">
        <f t="shared" si="297"/>
        <v>0</v>
      </c>
      <c r="K1596" s="953" t="str">
        <f t="shared" si="298"/>
        <v/>
      </c>
      <c r="L1596" s="570" t="str">
        <f t="shared" si="299"/>
        <v/>
      </c>
      <c r="M1596" s="570" t="str">
        <f t="shared" si="300"/>
        <v/>
      </c>
    </row>
    <row r="1597" spans="1:13">
      <c r="A1597" s="570" t="str">
        <f t="shared" si="301"/>
        <v/>
      </c>
      <c r="C1597" s="953" t="str">
        <f t="shared" si="290"/>
        <v/>
      </c>
      <c r="D1597" s="953" t="str">
        <f t="shared" si="291"/>
        <v/>
      </c>
      <c r="E1597" s="953" t="str">
        <f t="shared" si="292"/>
        <v/>
      </c>
      <c r="F1597" s="953" t="str">
        <f t="shared" si="293"/>
        <v/>
      </c>
      <c r="G1597" s="953" t="str">
        <f t="shared" si="294"/>
        <v/>
      </c>
      <c r="H1597" s="953">
        <f t="shared" si="295"/>
        <v>0</v>
      </c>
      <c r="I1597" s="953">
        <f t="shared" si="296"/>
        <v>0</v>
      </c>
      <c r="J1597" s="953">
        <f t="shared" si="297"/>
        <v>0</v>
      </c>
      <c r="K1597" s="953" t="str">
        <f t="shared" si="298"/>
        <v/>
      </c>
      <c r="L1597" s="570" t="str">
        <f t="shared" si="299"/>
        <v/>
      </c>
      <c r="M1597" s="570" t="str">
        <f t="shared" si="300"/>
        <v/>
      </c>
    </row>
    <row r="1598" spans="1:13">
      <c r="A1598" s="570" t="str">
        <f t="shared" si="301"/>
        <v/>
      </c>
      <c r="C1598" s="953" t="str">
        <f t="shared" si="290"/>
        <v/>
      </c>
      <c r="D1598" s="953" t="str">
        <f t="shared" si="291"/>
        <v/>
      </c>
      <c r="E1598" s="953" t="str">
        <f t="shared" si="292"/>
        <v/>
      </c>
      <c r="F1598" s="953" t="str">
        <f t="shared" si="293"/>
        <v/>
      </c>
      <c r="G1598" s="953" t="str">
        <f t="shared" si="294"/>
        <v/>
      </c>
      <c r="H1598" s="953">
        <f t="shared" si="295"/>
        <v>0</v>
      </c>
      <c r="I1598" s="953">
        <f t="shared" si="296"/>
        <v>0</v>
      </c>
      <c r="J1598" s="953">
        <f t="shared" si="297"/>
        <v>0</v>
      </c>
      <c r="K1598" s="953" t="str">
        <f t="shared" si="298"/>
        <v/>
      </c>
      <c r="L1598" s="570" t="str">
        <f t="shared" si="299"/>
        <v/>
      </c>
      <c r="M1598" s="570" t="str">
        <f t="shared" si="300"/>
        <v/>
      </c>
    </row>
    <row r="1599" spans="1:13">
      <c r="A1599" s="570" t="str">
        <f t="shared" si="301"/>
        <v/>
      </c>
      <c r="C1599" s="953" t="str">
        <f t="shared" si="290"/>
        <v/>
      </c>
      <c r="D1599" s="953" t="str">
        <f t="shared" si="291"/>
        <v/>
      </c>
      <c r="E1599" s="953" t="str">
        <f t="shared" si="292"/>
        <v/>
      </c>
      <c r="F1599" s="953" t="str">
        <f t="shared" si="293"/>
        <v/>
      </c>
      <c r="G1599" s="953" t="str">
        <f t="shared" si="294"/>
        <v/>
      </c>
      <c r="H1599" s="953">
        <f t="shared" si="295"/>
        <v>0</v>
      </c>
      <c r="I1599" s="953">
        <f t="shared" si="296"/>
        <v>0</v>
      </c>
      <c r="J1599" s="953">
        <f t="shared" si="297"/>
        <v>0</v>
      </c>
      <c r="K1599" s="953" t="str">
        <f t="shared" si="298"/>
        <v/>
      </c>
      <c r="L1599" s="570" t="str">
        <f t="shared" si="299"/>
        <v/>
      </c>
      <c r="M1599" s="570" t="str">
        <f t="shared" si="300"/>
        <v/>
      </c>
    </row>
    <row r="1600" spans="1:13">
      <c r="A1600" s="570" t="str">
        <f t="shared" si="301"/>
        <v/>
      </c>
      <c r="C1600" s="953" t="str">
        <f t="shared" si="290"/>
        <v/>
      </c>
      <c r="D1600" s="953" t="str">
        <f t="shared" si="291"/>
        <v/>
      </c>
      <c r="E1600" s="953" t="str">
        <f t="shared" si="292"/>
        <v/>
      </c>
      <c r="F1600" s="953" t="str">
        <f t="shared" si="293"/>
        <v/>
      </c>
      <c r="G1600" s="953" t="str">
        <f t="shared" si="294"/>
        <v/>
      </c>
      <c r="H1600" s="953">
        <f t="shared" si="295"/>
        <v>0</v>
      </c>
      <c r="I1600" s="953">
        <f t="shared" si="296"/>
        <v>0</v>
      </c>
      <c r="J1600" s="953">
        <f t="shared" si="297"/>
        <v>0</v>
      </c>
      <c r="K1600" s="953" t="str">
        <f t="shared" si="298"/>
        <v/>
      </c>
      <c r="L1600" s="570" t="str">
        <f t="shared" si="299"/>
        <v/>
      </c>
      <c r="M1600" s="570" t="str">
        <f t="shared" si="300"/>
        <v/>
      </c>
    </row>
    <row r="1601" spans="1:13">
      <c r="A1601" s="570" t="str">
        <f t="shared" si="301"/>
        <v/>
      </c>
      <c r="C1601" s="953" t="str">
        <f t="shared" si="290"/>
        <v/>
      </c>
      <c r="D1601" s="953" t="str">
        <f t="shared" si="291"/>
        <v/>
      </c>
      <c r="E1601" s="953" t="str">
        <f t="shared" si="292"/>
        <v/>
      </c>
      <c r="F1601" s="953" t="str">
        <f t="shared" si="293"/>
        <v/>
      </c>
      <c r="G1601" s="953" t="str">
        <f t="shared" si="294"/>
        <v/>
      </c>
      <c r="H1601" s="953">
        <f t="shared" si="295"/>
        <v>0</v>
      </c>
      <c r="I1601" s="953">
        <f t="shared" si="296"/>
        <v>0</v>
      </c>
      <c r="J1601" s="953">
        <f t="shared" si="297"/>
        <v>0</v>
      </c>
      <c r="K1601" s="953" t="str">
        <f t="shared" si="298"/>
        <v/>
      </c>
      <c r="L1601" s="570" t="str">
        <f t="shared" si="299"/>
        <v/>
      </c>
      <c r="M1601" s="570" t="str">
        <f t="shared" si="300"/>
        <v/>
      </c>
    </row>
    <row r="1602" spans="1:13">
      <c r="A1602" s="570" t="str">
        <f t="shared" si="301"/>
        <v/>
      </c>
      <c r="C1602" s="953" t="str">
        <f t="shared" ref="C1602:C1665" si="302">IF(Etabs="Etabs 9.7.4",IF(INDEX(Mode_1,ROW($E1602),COLUMN(A$1))&lt;&gt;"",INDEX(Mode_1,ROW($E1602),COLUMN(A$1)),""),IF(Etabs="Etabs 2013 trở lên",IF(INDEX(Mode_2,ROW($E1604),COLUMN(A$1))&lt;&gt;"",INDEX(Mode_2,ROW($E1604),COLUMN(A$1)),""),""))</f>
        <v/>
      </c>
      <c r="D1602" s="953" t="str">
        <f t="shared" ref="D1602:D1665" si="303">IF(Etabs="Etabs 9.7.4",IF(INDEX(Mode_1,ROW($E1602),COLUMN(B$1))&lt;&gt;"",INDEX(Mode_1,ROW($E1602),COLUMN(B$1)),""),IF(Etabs="Etabs 2013 trở lên",IF(INDEX(Mode_2,ROW($E1604),COLUMN(B$1))&lt;&gt;"",INDEX(Mode_2,ROW($E1604),COLUMN(B$1)),""),""))</f>
        <v/>
      </c>
      <c r="E1602" s="953" t="str">
        <f t="shared" ref="E1602:E1665" si="304">IF(Etabs="Etabs 9.7.4",IF(INDEX(Mode_1,ROW($E1602),COLUMN(C$1))&lt;&gt;"",INDEX(Mode_1,ROW($E1602),COLUMN(C$1)),""),IF(Etabs="Etabs 2013 trở lên",$M1602,""))</f>
        <v/>
      </c>
      <c r="F1602" s="953" t="str">
        <f t="shared" ref="F1602:F1665" si="305">IF(Etabs="Etabs 9.7.4",IF(INDEX(Mode_1,ROW($E1602),COLUMN(D$1))&lt;&gt;"",INDEX(Mode_1,ROW($E1602),COLUMN(D$1)),""),IF(Etabs="Etabs 2013 trở lên",IF(INDEX(Mode_2,ROW($E1604),COLUMN(D$1))&lt;&gt;"",INDEX(Mode_2,ROW($E1604),COLUMN(D$1)),""),""))</f>
        <v/>
      </c>
      <c r="G1602" s="953" t="str">
        <f t="shared" ref="G1602:G1665" si="306">IF(Etabs="Etabs 9.7.4",IF(INDEX(Mode_1,ROW($E1602),COLUMN(E$1))&lt;&gt;"",INDEX(Mode_1,ROW($E1602),COLUMN(E$1)),""),IF(Etabs="Etabs 2013 trở lên",IF(INDEX(Mode_2,ROW($E1604),COLUMN(E$1))&lt;&gt;"",INDEX(Mode_2,ROW($E1604),COLUMN(E$1)),""),""))</f>
        <v/>
      </c>
      <c r="H1602" s="953">
        <f t="shared" ref="H1602:H1665" si="307">IF(Etabs="Etabs 9.7.4",IF(INDEX(Mode_1,ROW($E1602),COLUMN(F$1))&lt;&gt;"",INDEX(Mode_1,ROW($E1602),COLUMN(F$1)),""),IF(Etabs="Etabs 2013 trở lên",0,""))</f>
        <v>0</v>
      </c>
      <c r="I1602" s="953">
        <f t="shared" ref="I1602:I1665" si="308">IF(Etabs="Etabs 9.7.4",IF(INDEX(Mode_1,ROW($E1602),COLUMN(G$1))&lt;&gt;"",INDEX(Mode_1,ROW($E1602),COLUMN(G$1)),""),IF(Etabs="Etabs 2013 trở lên",0,""))</f>
        <v>0</v>
      </c>
      <c r="J1602" s="953">
        <f t="shared" ref="J1602:J1665" si="309">IF(Etabs="Etabs 9.7.4",IF(INDEX(Mode_1,ROW($E1602),COLUMN(H$1))&lt;&gt;"",INDEX(Mode_1,ROW($E1602),COLUMN(H$1)),""),IF(Etabs="Etabs 2013 trở lên",0,""))</f>
        <v>0</v>
      </c>
      <c r="K1602" s="953" t="str">
        <f t="shared" ref="K1602:K1665" si="310">IF(Etabs="Etabs 9.7.4",IF(INDEX(Mode_1,ROW($E1602),COLUMN(I$1))&lt;&gt;"",INDEX(Mode_1,ROW($E1602),COLUMN(I$1)),""),IF(Etabs="Etabs 2013 trở lên",IF(INDEX(Mode_2,ROW($E1604),COLUMN(F$1))&lt;&gt;"",INDEX(Mode_2,ROW($E1604),COLUMN(F$1)),""),""))</f>
        <v/>
      </c>
      <c r="L1602" s="570" t="str">
        <f t="shared" ref="L1602:L1665" si="311">IF(Etabs="Etabs 9.7.4",IF(INDEX(Mode_1,ROW($E1602),COLUMN(C$1))&lt;&gt;"",INDEX(Mode_1,ROW($E1602),COLUMN(C$1)),""),IF(Etabs="Etabs 2013 trở lên",IF(INDEX(Mode_2,ROW($E1604),COLUMN(C$1))&lt;&gt;"",INDEX(Mode_2,ROW($E1604),COLUMN(C$1)),""),""))</f>
        <v/>
      </c>
      <c r="M1602" s="570" t="str">
        <f t="shared" si="300"/>
        <v/>
      </c>
    </row>
    <row r="1603" spans="1:13">
      <c r="A1603" s="570" t="str">
        <f t="shared" si="301"/>
        <v/>
      </c>
      <c r="C1603" s="953" t="str">
        <f t="shared" si="302"/>
        <v/>
      </c>
      <c r="D1603" s="953" t="str">
        <f t="shared" si="303"/>
        <v/>
      </c>
      <c r="E1603" s="953" t="str">
        <f t="shared" si="304"/>
        <v/>
      </c>
      <c r="F1603" s="953" t="str">
        <f t="shared" si="305"/>
        <v/>
      </c>
      <c r="G1603" s="953" t="str">
        <f t="shared" si="306"/>
        <v/>
      </c>
      <c r="H1603" s="953">
        <f t="shared" si="307"/>
        <v>0</v>
      </c>
      <c r="I1603" s="953">
        <f t="shared" si="308"/>
        <v>0</v>
      </c>
      <c r="J1603" s="953">
        <f t="shared" si="309"/>
        <v>0</v>
      </c>
      <c r="K1603" s="953" t="str">
        <f t="shared" si="310"/>
        <v/>
      </c>
      <c r="L1603" s="570" t="str">
        <f t="shared" si="311"/>
        <v/>
      </c>
      <c r="M1603" s="570" t="str">
        <f t="shared" ref="M1603:M1666" si="312">IFERROR(VALUE(RIGHT(L1603,LEN(L1603)-6)),"")</f>
        <v/>
      </c>
    </row>
    <row r="1604" spans="1:13">
      <c r="A1604" s="570" t="str">
        <f t="shared" si="301"/>
        <v/>
      </c>
      <c r="C1604" s="953" t="str">
        <f t="shared" si="302"/>
        <v/>
      </c>
      <c r="D1604" s="953" t="str">
        <f t="shared" si="303"/>
        <v/>
      </c>
      <c r="E1604" s="953" t="str">
        <f t="shared" si="304"/>
        <v/>
      </c>
      <c r="F1604" s="953" t="str">
        <f t="shared" si="305"/>
        <v/>
      </c>
      <c r="G1604" s="953" t="str">
        <f t="shared" si="306"/>
        <v/>
      </c>
      <c r="H1604" s="953">
        <f t="shared" si="307"/>
        <v>0</v>
      </c>
      <c r="I1604" s="953">
        <f t="shared" si="308"/>
        <v>0</v>
      </c>
      <c r="J1604" s="953">
        <f t="shared" si="309"/>
        <v>0</v>
      </c>
      <c r="K1604" s="953" t="str">
        <f t="shared" si="310"/>
        <v/>
      </c>
      <c r="L1604" s="570" t="str">
        <f t="shared" si="311"/>
        <v/>
      </c>
      <c r="M1604" s="570" t="str">
        <f t="shared" si="312"/>
        <v/>
      </c>
    </row>
    <row r="1605" spans="1:13">
      <c r="A1605" s="570" t="str">
        <f t="shared" si="301"/>
        <v/>
      </c>
      <c r="C1605" s="953" t="str">
        <f t="shared" si="302"/>
        <v/>
      </c>
      <c r="D1605" s="953" t="str">
        <f t="shared" si="303"/>
        <v/>
      </c>
      <c r="E1605" s="953" t="str">
        <f t="shared" si="304"/>
        <v/>
      </c>
      <c r="F1605" s="953" t="str">
        <f t="shared" si="305"/>
        <v/>
      </c>
      <c r="G1605" s="953" t="str">
        <f t="shared" si="306"/>
        <v/>
      </c>
      <c r="H1605" s="953">
        <f t="shared" si="307"/>
        <v>0</v>
      </c>
      <c r="I1605" s="953">
        <f t="shared" si="308"/>
        <v>0</v>
      </c>
      <c r="J1605" s="953">
        <f t="shared" si="309"/>
        <v>0</v>
      </c>
      <c r="K1605" s="953" t="str">
        <f t="shared" si="310"/>
        <v/>
      </c>
      <c r="L1605" s="570" t="str">
        <f t="shared" si="311"/>
        <v/>
      </c>
      <c r="M1605" s="570" t="str">
        <f t="shared" si="312"/>
        <v/>
      </c>
    </row>
    <row r="1606" spans="1:13">
      <c r="A1606" s="570" t="str">
        <f t="shared" ref="A1606:A1669" si="313">C1606&amp;E1606</f>
        <v/>
      </c>
      <c r="C1606" s="953" t="str">
        <f t="shared" si="302"/>
        <v/>
      </c>
      <c r="D1606" s="953" t="str">
        <f t="shared" si="303"/>
        <v/>
      </c>
      <c r="E1606" s="953" t="str">
        <f t="shared" si="304"/>
        <v/>
      </c>
      <c r="F1606" s="953" t="str">
        <f t="shared" si="305"/>
        <v/>
      </c>
      <c r="G1606" s="953" t="str">
        <f t="shared" si="306"/>
        <v/>
      </c>
      <c r="H1606" s="953">
        <f t="shared" si="307"/>
        <v>0</v>
      </c>
      <c r="I1606" s="953">
        <f t="shared" si="308"/>
        <v>0</v>
      </c>
      <c r="J1606" s="953">
        <f t="shared" si="309"/>
        <v>0</v>
      </c>
      <c r="K1606" s="953" t="str">
        <f t="shared" si="310"/>
        <v/>
      </c>
      <c r="L1606" s="570" t="str">
        <f t="shared" si="311"/>
        <v/>
      </c>
      <c r="M1606" s="570" t="str">
        <f t="shared" si="312"/>
        <v/>
      </c>
    </row>
    <row r="1607" spans="1:13">
      <c r="A1607" s="570" t="str">
        <f t="shared" si="313"/>
        <v/>
      </c>
      <c r="C1607" s="953" t="str">
        <f t="shared" si="302"/>
        <v/>
      </c>
      <c r="D1607" s="953" t="str">
        <f t="shared" si="303"/>
        <v/>
      </c>
      <c r="E1607" s="953" t="str">
        <f t="shared" si="304"/>
        <v/>
      </c>
      <c r="F1607" s="953" t="str">
        <f t="shared" si="305"/>
        <v/>
      </c>
      <c r="G1607" s="953" t="str">
        <f t="shared" si="306"/>
        <v/>
      </c>
      <c r="H1607" s="953">
        <f t="shared" si="307"/>
        <v>0</v>
      </c>
      <c r="I1607" s="953">
        <f t="shared" si="308"/>
        <v>0</v>
      </c>
      <c r="J1607" s="953">
        <f t="shared" si="309"/>
        <v>0</v>
      </c>
      <c r="K1607" s="953" t="str">
        <f t="shared" si="310"/>
        <v/>
      </c>
      <c r="L1607" s="570" t="str">
        <f t="shared" si="311"/>
        <v/>
      </c>
      <c r="M1607" s="570" t="str">
        <f t="shared" si="312"/>
        <v/>
      </c>
    </row>
    <row r="1608" spans="1:13">
      <c r="A1608" s="570" t="str">
        <f t="shared" si="313"/>
        <v/>
      </c>
      <c r="C1608" s="953" t="str">
        <f t="shared" si="302"/>
        <v/>
      </c>
      <c r="D1608" s="953" t="str">
        <f t="shared" si="303"/>
        <v/>
      </c>
      <c r="E1608" s="953" t="str">
        <f t="shared" si="304"/>
        <v/>
      </c>
      <c r="F1608" s="953" t="str">
        <f t="shared" si="305"/>
        <v/>
      </c>
      <c r="G1608" s="953" t="str">
        <f t="shared" si="306"/>
        <v/>
      </c>
      <c r="H1608" s="953">
        <f t="shared" si="307"/>
        <v>0</v>
      </c>
      <c r="I1608" s="953">
        <f t="shared" si="308"/>
        <v>0</v>
      </c>
      <c r="J1608" s="953">
        <f t="shared" si="309"/>
        <v>0</v>
      </c>
      <c r="K1608" s="953" t="str">
        <f t="shared" si="310"/>
        <v/>
      </c>
      <c r="L1608" s="570" t="str">
        <f t="shared" si="311"/>
        <v/>
      </c>
      <c r="M1608" s="570" t="str">
        <f t="shared" si="312"/>
        <v/>
      </c>
    </row>
    <row r="1609" spans="1:13">
      <c r="A1609" s="570" t="str">
        <f t="shared" si="313"/>
        <v/>
      </c>
      <c r="C1609" s="953" t="str">
        <f t="shared" si="302"/>
        <v/>
      </c>
      <c r="D1609" s="953" t="str">
        <f t="shared" si="303"/>
        <v/>
      </c>
      <c r="E1609" s="953" t="str">
        <f t="shared" si="304"/>
        <v/>
      </c>
      <c r="F1609" s="953" t="str">
        <f t="shared" si="305"/>
        <v/>
      </c>
      <c r="G1609" s="953" t="str">
        <f t="shared" si="306"/>
        <v/>
      </c>
      <c r="H1609" s="953">
        <f t="shared" si="307"/>
        <v>0</v>
      </c>
      <c r="I1609" s="953">
        <f t="shared" si="308"/>
        <v>0</v>
      </c>
      <c r="J1609" s="953">
        <f t="shared" si="309"/>
        <v>0</v>
      </c>
      <c r="K1609" s="953" t="str">
        <f t="shared" si="310"/>
        <v/>
      </c>
      <c r="L1609" s="570" t="str">
        <f t="shared" si="311"/>
        <v/>
      </c>
      <c r="M1609" s="570" t="str">
        <f t="shared" si="312"/>
        <v/>
      </c>
    </row>
    <row r="1610" spans="1:13">
      <c r="A1610" s="570" t="str">
        <f t="shared" si="313"/>
        <v/>
      </c>
      <c r="C1610" s="953" t="str">
        <f t="shared" si="302"/>
        <v/>
      </c>
      <c r="D1610" s="953" t="str">
        <f t="shared" si="303"/>
        <v/>
      </c>
      <c r="E1610" s="953" t="str">
        <f t="shared" si="304"/>
        <v/>
      </c>
      <c r="F1610" s="953" t="str">
        <f t="shared" si="305"/>
        <v/>
      </c>
      <c r="G1610" s="953" t="str">
        <f t="shared" si="306"/>
        <v/>
      </c>
      <c r="H1610" s="953">
        <f t="shared" si="307"/>
        <v>0</v>
      </c>
      <c r="I1610" s="953">
        <f t="shared" si="308"/>
        <v>0</v>
      </c>
      <c r="J1610" s="953">
        <f t="shared" si="309"/>
        <v>0</v>
      </c>
      <c r="K1610" s="953" t="str">
        <f t="shared" si="310"/>
        <v/>
      </c>
      <c r="L1610" s="570" t="str">
        <f t="shared" si="311"/>
        <v/>
      </c>
      <c r="M1610" s="570" t="str">
        <f t="shared" si="312"/>
        <v/>
      </c>
    </row>
    <row r="1611" spans="1:13">
      <c r="A1611" s="570" t="str">
        <f t="shared" si="313"/>
        <v/>
      </c>
      <c r="C1611" s="953" t="str">
        <f t="shared" si="302"/>
        <v/>
      </c>
      <c r="D1611" s="953" t="str">
        <f t="shared" si="303"/>
        <v/>
      </c>
      <c r="E1611" s="953" t="str">
        <f t="shared" si="304"/>
        <v/>
      </c>
      <c r="F1611" s="953" t="str">
        <f t="shared" si="305"/>
        <v/>
      </c>
      <c r="G1611" s="953" t="str">
        <f t="shared" si="306"/>
        <v/>
      </c>
      <c r="H1611" s="953">
        <f t="shared" si="307"/>
        <v>0</v>
      </c>
      <c r="I1611" s="953">
        <f t="shared" si="308"/>
        <v>0</v>
      </c>
      <c r="J1611" s="953">
        <f t="shared" si="309"/>
        <v>0</v>
      </c>
      <c r="K1611" s="953" t="str">
        <f t="shared" si="310"/>
        <v/>
      </c>
      <c r="L1611" s="570" t="str">
        <f t="shared" si="311"/>
        <v/>
      </c>
      <c r="M1611" s="570" t="str">
        <f t="shared" si="312"/>
        <v/>
      </c>
    </row>
    <row r="1612" spans="1:13">
      <c r="A1612" s="570" t="str">
        <f t="shared" si="313"/>
        <v/>
      </c>
      <c r="C1612" s="953" t="str">
        <f t="shared" si="302"/>
        <v/>
      </c>
      <c r="D1612" s="953" t="str">
        <f t="shared" si="303"/>
        <v/>
      </c>
      <c r="E1612" s="953" t="str">
        <f t="shared" si="304"/>
        <v/>
      </c>
      <c r="F1612" s="953" t="str">
        <f t="shared" si="305"/>
        <v/>
      </c>
      <c r="G1612" s="953" t="str">
        <f t="shared" si="306"/>
        <v/>
      </c>
      <c r="H1612" s="953">
        <f t="shared" si="307"/>
        <v>0</v>
      </c>
      <c r="I1612" s="953">
        <f t="shared" si="308"/>
        <v>0</v>
      </c>
      <c r="J1612" s="953">
        <f t="shared" si="309"/>
        <v>0</v>
      </c>
      <c r="K1612" s="953" t="str">
        <f t="shared" si="310"/>
        <v/>
      </c>
      <c r="L1612" s="570" t="str">
        <f t="shared" si="311"/>
        <v/>
      </c>
      <c r="M1612" s="570" t="str">
        <f t="shared" si="312"/>
        <v/>
      </c>
    </row>
    <row r="1613" spans="1:13">
      <c r="A1613" s="570" t="str">
        <f t="shared" si="313"/>
        <v/>
      </c>
      <c r="C1613" s="953" t="str">
        <f t="shared" si="302"/>
        <v/>
      </c>
      <c r="D1613" s="953" t="str">
        <f t="shared" si="303"/>
        <v/>
      </c>
      <c r="E1613" s="953" t="str">
        <f t="shared" si="304"/>
        <v/>
      </c>
      <c r="F1613" s="953" t="str">
        <f t="shared" si="305"/>
        <v/>
      </c>
      <c r="G1613" s="953" t="str">
        <f t="shared" si="306"/>
        <v/>
      </c>
      <c r="H1613" s="953">
        <f t="shared" si="307"/>
        <v>0</v>
      </c>
      <c r="I1613" s="953">
        <f t="shared" si="308"/>
        <v>0</v>
      </c>
      <c r="J1613" s="953">
        <f t="shared" si="309"/>
        <v>0</v>
      </c>
      <c r="K1613" s="953" t="str">
        <f t="shared" si="310"/>
        <v/>
      </c>
      <c r="L1613" s="570" t="str">
        <f t="shared" si="311"/>
        <v/>
      </c>
      <c r="M1613" s="570" t="str">
        <f t="shared" si="312"/>
        <v/>
      </c>
    </row>
    <row r="1614" spans="1:13">
      <c r="A1614" s="570" t="str">
        <f t="shared" si="313"/>
        <v/>
      </c>
      <c r="C1614" s="953" t="str">
        <f t="shared" si="302"/>
        <v/>
      </c>
      <c r="D1614" s="953" t="str">
        <f t="shared" si="303"/>
        <v/>
      </c>
      <c r="E1614" s="953" t="str">
        <f t="shared" si="304"/>
        <v/>
      </c>
      <c r="F1614" s="953" t="str">
        <f t="shared" si="305"/>
        <v/>
      </c>
      <c r="G1614" s="953" t="str">
        <f t="shared" si="306"/>
        <v/>
      </c>
      <c r="H1614" s="953">
        <f t="shared" si="307"/>
        <v>0</v>
      </c>
      <c r="I1614" s="953">
        <f t="shared" si="308"/>
        <v>0</v>
      </c>
      <c r="J1614" s="953">
        <f t="shared" si="309"/>
        <v>0</v>
      </c>
      <c r="K1614" s="953" t="str">
        <f t="shared" si="310"/>
        <v/>
      </c>
      <c r="L1614" s="570" t="str">
        <f t="shared" si="311"/>
        <v/>
      </c>
      <c r="M1614" s="570" t="str">
        <f t="shared" si="312"/>
        <v/>
      </c>
    </row>
    <row r="1615" spans="1:13">
      <c r="A1615" s="570" t="str">
        <f t="shared" si="313"/>
        <v/>
      </c>
      <c r="C1615" s="953" t="str">
        <f t="shared" si="302"/>
        <v/>
      </c>
      <c r="D1615" s="953" t="str">
        <f t="shared" si="303"/>
        <v/>
      </c>
      <c r="E1615" s="953" t="str">
        <f t="shared" si="304"/>
        <v/>
      </c>
      <c r="F1615" s="953" t="str">
        <f t="shared" si="305"/>
        <v/>
      </c>
      <c r="G1615" s="953" t="str">
        <f t="shared" si="306"/>
        <v/>
      </c>
      <c r="H1615" s="953">
        <f t="shared" si="307"/>
        <v>0</v>
      </c>
      <c r="I1615" s="953">
        <f t="shared" si="308"/>
        <v>0</v>
      </c>
      <c r="J1615" s="953">
        <f t="shared" si="309"/>
        <v>0</v>
      </c>
      <c r="K1615" s="953" t="str">
        <f t="shared" si="310"/>
        <v/>
      </c>
      <c r="L1615" s="570" t="str">
        <f t="shared" si="311"/>
        <v/>
      </c>
      <c r="M1615" s="570" t="str">
        <f t="shared" si="312"/>
        <v/>
      </c>
    </row>
    <row r="1616" spans="1:13">
      <c r="A1616" s="570" t="str">
        <f t="shared" si="313"/>
        <v/>
      </c>
      <c r="C1616" s="953" t="str">
        <f t="shared" si="302"/>
        <v/>
      </c>
      <c r="D1616" s="953" t="str">
        <f t="shared" si="303"/>
        <v/>
      </c>
      <c r="E1616" s="953" t="str">
        <f t="shared" si="304"/>
        <v/>
      </c>
      <c r="F1616" s="953" t="str">
        <f t="shared" si="305"/>
        <v/>
      </c>
      <c r="G1616" s="953" t="str">
        <f t="shared" si="306"/>
        <v/>
      </c>
      <c r="H1616" s="953">
        <f t="shared" si="307"/>
        <v>0</v>
      </c>
      <c r="I1616" s="953">
        <f t="shared" si="308"/>
        <v>0</v>
      </c>
      <c r="J1616" s="953">
        <f t="shared" si="309"/>
        <v>0</v>
      </c>
      <c r="K1616" s="953" t="str">
        <f t="shared" si="310"/>
        <v/>
      </c>
      <c r="L1616" s="570" t="str">
        <f t="shared" si="311"/>
        <v/>
      </c>
      <c r="M1616" s="570" t="str">
        <f t="shared" si="312"/>
        <v/>
      </c>
    </row>
    <row r="1617" spans="1:13">
      <c r="A1617" s="570" t="str">
        <f t="shared" si="313"/>
        <v/>
      </c>
      <c r="C1617" s="953" t="str">
        <f t="shared" si="302"/>
        <v/>
      </c>
      <c r="D1617" s="953" t="str">
        <f t="shared" si="303"/>
        <v/>
      </c>
      <c r="E1617" s="953" t="str">
        <f t="shared" si="304"/>
        <v/>
      </c>
      <c r="F1617" s="953" t="str">
        <f t="shared" si="305"/>
        <v/>
      </c>
      <c r="G1617" s="953" t="str">
        <f t="shared" si="306"/>
        <v/>
      </c>
      <c r="H1617" s="953">
        <f t="shared" si="307"/>
        <v>0</v>
      </c>
      <c r="I1617" s="953">
        <f t="shared" si="308"/>
        <v>0</v>
      </c>
      <c r="J1617" s="953">
        <f t="shared" si="309"/>
        <v>0</v>
      </c>
      <c r="K1617" s="953" t="str">
        <f t="shared" si="310"/>
        <v/>
      </c>
      <c r="L1617" s="570" t="str">
        <f t="shared" si="311"/>
        <v/>
      </c>
      <c r="M1617" s="570" t="str">
        <f t="shared" si="312"/>
        <v/>
      </c>
    </row>
    <row r="1618" spans="1:13">
      <c r="A1618" s="570" t="str">
        <f t="shared" si="313"/>
        <v/>
      </c>
      <c r="C1618" s="953" t="str">
        <f t="shared" si="302"/>
        <v/>
      </c>
      <c r="D1618" s="953" t="str">
        <f t="shared" si="303"/>
        <v/>
      </c>
      <c r="E1618" s="953" t="str">
        <f t="shared" si="304"/>
        <v/>
      </c>
      <c r="F1618" s="953" t="str">
        <f t="shared" si="305"/>
        <v/>
      </c>
      <c r="G1618" s="953" t="str">
        <f t="shared" si="306"/>
        <v/>
      </c>
      <c r="H1618" s="953">
        <f t="shared" si="307"/>
        <v>0</v>
      </c>
      <c r="I1618" s="953">
        <f t="shared" si="308"/>
        <v>0</v>
      </c>
      <c r="J1618" s="953">
        <f t="shared" si="309"/>
        <v>0</v>
      </c>
      <c r="K1618" s="953" t="str">
        <f t="shared" si="310"/>
        <v/>
      </c>
      <c r="L1618" s="570" t="str">
        <f t="shared" si="311"/>
        <v/>
      </c>
      <c r="M1618" s="570" t="str">
        <f t="shared" si="312"/>
        <v/>
      </c>
    </row>
    <row r="1619" spans="1:13">
      <c r="A1619" s="570" t="str">
        <f t="shared" si="313"/>
        <v/>
      </c>
      <c r="C1619" s="953" t="str">
        <f t="shared" si="302"/>
        <v/>
      </c>
      <c r="D1619" s="953" t="str">
        <f t="shared" si="303"/>
        <v/>
      </c>
      <c r="E1619" s="953" t="str">
        <f t="shared" si="304"/>
        <v/>
      </c>
      <c r="F1619" s="953" t="str">
        <f t="shared" si="305"/>
        <v/>
      </c>
      <c r="G1619" s="953" t="str">
        <f t="shared" si="306"/>
        <v/>
      </c>
      <c r="H1619" s="953">
        <f t="shared" si="307"/>
        <v>0</v>
      </c>
      <c r="I1619" s="953">
        <f t="shared" si="308"/>
        <v>0</v>
      </c>
      <c r="J1619" s="953">
        <f t="shared" si="309"/>
        <v>0</v>
      </c>
      <c r="K1619" s="953" t="str">
        <f t="shared" si="310"/>
        <v/>
      </c>
      <c r="L1619" s="570" t="str">
        <f t="shared" si="311"/>
        <v/>
      </c>
      <c r="M1619" s="570" t="str">
        <f t="shared" si="312"/>
        <v/>
      </c>
    </row>
    <row r="1620" spans="1:13">
      <c r="A1620" s="570" t="str">
        <f t="shared" si="313"/>
        <v/>
      </c>
      <c r="C1620" s="953" t="str">
        <f t="shared" si="302"/>
        <v/>
      </c>
      <c r="D1620" s="953" t="str">
        <f t="shared" si="303"/>
        <v/>
      </c>
      <c r="E1620" s="953" t="str">
        <f t="shared" si="304"/>
        <v/>
      </c>
      <c r="F1620" s="953" t="str">
        <f t="shared" si="305"/>
        <v/>
      </c>
      <c r="G1620" s="953" t="str">
        <f t="shared" si="306"/>
        <v/>
      </c>
      <c r="H1620" s="953">
        <f t="shared" si="307"/>
        <v>0</v>
      </c>
      <c r="I1620" s="953">
        <f t="shared" si="308"/>
        <v>0</v>
      </c>
      <c r="J1620" s="953">
        <f t="shared" si="309"/>
        <v>0</v>
      </c>
      <c r="K1620" s="953" t="str">
        <f t="shared" si="310"/>
        <v/>
      </c>
      <c r="L1620" s="570" t="str">
        <f t="shared" si="311"/>
        <v/>
      </c>
      <c r="M1620" s="570" t="str">
        <f t="shared" si="312"/>
        <v/>
      </c>
    </row>
    <row r="1621" spans="1:13">
      <c r="A1621" s="570" t="str">
        <f t="shared" si="313"/>
        <v/>
      </c>
      <c r="C1621" s="953" t="str">
        <f t="shared" si="302"/>
        <v/>
      </c>
      <c r="D1621" s="953" t="str">
        <f t="shared" si="303"/>
        <v/>
      </c>
      <c r="E1621" s="953" t="str">
        <f t="shared" si="304"/>
        <v/>
      </c>
      <c r="F1621" s="953" t="str">
        <f t="shared" si="305"/>
        <v/>
      </c>
      <c r="G1621" s="953" t="str">
        <f t="shared" si="306"/>
        <v/>
      </c>
      <c r="H1621" s="953">
        <f t="shared" si="307"/>
        <v>0</v>
      </c>
      <c r="I1621" s="953">
        <f t="shared" si="308"/>
        <v>0</v>
      </c>
      <c r="J1621" s="953">
        <f t="shared" si="309"/>
        <v>0</v>
      </c>
      <c r="K1621" s="953" t="str">
        <f t="shared" si="310"/>
        <v/>
      </c>
      <c r="L1621" s="570" t="str">
        <f t="shared" si="311"/>
        <v/>
      </c>
      <c r="M1621" s="570" t="str">
        <f t="shared" si="312"/>
        <v/>
      </c>
    </row>
    <row r="1622" spans="1:13">
      <c r="A1622" s="570" t="str">
        <f t="shared" si="313"/>
        <v/>
      </c>
      <c r="C1622" s="953" t="str">
        <f t="shared" si="302"/>
        <v/>
      </c>
      <c r="D1622" s="953" t="str">
        <f t="shared" si="303"/>
        <v/>
      </c>
      <c r="E1622" s="953" t="str">
        <f t="shared" si="304"/>
        <v/>
      </c>
      <c r="F1622" s="953" t="str">
        <f t="shared" si="305"/>
        <v/>
      </c>
      <c r="G1622" s="953" t="str">
        <f t="shared" si="306"/>
        <v/>
      </c>
      <c r="H1622" s="953">
        <f t="shared" si="307"/>
        <v>0</v>
      </c>
      <c r="I1622" s="953">
        <f t="shared" si="308"/>
        <v>0</v>
      </c>
      <c r="J1622" s="953">
        <f t="shared" si="309"/>
        <v>0</v>
      </c>
      <c r="K1622" s="953" t="str">
        <f t="shared" si="310"/>
        <v/>
      </c>
      <c r="L1622" s="570" t="str">
        <f t="shared" si="311"/>
        <v/>
      </c>
      <c r="M1622" s="570" t="str">
        <f t="shared" si="312"/>
        <v/>
      </c>
    </row>
    <row r="1623" spans="1:13">
      <c r="A1623" s="570" t="str">
        <f t="shared" si="313"/>
        <v/>
      </c>
      <c r="C1623" s="953" t="str">
        <f t="shared" si="302"/>
        <v/>
      </c>
      <c r="D1623" s="953" t="str">
        <f t="shared" si="303"/>
        <v/>
      </c>
      <c r="E1623" s="953" t="str">
        <f t="shared" si="304"/>
        <v/>
      </c>
      <c r="F1623" s="953" t="str">
        <f t="shared" si="305"/>
        <v/>
      </c>
      <c r="G1623" s="953" t="str">
        <f t="shared" si="306"/>
        <v/>
      </c>
      <c r="H1623" s="953">
        <f t="shared" si="307"/>
        <v>0</v>
      </c>
      <c r="I1623" s="953">
        <f t="shared" si="308"/>
        <v>0</v>
      </c>
      <c r="J1623" s="953">
        <f t="shared" si="309"/>
        <v>0</v>
      </c>
      <c r="K1623" s="953" t="str">
        <f t="shared" si="310"/>
        <v/>
      </c>
      <c r="L1623" s="570" t="str">
        <f t="shared" si="311"/>
        <v/>
      </c>
      <c r="M1623" s="570" t="str">
        <f t="shared" si="312"/>
        <v/>
      </c>
    </row>
    <row r="1624" spans="1:13">
      <c r="A1624" s="570" t="str">
        <f t="shared" si="313"/>
        <v/>
      </c>
      <c r="C1624" s="953" t="str">
        <f t="shared" si="302"/>
        <v/>
      </c>
      <c r="D1624" s="953" t="str">
        <f t="shared" si="303"/>
        <v/>
      </c>
      <c r="E1624" s="953" t="str">
        <f t="shared" si="304"/>
        <v/>
      </c>
      <c r="F1624" s="953" t="str">
        <f t="shared" si="305"/>
        <v/>
      </c>
      <c r="G1624" s="953" t="str">
        <f t="shared" si="306"/>
        <v/>
      </c>
      <c r="H1624" s="953">
        <f t="shared" si="307"/>
        <v>0</v>
      </c>
      <c r="I1624" s="953">
        <f t="shared" si="308"/>
        <v>0</v>
      </c>
      <c r="J1624" s="953">
        <f t="shared" si="309"/>
        <v>0</v>
      </c>
      <c r="K1624" s="953" t="str">
        <f t="shared" si="310"/>
        <v/>
      </c>
      <c r="L1624" s="570" t="str">
        <f t="shared" si="311"/>
        <v/>
      </c>
      <c r="M1624" s="570" t="str">
        <f t="shared" si="312"/>
        <v/>
      </c>
    </row>
    <row r="1625" spans="1:13">
      <c r="A1625" s="570" t="str">
        <f t="shared" si="313"/>
        <v/>
      </c>
      <c r="C1625" s="953" t="str">
        <f t="shared" si="302"/>
        <v/>
      </c>
      <c r="D1625" s="953" t="str">
        <f t="shared" si="303"/>
        <v/>
      </c>
      <c r="E1625" s="953" t="str">
        <f t="shared" si="304"/>
        <v/>
      </c>
      <c r="F1625" s="953" t="str">
        <f t="shared" si="305"/>
        <v/>
      </c>
      <c r="G1625" s="953" t="str">
        <f t="shared" si="306"/>
        <v/>
      </c>
      <c r="H1625" s="953">
        <f t="shared" si="307"/>
        <v>0</v>
      </c>
      <c r="I1625" s="953">
        <f t="shared" si="308"/>
        <v>0</v>
      </c>
      <c r="J1625" s="953">
        <f t="shared" si="309"/>
        <v>0</v>
      </c>
      <c r="K1625" s="953" t="str">
        <f t="shared" si="310"/>
        <v/>
      </c>
      <c r="L1625" s="570" t="str">
        <f t="shared" si="311"/>
        <v/>
      </c>
      <c r="M1625" s="570" t="str">
        <f t="shared" si="312"/>
        <v/>
      </c>
    </row>
    <row r="1626" spans="1:13">
      <c r="A1626" s="570" t="str">
        <f t="shared" si="313"/>
        <v/>
      </c>
      <c r="C1626" s="953" t="str">
        <f t="shared" si="302"/>
        <v/>
      </c>
      <c r="D1626" s="953" t="str">
        <f t="shared" si="303"/>
        <v/>
      </c>
      <c r="E1626" s="953" t="str">
        <f t="shared" si="304"/>
        <v/>
      </c>
      <c r="F1626" s="953" t="str">
        <f t="shared" si="305"/>
        <v/>
      </c>
      <c r="G1626" s="953" t="str">
        <f t="shared" si="306"/>
        <v/>
      </c>
      <c r="H1626" s="953">
        <f t="shared" si="307"/>
        <v>0</v>
      </c>
      <c r="I1626" s="953">
        <f t="shared" si="308"/>
        <v>0</v>
      </c>
      <c r="J1626" s="953">
        <f t="shared" si="309"/>
        <v>0</v>
      </c>
      <c r="K1626" s="953" t="str">
        <f t="shared" si="310"/>
        <v/>
      </c>
      <c r="L1626" s="570" t="str">
        <f t="shared" si="311"/>
        <v/>
      </c>
      <c r="M1626" s="570" t="str">
        <f t="shared" si="312"/>
        <v/>
      </c>
    </row>
    <row r="1627" spans="1:13">
      <c r="A1627" s="570" t="str">
        <f t="shared" si="313"/>
        <v/>
      </c>
      <c r="C1627" s="953" t="str">
        <f t="shared" si="302"/>
        <v/>
      </c>
      <c r="D1627" s="953" t="str">
        <f t="shared" si="303"/>
        <v/>
      </c>
      <c r="E1627" s="953" t="str">
        <f t="shared" si="304"/>
        <v/>
      </c>
      <c r="F1627" s="953" t="str">
        <f t="shared" si="305"/>
        <v/>
      </c>
      <c r="G1627" s="953" t="str">
        <f t="shared" si="306"/>
        <v/>
      </c>
      <c r="H1627" s="953">
        <f t="shared" si="307"/>
        <v>0</v>
      </c>
      <c r="I1627" s="953">
        <f t="shared" si="308"/>
        <v>0</v>
      </c>
      <c r="J1627" s="953">
        <f t="shared" si="309"/>
        <v>0</v>
      </c>
      <c r="K1627" s="953" t="str">
        <f t="shared" si="310"/>
        <v/>
      </c>
      <c r="L1627" s="570" t="str">
        <f t="shared" si="311"/>
        <v/>
      </c>
      <c r="M1627" s="570" t="str">
        <f t="shared" si="312"/>
        <v/>
      </c>
    </row>
    <row r="1628" spans="1:13">
      <c r="A1628" s="570" t="str">
        <f t="shared" si="313"/>
        <v/>
      </c>
      <c r="C1628" s="953" t="str">
        <f t="shared" si="302"/>
        <v/>
      </c>
      <c r="D1628" s="953" t="str">
        <f t="shared" si="303"/>
        <v/>
      </c>
      <c r="E1628" s="953" t="str">
        <f t="shared" si="304"/>
        <v/>
      </c>
      <c r="F1628" s="953" t="str">
        <f t="shared" si="305"/>
        <v/>
      </c>
      <c r="G1628" s="953" t="str">
        <f t="shared" si="306"/>
        <v/>
      </c>
      <c r="H1628" s="953">
        <f t="shared" si="307"/>
        <v>0</v>
      </c>
      <c r="I1628" s="953">
        <f t="shared" si="308"/>
        <v>0</v>
      </c>
      <c r="J1628" s="953">
        <f t="shared" si="309"/>
        <v>0</v>
      </c>
      <c r="K1628" s="953" t="str">
        <f t="shared" si="310"/>
        <v/>
      </c>
      <c r="L1628" s="570" t="str">
        <f t="shared" si="311"/>
        <v/>
      </c>
      <c r="M1628" s="570" t="str">
        <f t="shared" si="312"/>
        <v/>
      </c>
    </row>
    <row r="1629" spans="1:13">
      <c r="A1629" s="570" t="str">
        <f t="shared" si="313"/>
        <v/>
      </c>
      <c r="C1629" s="953" t="str">
        <f t="shared" si="302"/>
        <v/>
      </c>
      <c r="D1629" s="953" t="str">
        <f t="shared" si="303"/>
        <v/>
      </c>
      <c r="E1629" s="953" t="str">
        <f t="shared" si="304"/>
        <v/>
      </c>
      <c r="F1629" s="953" t="str">
        <f t="shared" si="305"/>
        <v/>
      </c>
      <c r="G1629" s="953" t="str">
        <f t="shared" si="306"/>
        <v/>
      </c>
      <c r="H1629" s="953">
        <f t="shared" si="307"/>
        <v>0</v>
      </c>
      <c r="I1629" s="953">
        <f t="shared" si="308"/>
        <v>0</v>
      </c>
      <c r="J1629" s="953">
        <f t="shared" si="309"/>
        <v>0</v>
      </c>
      <c r="K1629" s="953" t="str">
        <f t="shared" si="310"/>
        <v/>
      </c>
      <c r="L1629" s="570" t="str">
        <f t="shared" si="311"/>
        <v/>
      </c>
      <c r="M1629" s="570" t="str">
        <f t="shared" si="312"/>
        <v/>
      </c>
    </row>
    <row r="1630" spans="1:13">
      <c r="A1630" s="570" t="str">
        <f t="shared" si="313"/>
        <v/>
      </c>
      <c r="C1630" s="953" t="str">
        <f t="shared" si="302"/>
        <v/>
      </c>
      <c r="D1630" s="953" t="str">
        <f t="shared" si="303"/>
        <v/>
      </c>
      <c r="E1630" s="953" t="str">
        <f t="shared" si="304"/>
        <v/>
      </c>
      <c r="F1630" s="953" t="str">
        <f t="shared" si="305"/>
        <v/>
      </c>
      <c r="G1630" s="953" t="str">
        <f t="shared" si="306"/>
        <v/>
      </c>
      <c r="H1630" s="953">
        <f t="shared" si="307"/>
        <v>0</v>
      </c>
      <c r="I1630" s="953">
        <f t="shared" si="308"/>
        <v>0</v>
      </c>
      <c r="J1630" s="953">
        <f t="shared" si="309"/>
        <v>0</v>
      </c>
      <c r="K1630" s="953" t="str">
        <f t="shared" si="310"/>
        <v/>
      </c>
      <c r="L1630" s="570" t="str">
        <f t="shared" si="311"/>
        <v/>
      </c>
      <c r="M1630" s="570" t="str">
        <f t="shared" si="312"/>
        <v/>
      </c>
    </row>
    <row r="1631" spans="1:13">
      <c r="A1631" s="570" t="str">
        <f t="shared" si="313"/>
        <v/>
      </c>
      <c r="C1631" s="953" t="str">
        <f t="shared" si="302"/>
        <v/>
      </c>
      <c r="D1631" s="953" t="str">
        <f t="shared" si="303"/>
        <v/>
      </c>
      <c r="E1631" s="953" t="str">
        <f t="shared" si="304"/>
        <v/>
      </c>
      <c r="F1631" s="953" t="str">
        <f t="shared" si="305"/>
        <v/>
      </c>
      <c r="G1631" s="953" t="str">
        <f t="shared" si="306"/>
        <v/>
      </c>
      <c r="H1631" s="953">
        <f t="shared" si="307"/>
        <v>0</v>
      </c>
      <c r="I1631" s="953">
        <f t="shared" si="308"/>
        <v>0</v>
      </c>
      <c r="J1631" s="953">
        <f t="shared" si="309"/>
        <v>0</v>
      </c>
      <c r="K1631" s="953" t="str">
        <f t="shared" si="310"/>
        <v/>
      </c>
      <c r="L1631" s="570" t="str">
        <f t="shared" si="311"/>
        <v/>
      </c>
      <c r="M1631" s="570" t="str">
        <f t="shared" si="312"/>
        <v/>
      </c>
    </row>
    <row r="1632" spans="1:13">
      <c r="A1632" s="570" t="str">
        <f t="shared" si="313"/>
        <v/>
      </c>
      <c r="C1632" s="953" t="str">
        <f t="shared" si="302"/>
        <v/>
      </c>
      <c r="D1632" s="953" t="str">
        <f t="shared" si="303"/>
        <v/>
      </c>
      <c r="E1632" s="953" t="str">
        <f t="shared" si="304"/>
        <v/>
      </c>
      <c r="F1632" s="953" t="str">
        <f t="shared" si="305"/>
        <v/>
      </c>
      <c r="G1632" s="953" t="str">
        <f t="shared" si="306"/>
        <v/>
      </c>
      <c r="H1632" s="953">
        <f t="shared" si="307"/>
        <v>0</v>
      </c>
      <c r="I1632" s="953">
        <f t="shared" si="308"/>
        <v>0</v>
      </c>
      <c r="J1632" s="953">
        <f t="shared" si="309"/>
        <v>0</v>
      </c>
      <c r="K1632" s="953" t="str">
        <f t="shared" si="310"/>
        <v/>
      </c>
      <c r="L1632" s="570" t="str">
        <f t="shared" si="311"/>
        <v/>
      </c>
      <c r="M1632" s="570" t="str">
        <f t="shared" si="312"/>
        <v/>
      </c>
    </row>
    <row r="1633" spans="1:13">
      <c r="A1633" s="570" t="str">
        <f t="shared" si="313"/>
        <v/>
      </c>
      <c r="C1633" s="953" t="str">
        <f t="shared" si="302"/>
        <v/>
      </c>
      <c r="D1633" s="953" t="str">
        <f t="shared" si="303"/>
        <v/>
      </c>
      <c r="E1633" s="953" t="str">
        <f t="shared" si="304"/>
        <v/>
      </c>
      <c r="F1633" s="953" t="str">
        <f t="shared" si="305"/>
        <v/>
      </c>
      <c r="G1633" s="953" t="str">
        <f t="shared" si="306"/>
        <v/>
      </c>
      <c r="H1633" s="953">
        <f t="shared" si="307"/>
        <v>0</v>
      </c>
      <c r="I1633" s="953">
        <f t="shared" si="308"/>
        <v>0</v>
      </c>
      <c r="J1633" s="953">
        <f t="shared" si="309"/>
        <v>0</v>
      </c>
      <c r="K1633" s="953" t="str">
        <f t="shared" si="310"/>
        <v/>
      </c>
      <c r="L1633" s="570" t="str">
        <f t="shared" si="311"/>
        <v/>
      </c>
      <c r="M1633" s="570" t="str">
        <f t="shared" si="312"/>
        <v/>
      </c>
    </row>
    <row r="1634" spans="1:13">
      <c r="A1634" s="570" t="str">
        <f t="shared" si="313"/>
        <v/>
      </c>
      <c r="C1634" s="953" t="str">
        <f t="shared" si="302"/>
        <v/>
      </c>
      <c r="D1634" s="953" t="str">
        <f t="shared" si="303"/>
        <v/>
      </c>
      <c r="E1634" s="953" t="str">
        <f t="shared" si="304"/>
        <v/>
      </c>
      <c r="F1634" s="953" t="str">
        <f t="shared" si="305"/>
        <v/>
      </c>
      <c r="G1634" s="953" t="str">
        <f t="shared" si="306"/>
        <v/>
      </c>
      <c r="H1634" s="953">
        <f t="shared" si="307"/>
        <v>0</v>
      </c>
      <c r="I1634" s="953">
        <f t="shared" si="308"/>
        <v>0</v>
      </c>
      <c r="J1634" s="953">
        <f t="shared" si="309"/>
        <v>0</v>
      </c>
      <c r="K1634" s="953" t="str">
        <f t="shared" si="310"/>
        <v/>
      </c>
      <c r="L1634" s="570" t="str">
        <f t="shared" si="311"/>
        <v/>
      </c>
      <c r="M1634" s="570" t="str">
        <f t="shared" si="312"/>
        <v/>
      </c>
    </row>
    <row r="1635" spans="1:13">
      <c r="A1635" s="570" t="str">
        <f t="shared" si="313"/>
        <v/>
      </c>
      <c r="C1635" s="953" t="str">
        <f t="shared" si="302"/>
        <v/>
      </c>
      <c r="D1635" s="953" t="str">
        <f t="shared" si="303"/>
        <v/>
      </c>
      <c r="E1635" s="953" t="str">
        <f t="shared" si="304"/>
        <v/>
      </c>
      <c r="F1635" s="953" t="str">
        <f t="shared" si="305"/>
        <v/>
      </c>
      <c r="G1635" s="953" t="str">
        <f t="shared" si="306"/>
        <v/>
      </c>
      <c r="H1635" s="953">
        <f t="shared" si="307"/>
        <v>0</v>
      </c>
      <c r="I1635" s="953">
        <f t="shared" si="308"/>
        <v>0</v>
      </c>
      <c r="J1635" s="953">
        <f t="shared" si="309"/>
        <v>0</v>
      </c>
      <c r="K1635" s="953" t="str">
        <f t="shared" si="310"/>
        <v/>
      </c>
      <c r="L1635" s="570" t="str">
        <f t="shared" si="311"/>
        <v/>
      </c>
      <c r="M1635" s="570" t="str">
        <f t="shared" si="312"/>
        <v/>
      </c>
    </row>
    <row r="1636" spans="1:13">
      <c r="A1636" s="570" t="str">
        <f t="shared" si="313"/>
        <v/>
      </c>
      <c r="C1636" s="953" t="str">
        <f t="shared" si="302"/>
        <v/>
      </c>
      <c r="D1636" s="953" t="str">
        <f t="shared" si="303"/>
        <v/>
      </c>
      <c r="E1636" s="953" t="str">
        <f t="shared" si="304"/>
        <v/>
      </c>
      <c r="F1636" s="953" t="str">
        <f t="shared" si="305"/>
        <v/>
      </c>
      <c r="G1636" s="953" t="str">
        <f t="shared" si="306"/>
        <v/>
      </c>
      <c r="H1636" s="953">
        <f t="shared" si="307"/>
        <v>0</v>
      </c>
      <c r="I1636" s="953">
        <f t="shared" si="308"/>
        <v>0</v>
      </c>
      <c r="J1636" s="953">
        <f t="shared" si="309"/>
        <v>0</v>
      </c>
      <c r="K1636" s="953" t="str">
        <f t="shared" si="310"/>
        <v/>
      </c>
      <c r="L1636" s="570" t="str">
        <f t="shared" si="311"/>
        <v/>
      </c>
      <c r="M1636" s="570" t="str">
        <f t="shared" si="312"/>
        <v/>
      </c>
    </row>
    <row r="1637" spans="1:13">
      <c r="A1637" s="570" t="str">
        <f t="shared" si="313"/>
        <v/>
      </c>
      <c r="C1637" s="953" t="str">
        <f t="shared" si="302"/>
        <v/>
      </c>
      <c r="D1637" s="953" t="str">
        <f t="shared" si="303"/>
        <v/>
      </c>
      <c r="E1637" s="953" t="str">
        <f t="shared" si="304"/>
        <v/>
      </c>
      <c r="F1637" s="953" t="str">
        <f t="shared" si="305"/>
        <v/>
      </c>
      <c r="G1637" s="953" t="str">
        <f t="shared" si="306"/>
        <v/>
      </c>
      <c r="H1637" s="953">
        <f t="shared" si="307"/>
        <v>0</v>
      </c>
      <c r="I1637" s="953">
        <f t="shared" si="308"/>
        <v>0</v>
      </c>
      <c r="J1637" s="953">
        <f t="shared" si="309"/>
        <v>0</v>
      </c>
      <c r="K1637" s="953" t="str">
        <f t="shared" si="310"/>
        <v/>
      </c>
      <c r="L1637" s="570" t="str">
        <f t="shared" si="311"/>
        <v/>
      </c>
      <c r="M1637" s="570" t="str">
        <f t="shared" si="312"/>
        <v/>
      </c>
    </row>
    <row r="1638" spans="1:13">
      <c r="A1638" s="570" t="str">
        <f t="shared" si="313"/>
        <v/>
      </c>
      <c r="C1638" s="953" t="str">
        <f t="shared" si="302"/>
        <v/>
      </c>
      <c r="D1638" s="953" t="str">
        <f t="shared" si="303"/>
        <v/>
      </c>
      <c r="E1638" s="953" t="str">
        <f t="shared" si="304"/>
        <v/>
      </c>
      <c r="F1638" s="953" t="str">
        <f t="shared" si="305"/>
        <v/>
      </c>
      <c r="G1638" s="953" t="str">
        <f t="shared" si="306"/>
        <v/>
      </c>
      <c r="H1638" s="953">
        <f t="shared" si="307"/>
        <v>0</v>
      </c>
      <c r="I1638" s="953">
        <f t="shared" si="308"/>
        <v>0</v>
      </c>
      <c r="J1638" s="953">
        <f t="shared" si="309"/>
        <v>0</v>
      </c>
      <c r="K1638" s="953" t="str">
        <f t="shared" si="310"/>
        <v/>
      </c>
      <c r="L1638" s="570" t="str">
        <f t="shared" si="311"/>
        <v/>
      </c>
      <c r="M1638" s="570" t="str">
        <f t="shared" si="312"/>
        <v/>
      </c>
    </row>
    <row r="1639" spans="1:13">
      <c r="A1639" s="570" t="str">
        <f t="shared" si="313"/>
        <v/>
      </c>
      <c r="C1639" s="953" t="str">
        <f t="shared" si="302"/>
        <v/>
      </c>
      <c r="D1639" s="953" t="str">
        <f t="shared" si="303"/>
        <v/>
      </c>
      <c r="E1639" s="953" t="str">
        <f t="shared" si="304"/>
        <v/>
      </c>
      <c r="F1639" s="953" t="str">
        <f t="shared" si="305"/>
        <v/>
      </c>
      <c r="G1639" s="953" t="str">
        <f t="shared" si="306"/>
        <v/>
      </c>
      <c r="H1639" s="953">
        <f t="shared" si="307"/>
        <v>0</v>
      </c>
      <c r="I1639" s="953">
        <f t="shared" si="308"/>
        <v>0</v>
      </c>
      <c r="J1639" s="953">
        <f t="shared" si="309"/>
        <v>0</v>
      </c>
      <c r="K1639" s="953" t="str">
        <f t="shared" si="310"/>
        <v/>
      </c>
      <c r="L1639" s="570" t="str">
        <f t="shared" si="311"/>
        <v/>
      </c>
      <c r="M1639" s="570" t="str">
        <f t="shared" si="312"/>
        <v/>
      </c>
    </row>
    <row r="1640" spans="1:13">
      <c r="A1640" s="570" t="str">
        <f t="shared" si="313"/>
        <v/>
      </c>
      <c r="C1640" s="953" t="str">
        <f t="shared" si="302"/>
        <v/>
      </c>
      <c r="D1640" s="953" t="str">
        <f t="shared" si="303"/>
        <v/>
      </c>
      <c r="E1640" s="953" t="str">
        <f t="shared" si="304"/>
        <v/>
      </c>
      <c r="F1640" s="953" t="str">
        <f t="shared" si="305"/>
        <v/>
      </c>
      <c r="G1640" s="953" t="str">
        <f t="shared" si="306"/>
        <v/>
      </c>
      <c r="H1640" s="953">
        <f t="shared" si="307"/>
        <v>0</v>
      </c>
      <c r="I1640" s="953">
        <f t="shared" si="308"/>
        <v>0</v>
      </c>
      <c r="J1640" s="953">
        <f t="shared" si="309"/>
        <v>0</v>
      </c>
      <c r="K1640" s="953" t="str">
        <f t="shared" si="310"/>
        <v/>
      </c>
      <c r="L1640" s="570" t="str">
        <f t="shared" si="311"/>
        <v/>
      </c>
      <c r="M1640" s="570" t="str">
        <f t="shared" si="312"/>
        <v/>
      </c>
    </row>
    <row r="1641" spans="1:13">
      <c r="A1641" s="570" t="str">
        <f t="shared" si="313"/>
        <v/>
      </c>
      <c r="C1641" s="953" t="str">
        <f t="shared" si="302"/>
        <v/>
      </c>
      <c r="D1641" s="953" t="str">
        <f t="shared" si="303"/>
        <v/>
      </c>
      <c r="E1641" s="953" t="str">
        <f t="shared" si="304"/>
        <v/>
      </c>
      <c r="F1641" s="953" t="str">
        <f t="shared" si="305"/>
        <v/>
      </c>
      <c r="G1641" s="953" t="str">
        <f t="shared" si="306"/>
        <v/>
      </c>
      <c r="H1641" s="953">
        <f t="shared" si="307"/>
        <v>0</v>
      </c>
      <c r="I1641" s="953">
        <f t="shared" si="308"/>
        <v>0</v>
      </c>
      <c r="J1641" s="953">
        <f t="shared" si="309"/>
        <v>0</v>
      </c>
      <c r="K1641" s="953" t="str">
        <f t="shared" si="310"/>
        <v/>
      </c>
      <c r="L1641" s="570" t="str">
        <f t="shared" si="311"/>
        <v/>
      </c>
      <c r="M1641" s="570" t="str">
        <f t="shared" si="312"/>
        <v/>
      </c>
    </row>
    <row r="1642" spans="1:13">
      <c r="A1642" s="570" t="str">
        <f t="shared" si="313"/>
        <v/>
      </c>
      <c r="C1642" s="953" t="str">
        <f t="shared" si="302"/>
        <v/>
      </c>
      <c r="D1642" s="953" t="str">
        <f t="shared" si="303"/>
        <v/>
      </c>
      <c r="E1642" s="953" t="str">
        <f t="shared" si="304"/>
        <v/>
      </c>
      <c r="F1642" s="953" t="str">
        <f t="shared" si="305"/>
        <v/>
      </c>
      <c r="G1642" s="953" t="str">
        <f t="shared" si="306"/>
        <v/>
      </c>
      <c r="H1642" s="953">
        <f t="shared" si="307"/>
        <v>0</v>
      </c>
      <c r="I1642" s="953">
        <f t="shared" si="308"/>
        <v>0</v>
      </c>
      <c r="J1642" s="953">
        <f t="shared" si="309"/>
        <v>0</v>
      </c>
      <c r="K1642" s="953" t="str">
        <f t="shared" si="310"/>
        <v/>
      </c>
      <c r="L1642" s="570" t="str">
        <f t="shared" si="311"/>
        <v/>
      </c>
      <c r="M1642" s="570" t="str">
        <f t="shared" si="312"/>
        <v/>
      </c>
    </row>
    <row r="1643" spans="1:13">
      <c r="A1643" s="570" t="str">
        <f t="shared" si="313"/>
        <v/>
      </c>
      <c r="C1643" s="953" t="str">
        <f t="shared" si="302"/>
        <v/>
      </c>
      <c r="D1643" s="953" t="str">
        <f t="shared" si="303"/>
        <v/>
      </c>
      <c r="E1643" s="953" t="str">
        <f t="shared" si="304"/>
        <v/>
      </c>
      <c r="F1643" s="953" t="str">
        <f t="shared" si="305"/>
        <v/>
      </c>
      <c r="G1643" s="953" t="str">
        <f t="shared" si="306"/>
        <v/>
      </c>
      <c r="H1643" s="953">
        <f t="shared" si="307"/>
        <v>0</v>
      </c>
      <c r="I1643" s="953">
        <f t="shared" si="308"/>
        <v>0</v>
      </c>
      <c r="J1643" s="953">
        <f t="shared" si="309"/>
        <v>0</v>
      </c>
      <c r="K1643" s="953" t="str">
        <f t="shared" si="310"/>
        <v/>
      </c>
      <c r="L1643" s="570" t="str">
        <f t="shared" si="311"/>
        <v/>
      </c>
      <c r="M1643" s="570" t="str">
        <f t="shared" si="312"/>
        <v/>
      </c>
    </row>
    <row r="1644" spans="1:13">
      <c r="A1644" s="570" t="str">
        <f t="shared" si="313"/>
        <v/>
      </c>
      <c r="C1644" s="953" t="str">
        <f t="shared" si="302"/>
        <v/>
      </c>
      <c r="D1644" s="953" t="str">
        <f t="shared" si="303"/>
        <v/>
      </c>
      <c r="E1644" s="953" t="str">
        <f t="shared" si="304"/>
        <v/>
      </c>
      <c r="F1644" s="953" t="str">
        <f t="shared" si="305"/>
        <v/>
      </c>
      <c r="G1644" s="953" t="str">
        <f t="shared" si="306"/>
        <v/>
      </c>
      <c r="H1644" s="953">
        <f t="shared" si="307"/>
        <v>0</v>
      </c>
      <c r="I1644" s="953">
        <f t="shared" si="308"/>
        <v>0</v>
      </c>
      <c r="J1644" s="953">
        <f t="shared" si="309"/>
        <v>0</v>
      </c>
      <c r="K1644" s="953" t="str">
        <f t="shared" si="310"/>
        <v/>
      </c>
      <c r="L1644" s="570" t="str">
        <f t="shared" si="311"/>
        <v/>
      </c>
      <c r="M1644" s="570" t="str">
        <f t="shared" si="312"/>
        <v/>
      </c>
    </row>
    <row r="1645" spans="1:13">
      <c r="A1645" s="570" t="str">
        <f t="shared" si="313"/>
        <v/>
      </c>
      <c r="C1645" s="953" t="str">
        <f t="shared" si="302"/>
        <v/>
      </c>
      <c r="D1645" s="953" t="str">
        <f t="shared" si="303"/>
        <v/>
      </c>
      <c r="E1645" s="953" t="str">
        <f t="shared" si="304"/>
        <v/>
      </c>
      <c r="F1645" s="953" t="str">
        <f t="shared" si="305"/>
        <v/>
      </c>
      <c r="G1645" s="953" t="str">
        <f t="shared" si="306"/>
        <v/>
      </c>
      <c r="H1645" s="953">
        <f t="shared" si="307"/>
        <v>0</v>
      </c>
      <c r="I1645" s="953">
        <f t="shared" si="308"/>
        <v>0</v>
      </c>
      <c r="J1645" s="953">
        <f t="shared" si="309"/>
        <v>0</v>
      </c>
      <c r="K1645" s="953" t="str">
        <f t="shared" si="310"/>
        <v/>
      </c>
      <c r="L1645" s="570" t="str">
        <f t="shared" si="311"/>
        <v/>
      </c>
      <c r="M1645" s="570" t="str">
        <f t="shared" si="312"/>
        <v/>
      </c>
    </row>
    <row r="1646" spans="1:13">
      <c r="A1646" s="570" t="str">
        <f t="shared" si="313"/>
        <v/>
      </c>
      <c r="C1646" s="953" t="str">
        <f t="shared" si="302"/>
        <v/>
      </c>
      <c r="D1646" s="953" t="str">
        <f t="shared" si="303"/>
        <v/>
      </c>
      <c r="E1646" s="953" t="str">
        <f t="shared" si="304"/>
        <v/>
      </c>
      <c r="F1646" s="953" t="str">
        <f t="shared" si="305"/>
        <v/>
      </c>
      <c r="G1646" s="953" t="str">
        <f t="shared" si="306"/>
        <v/>
      </c>
      <c r="H1646" s="953">
        <f t="shared" si="307"/>
        <v>0</v>
      </c>
      <c r="I1646" s="953">
        <f t="shared" si="308"/>
        <v>0</v>
      </c>
      <c r="J1646" s="953">
        <f t="shared" si="309"/>
        <v>0</v>
      </c>
      <c r="K1646" s="953" t="str">
        <f t="shared" si="310"/>
        <v/>
      </c>
      <c r="L1646" s="570" t="str">
        <f t="shared" si="311"/>
        <v/>
      </c>
      <c r="M1646" s="570" t="str">
        <f t="shared" si="312"/>
        <v/>
      </c>
    </row>
    <row r="1647" spans="1:13">
      <c r="A1647" s="570" t="str">
        <f t="shared" si="313"/>
        <v/>
      </c>
      <c r="C1647" s="953" t="str">
        <f t="shared" si="302"/>
        <v/>
      </c>
      <c r="D1647" s="953" t="str">
        <f t="shared" si="303"/>
        <v/>
      </c>
      <c r="E1647" s="953" t="str">
        <f t="shared" si="304"/>
        <v/>
      </c>
      <c r="F1647" s="953" t="str">
        <f t="shared" si="305"/>
        <v/>
      </c>
      <c r="G1647" s="953" t="str">
        <f t="shared" si="306"/>
        <v/>
      </c>
      <c r="H1647" s="953">
        <f t="shared" si="307"/>
        <v>0</v>
      </c>
      <c r="I1647" s="953">
        <f t="shared" si="308"/>
        <v>0</v>
      </c>
      <c r="J1647" s="953">
        <f t="shared" si="309"/>
        <v>0</v>
      </c>
      <c r="K1647" s="953" t="str">
        <f t="shared" si="310"/>
        <v/>
      </c>
      <c r="L1647" s="570" t="str">
        <f t="shared" si="311"/>
        <v/>
      </c>
      <c r="M1647" s="570" t="str">
        <f t="shared" si="312"/>
        <v/>
      </c>
    </row>
    <row r="1648" spans="1:13">
      <c r="A1648" s="570" t="str">
        <f t="shared" si="313"/>
        <v/>
      </c>
      <c r="C1648" s="953" t="str">
        <f t="shared" si="302"/>
        <v/>
      </c>
      <c r="D1648" s="953" t="str">
        <f t="shared" si="303"/>
        <v/>
      </c>
      <c r="E1648" s="953" t="str">
        <f t="shared" si="304"/>
        <v/>
      </c>
      <c r="F1648" s="953" t="str">
        <f t="shared" si="305"/>
        <v/>
      </c>
      <c r="G1648" s="953" t="str">
        <f t="shared" si="306"/>
        <v/>
      </c>
      <c r="H1648" s="953">
        <f t="shared" si="307"/>
        <v>0</v>
      </c>
      <c r="I1648" s="953">
        <f t="shared" si="308"/>
        <v>0</v>
      </c>
      <c r="J1648" s="953">
        <f t="shared" si="309"/>
        <v>0</v>
      </c>
      <c r="K1648" s="953" t="str">
        <f t="shared" si="310"/>
        <v/>
      </c>
      <c r="L1648" s="570" t="str">
        <f t="shared" si="311"/>
        <v/>
      </c>
      <c r="M1648" s="570" t="str">
        <f t="shared" si="312"/>
        <v/>
      </c>
    </row>
    <row r="1649" spans="1:13">
      <c r="A1649" s="570" t="str">
        <f t="shared" si="313"/>
        <v/>
      </c>
      <c r="C1649" s="953" t="str">
        <f t="shared" si="302"/>
        <v/>
      </c>
      <c r="D1649" s="953" t="str">
        <f t="shared" si="303"/>
        <v/>
      </c>
      <c r="E1649" s="953" t="str">
        <f t="shared" si="304"/>
        <v/>
      </c>
      <c r="F1649" s="953" t="str">
        <f t="shared" si="305"/>
        <v/>
      </c>
      <c r="G1649" s="953" t="str">
        <f t="shared" si="306"/>
        <v/>
      </c>
      <c r="H1649" s="953">
        <f t="shared" si="307"/>
        <v>0</v>
      </c>
      <c r="I1649" s="953">
        <f t="shared" si="308"/>
        <v>0</v>
      </c>
      <c r="J1649" s="953">
        <f t="shared" si="309"/>
        <v>0</v>
      </c>
      <c r="K1649" s="953" t="str">
        <f t="shared" si="310"/>
        <v/>
      </c>
      <c r="L1649" s="570" t="str">
        <f t="shared" si="311"/>
        <v/>
      </c>
      <c r="M1649" s="570" t="str">
        <f t="shared" si="312"/>
        <v/>
      </c>
    </row>
    <row r="1650" spans="1:13">
      <c r="A1650" s="570" t="str">
        <f t="shared" si="313"/>
        <v/>
      </c>
      <c r="C1650" s="953" t="str">
        <f t="shared" si="302"/>
        <v/>
      </c>
      <c r="D1650" s="953" t="str">
        <f t="shared" si="303"/>
        <v/>
      </c>
      <c r="E1650" s="953" t="str">
        <f t="shared" si="304"/>
        <v/>
      </c>
      <c r="F1650" s="953" t="str">
        <f t="shared" si="305"/>
        <v/>
      </c>
      <c r="G1650" s="953" t="str">
        <f t="shared" si="306"/>
        <v/>
      </c>
      <c r="H1650" s="953">
        <f t="shared" si="307"/>
        <v>0</v>
      </c>
      <c r="I1650" s="953">
        <f t="shared" si="308"/>
        <v>0</v>
      </c>
      <c r="J1650" s="953">
        <f t="shared" si="309"/>
        <v>0</v>
      </c>
      <c r="K1650" s="953" t="str">
        <f t="shared" si="310"/>
        <v/>
      </c>
      <c r="L1650" s="570" t="str">
        <f t="shared" si="311"/>
        <v/>
      </c>
      <c r="M1650" s="570" t="str">
        <f t="shared" si="312"/>
        <v/>
      </c>
    </row>
    <row r="1651" spans="1:13">
      <c r="A1651" s="570" t="str">
        <f t="shared" si="313"/>
        <v/>
      </c>
      <c r="C1651" s="953" t="str">
        <f t="shared" si="302"/>
        <v/>
      </c>
      <c r="D1651" s="953" t="str">
        <f t="shared" si="303"/>
        <v/>
      </c>
      <c r="E1651" s="953" t="str">
        <f t="shared" si="304"/>
        <v/>
      </c>
      <c r="F1651" s="953" t="str">
        <f t="shared" si="305"/>
        <v/>
      </c>
      <c r="G1651" s="953" t="str">
        <f t="shared" si="306"/>
        <v/>
      </c>
      <c r="H1651" s="953">
        <f t="shared" si="307"/>
        <v>0</v>
      </c>
      <c r="I1651" s="953">
        <f t="shared" si="308"/>
        <v>0</v>
      </c>
      <c r="J1651" s="953">
        <f t="shared" si="309"/>
        <v>0</v>
      </c>
      <c r="K1651" s="953" t="str">
        <f t="shared" si="310"/>
        <v/>
      </c>
      <c r="L1651" s="570" t="str">
        <f t="shared" si="311"/>
        <v/>
      </c>
      <c r="M1651" s="570" t="str">
        <f t="shared" si="312"/>
        <v/>
      </c>
    </row>
    <row r="1652" spans="1:13">
      <c r="A1652" s="570" t="str">
        <f t="shared" si="313"/>
        <v/>
      </c>
      <c r="C1652" s="953" t="str">
        <f t="shared" si="302"/>
        <v/>
      </c>
      <c r="D1652" s="953" t="str">
        <f t="shared" si="303"/>
        <v/>
      </c>
      <c r="E1652" s="953" t="str">
        <f t="shared" si="304"/>
        <v/>
      </c>
      <c r="F1652" s="953" t="str">
        <f t="shared" si="305"/>
        <v/>
      </c>
      <c r="G1652" s="953" t="str">
        <f t="shared" si="306"/>
        <v/>
      </c>
      <c r="H1652" s="953">
        <f t="shared" si="307"/>
        <v>0</v>
      </c>
      <c r="I1652" s="953">
        <f t="shared" si="308"/>
        <v>0</v>
      </c>
      <c r="J1652" s="953">
        <f t="shared" si="309"/>
        <v>0</v>
      </c>
      <c r="K1652" s="953" t="str">
        <f t="shared" si="310"/>
        <v/>
      </c>
      <c r="L1652" s="570" t="str">
        <f t="shared" si="311"/>
        <v/>
      </c>
      <c r="M1652" s="570" t="str">
        <f t="shared" si="312"/>
        <v/>
      </c>
    </row>
    <row r="1653" spans="1:13">
      <c r="A1653" s="570" t="str">
        <f t="shared" si="313"/>
        <v/>
      </c>
      <c r="C1653" s="953" t="str">
        <f t="shared" si="302"/>
        <v/>
      </c>
      <c r="D1653" s="953" t="str">
        <f t="shared" si="303"/>
        <v/>
      </c>
      <c r="E1653" s="953" t="str">
        <f t="shared" si="304"/>
        <v/>
      </c>
      <c r="F1653" s="953" t="str">
        <f t="shared" si="305"/>
        <v/>
      </c>
      <c r="G1653" s="953" t="str">
        <f t="shared" si="306"/>
        <v/>
      </c>
      <c r="H1653" s="953">
        <f t="shared" si="307"/>
        <v>0</v>
      </c>
      <c r="I1653" s="953">
        <f t="shared" si="308"/>
        <v>0</v>
      </c>
      <c r="J1653" s="953">
        <f t="shared" si="309"/>
        <v>0</v>
      </c>
      <c r="K1653" s="953" t="str">
        <f t="shared" si="310"/>
        <v/>
      </c>
      <c r="L1653" s="570" t="str">
        <f t="shared" si="311"/>
        <v/>
      </c>
      <c r="M1653" s="570" t="str">
        <f t="shared" si="312"/>
        <v/>
      </c>
    </row>
    <row r="1654" spans="1:13">
      <c r="A1654" s="570" t="str">
        <f t="shared" si="313"/>
        <v/>
      </c>
      <c r="C1654" s="953" t="str">
        <f t="shared" si="302"/>
        <v/>
      </c>
      <c r="D1654" s="953" t="str">
        <f t="shared" si="303"/>
        <v/>
      </c>
      <c r="E1654" s="953" t="str">
        <f t="shared" si="304"/>
        <v/>
      </c>
      <c r="F1654" s="953" t="str">
        <f t="shared" si="305"/>
        <v/>
      </c>
      <c r="G1654" s="953" t="str">
        <f t="shared" si="306"/>
        <v/>
      </c>
      <c r="H1654" s="953">
        <f t="shared" si="307"/>
        <v>0</v>
      </c>
      <c r="I1654" s="953">
        <f t="shared" si="308"/>
        <v>0</v>
      </c>
      <c r="J1654" s="953">
        <f t="shared" si="309"/>
        <v>0</v>
      </c>
      <c r="K1654" s="953" t="str">
        <f t="shared" si="310"/>
        <v/>
      </c>
      <c r="L1654" s="570" t="str">
        <f t="shared" si="311"/>
        <v/>
      </c>
      <c r="M1654" s="570" t="str">
        <f t="shared" si="312"/>
        <v/>
      </c>
    </row>
    <row r="1655" spans="1:13">
      <c r="A1655" s="570" t="str">
        <f t="shared" si="313"/>
        <v/>
      </c>
      <c r="C1655" s="953" t="str">
        <f t="shared" si="302"/>
        <v/>
      </c>
      <c r="D1655" s="953" t="str">
        <f t="shared" si="303"/>
        <v/>
      </c>
      <c r="E1655" s="953" t="str">
        <f t="shared" si="304"/>
        <v/>
      </c>
      <c r="F1655" s="953" t="str">
        <f t="shared" si="305"/>
        <v/>
      </c>
      <c r="G1655" s="953" t="str">
        <f t="shared" si="306"/>
        <v/>
      </c>
      <c r="H1655" s="953">
        <f t="shared" si="307"/>
        <v>0</v>
      </c>
      <c r="I1655" s="953">
        <f t="shared" si="308"/>
        <v>0</v>
      </c>
      <c r="J1655" s="953">
        <f t="shared" si="309"/>
        <v>0</v>
      </c>
      <c r="K1655" s="953" t="str">
        <f t="shared" si="310"/>
        <v/>
      </c>
      <c r="L1655" s="570" t="str">
        <f t="shared" si="311"/>
        <v/>
      </c>
      <c r="M1655" s="570" t="str">
        <f t="shared" si="312"/>
        <v/>
      </c>
    </row>
    <row r="1656" spans="1:13">
      <c r="A1656" s="570" t="str">
        <f t="shared" si="313"/>
        <v/>
      </c>
      <c r="C1656" s="953" t="str">
        <f t="shared" si="302"/>
        <v/>
      </c>
      <c r="D1656" s="953" t="str">
        <f t="shared" si="303"/>
        <v/>
      </c>
      <c r="E1656" s="953" t="str">
        <f t="shared" si="304"/>
        <v/>
      </c>
      <c r="F1656" s="953" t="str">
        <f t="shared" si="305"/>
        <v/>
      </c>
      <c r="G1656" s="953" t="str">
        <f t="shared" si="306"/>
        <v/>
      </c>
      <c r="H1656" s="953">
        <f t="shared" si="307"/>
        <v>0</v>
      </c>
      <c r="I1656" s="953">
        <f t="shared" si="308"/>
        <v>0</v>
      </c>
      <c r="J1656" s="953">
        <f t="shared" si="309"/>
        <v>0</v>
      </c>
      <c r="K1656" s="953" t="str">
        <f t="shared" si="310"/>
        <v/>
      </c>
      <c r="L1656" s="570" t="str">
        <f t="shared" si="311"/>
        <v/>
      </c>
      <c r="M1656" s="570" t="str">
        <f t="shared" si="312"/>
        <v/>
      </c>
    </row>
    <row r="1657" spans="1:13">
      <c r="A1657" s="570" t="str">
        <f t="shared" si="313"/>
        <v/>
      </c>
      <c r="C1657" s="953" t="str">
        <f t="shared" si="302"/>
        <v/>
      </c>
      <c r="D1657" s="953" t="str">
        <f t="shared" si="303"/>
        <v/>
      </c>
      <c r="E1657" s="953" t="str">
        <f t="shared" si="304"/>
        <v/>
      </c>
      <c r="F1657" s="953" t="str">
        <f t="shared" si="305"/>
        <v/>
      </c>
      <c r="G1657" s="953" t="str">
        <f t="shared" si="306"/>
        <v/>
      </c>
      <c r="H1657" s="953">
        <f t="shared" si="307"/>
        <v>0</v>
      </c>
      <c r="I1657" s="953">
        <f t="shared" si="308"/>
        <v>0</v>
      </c>
      <c r="J1657" s="953">
        <f t="shared" si="309"/>
        <v>0</v>
      </c>
      <c r="K1657" s="953" t="str">
        <f t="shared" si="310"/>
        <v/>
      </c>
      <c r="L1657" s="570" t="str">
        <f t="shared" si="311"/>
        <v/>
      </c>
      <c r="M1657" s="570" t="str">
        <f t="shared" si="312"/>
        <v/>
      </c>
    </row>
    <row r="1658" spans="1:13">
      <c r="A1658" s="570" t="str">
        <f t="shared" si="313"/>
        <v/>
      </c>
      <c r="C1658" s="953" t="str">
        <f t="shared" si="302"/>
        <v/>
      </c>
      <c r="D1658" s="953" t="str">
        <f t="shared" si="303"/>
        <v/>
      </c>
      <c r="E1658" s="953" t="str">
        <f t="shared" si="304"/>
        <v/>
      </c>
      <c r="F1658" s="953" t="str">
        <f t="shared" si="305"/>
        <v/>
      </c>
      <c r="G1658" s="953" t="str">
        <f t="shared" si="306"/>
        <v/>
      </c>
      <c r="H1658" s="953">
        <f t="shared" si="307"/>
        <v>0</v>
      </c>
      <c r="I1658" s="953">
        <f t="shared" si="308"/>
        <v>0</v>
      </c>
      <c r="J1658" s="953">
        <f t="shared" si="309"/>
        <v>0</v>
      </c>
      <c r="K1658" s="953" t="str">
        <f t="shared" si="310"/>
        <v/>
      </c>
      <c r="L1658" s="570" t="str">
        <f t="shared" si="311"/>
        <v/>
      </c>
      <c r="M1658" s="570" t="str">
        <f t="shared" si="312"/>
        <v/>
      </c>
    </row>
    <row r="1659" spans="1:13">
      <c r="A1659" s="570" t="str">
        <f t="shared" si="313"/>
        <v/>
      </c>
      <c r="C1659" s="953" t="str">
        <f t="shared" si="302"/>
        <v/>
      </c>
      <c r="D1659" s="953" t="str">
        <f t="shared" si="303"/>
        <v/>
      </c>
      <c r="E1659" s="953" t="str">
        <f t="shared" si="304"/>
        <v/>
      </c>
      <c r="F1659" s="953" t="str">
        <f t="shared" si="305"/>
        <v/>
      </c>
      <c r="G1659" s="953" t="str">
        <f t="shared" si="306"/>
        <v/>
      </c>
      <c r="H1659" s="953">
        <f t="shared" si="307"/>
        <v>0</v>
      </c>
      <c r="I1659" s="953">
        <f t="shared" si="308"/>
        <v>0</v>
      </c>
      <c r="J1659" s="953">
        <f t="shared" si="309"/>
        <v>0</v>
      </c>
      <c r="K1659" s="953" t="str">
        <f t="shared" si="310"/>
        <v/>
      </c>
      <c r="L1659" s="570" t="str">
        <f t="shared" si="311"/>
        <v/>
      </c>
      <c r="M1659" s="570" t="str">
        <f t="shared" si="312"/>
        <v/>
      </c>
    </row>
    <row r="1660" spans="1:13">
      <c r="A1660" s="570" t="str">
        <f t="shared" si="313"/>
        <v/>
      </c>
      <c r="C1660" s="953" t="str">
        <f t="shared" si="302"/>
        <v/>
      </c>
      <c r="D1660" s="953" t="str">
        <f t="shared" si="303"/>
        <v/>
      </c>
      <c r="E1660" s="953" t="str">
        <f t="shared" si="304"/>
        <v/>
      </c>
      <c r="F1660" s="953" t="str">
        <f t="shared" si="305"/>
        <v/>
      </c>
      <c r="G1660" s="953" t="str">
        <f t="shared" si="306"/>
        <v/>
      </c>
      <c r="H1660" s="953">
        <f t="shared" si="307"/>
        <v>0</v>
      </c>
      <c r="I1660" s="953">
        <f t="shared" si="308"/>
        <v>0</v>
      </c>
      <c r="J1660" s="953">
        <f t="shared" si="309"/>
        <v>0</v>
      </c>
      <c r="K1660" s="953" t="str">
        <f t="shared" si="310"/>
        <v/>
      </c>
      <c r="L1660" s="570" t="str">
        <f t="shared" si="311"/>
        <v/>
      </c>
      <c r="M1660" s="570" t="str">
        <f t="shared" si="312"/>
        <v/>
      </c>
    </row>
    <row r="1661" spans="1:13">
      <c r="A1661" s="570" t="str">
        <f t="shared" si="313"/>
        <v/>
      </c>
      <c r="C1661" s="953" t="str">
        <f t="shared" si="302"/>
        <v/>
      </c>
      <c r="D1661" s="953" t="str">
        <f t="shared" si="303"/>
        <v/>
      </c>
      <c r="E1661" s="953" t="str">
        <f t="shared" si="304"/>
        <v/>
      </c>
      <c r="F1661" s="953" t="str">
        <f t="shared" si="305"/>
        <v/>
      </c>
      <c r="G1661" s="953" t="str">
        <f t="shared" si="306"/>
        <v/>
      </c>
      <c r="H1661" s="953">
        <f t="shared" si="307"/>
        <v>0</v>
      </c>
      <c r="I1661" s="953">
        <f t="shared" si="308"/>
        <v>0</v>
      </c>
      <c r="J1661" s="953">
        <f t="shared" si="309"/>
        <v>0</v>
      </c>
      <c r="K1661" s="953" t="str">
        <f t="shared" si="310"/>
        <v/>
      </c>
      <c r="L1661" s="570" t="str">
        <f t="shared" si="311"/>
        <v/>
      </c>
      <c r="M1661" s="570" t="str">
        <f t="shared" si="312"/>
        <v/>
      </c>
    </row>
    <row r="1662" spans="1:13">
      <c r="A1662" s="570" t="str">
        <f t="shared" si="313"/>
        <v/>
      </c>
      <c r="C1662" s="953" t="str">
        <f t="shared" si="302"/>
        <v/>
      </c>
      <c r="D1662" s="953" t="str">
        <f t="shared" si="303"/>
        <v/>
      </c>
      <c r="E1662" s="953" t="str">
        <f t="shared" si="304"/>
        <v/>
      </c>
      <c r="F1662" s="953" t="str">
        <f t="shared" si="305"/>
        <v/>
      </c>
      <c r="G1662" s="953" t="str">
        <f t="shared" si="306"/>
        <v/>
      </c>
      <c r="H1662" s="953">
        <f t="shared" si="307"/>
        <v>0</v>
      </c>
      <c r="I1662" s="953">
        <f t="shared" si="308"/>
        <v>0</v>
      </c>
      <c r="J1662" s="953">
        <f t="shared" si="309"/>
        <v>0</v>
      </c>
      <c r="K1662" s="953" t="str">
        <f t="shared" si="310"/>
        <v/>
      </c>
      <c r="L1662" s="570" t="str">
        <f t="shared" si="311"/>
        <v/>
      </c>
      <c r="M1662" s="570" t="str">
        <f t="shared" si="312"/>
        <v/>
      </c>
    </row>
    <row r="1663" spans="1:13">
      <c r="A1663" s="570" t="str">
        <f t="shared" si="313"/>
        <v/>
      </c>
      <c r="C1663" s="953" t="str">
        <f t="shared" si="302"/>
        <v/>
      </c>
      <c r="D1663" s="953" t="str">
        <f t="shared" si="303"/>
        <v/>
      </c>
      <c r="E1663" s="953" t="str">
        <f t="shared" si="304"/>
        <v/>
      </c>
      <c r="F1663" s="953" t="str">
        <f t="shared" si="305"/>
        <v/>
      </c>
      <c r="G1663" s="953" t="str">
        <f t="shared" si="306"/>
        <v/>
      </c>
      <c r="H1663" s="953">
        <f t="shared" si="307"/>
        <v>0</v>
      </c>
      <c r="I1663" s="953">
        <f t="shared" si="308"/>
        <v>0</v>
      </c>
      <c r="J1663" s="953">
        <f t="shared" si="309"/>
        <v>0</v>
      </c>
      <c r="K1663" s="953" t="str">
        <f t="shared" si="310"/>
        <v/>
      </c>
      <c r="L1663" s="570" t="str">
        <f t="shared" si="311"/>
        <v/>
      </c>
      <c r="M1663" s="570" t="str">
        <f t="shared" si="312"/>
        <v/>
      </c>
    </row>
    <row r="1664" spans="1:13">
      <c r="A1664" s="570" t="str">
        <f t="shared" si="313"/>
        <v/>
      </c>
      <c r="C1664" s="953" t="str">
        <f t="shared" si="302"/>
        <v/>
      </c>
      <c r="D1664" s="953" t="str">
        <f t="shared" si="303"/>
        <v/>
      </c>
      <c r="E1664" s="953" t="str">
        <f t="shared" si="304"/>
        <v/>
      </c>
      <c r="F1664" s="953" t="str">
        <f t="shared" si="305"/>
        <v/>
      </c>
      <c r="G1664" s="953" t="str">
        <f t="shared" si="306"/>
        <v/>
      </c>
      <c r="H1664" s="953">
        <f t="shared" si="307"/>
        <v>0</v>
      </c>
      <c r="I1664" s="953">
        <f t="shared" si="308"/>
        <v>0</v>
      </c>
      <c r="J1664" s="953">
        <f t="shared" si="309"/>
        <v>0</v>
      </c>
      <c r="K1664" s="953" t="str">
        <f t="shared" si="310"/>
        <v/>
      </c>
      <c r="L1664" s="570" t="str">
        <f t="shared" si="311"/>
        <v/>
      </c>
      <c r="M1664" s="570" t="str">
        <f t="shared" si="312"/>
        <v/>
      </c>
    </row>
    <row r="1665" spans="1:13">
      <c r="A1665" s="570" t="str">
        <f t="shared" si="313"/>
        <v/>
      </c>
      <c r="C1665" s="953" t="str">
        <f t="shared" si="302"/>
        <v/>
      </c>
      <c r="D1665" s="953" t="str">
        <f t="shared" si="303"/>
        <v/>
      </c>
      <c r="E1665" s="953" t="str">
        <f t="shared" si="304"/>
        <v/>
      </c>
      <c r="F1665" s="953" t="str">
        <f t="shared" si="305"/>
        <v/>
      </c>
      <c r="G1665" s="953" t="str">
        <f t="shared" si="306"/>
        <v/>
      </c>
      <c r="H1665" s="953">
        <f t="shared" si="307"/>
        <v>0</v>
      </c>
      <c r="I1665" s="953">
        <f t="shared" si="308"/>
        <v>0</v>
      </c>
      <c r="J1665" s="953">
        <f t="shared" si="309"/>
        <v>0</v>
      </c>
      <c r="K1665" s="953" t="str">
        <f t="shared" si="310"/>
        <v/>
      </c>
      <c r="L1665" s="570" t="str">
        <f t="shared" si="311"/>
        <v/>
      </c>
      <c r="M1665" s="570" t="str">
        <f t="shared" si="312"/>
        <v/>
      </c>
    </row>
    <row r="1666" spans="1:13">
      <c r="A1666" s="570" t="str">
        <f t="shared" si="313"/>
        <v/>
      </c>
      <c r="C1666" s="953" t="str">
        <f t="shared" ref="C1666:C1729" si="314">IF(Etabs="Etabs 9.7.4",IF(INDEX(Mode_1,ROW($E1666),COLUMN(A$1))&lt;&gt;"",INDEX(Mode_1,ROW($E1666),COLUMN(A$1)),""),IF(Etabs="Etabs 2013 trở lên",IF(INDEX(Mode_2,ROW($E1668),COLUMN(A$1))&lt;&gt;"",INDEX(Mode_2,ROW($E1668),COLUMN(A$1)),""),""))</f>
        <v/>
      </c>
      <c r="D1666" s="953" t="str">
        <f t="shared" ref="D1666:D1729" si="315">IF(Etabs="Etabs 9.7.4",IF(INDEX(Mode_1,ROW($E1666),COLUMN(B$1))&lt;&gt;"",INDEX(Mode_1,ROW($E1666),COLUMN(B$1)),""),IF(Etabs="Etabs 2013 trở lên",IF(INDEX(Mode_2,ROW($E1668),COLUMN(B$1))&lt;&gt;"",INDEX(Mode_2,ROW($E1668),COLUMN(B$1)),""),""))</f>
        <v/>
      </c>
      <c r="E1666" s="953" t="str">
        <f t="shared" ref="E1666:E1729" si="316">IF(Etabs="Etabs 9.7.4",IF(INDEX(Mode_1,ROW($E1666),COLUMN(C$1))&lt;&gt;"",INDEX(Mode_1,ROW($E1666),COLUMN(C$1)),""),IF(Etabs="Etabs 2013 trở lên",$M1666,""))</f>
        <v/>
      </c>
      <c r="F1666" s="953" t="str">
        <f t="shared" ref="F1666:F1729" si="317">IF(Etabs="Etabs 9.7.4",IF(INDEX(Mode_1,ROW($E1666),COLUMN(D$1))&lt;&gt;"",INDEX(Mode_1,ROW($E1666),COLUMN(D$1)),""),IF(Etabs="Etabs 2013 trở lên",IF(INDEX(Mode_2,ROW($E1668),COLUMN(D$1))&lt;&gt;"",INDEX(Mode_2,ROW($E1668),COLUMN(D$1)),""),""))</f>
        <v/>
      </c>
      <c r="G1666" s="953" t="str">
        <f t="shared" ref="G1666:G1729" si="318">IF(Etabs="Etabs 9.7.4",IF(INDEX(Mode_1,ROW($E1666),COLUMN(E$1))&lt;&gt;"",INDEX(Mode_1,ROW($E1666),COLUMN(E$1)),""),IF(Etabs="Etabs 2013 trở lên",IF(INDEX(Mode_2,ROW($E1668),COLUMN(E$1))&lt;&gt;"",INDEX(Mode_2,ROW($E1668),COLUMN(E$1)),""),""))</f>
        <v/>
      </c>
      <c r="H1666" s="953">
        <f t="shared" ref="H1666:H1729" si="319">IF(Etabs="Etabs 9.7.4",IF(INDEX(Mode_1,ROW($E1666),COLUMN(F$1))&lt;&gt;"",INDEX(Mode_1,ROW($E1666),COLUMN(F$1)),""),IF(Etabs="Etabs 2013 trở lên",0,""))</f>
        <v>0</v>
      </c>
      <c r="I1666" s="953">
        <f t="shared" ref="I1666:I1729" si="320">IF(Etabs="Etabs 9.7.4",IF(INDEX(Mode_1,ROW($E1666),COLUMN(G$1))&lt;&gt;"",INDEX(Mode_1,ROW($E1666),COLUMN(G$1)),""),IF(Etabs="Etabs 2013 trở lên",0,""))</f>
        <v>0</v>
      </c>
      <c r="J1666" s="953">
        <f t="shared" ref="J1666:J1729" si="321">IF(Etabs="Etabs 9.7.4",IF(INDEX(Mode_1,ROW($E1666),COLUMN(H$1))&lt;&gt;"",INDEX(Mode_1,ROW($E1666),COLUMN(H$1)),""),IF(Etabs="Etabs 2013 trở lên",0,""))</f>
        <v>0</v>
      </c>
      <c r="K1666" s="953" t="str">
        <f t="shared" ref="K1666:K1729" si="322">IF(Etabs="Etabs 9.7.4",IF(INDEX(Mode_1,ROW($E1666),COLUMN(I$1))&lt;&gt;"",INDEX(Mode_1,ROW($E1666),COLUMN(I$1)),""),IF(Etabs="Etabs 2013 trở lên",IF(INDEX(Mode_2,ROW($E1668),COLUMN(F$1))&lt;&gt;"",INDEX(Mode_2,ROW($E1668),COLUMN(F$1)),""),""))</f>
        <v/>
      </c>
      <c r="L1666" s="570" t="str">
        <f t="shared" ref="L1666:L1729" si="323">IF(Etabs="Etabs 9.7.4",IF(INDEX(Mode_1,ROW($E1666),COLUMN(C$1))&lt;&gt;"",INDEX(Mode_1,ROW($E1666),COLUMN(C$1)),""),IF(Etabs="Etabs 2013 trở lên",IF(INDEX(Mode_2,ROW($E1668),COLUMN(C$1))&lt;&gt;"",INDEX(Mode_2,ROW($E1668),COLUMN(C$1)),""),""))</f>
        <v/>
      </c>
      <c r="M1666" s="570" t="str">
        <f t="shared" si="312"/>
        <v/>
      </c>
    </row>
    <row r="1667" spans="1:13">
      <c r="A1667" s="570" t="str">
        <f t="shared" si="313"/>
        <v/>
      </c>
      <c r="C1667" s="953" t="str">
        <f t="shared" si="314"/>
        <v/>
      </c>
      <c r="D1667" s="953" t="str">
        <f t="shared" si="315"/>
        <v/>
      </c>
      <c r="E1667" s="953" t="str">
        <f t="shared" si="316"/>
        <v/>
      </c>
      <c r="F1667" s="953" t="str">
        <f t="shared" si="317"/>
        <v/>
      </c>
      <c r="G1667" s="953" t="str">
        <f t="shared" si="318"/>
        <v/>
      </c>
      <c r="H1667" s="953">
        <f t="shared" si="319"/>
        <v>0</v>
      </c>
      <c r="I1667" s="953">
        <f t="shared" si="320"/>
        <v>0</v>
      </c>
      <c r="J1667" s="953">
        <f t="shared" si="321"/>
        <v>0</v>
      </c>
      <c r="K1667" s="953" t="str">
        <f t="shared" si="322"/>
        <v/>
      </c>
      <c r="L1667" s="570" t="str">
        <f t="shared" si="323"/>
        <v/>
      </c>
      <c r="M1667" s="570" t="str">
        <f t="shared" ref="M1667:M1730" si="324">IFERROR(VALUE(RIGHT(L1667,LEN(L1667)-6)),"")</f>
        <v/>
      </c>
    </row>
    <row r="1668" spans="1:13">
      <c r="A1668" s="570" t="str">
        <f t="shared" si="313"/>
        <v/>
      </c>
      <c r="C1668" s="953" t="str">
        <f t="shared" si="314"/>
        <v/>
      </c>
      <c r="D1668" s="953" t="str">
        <f t="shared" si="315"/>
        <v/>
      </c>
      <c r="E1668" s="953" t="str">
        <f t="shared" si="316"/>
        <v/>
      </c>
      <c r="F1668" s="953" t="str">
        <f t="shared" si="317"/>
        <v/>
      </c>
      <c r="G1668" s="953" t="str">
        <f t="shared" si="318"/>
        <v/>
      </c>
      <c r="H1668" s="953">
        <f t="shared" si="319"/>
        <v>0</v>
      </c>
      <c r="I1668" s="953">
        <f t="shared" si="320"/>
        <v>0</v>
      </c>
      <c r="J1668" s="953">
        <f t="shared" si="321"/>
        <v>0</v>
      </c>
      <c r="K1668" s="953" t="str">
        <f t="shared" si="322"/>
        <v/>
      </c>
      <c r="L1668" s="570" t="str">
        <f t="shared" si="323"/>
        <v/>
      </c>
      <c r="M1668" s="570" t="str">
        <f t="shared" si="324"/>
        <v/>
      </c>
    </row>
    <row r="1669" spans="1:13">
      <c r="A1669" s="570" t="str">
        <f t="shared" si="313"/>
        <v/>
      </c>
      <c r="C1669" s="953" t="str">
        <f t="shared" si="314"/>
        <v/>
      </c>
      <c r="D1669" s="953" t="str">
        <f t="shared" si="315"/>
        <v/>
      </c>
      <c r="E1669" s="953" t="str">
        <f t="shared" si="316"/>
        <v/>
      </c>
      <c r="F1669" s="953" t="str">
        <f t="shared" si="317"/>
        <v/>
      </c>
      <c r="G1669" s="953" t="str">
        <f t="shared" si="318"/>
        <v/>
      </c>
      <c r="H1669" s="953">
        <f t="shared" si="319"/>
        <v>0</v>
      </c>
      <c r="I1669" s="953">
        <f t="shared" si="320"/>
        <v>0</v>
      </c>
      <c r="J1669" s="953">
        <f t="shared" si="321"/>
        <v>0</v>
      </c>
      <c r="K1669" s="953" t="str">
        <f t="shared" si="322"/>
        <v/>
      </c>
      <c r="L1669" s="570" t="str">
        <f t="shared" si="323"/>
        <v/>
      </c>
      <c r="M1669" s="570" t="str">
        <f t="shared" si="324"/>
        <v/>
      </c>
    </row>
    <row r="1670" spans="1:13">
      <c r="A1670" s="570" t="str">
        <f t="shared" ref="A1670:A1733" si="325">C1670&amp;E1670</f>
        <v/>
      </c>
      <c r="C1670" s="953" t="str">
        <f t="shared" si="314"/>
        <v/>
      </c>
      <c r="D1670" s="953" t="str">
        <f t="shared" si="315"/>
        <v/>
      </c>
      <c r="E1670" s="953" t="str">
        <f t="shared" si="316"/>
        <v/>
      </c>
      <c r="F1670" s="953" t="str">
        <f t="shared" si="317"/>
        <v/>
      </c>
      <c r="G1670" s="953" t="str">
        <f t="shared" si="318"/>
        <v/>
      </c>
      <c r="H1670" s="953">
        <f t="shared" si="319"/>
        <v>0</v>
      </c>
      <c r="I1670" s="953">
        <f t="shared" si="320"/>
        <v>0</v>
      </c>
      <c r="J1670" s="953">
        <f t="shared" si="321"/>
        <v>0</v>
      </c>
      <c r="K1670" s="953" t="str">
        <f t="shared" si="322"/>
        <v/>
      </c>
      <c r="L1670" s="570" t="str">
        <f t="shared" si="323"/>
        <v/>
      </c>
      <c r="M1670" s="570" t="str">
        <f t="shared" si="324"/>
        <v/>
      </c>
    </row>
    <row r="1671" spans="1:13">
      <c r="A1671" s="570" t="str">
        <f t="shared" si="325"/>
        <v/>
      </c>
      <c r="C1671" s="953" t="str">
        <f t="shared" si="314"/>
        <v/>
      </c>
      <c r="D1671" s="953" t="str">
        <f t="shared" si="315"/>
        <v/>
      </c>
      <c r="E1671" s="953" t="str">
        <f t="shared" si="316"/>
        <v/>
      </c>
      <c r="F1671" s="953" t="str">
        <f t="shared" si="317"/>
        <v/>
      </c>
      <c r="G1671" s="953" t="str">
        <f t="shared" si="318"/>
        <v/>
      </c>
      <c r="H1671" s="953">
        <f t="shared" si="319"/>
        <v>0</v>
      </c>
      <c r="I1671" s="953">
        <f t="shared" si="320"/>
        <v>0</v>
      </c>
      <c r="J1671" s="953">
        <f t="shared" si="321"/>
        <v>0</v>
      </c>
      <c r="K1671" s="953" t="str">
        <f t="shared" si="322"/>
        <v/>
      </c>
      <c r="L1671" s="570" t="str">
        <f t="shared" si="323"/>
        <v/>
      </c>
      <c r="M1671" s="570" t="str">
        <f t="shared" si="324"/>
        <v/>
      </c>
    </row>
    <row r="1672" spans="1:13">
      <c r="A1672" s="570" t="str">
        <f t="shared" si="325"/>
        <v/>
      </c>
      <c r="C1672" s="953" t="str">
        <f t="shared" si="314"/>
        <v/>
      </c>
      <c r="D1672" s="953" t="str">
        <f t="shared" si="315"/>
        <v/>
      </c>
      <c r="E1672" s="953" t="str">
        <f t="shared" si="316"/>
        <v/>
      </c>
      <c r="F1672" s="953" t="str">
        <f t="shared" si="317"/>
        <v/>
      </c>
      <c r="G1672" s="953" t="str">
        <f t="shared" si="318"/>
        <v/>
      </c>
      <c r="H1672" s="953">
        <f t="shared" si="319"/>
        <v>0</v>
      </c>
      <c r="I1672" s="953">
        <f t="shared" si="320"/>
        <v>0</v>
      </c>
      <c r="J1672" s="953">
        <f t="shared" si="321"/>
        <v>0</v>
      </c>
      <c r="K1672" s="953" t="str">
        <f t="shared" si="322"/>
        <v/>
      </c>
      <c r="L1672" s="570" t="str">
        <f t="shared" si="323"/>
        <v/>
      </c>
      <c r="M1672" s="570" t="str">
        <f t="shared" si="324"/>
        <v/>
      </c>
    </row>
    <row r="1673" spans="1:13">
      <c r="A1673" s="570" t="str">
        <f t="shared" si="325"/>
        <v/>
      </c>
      <c r="C1673" s="953" t="str">
        <f t="shared" si="314"/>
        <v/>
      </c>
      <c r="D1673" s="953" t="str">
        <f t="shared" si="315"/>
        <v/>
      </c>
      <c r="E1673" s="953" t="str">
        <f t="shared" si="316"/>
        <v/>
      </c>
      <c r="F1673" s="953" t="str">
        <f t="shared" si="317"/>
        <v/>
      </c>
      <c r="G1673" s="953" t="str">
        <f t="shared" si="318"/>
        <v/>
      </c>
      <c r="H1673" s="953">
        <f t="shared" si="319"/>
        <v>0</v>
      </c>
      <c r="I1673" s="953">
        <f t="shared" si="320"/>
        <v>0</v>
      </c>
      <c r="J1673" s="953">
        <f t="shared" si="321"/>
        <v>0</v>
      </c>
      <c r="K1673" s="953" t="str">
        <f t="shared" si="322"/>
        <v/>
      </c>
      <c r="L1673" s="570" t="str">
        <f t="shared" si="323"/>
        <v/>
      </c>
      <c r="M1673" s="570" t="str">
        <f t="shared" si="324"/>
        <v/>
      </c>
    </row>
    <row r="1674" spans="1:13">
      <c r="A1674" s="570" t="str">
        <f t="shared" si="325"/>
        <v/>
      </c>
      <c r="C1674" s="953" t="str">
        <f t="shared" si="314"/>
        <v/>
      </c>
      <c r="D1674" s="953" t="str">
        <f t="shared" si="315"/>
        <v/>
      </c>
      <c r="E1674" s="953" t="str">
        <f t="shared" si="316"/>
        <v/>
      </c>
      <c r="F1674" s="953" t="str">
        <f t="shared" si="317"/>
        <v/>
      </c>
      <c r="G1674" s="953" t="str">
        <f t="shared" si="318"/>
        <v/>
      </c>
      <c r="H1674" s="953">
        <f t="shared" si="319"/>
        <v>0</v>
      </c>
      <c r="I1674" s="953">
        <f t="shared" si="320"/>
        <v>0</v>
      </c>
      <c r="J1674" s="953">
        <f t="shared" si="321"/>
        <v>0</v>
      </c>
      <c r="K1674" s="953" t="str">
        <f t="shared" si="322"/>
        <v/>
      </c>
      <c r="L1674" s="570" t="str">
        <f t="shared" si="323"/>
        <v/>
      </c>
      <c r="M1674" s="570" t="str">
        <f t="shared" si="324"/>
        <v/>
      </c>
    </row>
    <row r="1675" spans="1:13">
      <c r="A1675" s="570" t="str">
        <f t="shared" si="325"/>
        <v/>
      </c>
      <c r="C1675" s="953" t="str">
        <f t="shared" si="314"/>
        <v/>
      </c>
      <c r="D1675" s="953" t="str">
        <f t="shared" si="315"/>
        <v/>
      </c>
      <c r="E1675" s="953" t="str">
        <f t="shared" si="316"/>
        <v/>
      </c>
      <c r="F1675" s="953" t="str">
        <f t="shared" si="317"/>
        <v/>
      </c>
      <c r="G1675" s="953" t="str">
        <f t="shared" si="318"/>
        <v/>
      </c>
      <c r="H1675" s="953">
        <f t="shared" si="319"/>
        <v>0</v>
      </c>
      <c r="I1675" s="953">
        <f t="shared" si="320"/>
        <v>0</v>
      </c>
      <c r="J1675" s="953">
        <f t="shared" si="321"/>
        <v>0</v>
      </c>
      <c r="K1675" s="953" t="str">
        <f t="shared" si="322"/>
        <v/>
      </c>
      <c r="L1675" s="570" t="str">
        <f t="shared" si="323"/>
        <v/>
      </c>
      <c r="M1675" s="570" t="str">
        <f t="shared" si="324"/>
        <v/>
      </c>
    </row>
    <row r="1676" spans="1:13">
      <c r="A1676" s="570" t="str">
        <f t="shared" si="325"/>
        <v/>
      </c>
      <c r="C1676" s="953" t="str">
        <f t="shared" si="314"/>
        <v/>
      </c>
      <c r="D1676" s="953" t="str">
        <f t="shared" si="315"/>
        <v/>
      </c>
      <c r="E1676" s="953" t="str">
        <f t="shared" si="316"/>
        <v/>
      </c>
      <c r="F1676" s="953" t="str">
        <f t="shared" si="317"/>
        <v/>
      </c>
      <c r="G1676" s="953" t="str">
        <f t="shared" si="318"/>
        <v/>
      </c>
      <c r="H1676" s="953">
        <f t="shared" si="319"/>
        <v>0</v>
      </c>
      <c r="I1676" s="953">
        <f t="shared" si="320"/>
        <v>0</v>
      </c>
      <c r="J1676" s="953">
        <f t="shared" si="321"/>
        <v>0</v>
      </c>
      <c r="K1676" s="953" t="str">
        <f t="shared" si="322"/>
        <v/>
      </c>
      <c r="L1676" s="570" t="str">
        <f t="shared" si="323"/>
        <v/>
      </c>
      <c r="M1676" s="570" t="str">
        <f t="shared" si="324"/>
        <v/>
      </c>
    </row>
    <row r="1677" spans="1:13">
      <c r="A1677" s="570" t="str">
        <f t="shared" si="325"/>
        <v/>
      </c>
      <c r="C1677" s="953" t="str">
        <f t="shared" si="314"/>
        <v/>
      </c>
      <c r="D1677" s="953" t="str">
        <f t="shared" si="315"/>
        <v/>
      </c>
      <c r="E1677" s="953" t="str">
        <f t="shared" si="316"/>
        <v/>
      </c>
      <c r="F1677" s="953" t="str">
        <f t="shared" si="317"/>
        <v/>
      </c>
      <c r="G1677" s="953" t="str">
        <f t="shared" si="318"/>
        <v/>
      </c>
      <c r="H1677" s="953">
        <f t="shared" si="319"/>
        <v>0</v>
      </c>
      <c r="I1677" s="953">
        <f t="shared" si="320"/>
        <v>0</v>
      </c>
      <c r="J1677" s="953">
        <f t="shared" si="321"/>
        <v>0</v>
      </c>
      <c r="K1677" s="953" t="str">
        <f t="shared" si="322"/>
        <v/>
      </c>
      <c r="L1677" s="570" t="str">
        <f t="shared" si="323"/>
        <v/>
      </c>
      <c r="M1677" s="570" t="str">
        <f t="shared" si="324"/>
        <v/>
      </c>
    </row>
    <row r="1678" spans="1:13">
      <c r="A1678" s="570" t="str">
        <f t="shared" si="325"/>
        <v/>
      </c>
      <c r="C1678" s="953" t="str">
        <f t="shared" si="314"/>
        <v/>
      </c>
      <c r="D1678" s="953" t="str">
        <f t="shared" si="315"/>
        <v/>
      </c>
      <c r="E1678" s="953" t="str">
        <f t="shared" si="316"/>
        <v/>
      </c>
      <c r="F1678" s="953" t="str">
        <f t="shared" si="317"/>
        <v/>
      </c>
      <c r="G1678" s="953" t="str">
        <f t="shared" si="318"/>
        <v/>
      </c>
      <c r="H1678" s="953">
        <f t="shared" si="319"/>
        <v>0</v>
      </c>
      <c r="I1678" s="953">
        <f t="shared" si="320"/>
        <v>0</v>
      </c>
      <c r="J1678" s="953">
        <f t="shared" si="321"/>
        <v>0</v>
      </c>
      <c r="K1678" s="953" t="str">
        <f t="shared" si="322"/>
        <v/>
      </c>
      <c r="L1678" s="570" t="str">
        <f t="shared" si="323"/>
        <v/>
      </c>
      <c r="M1678" s="570" t="str">
        <f t="shared" si="324"/>
        <v/>
      </c>
    </row>
    <row r="1679" spans="1:13">
      <c r="A1679" s="570" t="str">
        <f t="shared" si="325"/>
        <v/>
      </c>
      <c r="C1679" s="953" t="str">
        <f t="shared" si="314"/>
        <v/>
      </c>
      <c r="D1679" s="953" t="str">
        <f t="shared" si="315"/>
        <v/>
      </c>
      <c r="E1679" s="953" t="str">
        <f t="shared" si="316"/>
        <v/>
      </c>
      <c r="F1679" s="953" t="str">
        <f t="shared" si="317"/>
        <v/>
      </c>
      <c r="G1679" s="953" t="str">
        <f t="shared" si="318"/>
        <v/>
      </c>
      <c r="H1679" s="953">
        <f t="shared" si="319"/>
        <v>0</v>
      </c>
      <c r="I1679" s="953">
        <f t="shared" si="320"/>
        <v>0</v>
      </c>
      <c r="J1679" s="953">
        <f t="shared" si="321"/>
        <v>0</v>
      </c>
      <c r="K1679" s="953" t="str">
        <f t="shared" si="322"/>
        <v/>
      </c>
      <c r="L1679" s="570" t="str">
        <f t="shared" si="323"/>
        <v/>
      </c>
      <c r="M1679" s="570" t="str">
        <f t="shared" si="324"/>
        <v/>
      </c>
    </row>
    <row r="1680" spans="1:13">
      <c r="A1680" s="570" t="str">
        <f t="shared" si="325"/>
        <v/>
      </c>
      <c r="C1680" s="953" t="str">
        <f t="shared" si="314"/>
        <v/>
      </c>
      <c r="D1680" s="953" t="str">
        <f t="shared" si="315"/>
        <v/>
      </c>
      <c r="E1680" s="953" t="str">
        <f t="shared" si="316"/>
        <v/>
      </c>
      <c r="F1680" s="953" t="str">
        <f t="shared" si="317"/>
        <v/>
      </c>
      <c r="G1680" s="953" t="str">
        <f t="shared" si="318"/>
        <v/>
      </c>
      <c r="H1680" s="953">
        <f t="shared" si="319"/>
        <v>0</v>
      </c>
      <c r="I1680" s="953">
        <f t="shared" si="320"/>
        <v>0</v>
      </c>
      <c r="J1680" s="953">
        <f t="shared" si="321"/>
        <v>0</v>
      </c>
      <c r="K1680" s="953" t="str">
        <f t="shared" si="322"/>
        <v/>
      </c>
      <c r="L1680" s="570" t="str">
        <f t="shared" si="323"/>
        <v/>
      </c>
      <c r="M1680" s="570" t="str">
        <f t="shared" si="324"/>
        <v/>
      </c>
    </row>
    <row r="1681" spans="1:13">
      <c r="A1681" s="570" t="str">
        <f t="shared" si="325"/>
        <v/>
      </c>
      <c r="C1681" s="953" t="str">
        <f t="shared" si="314"/>
        <v/>
      </c>
      <c r="D1681" s="953" t="str">
        <f t="shared" si="315"/>
        <v/>
      </c>
      <c r="E1681" s="953" t="str">
        <f t="shared" si="316"/>
        <v/>
      </c>
      <c r="F1681" s="953" t="str">
        <f t="shared" si="317"/>
        <v/>
      </c>
      <c r="G1681" s="953" t="str">
        <f t="shared" si="318"/>
        <v/>
      </c>
      <c r="H1681" s="953">
        <f t="shared" si="319"/>
        <v>0</v>
      </c>
      <c r="I1681" s="953">
        <f t="shared" si="320"/>
        <v>0</v>
      </c>
      <c r="J1681" s="953">
        <f t="shared" si="321"/>
        <v>0</v>
      </c>
      <c r="K1681" s="953" t="str">
        <f t="shared" si="322"/>
        <v/>
      </c>
      <c r="L1681" s="570" t="str">
        <f t="shared" si="323"/>
        <v/>
      </c>
      <c r="M1681" s="570" t="str">
        <f t="shared" si="324"/>
        <v/>
      </c>
    </row>
    <row r="1682" spans="1:13">
      <c r="A1682" s="570" t="str">
        <f t="shared" si="325"/>
        <v/>
      </c>
      <c r="C1682" s="953" t="str">
        <f t="shared" si="314"/>
        <v/>
      </c>
      <c r="D1682" s="953" t="str">
        <f t="shared" si="315"/>
        <v/>
      </c>
      <c r="E1682" s="953" t="str">
        <f t="shared" si="316"/>
        <v/>
      </c>
      <c r="F1682" s="953" t="str">
        <f t="shared" si="317"/>
        <v/>
      </c>
      <c r="G1682" s="953" t="str">
        <f t="shared" si="318"/>
        <v/>
      </c>
      <c r="H1682" s="953">
        <f t="shared" si="319"/>
        <v>0</v>
      </c>
      <c r="I1682" s="953">
        <f t="shared" si="320"/>
        <v>0</v>
      </c>
      <c r="J1682" s="953">
        <f t="shared" si="321"/>
        <v>0</v>
      </c>
      <c r="K1682" s="953" t="str">
        <f t="shared" si="322"/>
        <v/>
      </c>
      <c r="L1682" s="570" t="str">
        <f t="shared" si="323"/>
        <v/>
      </c>
      <c r="M1682" s="570" t="str">
        <f t="shared" si="324"/>
        <v/>
      </c>
    </row>
    <row r="1683" spans="1:13">
      <c r="A1683" s="570" t="str">
        <f t="shared" si="325"/>
        <v/>
      </c>
      <c r="C1683" s="953" t="str">
        <f t="shared" si="314"/>
        <v/>
      </c>
      <c r="D1683" s="953" t="str">
        <f t="shared" si="315"/>
        <v/>
      </c>
      <c r="E1683" s="953" t="str">
        <f t="shared" si="316"/>
        <v/>
      </c>
      <c r="F1683" s="953" t="str">
        <f t="shared" si="317"/>
        <v/>
      </c>
      <c r="G1683" s="953" t="str">
        <f t="shared" si="318"/>
        <v/>
      </c>
      <c r="H1683" s="953">
        <f t="shared" si="319"/>
        <v>0</v>
      </c>
      <c r="I1683" s="953">
        <f t="shared" si="320"/>
        <v>0</v>
      </c>
      <c r="J1683" s="953">
        <f t="shared" si="321"/>
        <v>0</v>
      </c>
      <c r="K1683" s="953" t="str">
        <f t="shared" si="322"/>
        <v/>
      </c>
      <c r="L1683" s="570" t="str">
        <f t="shared" si="323"/>
        <v/>
      </c>
      <c r="M1683" s="570" t="str">
        <f t="shared" si="324"/>
        <v/>
      </c>
    </row>
    <row r="1684" spans="1:13">
      <c r="A1684" s="570" t="str">
        <f t="shared" si="325"/>
        <v/>
      </c>
      <c r="C1684" s="953" t="str">
        <f t="shared" si="314"/>
        <v/>
      </c>
      <c r="D1684" s="953" t="str">
        <f t="shared" si="315"/>
        <v/>
      </c>
      <c r="E1684" s="953" t="str">
        <f t="shared" si="316"/>
        <v/>
      </c>
      <c r="F1684" s="953" t="str">
        <f t="shared" si="317"/>
        <v/>
      </c>
      <c r="G1684" s="953" t="str">
        <f t="shared" si="318"/>
        <v/>
      </c>
      <c r="H1684" s="953">
        <f t="shared" si="319"/>
        <v>0</v>
      </c>
      <c r="I1684" s="953">
        <f t="shared" si="320"/>
        <v>0</v>
      </c>
      <c r="J1684" s="953">
        <f t="shared" si="321"/>
        <v>0</v>
      </c>
      <c r="K1684" s="953" t="str">
        <f t="shared" si="322"/>
        <v/>
      </c>
      <c r="L1684" s="570" t="str">
        <f t="shared" si="323"/>
        <v/>
      </c>
      <c r="M1684" s="570" t="str">
        <f t="shared" si="324"/>
        <v/>
      </c>
    </row>
    <row r="1685" spans="1:13">
      <c r="A1685" s="570" t="str">
        <f t="shared" si="325"/>
        <v/>
      </c>
      <c r="C1685" s="953" t="str">
        <f t="shared" si="314"/>
        <v/>
      </c>
      <c r="D1685" s="953" t="str">
        <f t="shared" si="315"/>
        <v/>
      </c>
      <c r="E1685" s="953" t="str">
        <f t="shared" si="316"/>
        <v/>
      </c>
      <c r="F1685" s="953" t="str">
        <f t="shared" si="317"/>
        <v/>
      </c>
      <c r="G1685" s="953" t="str">
        <f t="shared" si="318"/>
        <v/>
      </c>
      <c r="H1685" s="953">
        <f t="shared" si="319"/>
        <v>0</v>
      </c>
      <c r="I1685" s="953">
        <f t="shared" si="320"/>
        <v>0</v>
      </c>
      <c r="J1685" s="953">
        <f t="shared" si="321"/>
        <v>0</v>
      </c>
      <c r="K1685" s="953" t="str">
        <f t="shared" si="322"/>
        <v/>
      </c>
      <c r="L1685" s="570" t="str">
        <f t="shared" si="323"/>
        <v/>
      </c>
      <c r="M1685" s="570" t="str">
        <f t="shared" si="324"/>
        <v/>
      </c>
    </row>
    <row r="1686" spans="1:13">
      <c r="A1686" s="570" t="str">
        <f t="shared" si="325"/>
        <v/>
      </c>
      <c r="C1686" s="953" t="str">
        <f t="shared" si="314"/>
        <v/>
      </c>
      <c r="D1686" s="953" t="str">
        <f t="shared" si="315"/>
        <v/>
      </c>
      <c r="E1686" s="953" t="str">
        <f t="shared" si="316"/>
        <v/>
      </c>
      <c r="F1686" s="953" t="str">
        <f t="shared" si="317"/>
        <v/>
      </c>
      <c r="G1686" s="953" t="str">
        <f t="shared" si="318"/>
        <v/>
      </c>
      <c r="H1686" s="953">
        <f t="shared" si="319"/>
        <v>0</v>
      </c>
      <c r="I1686" s="953">
        <f t="shared" si="320"/>
        <v>0</v>
      </c>
      <c r="J1686" s="953">
        <f t="shared" si="321"/>
        <v>0</v>
      </c>
      <c r="K1686" s="953" t="str">
        <f t="shared" si="322"/>
        <v/>
      </c>
      <c r="L1686" s="570" t="str">
        <f t="shared" si="323"/>
        <v/>
      </c>
      <c r="M1686" s="570" t="str">
        <f t="shared" si="324"/>
        <v/>
      </c>
    </row>
    <row r="1687" spans="1:13">
      <c r="A1687" s="570" t="str">
        <f t="shared" si="325"/>
        <v/>
      </c>
      <c r="C1687" s="953" t="str">
        <f t="shared" si="314"/>
        <v/>
      </c>
      <c r="D1687" s="953" t="str">
        <f t="shared" si="315"/>
        <v/>
      </c>
      <c r="E1687" s="953" t="str">
        <f t="shared" si="316"/>
        <v/>
      </c>
      <c r="F1687" s="953" t="str">
        <f t="shared" si="317"/>
        <v/>
      </c>
      <c r="G1687" s="953" t="str">
        <f t="shared" si="318"/>
        <v/>
      </c>
      <c r="H1687" s="953">
        <f t="shared" si="319"/>
        <v>0</v>
      </c>
      <c r="I1687" s="953">
        <f t="shared" si="320"/>
        <v>0</v>
      </c>
      <c r="J1687" s="953">
        <f t="shared" si="321"/>
        <v>0</v>
      </c>
      <c r="K1687" s="953" t="str">
        <f t="shared" si="322"/>
        <v/>
      </c>
      <c r="L1687" s="570" t="str">
        <f t="shared" si="323"/>
        <v/>
      </c>
      <c r="M1687" s="570" t="str">
        <f t="shared" si="324"/>
        <v/>
      </c>
    </row>
    <row r="1688" spans="1:13">
      <c r="A1688" s="570" t="str">
        <f t="shared" si="325"/>
        <v/>
      </c>
      <c r="C1688" s="953" t="str">
        <f t="shared" si="314"/>
        <v/>
      </c>
      <c r="D1688" s="953" t="str">
        <f t="shared" si="315"/>
        <v/>
      </c>
      <c r="E1688" s="953" t="str">
        <f t="shared" si="316"/>
        <v/>
      </c>
      <c r="F1688" s="953" t="str">
        <f t="shared" si="317"/>
        <v/>
      </c>
      <c r="G1688" s="953" t="str">
        <f t="shared" si="318"/>
        <v/>
      </c>
      <c r="H1688" s="953">
        <f t="shared" si="319"/>
        <v>0</v>
      </c>
      <c r="I1688" s="953">
        <f t="shared" si="320"/>
        <v>0</v>
      </c>
      <c r="J1688" s="953">
        <f t="shared" si="321"/>
        <v>0</v>
      </c>
      <c r="K1688" s="953" t="str">
        <f t="shared" si="322"/>
        <v/>
      </c>
      <c r="L1688" s="570" t="str">
        <f t="shared" si="323"/>
        <v/>
      </c>
      <c r="M1688" s="570" t="str">
        <f t="shared" si="324"/>
        <v/>
      </c>
    </row>
    <row r="1689" spans="1:13">
      <c r="A1689" s="570" t="str">
        <f t="shared" si="325"/>
        <v/>
      </c>
      <c r="C1689" s="953" t="str">
        <f t="shared" si="314"/>
        <v/>
      </c>
      <c r="D1689" s="953" t="str">
        <f t="shared" si="315"/>
        <v/>
      </c>
      <c r="E1689" s="953" t="str">
        <f t="shared" si="316"/>
        <v/>
      </c>
      <c r="F1689" s="953" t="str">
        <f t="shared" si="317"/>
        <v/>
      </c>
      <c r="G1689" s="953" t="str">
        <f t="shared" si="318"/>
        <v/>
      </c>
      <c r="H1689" s="953">
        <f t="shared" si="319"/>
        <v>0</v>
      </c>
      <c r="I1689" s="953">
        <f t="shared" si="320"/>
        <v>0</v>
      </c>
      <c r="J1689" s="953">
        <f t="shared" si="321"/>
        <v>0</v>
      </c>
      <c r="K1689" s="953" t="str">
        <f t="shared" si="322"/>
        <v/>
      </c>
      <c r="L1689" s="570" t="str">
        <f t="shared" si="323"/>
        <v/>
      </c>
      <c r="M1689" s="570" t="str">
        <f t="shared" si="324"/>
        <v/>
      </c>
    </row>
    <row r="1690" spans="1:13">
      <c r="A1690" s="570" t="str">
        <f t="shared" si="325"/>
        <v/>
      </c>
      <c r="C1690" s="953" t="str">
        <f t="shared" si="314"/>
        <v/>
      </c>
      <c r="D1690" s="953" t="str">
        <f t="shared" si="315"/>
        <v/>
      </c>
      <c r="E1690" s="953" t="str">
        <f t="shared" si="316"/>
        <v/>
      </c>
      <c r="F1690" s="953" t="str">
        <f t="shared" si="317"/>
        <v/>
      </c>
      <c r="G1690" s="953" t="str">
        <f t="shared" si="318"/>
        <v/>
      </c>
      <c r="H1690" s="953">
        <f t="shared" si="319"/>
        <v>0</v>
      </c>
      <c r="I1690" s="953">
        <f t="shared" si="320"/>
        <v>0</v>
      </c>
      <c r="J1690" s="953">
        <f t="shared" si="321"/>
        <v>0</v>
      </c>
      <c r="K1690" s="953" t="str">
        <f t="shared" si="322"/>
        <v/>
      </c>
      <c r="L1690" s="570" t="str">
        <f t="shared" si="323"/>
        <v/>
      </c>
      <c r="M1690" s="570" t="str">
        <f t="shared" si="324"/>
        <v/>
      </c>
    </row>
    <row r="1691" spans="1:13">
      <c r="A1691" s="570" t="str">
        <f t="shared" si="325"/>
        <v/>
      </c>
      <c r="C1691" s="953" t="str">
        <f t="shared" si="314"/>
        <v/>
      </c>
      <c r="D1691" s="953" t="str">
        <f t="shared" si="315"/>
        <v/>
      </c>
      <c r="E1691" s="953" t="str">
        <f t="shared" si="316"/>
        <v/>
      </c>
      <c r="F1691" s="953" t="str">
        <f t="shared" si="317"/>
        <v/>
      </c>
      <c r="G1691" s="953" t="str">
        <f t="shared" si="318"/>
        <v/>
      </c>
      <c r="H1691" s="953">
        <f t="shared" si="319"/>
        <v>0</v>
      </c>
      <c r="I1691" s="953">
        <f t="shared" si="320"/>
        <v>0</v>
      </c>
      <c r="J1691" s="953">
        <f t="shared" si="321"/>
        <v>0</v>
      </c>
      <c r="K1691" s="953" t="str">
        <f t="shared" si="322"/>
        <v/>
      </c>
      <c r="L1691" s="570" t="str">
        <f t="shared" si="323"/>
        <v/>
      </c>
      <c r="M1691" s="570" t="str">
        <f t="shared" si="324"/>
        <v/>
      </c>
    </row>
    <row r="1692" spans="1:13">
      <c r="A1692" s="570" t="str">
        <f t="shared" si="325"/>
        <v/>
      </c>
      <c r="C1692" s="953" t="str">
        <f t="shared" si="314"/>
        <v/>
      </c>
      <c r="D1692" s="953" t="str">
        <f t="shared" si="315"/>
        <v/>
      </c>
      <c r="E1692" s="953" t="str">
        <f t="shared" si="316"/>
        <v/>
      </c>
      <c r="F1692" s="953" t="str">
        <f t="shared" si="317"/>
        <v/>
      </c>
      <c r="G1692" s="953" t="str">
        <f t="shared" si="318"/>
        <v/>
      </c>
      <c r="H1692" s="953">
        <f t="shared" si="319"/>
        <v>0</v>
      </c>
      <c r="I1692" s="953">
        <f t="shared" si="320"/>
        <v>0</v>
      </c>
      <c r="J1692" s="953">
        <f t="shared" si="321"/>
        <v>0</v>
      </c>
      <c r="K1692" s="953" t="str">
        <f t="shared" si="322"/>
        <v/>
      </c>
      <c r="L1692" s="570" t="str">
        <f t="shared" si="323"/>
        <v/>
      </c>
      <c r="M1692" s="570" t="str">
        <f t="shared" si="324"/>
        <v/>
      </c>
    </row>
    <row r="1693" spans="1:13">
      <c r="A1693" s="570" t="str">
        <f t="shared" si="325"/>
        <v/>
      </c>
      <c r="C1693" s="953" t="str">
        <f t="shared" si="314"/>
        <v/>
      </c>
      <c r="D1693" s="953" t="str">
        <f t="shared" si="315"/>
        <v/>
      </c>
      <c r="E1693" s="953" t="str">
        <f t="shared" si="316"/>
        <v/>
      </c>
      <c r="F1693" s="953" t="str">
        <f t="shared" si="317"/>
        <v/>
      </c>
      <c r="G1693" s="953" t="str">
        <f t="shared" si="318"/>
        <v/>
      </c>
      <c r="H1693" s="953">
        <f t="shared" si="319"/>
        <v>0</v>
      </c>
      <c r="I1693" s="953">
        <f t="shared" si="320"/>
        <v>0</v>
      </c>
      <c r="J1693" s="953">
        <f t="shared" si="321"/>
        <v>0</v>
      </c>
      <c r="K1693" s="953" t="str">
        <f t="shared" si="322"/>
        <v/>
      </c>
      <c r="L1693" s="570" t="str">
        <f t="shared" si="323"/>
        <v/>
      </c>
      <c r="M1693" s="570" t="str">
        <f t="shared" si="324"/>
        <v/>
      </c>
    </row>
    <row r="1694" spans="1:13">
      <c r="A1694" s="570" t="str">
        <f t="shared" si="325"/>
        <v/>
      </c>
      <c r="C1694" s="953" t="str">
        <f t="shared" si="314"/>
        <v/>
      </c>
      <c r="D1694" s="953" t="str">
        <f t="shared" si="315"/>
        <v/>
      </c>
      <c r="E1694" s="953" t="str">
        <f t="shared" si="316"/>
        <v/>
      </c>
      <c r="F1694" s="953" t="str">
        <f t="shared" si="317"/>
        <v/>
      </c>
      <c r="G1694" s="953" t="str">
        <f t="shared" si="318"/>
        <v/>
      </c>
      <c r="H1694" s="953">
        <f t="shared" si="319"/>
        <v>0</v>
      </c>
      <c r="I1694" s="953">
        <f t="shared" si="320"/>
        <v>0</v>
      </c>
      <c r="J1694" s="953">
        <f t="shared" si="321"/>
        <v>0</v>
      </c>
      <c r="K1694" s="953" t="str">
        <f t="shared" si="322"/>
        <v/>
      </c>
      <c r="L1694" s="570" t="str">
        <f t="shared" si="323"/>
        <v/>
      </c>
      <c r="M1694" s="570" t="str">
        <f t="shared" si="324"/>
        <v/>
      </c>
    </row>
    <row r="1695" spans="1:13">
      <c r="A1695" s="570" t="str">
        <f t="shared" si="325"/>
        <v/>
      </c>
      <c r="C1695" s="953" t="str">
        <f t="shared" si="314"/>
        <v/>
      </c>
      <c r="D1695" s="953" t="str">
        <f t="shared" si="315"/>
        <v/>
      </c>
      <c r="E1695" s="953" t="str">
        <f t="shared" si="316"/>
        <v/>
      </c>
      <c r="F1695" s="953" t="str">
        <f t="shared" si="317"/>
        <v/>
      </c>
      <c r="G1695" s="953" t="str">
        <f t="shared" si="318"/>
        <v/>
      </c>
      <c r="H1695" s="953">
        <f t="shared" si="319"/>
        <v>0</v>
      </c>
      <c r="I1695" s="953">
        <f t="shared" si="320"/>
        <v>0</v>
      </c>
      <c r="J1695" s="953">
        <f t="shared" si="321"/>
        <v>0</v>
      </c>
      <c r="K1695" s="953" t="str">
        <f t="shared" si="322"/>
        <v/>
      </c>
      <c r="L1695" s="570" t="str">
        <f t="shared" si="323"/>
        <v/>
      </c>
      <c r="M1695" s="570" t="str">
        <f t="shared" si="324"/>
        <v/>
      </c>
    </row>
    <row r="1696" spans="1:13">
      <c r="A1696" s="570" t="str">
        <f t="shared" si="325"/>
        <v/>
      </c>
      <c r="C1696" s="953" t="str">
        <f t="shared" si="314"/>
        <v/>
      </c>
      <c r="D1696" s="953" t="str">
        <f t="shared" si="315"/>
        <v/>
      </c>
      <c r="E1696" s="953" t="str">
        <f t="shared" si="316"/>
        <v/>
      </c>
      <c r="F1696" s="953" t="str">
        <f t="shared" si="317"/>
        <v/>
      </c>
      <c r="G1696" s="953" t="str">
        <f t="shared" si="318"/>
        <v/>
      </c>
      <c r="H1696" s="953">
        <f t="shared" si="319"/>
        <v>0</v>
      </c>
      <c r="I1696" s="953">
        <f t="shared" si="320"/>
        <v>0</v>
      </c>
      <c r="J1696" s="953">
        <f t="shared" si="321"/>
        <v>0</v>
      </c>
      <c r="K1696" s="953" t="str">
        <f t="shared" si="322"/>
        <v/>
      </c>
      <c r="L1696" s="570" t="str">
        <f t="shared" si="323"/>
        <v/>
      </c>
      <c r="M1696" s="570" t="str">
        <f t="shared" si="324"/>
        <v/>
      </c>
    </row>
    <row r="1697" spans="1:13">
      <c r="A1697" s="570" t="str">
        <f t="shared" si="325"/>
        <v/>
      </c>
      <c r="C1697" s="953" t="str">
        <f t="shared" si="314"/>
        <v/>
      </c>
      <c r="D1697" s="953" t="str">
        <f t="shared" si="315"/>
        <v/>
      </c>
      <c r="E1697" s="953" t="str">
        <f t="shared" si="316"/>
        <v/>
      </c>
      <c r="F1697" s="953" t="str">
        <f t="shared" si="317"/>
        <v/>
      </c>
      <c r="G1697" s="953" t="str">
        <f t="shared" si="318"/>
        <v/>
      </c>
      <c r="H1697" s="953">
        <f t="shared" si="319"/>
        <v>0</v>
      </c>
      <c r="I1697" s="953">
        <f t="shared" si="320"/>
        <v>0</v>
      </c>
      <c r="J1697" s="953">
        <f t="shared" si="321"/>
        <v>0</v>
      </c>
      <c r="K1697" s="953" t="str">
        <f t="shared" si="322"/>
        <v/>
      </c>
      <c r="L1697" s="570" t="str">
        <f t="shared" si="323"/>
        <v/>
      </c>
      <c r="M1697" s="570" t="str">
        <f t="shared" si="324"/>
        <v/>
      </c>
    </row>
    <row r="1698" spans="1:13">
      <c r="A1698" s="570" t="str">
        <f t="shared" si="325"/>
        <v/>
      </c>
      <c r="C1698" s="953" t="str">
        <f t="shared" si="314"/>
        <v/>
      </c>
      <c r="D1698" s="953" t="str">
        <f t="shared" si="315"/>
        <v/>
      </c>
      <c r="E1698" s="953" t="str">
        <f t="shared" si="316"/>
        <v/>
      </c>
      <c r="F1698" s="953" t="str">
        <f t="shared" si="317"/>
        <v/>
      </c>
      <c r="G1698" s="953" t="str">
        <f t="shared" si="318"/>
        <v/>
      </c>
      <c r="H1698" s="953">
        <f t="shared" si="319"/>
        <v>0</v>
      </c>
      <c r="I1698" s="953">
        <f t="shared" si="320"/>
        <v>0</v>
      </c>
      <c r="J1698" s="953">
        <f t="shared" si="321"/>
        <v>0</v>
      </c>
      <c r="K1698" s="953" t="str">
        <f t="shared" si="322"/>
        <v/>
      </c>
      <c r="L1698" s="570" t="str">
        <f t="shared" si="323"/>
        <v/>
      </c>
      <c r="M1698" s="570" t="str">
        <f t="shared" si="324"/>
        <v/>
      </c>
    </row>
    <row r="1699" spans="1:13">
      <c r="A1699" s="570" t="str">
        <f t="shared" si="325"/>
        <v/>
      </c>
      <c r="C1699" s="953" t="str">
        <f t="shared" si="314"/>
        <v/>
      </c>
      <c r="D1699" s="953" t="str">
        <f t="shared" si="315"/>
        <v/>
      </c>
      <c r="E1699" s="953" t="str">
        <f t="shared" si="316"/>
        <v/>
      </c>
      <c r="F1699" s="953" t="str">
        <f t="shared" si="317"/>
        <v/>
      </c>
      <c r="G1699" s="953" t="str">
        <f t="shared" si="318"/>
        <v/>
      </c>
      <c r="H1699" s="953">
        <f t="shared" si="319"/>
        <v>0</v>
      </c>
      <c r="I1699" s="953">
        <f t="shared" si="320"/>
        <v>0</v>
      </c>
      <c r="J1699" s="953">
        <f t="shared" si="321"/>
        <v>0</v>
      </c>
      <c r="K1699" s="953" t="str">
        <f t="shared" si="322"/>
        <v/>
      </c>
      <c r="L1699" s="570" t="str">
        <f t="shared" si="323"/>
        <v/>
      </c>
      <c r="M1699" s="570" t="str">
        <f t="shared" si="324"/>
        <v/>
      </c>
    </row>
    <row r="1700" spans="1:13">
      <c r="A1700" s="570" t="str">
        <f t="shared" si="325"/>
        <v/>
      </c>
      <c r="C1700" s="953" t="str">
        <f t="shared" si="314"/>
        <v/>
      </c>
      <c r="D1700" s="953" t="str">
        <f t="shared" si="315"/>
        <v/>
      </c>
      <c r="E1700" s="953" t="str">
        <f t="shared" si="316"/>
        <v/>
      </c>
      <c r="F1700" s="953" t="str">
        <f t="shared" si="317"/>
        <v/>
      </c>
      <c r="G1700" s="953" t="str">
        <f t="shared" si="318"/>
        <v/>
      </c>
      <c r="H1700" s="953">
        <f t="shared" si="319"/>
        <v>0</v>
      </c>
      <c r="I1700" s="953">
        <f t="shared" si="320"/>
        <v>0</v>
      </c>
      <c r="J1700" s="953">
        <f t="shared" si="321"/>
        <v>0</v>
      </c>
      <c r="K1700" s="953" t="str">
        <f t="shared" si="322"/>
        <v/>
      </c>
      <c r="L1700" s="570" t="str">
        <f t="shared" si="323"/>
        <v/>
      </c>
      <c r="M1700" s="570" t="str">
        <f t="shared" si="324"/>
        <v/>
      </c>
    </row>
    <row r="1701" spans="1:13">
      <c r="A1701" s="570" t="str">
        <f t="shared" si="325"/>
        <v/>
      </c>
      <c r="C1701" s="953" t="str">
        <f t="shared" si="314"/>
        <v/>
      </c>
      <c r="D1701" s="953" t="str">
        <f t="shared" si="315"/>
        <v/>
      </c>
      <c r="E1701" s="953" t="str">
        <f t="shared" si="316"/>
        <v/>
      </c>
      <c r="F1701" s="953" t="str">
        <f t="shared" si="317"/>
        <v/>
      </c>
      <c r="G1701" s="953" t="str">
        <f t="shared" si="318"/>
        <v/>
      </c>
      <c r="H1701" s="953">
        <f t="shared" si="319"/>
        <v>0</v>
      </c>
      <c r="I1701" s="953">
        <f t="shared" si="320"/>
        <v>0</v>
      </c>
      <c r="J1701" s="953">
        <f t="shared" si="321"/>
        <v>0</v>
      </c>
      <c r="K1701" s="953" t="str">
        <f t="shared" si="322"/>
        <v/>
      </c>
      <c r="L1701" s="570" t="str">
        <f t="shared" si="323"/>
        <v/>
      </c>
      <c r="M1701" s="570" t="str">
        <f t="shared" si="324"/>
        <v/>
      </c>
    </row>
    <row r="1702" spans="1:13">
      <c r="A1702" s="570" t="str">
        <f t="shared" si="325"/>
        <v/>
      </c>
      <c r="C1702" s="953" t="str">
        <f t="shared" si="314"/>
        <v/>
      </c>
      <c r="D1702" s="953" t="str">
        <f t="shared" si="315"/>
        <v/>
      </c>
      <c r="E1702" s="953" t="str">
        <f t="shared" si="316"/>
        <v/>
      </c>
      <c r="F1702" s="953" t="str">
        <f t="shared" si="317"/>
        <v/>
      </c>
      <c r="G1702" s="953" t="str">
        <f t="shared" si="318"/>
        <v/>
      </c>
      <c r="H1702" s="953">
        <f t="shared" si="319"/>
        <v>0</v>
      </c>
      <c r="I1702" s="953">
        <f t="shared" si="320"/>
        <v>0</v>
      </c>
      <c r="J1702" s="953">
        <f t="shared" si="321"/>
        <v>0</v>
      </c>
      <c r="K1702" s="953" t="str">
        <f t="shared" si="322"/>
        <v/>
      </c>
      <c r="L1702" s="570" t="str">
        <f t="shared" si="323"/>
        <v/>
      </c>
      <c r="M1702" s="570" t="str">
        <f t="shared" si="324"/>
        <v/>
      </c>
    </row>
    <row r="1703" spans="1:13">
      <c r="A1703" s="570" t="str">
        <f t="shared" si="325"/>
        <v/>
      </c>
      <c r="C1703" s="953" t="str">
        <f t="shared" si="314"/>
        <v/>
      </c>
      <c r="D1703" s="953" t="str">
        <f t="shared" si="315"/>
        <v/>
      </c>
      <c r="E1703" s="953" t="str">
        <f t="shared" si="316"/>
        <v/>
      </c>
      <c r="F1703" s="953" t="str">
        <f t="shared" si="317"/>
        <v/>
      </c>
      <c r="G1703" s="953" t="str">
        <f t="shared" si="318"/>
        <v/>
      </c>
      <c r="H1703" s="953">
        <f t="shared" si="319"/>
        <v>0</v>
      </c>
      <c r="I1703" s="953">
        <f t="shared" si="320"/>
        <v>0</v>
      </c>
      <c r="J1703" s="953">
        <f t="shared" si="321"/>
        <v>0</v>
      </c>
      <c r="K1703" s="953" t="str">
        <f t="shared" si="322"/>
        <v/>
      </c>
      <c r="L1703" s="570" t="str">
        <f t="shared" si="323"/>
        <v/>
      </c>
      <c r="M1703" s="570" t="str">
        <f t="shared" si="324"/>
        <v/>
      </c>
    </row>
    <row r="1704" spans="1:13">
      <c r="A1704" s="570" t="str">
        <f t="shared" si="325"/>
        <v/>
      </c>
      <c r="C1704" s="953" t="str">
        <f t="shared" si="314"/>
        <v/>
      </c>
      <c r="D1704" s="953" t="str">
        <f t="shared" si="315"/>
        <v/>
      </c>
      <c r="E1704" s="953" t="str">
        <f t="shared" si="316"/>
        <v/>
      </c>
      <c r="F1704" s="953" t="str">
        <f t="shared" si="317"/>
        <v/>
      </c>
      <c r="G1704" s="953" t="str">
        <f t="shared" si="318"/>
        <v/>
      </c>
      <c r="H1704" s="953">
        <f t="shared" si="319"/>
        <v>0</v>
      </c>
      <c r="I1704" s="953">
        <f t="shared" si="320"/>
        <v>0</v>
      </c>
      <c r="J1704" s="953">
        <f t="shared" si="321"/>
        <v>0</v>
      </c>
      <c r="K1704" s="953" t="str">
        <f t="shared" si="322"/>
        <v/>
      </c>
      <c r="L1704" s="570" t="str">
        <f t="shared" si="323"/>
        <v/>
      </c>
      <c r="M1704" s="570" t="str">
        <f t="shared" si="324"/>
        <v/>
      </c>
    </row>
    <row r="1705" spans="1:13">
      <c r="A1705" s="570" t="str">
        <f t="shared" si="325"/>
        <v/>
      </c>
      <c r="C1705" s="953" t="str">
        <f t="shared" si="314"/>
        <v/>
      </c>
      <c r="D1705" s="953" t="str">
        <f t="shared" si="315"/>
        <v/>
      </c>
      <c r="E1705" s="953" t="str">
        <f t="shared" si="316"/>
        <v/>
      </c>
      <c r="F1705" s="953" t="str">
        <f t="shared" si="317"/>
        <v/>
      </c>
      <c r="G1705" s="953" t="str">
        <f t="shared" si="318"/>
        <v/>
      </c>
      <c r="H1705" s="953">
        <f t="shared" si="319"/>
        <v>0</v>
      </c>
      <c r="I1705" s="953">
        <f t="shared" si="320"/>
        <v>0</v>
      </c>
      <c r="J1705" s="953">
        <f t="shared" si="321"/>
        <v>0</v>
      </c>
      <c r="K1705" s="953" t="str">
        <f t="shared" si="322"/>
        <v/>
      </c>
      <c r="L1705" s="570" t="str">
        <f t="shared" si="323"/>
        <v/>
      </c>
      <c r="M1705" s="570" t="str">
        <f t="shared" si="324"/>
        <v/>
      </c>
    </row>
    <row r="1706" spans="1:13">
      <c r="A1706" s="570" t="str">
        <f t="shared" si="325"/>
        <v/>
      </c>
      <c r="C1706" s="953" t="str">
        <f t="shared" si="314"/>
        <v/>
      </c>
      <c r="D1706" s="953" t="str">
        <f t="shared" si="315"/>
        <v/>
      </c>
      <c r="E1706" s="953" t="str">
        <f t="shared" si="316"/>
        <v/>
      </c>
      <c r="F1706" s="953" t="str">
        <f t="shared" si="317"/>
        <v/>
      </c>
      <c r="G1706" s="953" t="str">
        <f t="shared" si="318"/>
        <v/>
      </c>
      <c r="H1706" s="953">
        <f t="shared" si="319"/>
        <v>0</v>
      </c>
      <c r="I1706" s="953">
        <f t="shared" si="320"/>
        <v>0</v>
      </c>
      <c r="J1706" s="953">
        <f t="shared" si="321"/>
        <v>0</v>
      </c>
      <c r="K1706" s="953" t="str">
        <f t="shared" si="322"/>
        <v/>
      </c>
      <c r="L1706" s="570" t="str">
        <f t="shared" si="323"/>
        <v/>
      </c>
      <c r="M1706" s="570" t="str">
        <f t="shared" si="324"/>
        <v/>
      </c>
    </row>
    <row r="1707" spans="1:13">
      <c r="A1707" s="570" t="str">
        <f t="shared" si="325"/>
        <v/>
      </c>
      <c r="C1707" s="953" t="str">
        <f t="shared" si="314"/>
        <v/>
      </c>
      <c r="D1707" s="953" t="str">
        <f t="shared" si="315"/>
        <v/>
      </c>
      <c r="E1707" s="953" t="str">
        <f t="shared" si="316"/>
        <v/>
      </c>
      <c r="F1707" s="953" t="str">
        <f t="shared" si="317"/>
        <v/>
      </c>
      <c r="G1707" s="953" t="str">
        <f t="shared" si="318"/>
        <v/>
      </c>
      <c r="H1707" s="953">
        <f t="shared" si="319"/>
        <v>0</v>
      </c>
      <c r="I1707" s="953">
        <f t="shared" si="320"/>
        <v>0</v>
      </c>
      <c r="J1707" s="953">
        <f t="shared" si="321"/>
        <v>0</v>
      </c>
      <c r="K1707" s="953" t="str">
        <f t="shared" si="322"/>
        <v/>
      </c>
      <c r="L1707" s="570" t="str">
        <f t="shared" si="323"/>
        <v/>
      </c>
      <c r="M1707" s="570" t="str">
        <f t="shared" si="324"/>
        <v/>
      </c>
    </row>
    <row r="1708" spans="1:13">
      <c r="A1708" s="570" t="str">
        <f t="shared" si="325"/>
        <v/>
      </c>
      <c r="C1708" s="953" t="str">
        <f t="shared" si="314"/>
        <v/>
      </c>
      <c r="D1708" s="953" t="str">
        <f t="shared" si="315"/>
        <v/>
      </c>
      <c r="E1708" s="953" t="str">
        <f t="shared" si="316"/>
        <v/>
      </c>
      <c r="F1708" s="953" t="str">
        <f t="shared" si="317"/>
        <v/>
      </c>
      <c r="G1708" s="953" t="str">
        <f t="shared" si="318"/>
        <v/>
      </c>
      <c r="H1708" s="953">
        <f t="shared" si="319"/>
        <v>0</v>
      </c>
      <c r="I1708" s="953">
        <f t="shared" si="320"/>
        <v>0</v>
      </c>
      <c r="J1708" s="953">
        <f t="shared" si="321"/>
        <v>0</v>
      </c>
      <c r="K1708" s="953" t="str">
        <f t="shared" si="322"/>
        <v/>
      </c>
      <c r="L1708" s="570" t="str">
        <f t="shared" si="323"/>
        <v/>
      </c>
      <c r="M1708" s="570" t="str">
        <f t="shared" si="324"/>
        <v/>
      </c>
    </row>
    <row r="1709" spans="1:13">
      <c r="A1709" s="570" t="str">
        <f t="shared" si="325"/>
        <v/>
      </c>
      <c r="C1709" s="953" t="str">
        <f t="shared" si="314"/>
        <v/>
      </c>
      <c r="D1709" s="953" t="str">
        <f t="shared" si="315"/>
        <v/>
      </c>
      <c r="E1709" s="953" t="str">
        <f t="shared" si="316"/>
        <v/>
      </c>
      <c r="F1709" s="953" t="str">
        <f t="shared" si="317"/>
        <v/>
      </c>
      <c r="G1709" s="953" t="str">
        <f t="shared" si="318"/>
        <v/>
      </c>
      <c r="H1709" s="953">
        <f t="shared" si="319"/>
        <v>0</v>
      </c>
      <c r="I1709" s="953">
        <f t="shared" si="320"/>
        <v>0</v>
      </c>
      <c r="J1709" s="953">
        <f t="shared" si="321"/>
        <v>0</v>
      </c>
      <c r="K1709" s="953" t="str">
        <f t="shared" si="322"/>
        <v/>
      </c>
      <c r="L1709" s="570" t="str">
        <f t="shared" si="323"/>
        <v/>
      </c>
      <c r="M1709" s="570" t="str">
        <f t="shared" si="324"/>
        <v/>
      </c>
    </row>
    <row r="1710" spans="1:13">
      <c r="A1710" s="570" t="str">
        <f t="shared" si="325"/>
        <v/>
      </c>
      <c r="C1710" s="953" t="str">
        <f t="shared" si="314"/>
        <v/>
      </c>
      <c r="D1710" s="953" t="str">
        <f t="shared" si="315"/>
        <v/>
      </c>
      <c r="E1710" s="953" t="str">
        <f t="shared" si="316"/>
        <v/>
      </c>
      <c r="F1710" s="953" t="str">
        <f t="shared" si="317"/>
        <v/>
      </c>
      <c r="G1710" s="953" t="str">
        <f t="shared" si="318"/>
        <v/>
      </c>
      <c r="H1710" s="953">
        <f t="shared" si="319"/>
        <v>0</v>
      </c>
      <c r="I1710" s="953">
        <f t="shared" si="320"/>
        <v>0</v>
      </c>
      <c r="J1710" s="953">
        <f t="shared" si="321"/>
        <v>0</v>
      </c>
      <c r="K1710" s="953" t="str">
        <f t="shared" si="322"/>
        <v/>
      </c>
      <c r="L1710" s="570" t="str">
        <f t="shared" si="323"/>
        <v/>
      </c>
      <c r="M1710" s="570" t="str">
        <f t="shared" si="324"/>
        <v/>
      </c>
    </row>
    <row r="1711" spans="1:13">
      <c r="A1711" s="570" t="str">
        <f t="shared" si="325"/>
        <v/>
      </c>
      <c r="C1711" s="953" t="str">
        <f t="shared" si="314"/>
        <v/>
      </c>
      <c r="D1711" s="953" t="str">
        <f t="shared" si="315"/>
        <v/>
      </c>
      <c r="E1711" s="953" t="str">
        <f t="shared" si="316"/>
        <v/>
      </c>
      <c r="F1711" s="953" t="str">
        <f t="shared" si="317"/>
        <v/>
      </c>
      <c r="G1711" s="953" t="str">
        <f t="shared" si="318"/>
        <v/>
      </c>
      <c r="H1711" s="953">
        <f t="shared" si="319"/>
        <v>0</v>
      </c>
      <c r="I1711" s="953">
        <f t="shared" si="320"/>
        <v>0</v>
      </c>
      <c r="J1711" s="953">
        <f t="shared" si="321"/>
        <v>0</v>
      </c>
      <c r="K1711" s="953" t="str">
        <f t="shared" si="322"/>
        <v/>
      </c>
      <c r="L1711" s="570" t="str">
        <f t="shared" si="323"/>
        <v/>
      </c>
      <c r="M1711" s="570" t="str">
        <f t="shared" si="324"/>
        <v/>
      </c>
    </row>
    <row r="1712" spans="1:13">
      <c r="A1712" s="570" t="str">
        <f t="shared" si="325"/>
        <v/>
      </c>
      <c r="C1712" s="953" t="str">
        <f t="shared" si="314"/>
        <v/>
      </c>
      <c r="D1712" s="953" t="str">
        <f t="shared" si="315"/>
        <v/>
      </c>
      <c r="E1712" s="953" t="str">
        <f t="shared" si="316"/>
        <v/>
      </c>
      <c r="F1712" s="953" t="str">
        <f t="shared" si="317"/>
        <v/>
      </c>
      <c r="G1712" s="953" t="str">
        <f t="shared" si="318"/>
        <v/>
      </c>
      <c r="H1712" s="953">
        <f t="shared" si="319"/>
        <v>0</v>
      </c>
      <c r="I1712" s="953">
        <f t="shared" si="320"/>
        <v>0</v>
      </c>
      <c r="J1712" s="953">
        <f t="shared" si="321"/>
        <v>0</v>
      </c>
      <c r="K1712" s="953" t="str">
        <f t="shared" si="322"/>
        <v/>
      </c>
      <c r="L1712" s="570" t="str">
        <f t="shared" si="323"/>
        <v/>
      </c>
      <c r="M1712" s="570" t="str">
        <f t="shared" si="324"/>
        <v/>
      </c>
    </row>
    <row r="1713" spans="1:13">
      <c r="A1713" s="570" t="str">
        <f t="shared" si="325"/>
        <v/>
      </c>
      <c r="C1713" s="953" t="str">
        <f t="shared" si="314"/>
        <v/>
      </c>
      <c r="D1713" s="953" t="str">
        <f t="shared" si="315"/>
        <v/>
      </c>
      <c r="E1713" s="953" t="str">
        <f t="shared" si="316"/>
        <v/>
      </c>
      <c r="F1713" s="953" t="str">
        <f t="shared" si="317"/>
        <v/>
      </c>
      <c r="G1713" s="953" t="str">
        <f t="shared" si="318"/>
        <v/>
      </c>
      <c r="H1713" s="953">
        <f t="shared" si="319"/>
        <v>0</v>
      </c>
      <c r="I1713" s="953">
        <f t="shared" si="320"/>
        <v>0</v>
      </c>
      <c r="J1713" s="953">
        <f t="shared" si="321"/>
        <v>0</v>
      </c>
      <c r="K1713" s="953" t="str">
        <f t="shared" si="322"/>
        <v/>
      </c>
      <c r="L1713" s="570" t="str">
        <f t="shared" si="323"/>
        <v/>
      </c>
      <c r="M1713" s="570" t="str">
        <f t="shared" si="324"/>
        <v/>
      </c>
    </row>
    <row r="1714" spans="1:13">
      <c r="A1714" s="570" t="str">
        <f t="shared" si="325"/>
        <v/>
      </c>
      <c r="C1714" s="953" t="str">
        <f t="shared" si="314"/>
        <v/>
      </c>
      <c r="D1714" s="953" t="str">
        <f t="shared" si="315"/>
        <v/>
      </c>
      <c r="E1714" s="953" t="str">
        <f t="shared" si="316"/>
        <v/>
      </c>
      <c r="F1714" s="953" t="str">
        <f t="shared" si="317"/>
        <v/>
      </c>
      <c r="G1714" s="953" t="str">
        <f t="shared" si="318"/>
        <v/>
      </c>
      <c r="H1714" s="953">
        <f t="shared" si="319"/>
        <v>0</v>
      </c>
      <c r="I1714" s="953">
        <f t="shared" si="320"/>
        <v>0</v>
      </c>
      <c r="J1714" s="953">
        <f t="shared" si="321"/>
        <v>0</v>
      </c>
      <c r="K1714" s="953" t="str">
        <f t="shared" si="322"/>
        <v/>
      </c>
      <c r="L1714" s="570" t="str">
        <f t="shared" si="323"/>
        <v/>
      </c>
      <c r="M1714" s="570" t="str">
        <f t="shared" si="324"/>
        <v/>
      </c>
    </row>
    <row r="1715" spans="1:13">
      <c r="A1715" s="570" t="str">
        <f t="shared" si="325"/>
        <v/>
      </c>
      <c r="C1715" s="953" t="str">
        <f t="shared" si="314"/>
        <v/>
      </c>
      <c r="D1715" s="953" t="str">
        <f t="shared" si="315"/>
        <v/>
      </c>
      <c r="E1715" s="953" t="str">
        <f t="shared" si="316"/>
        <v/>
      </c>
      <c r="F1715" s="953" t="str">
        <f t="shared" si="317"/>
        <v/>
      </c>
      <c r="G1715" s="953" t="str">
        <f t="shared" si="318"/>
        <v/>
      </c>
      <c r="H1715" s="953">
        <f t="shared" si="319"/>
        <v>0</v>
      </c>
      <c r="I1715" s="953">
        <f t="shared" si="320"/>
        <v>0</v>
      </c>
      <c r="J1715" s="953">
        <f t="shared" si="321"/>
        <v>0</v>
      </c>
      <c r="K1715" s="953" t="str">
        <f t="shared" si="322"/>
        <v/>
      </c>
      <c r="L1715" s="570" t="str">
        <f t="shared" si="323"/>
        <v/>
      </c>
      <c r="M1715" s="570" t="str">
        <f t="shared" si="324"/>
        <v/>
      </c>
    </row>
    <row r="1716" spans="1:13">
      <c r="A1716" s="570" t="str">
        <f t="shared" si="325"/>
        <v/>
      </c>
      <c r="C1716" s="953" t="str">
        <f t="shared" si="314"/>
        <v/>
      </c>
      <c r="D1716" s="953" t="str">
        <f t="shared" si="315"/>
        <v/>
      </c>
      <c r="E1716" s="953" t="str">
        <f t="shared" si="316"/>
        <v/>
      </c>
      <c r="F1716" s="953" t="str">
        <f t="shared" si="317"/>
        <v/>
      </c>
      <c r="G1716" s="953" t="str">
        <f t="shared" si="318"/>
        <v/>
      </c>
      <c r="H1716" s="953">
        <f t="shared" si="319"/>
        <v>0</v>
      </c>
      <c r="I1716" s="953">
        <f t="shared" si="320"/>
        <v>0</v>
      </c>
      <c r="J1716" s="953">
        <f t="shared" si="321"/>
        <v>0</v>
      </c>
      <c r="K1716" s="953" t="str">
        <f t="shared" si="322"/>
        <v/>
      </c>
      <c r="L1716" s="570" t="str">
        <f t="shared" si="323"/>
        <v/>
      </c>
      <c r="M1716" s="570" t="str">
        <f t="shared" si="324"/>
        <v/>
      </c>
    </row>
    <row r="1717" spans="1:13">
      <c r="A1717" s="570" t="str">
        <f t="shared" si="325"/>
        <v/>
      </c>
      <c r="C1717" s="953" t="str">
        <f t="shared" si="314"/>
        <v/>
      </c>
      <c r="D1717" s="953" t="str">
        <f t="shared" si="315"/>
        <v/>
      </c>
      <c r="E1717" s="953" t="str">
        <f t="shared" si="316"/>
        <v/>
      </c>
      <c r="F1717" s="953" t="str">
        <f t="shared" si="317"/>
        <v/>
      </c>
      <c r="G1717" s="953" t="str">
        <f t="shared" si="318"/>
        <v/>
      </c>
      <c r="H1717" s="953">
        <f t="shared" si="319"/>
        <v>0</v>
      </c>
      <c r="I1717" s="953">
        <f t="shared" si="320"/>
        <v>0</v>
      </c>
      <c r="J1717" s="953">
        <f t="shared" si="321"/>
        <v>0</v>
      </c>
      <c r="K1717" s="953" t="str">
        <f t="shared" si="322"/>
        <v/>
      </c>
      <c r="L1717" s="570" t="str">
        <f t="shared" si="323"/>
        <v/>
      </c>
      <c r="M1717" s="570" t="str">
        <f t="shared" si="324"/>
        <v/>
      </c>
    </row>
    <row r="1718" spans="1:13">
      <c r="A1718" s="570" t="str">
        <f t="shared" si="325"/>
        <v/>
      </c>
      <c r="C1718" s="953" t="str">
        <f t="shared" si="314"/>
        <v/>
      </c>
      <c r="D1718" s="953" t="str">
        <f t="shared" si="315"/>
        <v/>
      </c>
      <c r="E1718" s="953" t="str">
        <f t="shared" si="316"/>
        <v/>
      </c>
      <c r="F1718" s="953" t="str">
        <f t="shared" si="317"/>
        <v/>
      </c>
      <c r="G1718" s="953" t="str">
        <f t="shared" si="318"/>
        <v/>
      </c>
      <c r="H1718" s="953">
        <f t="shared" si="319"/>
        <v>0</v>
      </c>
      <c r="I1718" s="953">
        <f t="shared" si="320"/>
        <v>0</v>
      </c>
      <c r="J1718" s="953">
        <f t="shared" si="321"/>
        <v>0</v>
      </c>
      <c r="K1718" s="953" t="str">
        <f t="shared" si="322"/>
        <v/>
      </c>
      <c r="L1718" s="570" t="str">
        <f t="shared" si="323"/>
        <v/>
      </c>
      <c r="M1718" s="570" t="str">
        <f t="shared" si="324"/>
        <v/>
      </c>
    </row>
    <row r="1719" spans="1:13">
      <c r="A1719" s="570" t="str">
        <f t="shared" si="325"/>
        <v/>
      </c>
      <c r="C1719" s="953" t="str">
        <f t="shared" si="314"/>
        <v/>
      </c>
      <c r="D1719" s="953" t="str">
        <f t="shared" si="315"/>
        <v/>
      </c>
      <c r="E1719" s="953" t="str">
        <f t="shared" si="316"/>
        <v/>
      </c>
      <c r="F1719" s="953" t="str">
        <f t="shared" si="317"/>
        <v/>
      </c>
      <c r="G1719" s="953" t="str">
        <f t="shared" si="318"/>
        <v/>
      </c>
      <c r="H1719" s="953">
        <f t="shared" si="319"/>
        <v>0</v>
      </c>
      <c r="I1719" s="953">
        <f t="shared" si="320"/>
        <v>0</v>
      </c>
      <c r="J1719" s="953">
        <f t="shared" si="321"/>
        <v>0</v>
      </c>
      <c r="K1719" s="953" t="str">
        <f t="shared" si="322"/>
        <v/>
      </c>
      <c r="L1719" s="570" t="str">
        <f t="shared" si="323"/>
        <v/>
      </c>
      <c r="M1719" s="570" t="str">
        <f t="shared" si="324"/>
        <v/>
      </c>
    </row>
    <row r="1720" spans="1:13">
      <c r="A1720" s="570" t="str">
        <f t="shared" si="325"/>
        <v/>
      </c>
      <c r="C1720" s="953" t="str">
        <f t="shared" si="314"/>
        <v/>
      </c>
      <c r="D1720" s="953" t="str">
        <f t="shared" si="315"/>
        <v/>
      </c>
      <c r="E1720" s="953" t="str">
        <f t="shared" si="316"/>
        <v/>
      </c>
      <c r="F1720" s="953" t="str">
        <f t="shared" si="317"/>
        <v/>
      </c>
      <c r="G1720" s="953" t="str">
        <f t="shared" si="318"/>
        <v/>
      </c>
      <c r="H1720" s="953">
        <f t="shared" si="319"/>
        <v>0</v>
      </c>
      <c r="I1720" s="953">
        <f t="shared" si="320"/>
        <v>0</v>
      </c>
      <c r="J1720" s="953">
        <f t="shared" si="321"/>
        <v>0</v>
      </c>
      <c r="K1720" s="953" t="str">
        <f t="shared" si="322"/>
        <v/>
      </c>
      <c r="L1720" s="570" t="str">
        <f t="shared" si="323"/>
        <v/>
      </c>
      <c r="M1720" s="570" t="str">
        <f t="shared" si="324"/>
        <v/>
      </c>
    </row>
    <row r="1721" spans="1:13">
      <c r="A1721" s="570" t="str">
        <f t="shared" si="325"/>
        <v/>
      </c>
      <c r="C1721" s="953" t="str">
        <f t="shared" si="314"/>
        <v/>
      </c>
      <c r="D1721" s="953" t="str">
        <f t="shared" si="315"/>
        <v/>
      </c>
      <c r="E1721" s="953" t="str">
        <f t="shared" si="316"/>
        <v/>
      </c>
      <c r="F1721" s="953" t="str">
        <f t="shared" si="317"/>
        <v/>
      </c>
      <c r="G1721" s="953" t="str">
        <f t="shared" si="318"/>
        <v/>
      </c>
      <c r="H1721" s="953">
        <f t="shared" si="319"/>
        <v>0</v>
      </c>
      <c r="I1721" s="953">
        <f t="shared" si="320"/>
        <v>0</v>
      </c>
      <c r="J1721" s="953">
        <f t="shared" si="321"/>
        <v>0</v>
      </c>
      <c r="K1721" s="953" t="str">
        <f t="shared" si="322"/>
        <v/>
      </c>
      <c r="L1721" s="570" t="str">
        <f t="shared" si="323"/>
        <v/>
      </c>
      <c r="M1721" s="570" t="str">
        <f t="shared" si="324"/>
        <v/>
      </c>
    </row>
    <row r="1722" spans="1:13">
      <c r="A1722" s="570" t="str">
        <f t="shared" si="325"/>
        <v/>
      </c>
      <c r="C1722" s="953" t="str">
        <f t="shared" si="314"/>
        <v/>
      </c>
      <c r="D1722" s="953" t="str">
        <f t="shared" si="315"/>
        <v/>
      </c>
      <c r="E1722" s="953" t="str">
        <f t="shared" si="316"/>
        <v/>
      </c>
      <c r="F1722" s="953" t="str">
        <f t="shared" si="317"/>
        <v/>
      </c>
      <c r="G1722" s="953" t="str">
        <f t="shared" si="318"/>
        <v/>
      </c>
      <c r="H1722" s="953">
        <f t="shared" si="319"/>
        <v>0</v>
      </c>
      <c r="I1722" s="953">
        <f t="shared" si="320"/>
        <v>0</v>
      </c>
      <c r="J1722" s="953">
        <f t="shared" si="321"/>
        <v>0</v>
      </c>
      <c r="K1722" s="953" t="str">
        <f t="shared" si="322"/>
        <v/>
      </c>
      <c r="L1722" s="570" t="str">
        <f t="shared" si="323"/>
        <v/>
      </c>
      <c r="M1722" s="570" t="str">
        <f t="shared" si="324"/>
        <v/>
      </c>
    </row>
    <row r="1723" spans="1:13">
      <c r="A1723" s="570" t="str">
        <f t="shared" si="325"/>
        <v/>
      </c>
      <c r="C1723" s="953" t="str">
        <f t="shared" si="314"/>
        <v/>
      </c>
      <c r="D1723" s="953" t="str">
        <f t="shared" si="315"/>
        <v/>
      </c>
      <c r="E1723" s="953" t="str">
        <f t="shared" si="316"/>
        <v/>
      </c>
      <c r="F1723" s="953" t="str">
        <f t="shared" si="317"/>
        <v/>
      </c>
      <c r="G1723" s="953" t="str">
        <f t="shared" si="318"/>
        <v/>
      </c>
      <c r="H1723" s="953">
        <f t="shared" si="319"/>
        <v>0</v>
      </c>
      <c r="I1723" s="953">
        <f t="shared" si="320"/>
        <v>0</v>
      </c>
      <c r="J1723" s="953">
        <f t="shared" si="321"/>
        <v>0</v>
      </c>
      <c r="K1723" s="953" t="str">
        <f t="shared" si="322"/>
        <v/>
      </c>
      <c r="L1723" s="570" t="str">
        <f t="shared" si="323"/>
        <v/>
      </c>
      <c r="M1723" s="570" t="str">
        <f t="shared" si="324"/>
        <v/>
      </c>
    </row>
    <row r="1724" spans="1:13">
      <c r="A1724" s="570" t="str">
        <f t="shared" si="325"/>
        <v/>
      </c>
      <c r="C1724" s="953" t="str">
        <f t="shared" si="314"/>
        <v/>
      </c>
      <c r="D1724" s="953" t="str">
        <f t="shared" si="315"/>
        <v/>
      </c>
      <c r="E1724" s="953" t="str">
        <f t="shared" si="316"/>
        <v/>
      </c>
      <c r="F1724" s="953" t="str">
        <f t="shared" si="317"/>
        <v/>
      </c>
      <c r="G1724" s="953" t="str">
        <f t="shared" si="318"/>
        <v/>
      </c>
      <c r="H1724" s="953">
        <f t="shared" si="319"/>
        <v>0</v>
      </c>
      <c r="I1724" s="953">
        <f t="shared" si="320"/>
        <v>0</v>
      </c>
      <c r="J1724" s="953">
        <f t="shared" si="321"/>
        <v>0</v>
      </c>
      <c r="K1724" s="953" t="str">
        <f t="shared" si="322"/>
        <v/>
      </c>
      <c r="L1724" s="570" t="str">
        <f t="shared" si="323"/>
        <v/>
      </c>
      <c r="M1724" s="570" t="str">
        <f t="shared" si="324"/>
        <v/>
      </c>
    </row>
    <row r="1725" spans="1:13">
      <c r="A1725" s="570" t="str">
        <f t="shared" si="325"/>
        <v/>
      </c>
      <c r="C1725" s="953" t="str">
        <f t="shared" si="314"/>
        <v/>
      </c>
      <c r="D1725" s="953" t="str">
        <f t="shared" si="315"/>
        <v/>
      </c>
      <c r="E1725" s="953" t="str">
        <f t="shared" si="316"/>
        <v/>
      </c>
      <c r="F1725" s="953" t="str">
        <f t="shared" si="317"/>
        <v/>
      </c>
      <c r="G1725" s="953" t="str">
        <f t="shared" si="318"/>
        <v/>
      </c>
      <c r="H1725" s="953">
        <f t="shared" si="319"/>
        <v>0</v>
      </c>
      <c r="I1725" s="953">
        <f t="shared" si="320"/>
        <v>0</v>
      </c>
      <c r="J1725" s="953">
        <f t="shared" si="321"/>
        <v>0</v>
      </c>
      <c r="K1725" s="953" t="str">
        <f t="shared" si="322"/>
        <v/>
      </c>
      <c r="L1725" s="570" t="str">
        <f t="shared" si="323"/>
        <v/>
      </c>
      <c r="M1725" s="570" t="str">
        <f t="shared" si="324"/>
        <v/>
      </c>
    </row>
    <row r="1726" spans="1:13">
      <c r="A1726" s="570" t="str">
        <f t="shared" si="325"/>
        <v/>
      </c>
      <c r="C1726" s="953" t="str">
        <f t="shared" si="314"/>
        <v/>
      </c>
      <c r="D1726" s="953" t="str">
        <f t="shared" si="315"/>
        <v/>
      </c>
      <c r="E1726" s="953" t="str">
        <f t="shared" si="316"/>
        <v/>
      </c>
      <c r="F1726" s="953" t="str">
        <f t="shared" si="317"/>
        <v/>
      </c>
      <c r="G1726" s="953" t="str">
        <f t="shared" si="318"/>
        <v/>
      </c>
      <c r="H1726" s="953">
        <f t="shared" si="319"/>
        <v>0</v>
      </c>
      <c r="I1726" s="953">
        <f t="shared" si="320"/>
        <v>0</v>
      </c>
      <c r="J1726" s="953">
        <f t="shared" si="321"/>
        <v>0</v>
      </c>
      <c r="K1726" s="953" t="str">
        <f t="shared" si="322"/>
        <v/>
      </c>
      <c r="L1726" s="570" t="str">
        <f t="shared" si="323"/>
        <v/>
      </c>
      <c r="M1726" s="570" t="str">
        <f t="shared" si="324"/>
        <v/>
      </c>
    </row>
    <row r="1727" spans="1:13">
      <c r="A1727" s="570" t="str">
        <f t="shared" si="325"/>
        <v/>
      </c>
      <c r="C1727" s="953" t="str">
        <f t="shared" si="314"/>
        <v/>
      </c>
      <c r="D1727" s="953" t="str">
        <f t="shared" si="315"/>
        <v/>
      </c>
      <c r="E1727" s="953" t="str">
        <f t="shared" si="316"/>
        <v/>
      </c>
      <c r="F1727" s="953" t="str">
        <f t="shared" si="317"/>
        <v/>
      </c>
      <c r="G1727" s="953" t="str">
        <f t="shared" si="318"/>
        <v/>
      </c>
      <c r="H1727" s="953">
        <f t="shared" si="319"/>
        <v>0</v>
      </c>
      <c r="I1727" s="953">
        <f t="shared" si="320"/>
        <v>0</v>
      </c>
      <c r="J1727" s="953">
        <f t="shared" si="321"/>
        <v>0</v>
      </c>
      <c r="K1727" s="953" t="str">
        <f t="shared" si="322"/>
        <v/>
      </c>
      <c r="L1727" s="570" t="str">
        <f t="shared" si="323"/>
        <v/>
      </c>
      <c r="M1727" s="570" t="str">
        <f t="shared" si="324"/>
        <v/>
      </c>
    </row>
    <row r="1728" spans="1:13">
      <c r="A1728" s="570" t="str">
        <f t="shared" si="325"/>
        <v/>
      </c>
      <c r="C1728" s="953" t="str">
        <f t="shared" si="314"/>
        <v/>
      </c>
      <c r="D1728" s="953" t="str">
        <f t="shared" si="315"/>
        <v/>
      </c>
      <c r="E1728" s="953" t="str">
        <f t="shared" si="316"/>
        <v/>
      </c>
      <c r="F1728" s="953" t="str">
        <f t="shared" si="317"/>
        <v/>
      </c>
      <c r="G1728" s="953" t="str">
        <f t="shared" si="318"/>
        <v/>
      </c>
      <c r="H1728" s="953">
        <f t="shared" si="319"/>
        <v>0</v>
      </c>
      <c r="I1728" s="953">
        <f t="shared" si="320"/>
        <v>0</v>
      </c>
      <c r="J1728" s="953">
        <f t="shared" si="321"/>
        <v>0</v>
      </c>
      <c r="K1728" s="953" t="str">
        <f t="shared" si="322"/>
        <v/>
      </c>
      <c r="L1728" s="570" t="str">
        <f t="shared" si="323"/>
        <v/>
      </c>
      <c r="M1728" s="570" t="str">
        <f t="shared" si="324"/>
        <v/>
      </c>
    </row>
    <row r="1729" spans="1:13">
      <c r="A1729" s="570" t="str">
        <f t="shared" si="325"/>
        <v/>
      </c>
      <c r="C1729" s="953" t="str">
        <f t="shared" si="314"/>
        <v/>
      </c>
      <c r="D1729" s="953" t="str">
        <f t="shared" si="315"/>
        <v/>
      </c>
      <c r="E1729" s="953" t="str">
        <f t="shared" si="316"/>
        <v/>
      </c>
      <c r="F1729" s="953" t="str">
        <f t="shared" si="317"/>
        <v/>
      </c>
      <c r="G1729" s="953" t="str">
        <f t="shared" si="318"/>
        <v/>
      </c>
      <c r="H1729" s="953">
        <f t="shared" si="319"/>
        <v>0</v>
      </c>
      <c r="I1729" s="953">
        <f t="shared" si="320"/>
        <v>0</v>
      </c>
      <c r="J1729" s="953">
        <f t="shared" si="321"/>
        <v>0</v>
      </c>
      <c r="K1729" s="953" t="str">
        <f t="shared" si="322"/>
        <v/>
      </c>
      <c r="L1729" s="570" t="str">
        <f t="shared" si="323"/>
        <v/>
      </c>
      <c r="M1729" s="570" t="str">
        <f t="shared" si="324"/>
        <v/>
      </c>
    </row>
    <row r="1730" spans="1:13">
      <c r="A1730" s="570" t="str">
        <f t="shared" si="325"/>
        <v/>
      </c>
      <c r="C1730" s="953" t="str">
        <f t="shared" ref="C1730:C1735" si="326">IF(Etabs="Etabs 9.7.4",IF(INDEX(Mode_1,ROW($E1730),COLUMN(A$1))&lt;&gt;"",INDEX(Mode_1,ROW($E1730),COLUMN(A$1)),""),IF(Etabs="Etabs 2013 trở lên",IF(INDEX(Mode_2,ROW($E1732),COLUMN(A$1))&lt;&gt;"",INDEX(Mode_2,ROW($E1732),COLUMN(A$1)),""),""))</f>
        <v/>
      </c>
      <c r="D1730" s="953" t="str">
        <f t="shared" ref="D1730:D1735" si="327">IF(Etabs="Etabs 9.7.4",IF(INDEX(Mode_1,ROW($E1730),COLUMN(B$1))&lt;&gt;"",INDEX(Mode_1,ROW($E1730),COLUMN(B$1)),""),IF(Etabs="Etabs 2013 trở lên",IF(INDEX(Mode_2,ROW($E1732),COLUMN(B$1))&lt;&gt;"",INDEX(Mode_2,ROW($E1732),COLUMN(B$1)),""),""))</f>
        <v/>
      </c>
      <c r="E1730" s="953" t="str">
        <f t="shared" ref="E1730:E1735" si="328">IF(Etabs="Etabs 9.7.4",IF(INDEX(Mode_1,ROW($E1730),COLUMN(C$1))&lt;&gt;"",INDEX(Mode_1,ROW($E1730),COLUMN(C$1)),""),IF(Etabs="Etabs 2013 trở lên",$M1730,""))</f>
        <v/>
      </c>
      <c r="F1730" s="953" t="str">
        <f t="shared" ref="F1730:F1735" si="329">IF(Etabs="Etabs 9.7.4",IF(INDEX(Mode_1,ROW($E1730),COLUMN(D$1))&lt;&gt;"",INDEX(Mode_1,ROW($E1730),COLUMN(D$1)),""),IF(Etabs="Etabs 2013 trở lên",IF(INDEX(Mode_2,ROW($E1732),COLUMN(D$1))&lt;&gt;"",INDEX(Mode_2,ROW($E1732),COLUMN(D$1)),""),""))</f>
        <v/>
      </c>
      <c r="G1730" s="953" t="str">
        <f t="shared" ref="G1730:G1735" si="330">IF(Etabs="Etabs 9.7.4",IF(INDEX(Mode_1,ROW($E1730),COLUMN(E$1))&lt;&gt;"",INDEX(Mode_1,ROW($E1730),COLUMN(E$1)),""),IF(Etabs="Etabs 2013 trở lên",IF(INDEX(Mode_2,ROW($E1732),COLUMN(E$1))&lt;&gt;"",INDEX(Mode_2,ROW($E1732),COLUMN(E$1)),""),""))</f>
        <v/>
      </c>
      <c r="H1730" s="953">
        <f t="shared" ref="H1730:H1735" si="331">IF(Etabs="Etabs 9.7.4",IF(INDEX(Mode_1,ROW($E1730),COLUMN(F$1))&lt;&gt;"",INDEX(Mode_1,ROW($E1730),COLUMN(F$1)),""),IF(Etabs="Etabs 2013 trở lên",0,""))</f>
        <v>0</v>
      </c>
      <c r="I1730" s="953">
        <f t="shared" ref="I1730:I1735" si="332">IF(Etabs="Etabs 9.7.4",IF(INDEX(Mode_1,ROW($E1730),COLUMN(G$1))&lt;&gt;"",INDEX(Mode_1,ROW($E1730),COLUMN(G$1)),""),IF(Etabs="Etabs 2013 trở lên",0,""))</f>
        <v>0</v>
      </c>
      <c r="J1730" s="953">
        <f t="shared" ref="J1730:J1735" si="333">IF(Etabs="Etabs 9.7.4",IF(INDEX(Mode_1,ROW($E1730),COLUMN(H$1))&lt;&gt;"",INDEX(Mode_1,ROW($E1730),COLUMN(H$1)),""),IF(Etabs="Etabs 2013 trở lên",0,""))</f>
        <v>0</v>
      </c>
      <c r="K1730" s="953" t="str">
        <f t="shared" ref="K1730:K1735" si="334">IF(Etabs="Etabs 9.7.4",IF(INDEX(Mode_1,ROW($E1730),COLUMN(I$1))&lt;&gt;"",INDEX(Mode_1,ROW($E1730),COLUMN(I$1)),""),IF(Etabs="Etabs 2013 trở lên",IF(INDEX(Mode_2,ROW($E1732),COLUMN(F$1))&lt;&gt;"",INDEX(Mode_2,ROW($E1732),COLUMN(F$1)),""),""))</f>
        <v/>
      </c>
      <c r="L1730" s="570" t="str">
        <f t="shared" ref="L1730:L1735" si="335">IF(Etabs="Etabs 9.7.4",IF(INDEX(Mode_1,ROW($E1730),COLUMN(C$1))&lt;&gt;"",INDEX(Mode_1,ROW($E1730),COLUMN(C$1)),""),IF(Etabs="Etabs 2013 trở lên",IF(INDEX(Mode_2,ROW($E1732),COLUMN(C$1))&lt;&gt;"",INDEX(Mode_2,ROW($E1732),COLUMN(C$1)),""),""))</f>
        <v/>
      </c>
      <c r="M1730" s="570" t="str">
        <f t="shared" si="324"/>
        <v/>
      </c>
    </row>
    <row r="1731" spans="1:13">
      <c r="A1731" s="570" t="str">
        <f t="shared" si="325"/>
        <v/>
      </c>
      <c r="C1731" s="953" t="str">
        <f t="shared" si="326"/>
        <v/>
      </c>
      <c r="D1731" s="953" t="str">
        <f t="shared" si="327"/>
        <v/>
      </c>
      <c r="E1731" s="953" t="str">
        <f t="shared" si="328"/>
        <v/>
      </c>
      <c r="F1731" s="953" t="str">
        <f t="shared" si="329"/>
        <v/>
      </c>
      <c r="G1731" s="953" t="str">
        <f t="shared" si="330"/>
        <v/>
      </c>
      <c r="H1731" s="953">
        <f t="shared" si="331"/>
        <v>0</v>
      </c>
      <c r="I1731" s="953">
        <f t="shared" si="332"/>
        <v>0</v>
      </c>
      <c r="J1731" s="953">
        <f t="shared" si="333"/>
        <v>0</v>
      </c>
      <c r="K1731" s="953" t="str">
        <f t="shared" si="334"/>
        <v/>
      </c>
      <c r="L1731" s="570" t="str">
        <f t="shared" si="335"/>
        <v/>
      </c>
      <c r="M1731" s="570" t="str">
        <f t="shared" ref="M1731:M1735" si="336">IFERROR(VALUE(RIGHT(L1731,LEN(L1731)-6)),"")</f>
        <v/>
      </c>
    </row>
    <row r="1732" spans="1:13">
      <c r="A1732" s="570" t="str">
        <f t="shared" si="325"/>
        <v/>
      </c>
      <c r="C1732" s="953" t="str">
        <f t="shared" si="326"/>
        <v/>
      </c>
      <c r="D1732" s="953" t="str">
        <f t="shared" si="327"/>
        <v/>
      </c>
      <c r="E1732" s="953" t="str">
        <f t="shared" si="328"/>
        <v/>
      </c>
      <c r="F1732" s="953" t="str">
        <f t="shared" si="329"/>
        <v/>
      </c>
      <c r="G1732" s="953" t="str">
        <f t="shared" si="330"/>
        <v/>
      </c>
      <c r="H1732" s="953">
        <f t="shared" si="331"/>
        <v>0</v>
      </c>
      <c r="I1732" s="953">
        <f t="shared" si="332"/>
        <v>0</v>
      </c>
      <c r="J1732" s="953">
        <f t="shared" si="333"/>
        <v>0</v>
      </c>
      <c r="K1732" s="953" t="str">
        <f t="shared" si="334"/>
        <v/>
      </c>
      <c r="L1732" s="570" t="str">
        <f t="shared" si="335"/>
        <v/>
      </c>
      <c r="M1732" s="570" t="str">
        <f t="shared" si="336"/>
        <v/>
      </c>
    </row>
    <row r="1733" spans="1:13">
      <c r="A1733" s="570" t="str">
        <f t="shared" si="325"/>
        <v/>
      </c>
      <c r="C1733" s="953" t="str">
        <f t="shared" si="326"/>
        <v/>
      </c>
      <c r="D1733" s="953" t="str">
        <f t="shared" si="327"/>
        <v/>
      </c>
      <c r="E1733" s="953" t="str">
        <f t="shared" si="328"/>
        <v/>
      </c>
      <c r="F1733" s="953" t="str">
        <f t="shared" si="329"/>
        <v/>
      </c>
      <c r="G1733" s="953" t="str">
        <f t="shared" si="330"/>
        <v/>
      </c>
      <c r="H1733" s="953">
        <f t="shared" si="331"/>
        <v>0</v>
      </c>
      <c r="I1733" s="953">
        <f t="shared" si="332"/>
        <v>0</v>
      </c>
      <c r="J1733" s="953">
        <f t="shared" si="333"/>
        <v>0</v>
      </c>
      <c r="K1733" s="953" t="str">
        <f t="shared" si="334"/>
        <v/>
      </c>
      <c r="L1733" s="570" t="str">
        <f t="shared" si="335"/>
        <v/>
      </c>
      <c r="M1733" s="570" t="str">
        <f t="shared" si="336"/>
        <v/>
      </c>
    </row>
    <row r="1734" spans="1:13">
      <c r="A1734" s="570" t="str">
        <f t="shared" ref="A1734:A1735" si="337">C1734&amp;E1734</f>
        <v/>
      </c>
      <c r="C1734" s="953" t="str">
        <f t="shared" si="326"/>
        <v/>
      </c>
      <c r="D1734" s="953" t="str">
        <f t="shared" si="327"/>
        <v/>
      </c>
      <c r="E1734" s="953" t="str">
        <f t="shared" si="328"/>
        <v/>
      </c>
      <c r="F1734" s="953" t="str">
        <f t="shared" si="329"/>
        <v/>
      </c>
      <c r="G1734" s="953" t="str">
        <f t="shared" si="330"/>
        <v/>
      </c>
      <c r="H1734" s="953">
        <f t="shared" si="331"/>
        <v>0</v>
      </c>
      <c r="I1734" s="953">
        <f t="shared" si="332"/>
        <v>0</v>
      </c>
      <c r="J1734" s="953">
        <f t="shared" si="333"/>
        <v>0</v>
      </c>
      <c r="K1734" s="953" t="str">
        <f t="shared" si="334"/>
        <v/>
      </c>
      <c r="L1734" s="570" t="str">
        <f t="shared" si="335"/>
        <v/>
      </c>
      <c r="M1734" s="570" t="str">
        <f t="shared" si="336"/>
        <v/>
      </c>
    </row>
    <row r="1735" spans="1:13">
      <c r="A1735" s="570" t="str">
        <f t="shared" si="337"/>
        <v/>
      </c>
      <c r="C1735" s="953" t="str">
        <f t="shared" si="326"/>
        <v/>
      </c>
      <c r="D1735" s="953" t="str">
        <f t="shared" si="327"/>
        <v/>
      </c>
      <c r="E1735" s="953" t="str">
        <f t="shared" si="328"/>
        <v/>
      </c>
      <c r="F1735" s="953" t="str">
        <f t="shared" si="329"/>
        <v/>
      </c>
      <c r="G1735" s="953" t="str">
        <f t="shared" si="330"/>
        <v/>
      </c>
      <c r="H1735" s="953">
        <f t="shared" si="331"/>
        <v>0</v>
      </c>
      <c r="I1735" s="953">
        <f t="shared" si="332"/>
        <v>0</v>
      </c>
      <c r="J1735" s="953">
        <f t="shared" si="333"/>
        <v>0</v>
      </c>
      <c r="K1735" s="953" t="str">
        <f t="shared" si="334"/>
        <v/>
      </c>
      <c r="L1735" s="570" t="str">
        <f t="shared" si="335"/>
        <v/>
      </c>
      <c r="M1735" s="570" t="str">
        <f t="shared" si="336"/>
        <v/>
      </c>
    </row>
  </sheetData>
  <autoFilter ref="C1:K1735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G150"/>
  <sheetViews>
    <sheetView view="pageBreakPreview" topLeftCell="A22" zoomScaleNormal="100" zoomScaleSheetLayoutView="100" workbookViewId="0">
      <selection activeCell="H41" sqref="H41"/>
    </sheetView>
  </sheetViews>
  <sheetFormatPr defaultColWidth="9" defaultRowHeight="15.75"/>
  <cols>
    <col min="1" max="16384" width="9" style="570"/>
  </cols>
  <sheetData>
    <row r="1" spans="1:7">
      <c r="A1" s="210" t="s">
        <v>1820</v>
      </c>
      <c r="B1" s="210" t="s">
        <v>1821</v>
      </c>
      <c r="C1" s="210" t="s">
        <v>1822</v>
      </c>
      <c r="D1" s="210" t="s">
        <v>1823</v>
      </c>
      <c r="G1" s="460" t="s">
        <v>2066</v>
      </c>
    </row>
    <row r="2" spans="1:7">
      <c r="A2" s="944" t="str">
        <f t="shared" ref="A2:D21" si="0">IF(Etabs="Etabs 9.7.4",IF(INDEX(Story_data_1,ROW($E2),COLUMN(A$1))&lt;&gt;"",INDEX(Story_data_1,ROW($E2),COLUMN(A$1)),""),IF(Etabs="Etabs 2013 trở lên",IF(INDEX(Story_Data_2,ROW($E4),COLUMN(A$1))&lt;&gt;"",INDEX(Story_Data_2,ROW($E4),COLUMN(A$1)),""),""))</f>
        <v>TMAI</v>
      </c>
      <c r="B2" s="944">
        <f t="shared" si="0"/>
        <v>5.6</v>
      </c>
      <c r="C2" s="944">
        <f t="shared" si="0"/>
        <v>135.80000000000001</v>
      </c>
      <c r="D2" s="944" t="str">
        <f t="shared" si="0"/>
        <v>No</v>
      </c>
    </row>
    <row r="3" spans="1:7">
      <c r="A3" s="944" t="str">
        <f t="shared" si="0"/>
        <v>TTUM</v>
      </c>
      <c r="B3" s="944">
        <f t="shared" si="0"/>
        <v>3.4</v>
      </c>
      <c r="C3" s="944">
        <f t="shared" si="0"/>
        <v>130.19999999999999</v>
      </c>
      <c r="D3" s="944" t="str">
        <f t="shared" si="0"/>
        <v>No</v>
      </c>
    </row>
    <row r="4" spans="1:7">
      <c r="A4" s="944" t="str">
        <f t="shared" si="0"/>
        <v>T38</v>
      </c>
      <c r="B4" s="944">
        <f t="shared" si="0"/>
        <v>3.4</v>
      </c>
      <c r="C4" s="944">
        <f t="shared" si="0"/>
        <v>126.8</v>
      </c>
      <c r="D4" s="944" t="str">
        <f t="shared" si="0"/>
        <v>No</v>
      </c>
      <c r="F4" s="460"/>
    </row>
    <row r="5" spans="1:7">
      <c r="A5" s="944" t="str">
        <f t="shared" si="0"/>
        <v>T37</v>
      </c>
      <c r="B5" s="944">
        <f t="shared" si="0"/>
        <v>3.4</v>
      </c>
      <c r="C5" s="944">
        <f t="shared" si="0"/>
        <v>123.4</v>
      </c>
      <c r="D5" s="944" t="str">
        <f t="shared" si="0"/>
        <v>No</v>
      </c>
    </row>
    <row r="6" spans="1:7">
      <c r="A6" s="944" t="str">
        <f t="shared" si="0"/>
        <v>T36</v>
      </c>
      <c r="B6" s="944">
        <f t="shared" si="0"/>
        <v>3.4</v>
      </c>
      <c r="C6" s="944">
        <f t="shared" si="0"/>
        <v>120</v>
      </c>
      <c r="D6" s="944" t="str">
        <f t="shared" si="0"/>
        <v>No</v>
      </c>
    </row>
    <row r="7" spans="1:7">
      <c r="A7" s="944" t="str">
        <f t="shared" si="0"/>
        <v>T35</v>
      </c>
      <c r="B7" s="944">
        <f t="shared" si="0"/>
        <v>3.4</v>
      </c>
      <c r="C7" s="944">
        <f t="shared" si="0"/>
        <v>116.6</v>
      </c>
      <c r="D7" s="944" t="str">
        <f t="shared" si="0"/>
        <v>No</v>
      </c>
    </row>
    <row r="8" spans="1:7">
      <c r="A8" s="944" t="str">
        <f t="shared" si="0"/>
        <v>T34</v>
      </c>
      <c r="B8" s="944">
        <f t="shared" si="0"/>
        <v>3.4</v>
      </c>
      <c r="C8" s="944">
        <f t="shared" si="0"/>
        <v>113.2</v>
      </c>
      <c r="D8" s="944" t="str">
        <f t="shared" si="0"/>
        <v>No</v>
      </c>
    </row>
    <row r="9" spans="1:7">
      <c r="A9" s="944" t="str">
        <f t="shared" si="0"/>
        <v>T33</v>
      </c>
      <c r="B9" s="944">
        <f t="shared" si="0"/>
        <v>3.4</v>
      </c>
      <c r="C9" s="944">
        <f t="shared" si="0"/>
        <v>109.8</v>
      </c>
      <c r="D9" s="944" t="str">
        <f t="shared" si="0"/>
        <v>No</v>
      </c>
    </row>
    <row r="10" spans="1:7">
      <c r="A10" s="944" t="str">
        <f t="shared" si="0"/>
        <v>T32</v>
      </c>
      <c r="B10" s="944">
        <f t="shared" si="0"/>
        <v>3.4</v>
      </c>
      <c r="C10" s="944">
        <f t="shared" si="0"/>
        <v>106.4</v>
      </c>
      <c r="D10" s="944" t="str">
        <f t="shared" si="0"/>
        <v>No</v>
      </c>
    </row>
    <row r="11" spans="1:7">
      <c r="A11" s="944" t="str">
        <f t="shared" si="0"/>
        <v>T31</v>
      </c>
      <c r="B11" s="944">
        <f t="shared" si="0"/>
        <v>3.4</v>
      </c>
      <c r="C11" s="944">
        <f t="shared" si="0"/>
        <v>103</v>
      </c>
      <c r="D11" s="944" t="str">
        <f t="shared" si="0"/>
        <v>No</v>
      </c>
    </row>
    <row r="12" spans="1:7">
      <c r="A12" s="944" t="str">
        <f t="shared" si="0"/>
        <v>T30</v>
      </c>
      <c r="B12" s="944">
        <f t="shared" si="0"/>
        <v>3.4</v>
      </c>
      <c r="C12" s="944">
        <f t="shared" si="0"/>
        <v>99.6</v>
      </c>
      <c r="D12" s="944" t="str">
        <f t="shared" si="0"/>
        <v>No</v>
      </c>
    </row>
    <row r="13" spans="1:7">
      <c r="A13" s="944" t="str">
        <f t="shared" si="0"/>
        <v>T29</v>
      </c>
      <c r="B13" s="944">
        <f t="shared" si="0"/>
        <v>3.4</v>
      </c>
      <c r="C13" s="944">
        <f t="shared" si="0"/>
        <v>96.2</v>
      </c>
      <c r="D13" s="944" t="str">
        <f t="shared" si="0"/>
        <v>No</v>
      </c>
    </row>
    <row r="14" spans="1:7">
      <c r="A14" s="944" t="str">
        <f t="shared" si="0"/>
        <v>T28</v>
      </c>
      <c r="B14" s="944">
        <f t="shared" si="0"/>
        <v>3.4</v>
      </c>
      <c r="C14" s="944">
        <f t="shared" si="0"/>
        <v>92.8</v>
      </c>
      <c r="D14" s="944" t="str">
        <f t="shared" si="0"/>
        <v>No</v>
      </c>
    </row>
    <row r="15" spans="1:7">
      <c r="A15" s="944" t="str">
        <f t="shared" si="0"/>
        <v>T27</v>
      </c>
      <c r="B15" s="944">
        <f t="shared" si="0"/>
        <v>3.4</v>
      </c>
      <c r="C15" s="944">
        <f t="shared" si="0"/>
        <v>89.4</v>
      </c>
      <c r="D15" s="944" t="str">
        <f t="shared" si="0"/>
        <v>No</v>
      </c>
    </row>
    <row r="16" spans="1:7">
      <c r="A16" s="944" t="str">
        <f t="shared" si="0"/>
        <v>T26</v>
      </c>
      <c r="B16" s="944">
        <f t="shared" si="0"/>
        <v>3.4</v>
      </c>
      <c r="C16" s="944">
        <f t="shared" si="0"/>
        <v>86</v>
      </c>
      <c r="D16" s="944" t="str">
        <f t="shared" si="0"/>
        <v>No</v>
      </c>
    </row>
    <row r="17" spans="1:4">
      <c r="A17" s="944" t="str">
        <f t="shared" si="0"/>
        <v>T25</v>
      </c>
      <c r="B17" s="944">
        <f t="shared" si="0"/>
        <v>3.4</v>
      </c>
      <c r="C17" s="944">
        <f t="shared" si="0"/>
        <v>82.6</v>
      </c>
      <c r="D17" s="944" t="str">
        <f t="shared" si="0"/>
        <v>No</v>
      </c>
    </row>
    <row r="18" spans="1:4">
      <c r="A18" s="944" t="str">
        <f t="shared" si="0"/>
        <v>T24</v>
      </c>
      <c r="B18" s="944">
        <f t="shared" si="0"/>
        <v>3.4</v>
      </c>
      <c r="C18" s="944">
        <f t="shared" si="0"/>
        <v>79.2</v>
      </c>
      <c r="D18" s="944" t="str">
        <f t="shared" si="0"/>
        <v>No</v>
      </c>
    </row>
    <row r="19" spans="1:4">
      <c r="A19" s="944" t="str">
        <f t="shared" si="0"/>
        <v>T23</v>
      </c>
      <c r="B19" s="944">
        <f t="shared" si="0"/>
        <v>3.4</v>
      </c>
      <c r="C19" s="944">
        <f t="shared" si="0"/>
        <v>75.8</v>
      </c>
      <c r="D19" s="944" t="str">
        <f t="shared" si="0"/>
        <v>No</v>
      </c>
    </row>
    <row r="20" spans="1:4">
      <c r="A20" s="944" t="str">
        <f t="shared" si="0"/>
        <v>T22</v>
      </c>
      <c r="B20" s="944">
        <f t="shared" si="0"/>
        <v>3.4</v>
      </c>
      <c r="C20" s="944">
        <f t="shared" si="0"/>
        <v>72.400000000000006</v>
      </c>
      <c r="D20" s="944" t="str">
        <f t="shared" si="0"/>
        <v>No</v>
      </c>
    </row>
    <row r="21" spans="1:4">
      <c r="A21" s="944" t="str">
        <f t="shared" si="0"/>
        <v>T21</v>
      </c>
      <c r="B21" s="944">
        <f t="shared" si="0"/>
        <v>3.4</v>
      </c>
      <c r="C21" s="944">
        <f t="shared" si="0"/>
        <v>69</v>
      </c>
      <c r="D21" s="944" t="str">
        <f t="shared" si="0"/>
        <v>No</v>
      </c>
    </row>
    <row r="22" spans="1:4">
      <c r="A22" s="944" t="str">
        <f t="shared" ref="A22:D41" si="1">IF(Etabs="Etabs 9.7.4",IF(INDEX(Story_data_1,ROW($E22),COLUMN(A$1))&lt;&gt;"",INDEX(Story_data_1,ROW($E22),COLUMN(A$1)),""),IF(Etabs="Etabs 2013 trở lên",IF(INDEX(Story_Data_2,ROW($E24),COLUMN(A$1))&lt;&gt;"",INDEX(Story_Data_2,ROW($E24),COLUMN(A$1)),""),""))</f>
        <v>T20</v>
      </c>
      <c r="B22" s="944">
        <f t="shared" si="1"/>
        <v>3.4</v>
      </c>
      <c r="C22" s="944">
        <f t="shared" si="1"/>
        <v>65.599999999999994</v>
      </c>
      <c r="D22" s="944" t="str">
        <f t="shared" si="1"/>
        <v>No</v>
      </c>
    </row>
    <row r="23" spans="1:4">
      <c r="A23" s="944" t="str">
        <f t="shared" si="1"/>
        <v>T19</v>
      </c>
      <c r="B23" s="944">
        <f t="shared" si="1"/>
        <v>3.4</v>
      </c>
      <c r="C23" s="944">
        <f t="shared" si="1"/>
        <v>62.2</v>
      </c>
      <c r="D23" s="944" t="str">
        <f t="shared" si="1"/>
        <v>No</v>
      </c>
    </row>
    <row r="24" spans="1:4">
      <c r="A24" s="944" t="str">
        <f t="shared" si="1"/>
        <v>T18</v>
      </c>
      <c r="B24" s="944">
        <f t="shared" si="1"/>
        <v>3.4</v>
      </c>
      <c r="C24" s="944">
        <f t="shared" si="1"/>
        <v>58.8</v>
      </c>
      <c r="D24" s="944" t="str">
        <f t="shared" si="1"/>
        <v>No</v>
      </c>
    </row>
    <row r="25" spans="1:4">
      <c r="A25" s="944" t="str">
        <f t="shared" si="1"/>
        <v>T17</v>
      </c>
      <c r="B25" s="944">
        <f t="shared" si="1"/>
        <v>3.4</v>
      </c>
      <c r="C25" s="944">
        <f t="shared" si="1"/>
        <v>55.4</v>
      </c>
      <c r="D25" s="944" t="str">
        <f t="shared" si="1"/>
        <v>No</v>
      </c>
    </row>
    <row r="26" spans="1:4">
      <c r="A26" s="944" t="str">
        <f t="shared" si="1"/>
        <v>T16</v>
      </c>
      <c r="B26" s="944">
        <f t="shared" si="1"/>
        <v>3.4</v>
      </c>
      <c r="C26" s="944">
        <f t="shared" si="1"/>
        <v>52</v>
      </c>
      <c r="D26" s="944" t="str">
        <f t="shared" si="1"/>
        <v>No</v>
      </c>
    </row>
    <row r="27" spans="1:4">
      <c r="A27" s="944" t="str">
        <f t="shared" si="1"/>
        <v>T15</v>
      </c>
      <c r="B27" s="944">
        <f t="shared" si="1"/>
        <v>3.4</v>
      </c>
      <c r="C27" s="944">
        <f t="shared" si="1"/>
        <v>48.6</v>
      </c>
      <c r="D27" s="944" t="str">
        <f t="shared" si="1"/>
        <v>No</v>
      </c>
    </row>
    <row r="28" spans="1:4">
      <c r="A28" s="944" t="str">
        <f t="shared" si="1"/>
        <v>T14</v>
      </c>
      <c r="B28" s="944">
        <f t="shared" si="1"/>
        <v>3.4</v>
      </c>
      <c r="C28" s="944">
        <f t="shared" si="1"/>
        <v>45.2</v>
      </c>
      <c r="D28" s="944" t="str">
        <f t="shared" si="1"/>
        <v>No</v>
      </c>
    </row>
    <row r="29" spans="1:4">
      <c r="A29" s="944" t="str">
        <f t="shared" si="1"/>
        <v>T13</v>
      </c>
      <c r="B29" s="944">
        <f t="shared" si="1"/>
        <v>3.4</v>
      </c>
      <c r="C29" s="944">
        <f t="shared" si="1"/>
        <v>41.8</v>
      </c>
      <c r="D29" s="944" t="str">
        <f t="shared" si="1"/>
        <v>No</v>
      </c>
    </row>
    <row r="30" spans="1:4">
      <c r="A30" s="944" t="str">
        <f t="shared" si="1"/>
        <v>T12</v>
      </c>
      <c r="B30" s="944">
        <f t="shared" si="1"/>
        <v>3.4</v>
      </c>
      <c r="C30" s="944">
        <f t="shared" si="1"/>
        <v>38.4</v>
      </c>
      <c r="D30" s="944" t="str">
        <f t="shared" si="1"/>
        <v>No</v>
      </c>
    </row>
    <row r="31" spans="1:4">
      <c r="A31" s="944" t="str">
        <f t="shared" si="1"/>
        <v>T11</v>
      </c>
      <c r="B31" s="944">
        <f t="shared" si="1"/>
        <v>3.4</v>
      </c>
      <c r="C31" s="944">
        <f t="shared" si="1"/>
        <v>35</v>
      </c>
      <c r="D31" s="944" t="str">
        <f t="shared" si="1"/>
        <v>No</v>
      </c>
    </row>
    <row r="32" spans="1:4">
      <c r="A32" s="944" t="str">
        <f t="shared" si="1"/>
        <v>T10</v>
      </c>
      <c r="B32" s="944">
        <f t="shared" si="1"/>
        <v>3.4</v>
      </c>
      <c r="C32" s="944">
        <f t="shared" si="1"/>
        <v>31.6</v>
      </c>
      <c r="D32" s="944" t="str">
        <f t="shared" si="1"/>
        <v>No</v>
      </c>
    </row>
    <row r="33" spans="1:4">
      <c r="A33" s="944" t="str">
        <f t="shared" si="1"/>
        <v>T9</v>
      </c>
      <c r="B33" s="944">
        <f t="shared" si="1"/>
        <v>3.4</v>
      </c>
      <c r="C33" s="944">
        <f t="shared" si="1"/>
        <v>28.2</v>
      </c>
      <c r="D33" s="944" t="str">
        <f t="shared" si="1"/>
        <v>No</v>
      </c>
    </row>
    <row r="34" spans="1:4">
      <c r="A34" s="944" t="str">
        <f t="shared" si="1"/>
        <v>T8</v>
      </c>
      <c r="B34" s="944">
        <f t="shared" si="1"/>
        <v>3.4</v>
      </c>
      <c r="C34" s="944">
        <f t="shared" si="1"/>
        <v>24.8</v>
      </c>
      <c r="D34" s="944" t="str">
        <f t="shared" si="1"/>
        <v>No</v>
      </c>
    </row>
    <row r="35" spans="1:4">
      <c r="A35" s="944" t="str">
        <f t="shared" si="1"/>
        <v>T7</v>
      </c>
      <c r="B35" s="944">
        <f t="shared" si="1"/>
        <v>3.4</v>
      </c>
      <c r="C35" s="944">
        <f t="shared" si="1"/>
        <v>21.4</v>
      </c>
      <c r="D35" s="944" t="str">
        <f t="shared" si="1"/>
        <v>No</v>
      </c>
    </row>
    <row r="36" spans="1:4">
      <c r="A36" s="944" t="str">
        <f t="shared" si="1"/>
        <v>T6</v>
      </c>
      <c r="B36" s="944">
        <f t="shared" si="1"/>
        <v>3.4</v>
      </c>
      <c r="C36" s="944">
        <f t="shared" si="1"/>
        <v>18</v>
      </c>
      <c r="D36" s="944" t="str">
        <f t="shared" si="1"/>
        <v>No</v>
      </c>
    </row>
    <row r="37" spans="1:4">
      <c r="A37" s="944" t="str">
        <f t="shared" si="1"/>
        <v>T5</v>
      </c>
      <c r="B37" s="944">
        <f t="shared" si="1"/>
        <v>3.4</v>
      </c>
      <c r="C37" s="944">
        <f t="shared" si="1"/>
        <v>14.6</v>
      </c>
      <c r="D37" s="944" t="str">
        <f t="shared" si="1"/>
        <v>No</v>
      </c>
    </row>
    <row r="38" spans="1:4">
      <c r="A38" s="944" t="str">
        <f t="shared" si="1"/>
        <v>T4</v>
      </c>
      <c r="B38" s="944">
        <f t="shared" si="1"/>
        <v>3.4</v>
      </c>
      <c r="C38" s="944">
        <f t="shared" si="1"/>
        <v>11.2</v>
      </c>
      <c r="D38" s="944" t="str">
        <f t="shared" si="1"/>
        <v>No</v>
      </c>
    </row>
    <row r="39" spans="1:4">
      <c r="A39" s="944" t="str">
        <f t="shared" si="1"/>
        <v>T3</v>
      </c>
      <c r="B39" s="944">
        <f t="shared" si="1"/>
        <v>3.4</v>
      </c>
      <c r="C39" s="944">
        <f t="shared" si="1"/>
        <v>7.8</v>
      </c>
      <c r="D39" s="944" t="str">
        <f t="shared" si="1"/>
        <v>No</v>
      </c>
    </row>
    <row r="40" spans="1:4">
      <c r="A40" s="944" t="str">
        <f t="shared" si="1"/>
        <v>T2</v>
      </c>
      <c r="B40" s="944">
        <f t="shared" si="1"/>
        <v>4.4000000000000004</v>
      </c>
      <c r="C40" s="944">
        <f t="shared" si="1"/>
        <v>4.4000000000000004</v>
      </c>
      <c r="D40" s="944" t="str">
        <f t="shared" si="1"/>
        <v>Yes</v>
      </c>
    </row>
    <row r="41" spans="1:4">
      <c r="A41" s="944" t="str">
        <f t="shared" si="1"/>
        <v>T1</v>
      </c>
      <c r="B41" s="944">
        <f t="shared" si="1"/>
        <v>4.6500000000000004</v>
      </c>
      <c r="C41" s="944">
        <f t="shared" si="1"/>
        <v>0</v>
      </c>
      <c r="D41" s="944" t="str">
        <f t="shared" si="1"/>
        <v>No</v>
      </c>
    </row>
    <row r="42" spans="1:4">
      <c r="A42" s="944" t="str">
        <f t="shared" ref="A42:D61" si="2">IF(Etabs="Etabs 9.7.4",IF(INDEX(Story_data_1,ROW($E42),COLUMN(A$1))&lt;&gt;"",INDEX(Story_data_1,ROW($E42),COLUMN(A$1)),""),IF(Etabs="Etabs 2013 trở lên",IF(INDEX(Story_Data_2,ROW($E44),COLUMN(A$1))&lt;&gt;"",INDEX(Story_Data_2,ROW($E44),COLUMN(A$1)),""),""))</f>
        <v>B1</v>
      </c>
      <c r="B42" s="944">
        <f t="shared" si="2"/>
        <v>3</v>
      </c>
      <c r="C42" s="944">
        <f t="shared" si="2"/>
        <v>-4.6500000000000004</v>
      </c>
      <c r="D42" s="944" t="str">
        <f t="shared" si="2"/>
        <v>No</v>
      </c>
    </row>
    <row r="43" spans="1:4">
      <c r="A43" s="944" t="str">
        <f t="shared" si="2"/>
        <v>BASE</v>
      </c>
      <c r="B43" s="944">
        <f t="shared" si="2"/>
        <v>0</v>
      </c>
      <c r="C43" s="944">
        <f t="shared" si="2"/>
        <v>-7.65</v>
      </c>
      <c r="D43" s="944" t="str">
        <f t="shared" si="2"/>
        <v>No</v>
      </c>
    </row>
    <row r="44" spans="1:4">
      <c r="A44" s="944" t="str">
        <f t="shared" si="2"/>
        <v/>
      </c>
      <c r="B44" s="944" t="str">
        <f t="shared" si="2"/>
        <v/>
      </c>
      <c r="C44" s="944" t="str">
        <f t="shared" si="2"/>
        <v/>
      </c>
      <c r="D44" s="944" t="str">
        <f t="shared" si="2"/>
        <v/>
      </c>
    </row>
    <row r="45" spans="1:4">
      <c r="A45" s="944" t="str">
        <f t="shared" si="2"/>
        <v/>
      </c>
      <c r="B45" s="944" t="str">
        <f t="shared" si="2"/>
        <v/>
      </c>
      <c r="C45" s="944" t="str">
        <f t="shared" si="2"/>
        <v/>
      </c>
      <c r="D45" s="944" t="str">
        <f t="shared" si="2"/>
        <v/>
      </c>
    </row>
    <row r="46" spans="1:4">
      <c r="A46" s="944" t="str">
        <f t="shared" si="2"/>
        <v/>
      </c>
      <c r="B46" s="944" t="str">
        <f t="shared" si="2"/>
        <v/>
      </c>
      <c r="C46" s="944" t="str">
        <f t="shared" si="2"/>
        <v/>
      </c>
      <c r="D46" s="944" t="str">
        <f t="shared" si="2"/>
        <v/>
      </c>
    </row>
    <row r="47" spans="1:4">
      <c r="A47" s="944" t="str">
        <f t="shared" si="2"/>
        <v/>
      </c>
      <c r="B47" s="944" t="str">
        <f t="shared" si="2"/>
        <v/>
      </c>
      <c r="C47" s="944" t="str">
        <f t="shared" si="2"/>
        <v/>
      </c>
      <c r="D47" s="944" t="str">
        <f t="shared" si="2"/>
        <v/>
      </c>
    </row>
    <row r="48" spans="1:4">
      <c r="A48" s="944" t="str">
        <f t="shared" si="2"/>
        <v/>
      </c>
      <c r="B48" s="944" t="str">
        <f t="shared" si="2"/>
        <v/>
      </c>
      <c r="C48" s="944" t="str">
        <f t="shared" si="2"/>
        <v/>
      </c>
      <c r="D48" s="944" t="str">
        <f t="shared" si="2"/>
        <v/>
      </c>
    </row>
    <row r="49" spans="1:4">
      <c r="A49" s="944" t="str">
        <f t="shared" si="2"/>
        <v/>
      </c>
      <c r="B49" s="944" t="str">
        <f t="shared" si="2"/>
        <v/>
      </c>
      <c r="C49" s="944" t="str">
        <f t="shared" si="2"/>
        <v/>
      </c>
      <c r="D49" s="944" t="str">
        <f t="shared" si="2"/>
        <v/>
      </c>
    </row>
    <row r="50" spans="1:4">
      <c r="A50" s="944" t="str">
        <f t="shared" si="2"/>
        <v/>
      </c>
      <c r="B50" s="944" t="str">
        <f t="shared" si="2"/>
        <v/>
      </c>
      <c r="C50" s="944" t="str">
        <f t="shared" si="2"/>
        <v/>
      </c>
      <c r="D50" s="944" t="str">
        <f t="shared" si="2"/>
        <v/>
      </c>
    </row>
    <row r="51" spans="1:4">
      <c r="A51" s="944" t="str">
        <f t="shared" si="2"/>
        <v/>
      </c>
      <c r="B51" s="944" t="str">
        <f t="shared" si="2"/>
        <v/>
      </c>
      <c r="C51" s="944" t="str">
        <f t="shared" si="2"/>
        <v/>
      </c>
      <c r="D51" s="944" t="str">
        <f t="shared" si="2"/>
        <v/>
      </c>
    </row>
    <row r="52" spans="1:4">
      <c r="A52" s="944" t="str">
        <f t="shared" si="2"/>
        <v/>
      </c>
      <c r="B52" s="944" t="str">
        <f t="shared" si="2"/>
        <v/>
      </c>
      <c r="C52" s="944" t="str">
        <f t="shared" si="2"/>
        <v/>
      </c>
      <c r="D52" s="944" t="str">
        <f t="shared" si="2"/>
        <v/>
      </c>
    </row>
    <row r="53" spans="1:4">
      <c r="A53" s="944" t="str">
        <f t="shared" si="2"/>
        <v/>
      </c>
      <c r="B53" s="944" t="str">
        <f t="shared" si="2"/>
        <v/>
      </c>
      <c r="C53" s="944" t="str">
        <f t="shared" si="2"/>
        <v/>
      </c>
      <c r="D53" s="944" t="str">
        <f t="shared" si="2"/>
        <v/>
      </c>
    </row>
    <row r="54" spans="1:4">
      <c r="A54" s="944" t="str">
        <f t="shared" si="2"/>
        <v/>
      </c>
      <c r="B54" s="944" t="str">
        <f t="shared" si="2"/>
        <v/>
      </c>
      <c r="C54" s="944" t="str">
        <f t="shared" si="2"/>
        <v/>
      </c>
      <c r="D54" s="944" t="str">
        <f t="shared" si="2"/>
        <v/>
      </c>
    </row>
    <row r="55" spans="1:4">
      <c r="A55" s="944" t="str">
        <f t="shared" si="2"/>
        <v/>
      </c>
      <c r="B55" s="944" t="str">
        <f t="shared" si="2"/>
        <v/>
      </c>
      <c r="C55" s="944" t="str">
        <f t="shared" si="2"/>
        <v/>
      </c>
      <c r="D55" s="944" t="str">
        <f t="shared" si="2"/>
        <v/>
      </c>
    </row>
    <row r="56" spans="1:4">
      <c r="A56" s="944" t="str">
        <f t="shared" si="2"/>
        <v/>
      </c>
      <c r="B56" s="944" t="str">
        <f t="shared" si="2"/>
        <v/>
      </c>
      <c r="C56" s="944" t="str">
        <f t="shared" si="2"/>
        <v/>
      </c>
      <c r="D56" s="944" t="str">
        <f t="shared" si="2"/>
        <v/>
      </c>
    </row>
    <row r="57" spans="1:4">
      <c r="A57" s="944" t="str">
        <f t="shared" si="2"/>
        <v/>
      </c>
      <c r="B57" s="944" t="str">
        <f t="shared" si="2"/>
        <v/>
      </c>
      <c r="C57" s="944" t="str">
        <f t="shared" si="2"/>
        <v/>
      </c>
      <c r="D57" s="944" t="str">
        <f t="shared" si="2"/>
        <v/>
      </c>
    </row>
    <row r="58" spans="1:4">
      <c r="A58" s="944" t="str">
        <f t="shared" si="2"/>
        <v/>
      </c>
      <c r="B58" s="944" t="str">
        <f t="shared" si="2"/>
        <v/>
      </c>
      <c r="C58" s="944" t="str">
        <f t="shared" si="2"/>
        <v/>
      </c>
      <c r="D58" s="944" t="str">
        <f t="shared" si="2"/>
        <v/>
      </c>
    </row>
    <row r="59" spans="1:4">
      <c r="A59" s="944" t="str">
        <f t="shared" si="2"/>
        <v/>
      </c>
      <c r="B59" s="944" t="str">
        <f t="shared" si="2"/>
        <v/>
      </c>
      <c r="C59" s="944" t="str">
        <f t="shared" si="2"/>
        <v/>
      </c>
      <c r="D59" s="944" t="str">
        <f t="shared" si="2"/>
        <v/>
      </c>
    </row>
    <row r="60" spans="1:4">
      <c r="A60" s="944" t="str">
        <f t="shared" si="2"/>
        <v/>
      </c>
      <c r="B60" s="944" t="str">
        <f t="shared" si="2"/>
        <v/>
      </c>
      <c r="C60" s="944" t="str">
        <f t="shared" si="2"/>
        <v/>
      </c>
      <c r="D60" s="944" t="str">
        <f t="shared" si="2"/>
        <v/>
      </c>
    </row>
    <row r="61" spans="1:4">
      <c r="A61" s="944" t="str">
        <f t="shared" si="2"/>
        <v/>
      </c>
      <c r="B61" s="944" t="str">
        <f t="shared" si="2"/>
        <v/>
      </c>
      <c r="C61" s="944" t="str">
        <f t="shared" si="2"/>
        <v/>
      </c>
      <c r="D61" s="944" t="str">
        <f t="shared" si="2"/>
        <v/>
      </c>
    </row>
    <row r="62" spans="1:4">
      <c r="A62" s="944" t="str">
        <f t="shared" ref="A62:D81" si="3">IF(Etabs="Etabs 9.7.4",IF(INDEX(Story_data_1,ROW($E62),COLUMN(A$1))&lt;&gt;"",INDEX(Story_data_1,ROW($E62),COLUMN(A$1)),""),IF(Etabs="Etabs 2013 trở lên",IF(INDEX(Story_Data_2,ROW($E64),COLUMN(A$1))&lt;&gt;"",INDEX(Story_Data_2,ROW($E64),COLUMN(A$1)),""),""))</f>
        <v/>
      </c>
      <c r="B62" s="944" t="str">
        <f t="shared" si="3"/>
        <v/>
      </c>
      <c r="C62" s="944" t="str">
        <f t="shared" si="3"/>
        <v/>
      </c>
      <c r="D62" s="944" t="str">
        <f t="shared" si="3"/>
        <v/>
      </c>
    </row>
    <row r="63" spans="1:4">
      <c r="A63" s="944" t="str">
        <f t="shared" si="3"/>
        <v/>
      </c>
      <c r="B63" s="944" t="str">
        <f t="shared" si="3"/>
        <v/>
      </c>
      <c r="C63" s="944" t="str">
        <f t="shared" si="3"/>
        <v/>
      </c>
      <c r="D63" s="944" t="str">
        <f t="shared" si="3"/>
        <v/>
      </c>
    </row>
    <row r="64" spans="1:4">
      <c r="A64" s="944" t="str">
        <f t="shared" si="3"/>
        <v/>
      </c>
      <c r="B64" s="944" t="str">
        <f t="shared" si="3"/>
        <v/>
      </c>
      <c r="C64" s="944" t="str">
        <f t="shared" si="3"/>
        <v/>
      </c>
      <c r="D64" s="944" t="str">
        <f t="shared" si="3"/>
        <v/>
      </c>
    </row>
    <row r="65" spans="1:4">
      <c r="A65" s="944" t="str">
        <f t="shared" si="3"/>
        <v/>
      </c>
      <c r="B65" s="944" t="str">
        <f t="shared" si="3"/>
        <v/>
      </c>
      <c r="C65" s="944" t="str">
        <f t="shared" si="3"/>
        <v/>
      </c>
      <c r="D65" s="944" t="str">
        <f t="shared" si="3"/>
        <v/>
      </c>
    </row>
    <row r="66" spans="1:4">
      <c r="A66" s="944" t="str">
        <f t="shared" si="3"/>
        <v/>
      </c>
      <c r="B66" s="944" t="str">
        <f t="shared" si="3"/>
        <v/>
      </c>
      <c r="C66" s="944" t="str">
        <f t="shared" si="3"/>
        <v/>
      </c>
      <c r="D66" s="944" t="str">
        <f t="shared" si="3"/>
        <v/>
      </c>
    </row>
    <row r="67" spans="1:4">
      <c r="A67" s="944" t="str">
        <f t="shared" si="3"/>
        <v/>
      </c>
      <c r="B67" s="944" t="str">
        <f t="shared" si="3"/>
        <v/>
      </c>
      <c r="C67" s="944" t="str">
        <f t="shared" si="3"/>
        <v/>
      </c>
      <c r="D67" s="944" t="str">
        <f t="shared" si="3"/>
        <v/>
      </c>
    </row>
    <row r="68" spans="1:4">
      <c r="A68" s="944" t="str">
        <f t="shared" si="3"/>
        <v/>
      </c>
      <c r="B68" s="944" t="str">
        <f t="shared" si="3"/>
        <v/>
      </c>
      <c r="C68" s="944" t="str">
        <f t="shared" si="3"/>
        <v/>
      </c>
      <c r="D68" s="944" t="str">
        <f t="shared" si="3"/>
        <v/>
      </c>
    </row>
    <row r="69" spans="1:4">
      <c r="A69" s="944" t="str">
        <f t="shared" si="3"/>
        <v/>
      </c>
      <c r="B69" s="944" t="str">
        <f t="shared" si="3"/>
        <v/>
      </c>
      <c r="C69" s="944" t="str">
        <f t="shared" si="3"/>
        <v/>
      </c>
      <c r="D69" s="944" t="str">
        <f t="shared" si="3"/>
        <v/>
      </c>
    </row>
    <row r="70" spans="1:4">
      <c r="A70" s="944" t="str">
        <f t="shared" si="3"/>
        <v/>
      </c>
      <c r="B70" s="944" t="str">
        <f t="shared" si="3"/>
        <v/>
      </c>
      <c r="C70" s="944" t="str">
        <f t="shared" si="3"/>
        <v/>
      </c>
      <c r="D70" s="944" t="str">
        <f t="shared" si="3"/>
        <v/>
      </c>
    </row>
    <row r="71" spans="1:4">
      <c r="A71" s="944" t="str">
        <f t="shared" si="3"/>
        <v/>
      </c>
      <c r="B71" s="944" t="str">
        <f t="shared" si="3"/>
        <v/>
      </c>
      <c r="C71" s="944" t="str">
        <f t="shared" si="3"/>
        <v/>
      </c>
      <c r="D71" s="944" t="str">
        <f t="shared" si="3"/>
        <v/>
      </c>
    </row>
    <row r="72" spans="1:4">
      <c r="A72" s="944" t="str">
        <f t="shared" si="3"/>
        <v/>
      </c>
      <c r="B72" s="944" t="str">
        <f t="shared" si="3"/>
        <v/>
      </c>
      <c r="C72" s="944" t="str">
        <f t="shared" si="3"/>
        <v/>
      </c>
      <c r="D72" s="944" t="str">
        <f t="shared" si="3"/>
        <v/>
      </c>
    </row>
    <row r="73" spans="1:4">
      <c r="A73" s="944" t="str">
        <f t="shared" si="3"/>
        <v/>
      </c>
      <c r="B73" s="944" t="str">
        <f t="shared" si="3"/>
        <v/>
      </c>
      <c r="C73" s="944" t="str">
        <f t="shared" si="3"/>
        <v/>
      </c>
      <c r="D73" s="944" t="str">
        <f t="shared" si="3"/>
        <v/>
      </c>
    </row>
    <row r="74" spans="1:4">
      <c r="A74" s="944" t="str">
        <f t="shared" si="3"/>
        <v/>
      </c>
      <c r="B74" s="944" t="str">
        <f t="shared" si="3"/>
        <v/>
      </c>
      <c r="C74" s="944" t="str">
        <f t="shared" si="3"/>
        <v/>
      </c>
      <c r="D74" s="944" t="str">
        <f t="shared" si="3"/>
        <v/>
      </c>
    </row>
    <row r="75" spans="1:4">
      <c r="A75" s="944" t="str">
        <f t="shared" si="3"/>
        <v/>
      </c>
      <c r="B75" s="944" t="str">
        <f t="shared" si="3"/>
        <v/>
      </c>
      <c r="C75" s="944" t="str">
        <f t="shared" si="3"/>
        <v/>
      </c>
      <c r="D75" s="944" t="str">
        <f t="shared" si="3"/>
        <v/>
      </c>
    </row>
    <row r="76" spans="1:4">
      <c r="A76" s="944" t="str">
        <f t="shared" si="3"/>
        <v/>
      </c>
      <c r="B76" s="944" t="str">
        <f t="shared" si="3"/>
        <v/>
      </c>
      <c r="C76" s="944" t="str">
        <f t="shared" si="3"/>
        <v/>
      </c>
      <c r="D76" s="944" t="str">
        <f t="shared" si="3"/>
        <v/>
      </c>
    </row>
    <row r="77" spans="1:4">
      <c r="A77" s="944" t="str">
        <f t="shared" si="3"/>
        <v/>
      </c>
      <c r="B77" s="944" t="str">
        <f t="shared" si="3"/>
        <v/>
      </c>
      <c r="C77" s="944" t="str">
        <f t="shared" si="3"/>
        <v/>
      </c>
      <c r="D77" s="944" t="str">
        <f t="shared" si="3"/>
        <v/>
      </c>
    </row>
    <row r="78" spans="1:4">
      <c r="A78" s="944" t="str">
        <f t="shared" si="3"/>
        <v/>
      </c>
      <c r="B78" s="944" t="str">
        <f t="shared" si="3"/>
        <v/>
      </c>
      <c r="C78" s="944" t="str">
        <f t="shared" si="3"/>
        <v/>
      </c>
      <c r="D78" s="944" t="str">
        <f t="shared" si="3"/>
        <v/>
      </c>
    </row>
    <row r="79" spans="1:4">
      <c r="A79" s="944" t="str">
        <f t="shared" si="3"/>
        <v/>
      </c>
      <c r="B79" s="944" t="str">
        <f t="shared" si="3"/>
        <v/>
      </c>
      <c r="C79" s="944" t="str">
        <f t="shared" si="3"/>
        <v/>
      </c>
      <c r="D79" s="944" t="str">
        <f t="shared" si="3"/>
        <v/>
      </c>
    </row>
    <row r="80" spans="1:4">
      <c r="A80" s="944" t="str">
        <f t="shared" si="3"/>
        <v/>
      </c>
      <c r="B80" s="944" t="str">
        <f t="shared" si="3"/>
        <v/>
      </c>
      <c r="C80" s="944" t="str">
        <f t="shared" si="3"/>
        <v/>
      </c>
      <c r="D80" s="944" t="str">
        <f t="shared" si="3"/>
        <v/>
      </c>
    </row>
    <row r="81" spans="1:4">
      <c r="A81" s="944" t="str">
        <f t="shared" si="3"/>
        <v/>
      </c>
      <c r="B81" s="944" t="str">
        <f t="shared" si="3"/>
        <v/>
      </c>
      <c r="C81" s="944" t="str">
        <f t="shared" si="3"/>
        <v/>
      </c>
      <c r="D81" s="944" t="str">
        <f t="shared" si="3"/>
        <v/>
      </c>
    </row>
    <row r="82" spans="1:4">
      <c r="A82" s="944" t="str">
        <f t="shared" ref="A82:D101" si="4">IF(Etabs="Etabs 9.7.4",IF(INDEX(Story_data_1,ROW($E82),COLUMN(A$1))&lt;&gt;"",INDEX(Story_data_1,ROW($E82),COLUMN(A$1)),""),IF(Etabs="Etabs 2013 trở lên",IF(INDEX(Story_Data_2,ROW($E84),COLUMN(A$1))&lt;&gt;"",INDEX(Story_Data_2,ROW($E84),COLUMN(A$1)),""),""))</f>
        <v/>
      </c>
      <c r="B82" s="944" t="str">
        <f t="shared" si="4"/>
        <v/>
      </c>
      <c r="C82" s="944" t="str">
        <f t="shared" si="4"/>
        <v/>
      </c>
      <c r="D82" s="944" t="str">
        <f t="shared" si="4"/>
        <v/>
      </c>
    </row>
    <row r="83" spans="1:4">
      <c r="A83" s="944" t="str">
        <f t="shared" si="4"/>
        <v/>
      </c>
      <c r="B83" s="944" t="str">
        <f t="shared" si="4"/>
        <v/>
      </c>
      <c r="C83" s="944" t="str">
        <f t="shared" si="4"/>
        <v/>
      </c>
      <c r="D83" s="944" t="str">
        <f t="shared" si="4"/>
        <v/>
      </c>
    </row>
    <row r="84" spans="1:4">
      <c r="A84" s="944" t="str">
        <f t="shared" si="4"/>
        <v/>
      </c>
      <c r="B84" s="944" t="str">
        <f t="shared" si="4"/>
        <v/>
      </c>
      <c r="C84" s="944" t="str">
        <f t="shared" si="4"/>
        <v/>
      </c>
      <c r="D84" s="944" t="str">
        <f t="shared" si="4"/>
        <v/>
      </c>
    </row>
    <row r="85" spans="1:4">
      <c r="A85" s="944" t="str">
        <f t="shared" si="4"/>
        <v/>
      </c>
      <c r="B85" s="944" t="str">
        <f t="shared" si="4"/>
        <v/>
      </c>
      <c r="C85" s="944" t="str">
        <f t="shared" si="4"/>
        <v/>
      </c>
      <c r="D85" s="944" t="str">
        <f t="shared" si="4"/>
        <v/>
      </c>
    </row>
    <row r="86" spans="1:4">
      <c r="A86" s="944" t="str">
        <f t="shared" si="4"/>
        <v/>
      </c>
      <c r="B86" s="944" t="str">
        <f t="shared" si="4"/>
        <v/>
      </c>
      <c r="C86" s="944" t="str">
        <f t="shared" si="4"/>
        <v/>
      </c>
      <c r="D86" s="944" t="str">
        <f t="shared" si="4"/>
        <v/>
      </c>
    </row>
    <row r="87" spans="1:4">
      <c r="A87" s="944" t="str">
        <f t="shared" si="4"/>
        <v/>
      </c>
      <c r="B87" s="944" t="str">
        <f t="shared" si="4"/>
        <v/>
      </c>
      <c r="C87" s="944" t="str">
        <f t="shared" si="4"/>
        <v/>
      </c>
      <c r="D87" s="944" t="str">
        <f t="shared" si="4"/>
        <v/>
      </c>
    </row>
    <row r="88" spans="1:4">
      <c r="A88" s="944" t="str">
        <f t="shared" si="4"/>
        <v/>
      </c>
      <c r="B88" s="944" t="str">
        <f t="shared" si="4"/>
        <v/>
      </c>
      <c r="C88" s="944" t="str">
        <f t="shared" si="4"/>
        <v/>
      </c>
      <c r="D88" s="944" t="str">
        <f t="shared" si="4"/>
        <v/>
      </c>
    </row>
    <row r="89" spans="1:4">
      <c r="A89" s="944" t="str">
        <f t="shared" si="4"/>
        <v/>
      </c>
      <c r="B89" s="944" t="str">
        <f t="shared" si="4"/>
        <v/>
      </c>
      <c r="C89" s="944" t="str">
        <f t="shared" si="4"/>
        <v/>
      </c>
      <c r="D89" s="944" t="str">
        <f t="shared" si="4"/>
        <v/>
      </c>
    </row>
    <row r="90" spans="1:4">
      <c r="A90" s="944" t="str">
        <f t="shared" si="4"/>
        <v/>
      </c>
      <c r="B90" s="944" t="str">
        <f t="shared" si="4"/>
        <v/>
      </c>
      <c r="C90" s="944" t="str">
        <f t="shared" si="4"/>
        <v/>
      </c>
      <c r="D90" s="944" t="str">
        <f t="shared" si="4"/>
        <v/>
      </c>
    </row>
    <row r="91" spans="1:4">
      <c r="A91" s="944" t="str">
        <f t="shared" si="4"/>
        <v/>
      </c>
      <c r="B91" s="944" t="str">
        <f t="shared" si="4"/>
        <v/>
      </c>
      <c r="C91" s="944" t="str">
        <f t="shared" si="4"/>
        <v/>
      </c>
      <c r="D91" s="944" t="str">
        <f t="shared" si="4"/>
        <v/>
      </c>
    </row>
    <row r="92" spans="1:4">
      <c r="A92" s="944" t="str">
        <f t="shared" si="4"/>
        <v/>
      </c>
      <c r="B92" s="944" t="str">
        <f t="shared" si="4"/>
        <v/>
      </c>
      <c r="C92" s="944" t="str">
        <f t="shared" si="4"/>
        <v/>
      </c>
      <c r="D92" s="944" t="str">
        <f t="shared" si="4"/>
        <v/>
      </c>
    </row>
    <row r="93" spans="1:4">
      <c r="A93" s="944" t="str">
        <f t="shared" si="4"/>
        <v/>
      </c>
      <c r="B93" s="944" t="str">
        <f t="shared" si="4"/>
        <v/>
      </c>
      <c r="C93" s="944" t="str">
        <f t="shared" si="4"/>
        <v/>
      </c>
      <c r="D93" s="944" t="str">
        <f t="shared" si="4"/>
        <v/>
      </c>
    </row>
    <row r="94" spans="1:4">
      <c r="A94" s="944" t="str">
        <f t="shared" si="4"/>
        <v/>
      </c>
      <c r="B94" s="944" t="str">
        <f t="shared" si="4"/>
        <v/>
      </c>
      <c r="C94" s="944" t="str">
        <f t="shared" si="4"/>
        <v/>
      </c>
      <c r="D94" s="944" t="str">
        <f t="shared" si="4"/>
        <v/>
      </c>
    </row>
    <row r="95" spans="1:4">
      <c r="A95" s="944" t="str">
        <f t="shared" si="4"/>
        <v/>
      </c>
      <c r="B95" s="944" t="str">
        <f t="shared" si="4"/>
        <v/>
      </c>
      <c r="C95" s="944" t="str">
        <f t="shared" si="4"/>
        <v/>
      </c>
      <c r="D95" s="944" t="str">
        <f t="shared" si="4"/>
        <v/>
      </c>
    </row>
    <row r="96" spans="1:4">
      <c r="A96" s="944" t="str">
        <f t="shared" si="4"/>
        <v/>
      </c>
      <c r="B96" s="944" t="str">
        <f t="shared" si="4"/>
        <v/>
      </c>
      <c r="C96" s="944" t="str">
        <f t="shared" si="4"/>
        <v/>
      </c>
      <c r="D96" s="944" t="str">
        <f t="shared" si="4"/>
        <v/>
      </c>
    </row>
    <row r="97" spans="1:4">
      <c r="A97" s="944" t="str">
        <f t="shared" si="4"/>
        <v/>
      </c>
      <c r="B97" s="944" t="str">
        <f t="shared" si="4"/>
        <v/>
      </c>
      <c r="C97" s="944" t="str">
        <f t="shared" si="4"/>
        <v/>
      </c>
      <c r="D97" s="944" t="str">
        <f t="shared" si="4"/>
        <v/>
      </c>
    </row>
    <row r="98" spans="1:4">
      <c r="A98" s="944" t="str">
        <f t="shared" si="4"/>
        <v/>
      </c>
      <c r="B98" s="944" t="str">
        <f t="shared" si="4"/>
        <v/>
      </c>
      <c r="C98" s="944" t="str">
        <f t="shared" si="4"/>
        <v/>
      </c>
      <c r="D98" s="944" t="str">
        <f t="shared" si="4"/>
        <v/>
      </c>
    </row>
    <row r="99" spans="1:4">
      <c r="A99" s="944" t="str">
        <f t="shared" si="4"/>
        <v/>
      </c>
      <c r="B99" s="944" t="str">
        <f t="shared" si="4"/>
        <v/>
      </c>
      <c r="C99" s="944" t="str">
        <f t="shared" si="4"/>
        <v/>
      </c>
      <c r="D99" s="944" t="str">
        <f t="shared" si="4"/>
        <v/>
      </c>
    </row>
    <row r="100" spans="1:4">
      <c r="A100" s="944" t="str">
        <f t="shared" si="4"/>
        <v/>
      </c>
      <c r="B100" s="944" t="str">
        <f t="shared" si="4"/>
        <v/>
      </c>
      <c r="C100" s="944" t="str">
        <f t="shared" si="4"/>
        <v/>
      </c>
      <c r="D100" s="944" t="str">
        <f t="shared" si="4"/>
        <v/>
      </c>
    </row>
    <row r="101" spans="1:4">
      <c r="A101" s="944" t="str">
        <f t="shared" si="4"/>
        <v/>
      </c>
      <c r="B101" s="944" t="str">
        <f t="shared" si="4"/>
        <v/>
      </c>
      <c r="C101" s="944" t="str">
        <f t="shared" si="4"/>
        <v/>
      </c>
      <c r="D101" s="944" t="str">
        <f t="shared" si="4"/>
        <v/>
      </c>
    </row>
    <row r="102" spans="1:4">
      <c r="A102" s="944" t="str">
        <f t="shared" ref="A102:D121" si="5">IF(Etabs="Etabs 9.7.4",IF(INDEX(Story_data_1,ROW($E102),COLUMN(A$1))&lt;&gt;"",INDEX(Story_data_1,ROW($E102),COLUMN(A$1)),""),IF(Etabs="Etabs 2013 trở lên",IF(INDEX(Story_Data_2,ROW($E104),COLUMN(A$1))&lt;&gt;"",INDEX(Story_Data_2,ROW($E104),COLUMN(A$1)),""),""))</f>
        <v/>
      </c>
      <c r="B102" s="944" t="str">
        <f t="shared" si="5"/>
        <v/>
      </c>
      <c r="C102" s="944" t="str">
        <f t="shared" si="5"/>
        <v/>
      </c>
      <c r="D102" s="944" t="str">
        <f t="shared" si="5"/>
        <v/>
      </c>
    </row>
    <row r="103" spans="1:4">
      <c r="A103" s="944" t="str">
        <f t="shared" si="5"/>
        <v/>
      </c>
      <c r="B103" s="944" t="str">
        <f t="shared" si="5"/>
        <v/>
      </c>
      <c r="C103" s="944" t="str">
        <f t="shared" si="5"/>
        <v/>
      </c>
      <c r="D103" s="944" t="str">
        <f t="shared" si="5"/>
        <v/>
      </c>
    </row>
    <row r="104" spans="1:4">
      <c r="A104" s="944" t="str">
        <f t="shared" si="5"/>
        <v/>
      </c>
      <c r="B104" s="944" t="str">
        <f t="shared" si="5"/>
        <v/>
      </c>
      <c r="C104" s="944" t="str">
        <f t="shared" si="5"/>
        <v/>
      </c>
      <c r="D104" s="944" t="str">
        <f t="shared" si="5"/>
        <v/>
      </c>
    </row>
    <row r="105" spans="1:4">
      <c r="A105" s="944" t="str">
        <f t="shared" si="5"/>
        <v/>
      </c>
      <c r="B105" s="944" t="str">
        <f t="shared" si="5"/>
        <v/>
      </c>
      <c r="C105" s="944" t="str">
        <f t="shared" si="5"/>
        <v/>
      </c>
      <c r="D105" s="944" t="str">
        <f t="shared" si="5"/>
        <v/>
      </c>
    </row>
    <row r="106" spans="1:4">
      <c r="A106" s="944" t="str">
        <f t="shared" si="5"/>
        <v/>
      </c>
      <c r="B106" s="944" t="str">
        <f t="shared" si="5"/>
        <v/>
      </c>
      <c r="C106" s="944" t="str">
        <f t="shared" si="5"/>
        <v/>
      </c>
      <c r="D106" s="944" t="str">
        <f t="shared" si="5"/>
        <v/>
      </c>
    </row>
    <row r="107" spans="1:4">
      <c r="A107" s="944" t="str">
        <f t="shared" si="5"/>
        <v/>
      </c>
      <c r="B107" s="944" t="str">
        <f t="shared" si="5"/>
        <v/>
      </c>
      <c r="C107" s="944" t="str">
        <f t="shared" si="5"/>
        <v/>
      </c>
      <c r="D107" s="944" t="str">
        <f t="shared" si="5"/>
        <v/>
      </c>
    </row>
    <row r="108" spans="1:4">
      <c r="A108" s="944" t="str">
        <f t="shared" si="5"/>
        <v/>
      </c>
      <c r="B108" s="944" t="str">
        <f t="shared" si="5"/>
        <v/>
      </c>
      <c r="C108" s="944" t="str">
        <f t="shared" si="5"/>
        <v/>
      </c>
      <c r="D108" s="944" t="str">
        <f t="shared" si="5"/>
        <v/>
      </c>
    </row>
    <row r="109" spans="1:4">
      <c r="A109" s="944" t="str">
        <f t="shared" si="5"/>
        <v/>
      </c>
      <c r="B109" s="944" t="str">
        <f t="shared" si="5"/>
        <v/>
      </c>
      <c r="C109" s="944" t="str">
        <f t="shared" si="5"/>
        <v/>
      </c>
      <c r="D109" s="944" t="str">
        <f t="shared" si="5"/>
        <v/>
      </c>
    </row>
    <row r="110" spans="1:4">
      <c r="A110" s="944" t="str">
        <f t="shared" si="5"/>
        <v/>
      </c>
      <c r="B110" s="944" t="str">
        <f t="shared" si="5"/>
        <v/>
      </c>
      <c r="C110" s="944" t="str">
        <f t="shared" si="5"/>
        <v/>
      </c>
      <c r="D110" s="944" t="str">
        <f t="shared" si="5"/>
        <v/>
      </c>
    </row>
    <row r="111" spans="1:4">
      <c r="A111" s="944" t="str">
        <f t="shared" si="5"/>
        <v/>
      </c>
      <c r="B111" s="944" t="str">
        <f t="shared" si="5"/>
        <v/>
      </c>
      <c r="C111" s="944" t="str">
        <f t="shared" si="5"/>
        <v/>
      </c>
      <c r="D111" s="944" t="str">
        <f t="shared" si="5"/>
        <v/>
      </c>
    </row>
    <row r="112" spans="1:4">
      <c r="A112" s="944" t="str">
        <f t="shared" si="5"/>
        <v/>
      </c>
      <c r="B112" s="944" t="str">
        <f t="shared" si="5"/>
        <v/>
      </c>
      <c r="C112" s="944" t="str">
        <f t="shared" si="5"/>
        <v/>
      </c>
      <c r="D112" s="944" t="str">
        <f t="shared" si="5"/>
        <v/>
      </c>
    </row>
    <row r="113" spans="1:4">
      <c r="A113" s="944" t="str">
        <f t="shared" si="5"/>
        <v/>
      </c>
      <c r="B113" s="944" t="str">
        <f t="shared" si="5"/>
        <v/>
      </c>
      <c r="C113" s="944" t="str">
        <f t="shared" si="5"/>
        <v/>
      </c>
      <c r="D113" s="944" t="str">
        <f t="shared" si="5"/>
        <v/>
      </c>
    </row>
    <row r="114" spans="1:4">
      <c r="A114" s="944" t="str">
        <f t="shared" si="5"/>
        <v/>
      </c>
      <c r="B114" s="944" t="str">
        <f t="shared" si="5"/>
        <v/>
      </c>
      <c r="C114" s="944" t="str">
        <f t="shared" si="5"/>
        <v/>
      </c>
      <c r="D114" s="944" t="str">
        <f t="shared" si="5"/>
        <v/>
      </c>
    </row>
    <row r="115" spans="1:4">
      <c r="A115" s="944" t="str">
        <f t="shared" si="5"/>
        <v/>
      </c>
      <c r="B115" s="944" t="str">
        <f t="shared" si="5"/>
        <v/>
      </c>
      <c r="C115" s="944" t="str">
        <f t="shared" si="5"/>
        <v/>
      </c>
      <c r="D115" s="944" t="str">
        <f t="shared" si="5"/>
        <v/>
      </c>
    </row>
    <row r="116" spans="1:4">
      <c r="A116" s="944" t="str">
        <f t="shared" si="5"/>
        <v/>
      </c>
      <c r="B116" s="944" t="str">
        <f t="shared" si="5"/>
        <v/>
      </c>
      <c r="C116" s="944" t="str">
        <f t="shared" si="5"/>
        <v/>
      </c>
      <c r="D116" s="944" t="str">
        <f t="shared" si="5"/>
        <v/>
      </c>
    </row>
    <row r="117" spans="1:4">
      <c r="A117" s="944" t="str">
        <f t="shared" si="5"/>
        <v/>
      </c>
      <c r="B117" s="944" t="str">
        <f t="shared" si="5"/>
        <v/>
      </c>
      <c r="C117" s="944" t="str">
        <f t="shared" si="5"/>
        <v/>
      </c>
      <c r="D117" s="944" t="str">
        <f t="shared" si="5"/>
        <v/>
      </c>
    </row>
    <row r="118" spans="1:4">
      <c r="A118" s="944" t="str">
        <f t="shared" si="5"/>
        <v/>
      </c>
      <c r="B118" s="944" t="str">
        <f t="shared" si="5"/>
        <v/>
      </c>
      <c r="C118" s="944" t="str">
        <f t="shared" si="5"/>
        <v/>
      </c>
      <c r="D118" s="944" t="str">
        <f t="shared" si="5"/>
        <v/>
      </c>
    </row>
    <row r="119" spans="1:4">
      <c r="A119" s="944" t="str">
        <f t="shared" si="5"/>
        <v/>
      </c>
      <c r="B119" s="944" t="str">
        <f t="shared" si="5"/>
        <v/>
      </c>
      <c r="C119" s="944" t="str">
        <f t="shared" si="5"/>
        <v/>
      </c>
      <c r="D119" s="944" t="str">
        <f t="shared" si="5"/>
        <v/>
      </c>
    </row>
    <row r="120" spans="1:4">
      <c r="A120" s="944" t="str">
        <f t="shared" si="5"/>
        <v/>
      </c>
      <c r="B120" s="944" t="str">
        <f t="shared" si="5"/>
        <v/>
      </c>
      <c r="C120" s="944" t="str">
        <f t="shared" si="5"/>
        <v/>
      </c>
      <c r="D120" s="944" t="str">
        <f t="shared" si="5"/>
        <v/>
      </c>
    </row>
    <row r="121" spans="1:4">
      <c r="A121" s="944" t="str">
        <f t="shared" si="5"/>
        <v/>
      </c>
      <c r="B121" s="944" t="str">
        <f t="shared" si="5"/>
        <v/>
      </c>
      <c r="C121" s="944" t="str">
        <f t="shared" si="5"/>
        <v/>
      </c>
      <c r="D121" s="944" t="str">
        <f t="shared" si="5"/>
        <v/>
      </c>
    </row>
    <row r="122" spans="1:4">
      <c r="A122" s="944" t="str">
        <f t="shared" ref="A122:D141" si="6">IF(Etabs="Etabs 9.7.4",IF(INDEX(Story_data_1,ROW($E122),COLUMN(A$1))&lt;&gt;"",INDEX(Story_data_1,ROW($E122),COLUMN(A$1)),""),IF(Etabs="Etabs 2013 trở lên",IF(INDEX(Story_Data_2,ROW($E124),COLUMN(A$1))&lt;&gt;"",INDEX(Story_Data_2,ROW($E124),COLUMN(A$1)),""),""))</f>
        <v/>
      </c>
      <c r="B122" s="944" t="str">
        <f t="shared" si="6"/>
        <v/>
      </c>
      <c r="C122" s="944" t="str">
        <f t="shared" si="6"/>
        <v/>
      </c>
      <c r="D122" s="944" t="str">
        <f t="shared" si="6"/>
        <v/>
      </c>
    </row>
    <row r="123" spans="1:4">
      <c r="A123" s="944" t="str">
        <f t="shared" si="6"/>
        <v/>
      </c>
      <c r="B123" s="944" t="str">
        <f t="shared" si="6"/>
        <v/>
      </c>
      <c r="C123" s="944" t="str">
        <f t="shared" si="6"/>
        <v/>
      </c>
      <c r="D123" s="944" t="str">
        <f t="shared" si="6"/>
        <v/>
      </c>
    </row>
    <row r="124" spans="1:4">
      <c r="A124" s="944" t="str">
        <f t="shared" si="6"/>
        <v/>
      </c>
      <c r="B124" s="944" t="str">
        <f t="shared" si="6"/>
        <v/>
      </c>
      <c r="C124" s="944" t="str">
        <f t="shared" si="6"/>
        <v/>
      </c>
      <c r="D124" s="944" t="str">
        <f t="shared" si="6"/>
        <v/>
      </c>
    </row>
    <row r="125" spans="1:4">
      <c r="A125" s="944" t="str">
        <f t="shared" si="6"/>
        <v/>
      </c>
      <c r="B125" s="944" t="str">
        <f t="shared" si="6"/>
        <v/>
      </c>
      <c r="C125" s="944" t="str">
        <f t="shared" si="6"/>
        <v/>
      </c>
      <c r="D125" s="944" t="str">
        <f t="shared" si="6"/>
        <v/>
      </c>
    </row>
    <row r="126" spans="1:4">
      <c r="A126" s="944" t="str">
        <f t="shared" si="6"/>
        <v/>
      </c>
      <c r="B126" s="944" t="str">
        <f t="shared" si="6"/>
        <v/>
      </c>
      <c r="C126" s="944" t="str">
        <f t="shared" si="6"/>
        <v/>
      </c>
      <c r="D126" s="944" t="str">
        <f t="shared" si="6"/>
        <v/>
      </c>
    </row>
    <row r="127" spans="1:4">
      <c r="A127" s="944" t="str">
        <f t="shared" si="6"/>
        <v/>
      </c>
      <c r="B127" s="944" t="str">
        <f t="shared" si="6"/>
        <v/>
      </c>
      <c r="C127" s="944" t="str">
        <f t="shared" si="6"/>
        <v/>
      </c>
      <c r="D127" s="944" t="str">
        <f t="shared" si="6"/>
        <v/>
      </c>
    </row>
    <row r="128" spans="1:4">
      <c r="A128" s="944" t="str">
        <f t="shared" si="6"/>
        <v/>
      </c>
      <c r="B128" s="944" t="str">
        <f t="shared" si="6"/>
        <v/>
      </c>
      <c r="C128" s="944" t="str">
        <f t="shared" si="6"/>
        <v/>
      </c>
      <c r="D128" s="944" t="str">
        <f t="shared" si="6"/>
        <v/>
      </c>
    </row>
    <row r="129" spans="1:4">
      <c r="A129" s="944" t="str">
        <f t="shared" si="6"/>
        <v/>
      </c>
      <c r="B129" s="944" t="str">
        <f t="shared" si="6"/>
        <v/>
      </c>
      <c r="C129" s="944" t="str">
        <f t="shared" si="6"/>
        <v/>
      </c>
      <c r="D129" s="944" t="str">
        <f t="shared" si="6"/>
        <v/>
      </c>
    </row>
    <row r="130" spans="1:4">
      <c r="A130" s="944" t="str">
        <f t="shared" si="6"/>
        <v/>
      </c>
      <c r="B130" s="944" t="str">
        <f t="shared" si="6"/>
        <v/>
      </c>
      <c r="C130" s="944" t="str">
        <f t="shared" si="6"/>
        <v/>
      </c>
      <c r="D130" s="944" t="str">
        <f t="shared" si="6"/>
        <v/>
      </c>
    </row>
    <row r="131" spans="1:4">
      <c r="A131" s="944" t="str">
        <f t="shared" si="6"/>
        <v/>
      </c>
      <c r="B131" s="944" t="str">
        <f t="shared" si="6"/>
        <v/>
      </c>
      <c r="C131" s="944" t="str">
        <f t="shared" si="6"/>
        <v/>
      </c>
      <c r="D131" s="944" t="str">
        <f t="shared" si="6"/>
        <v/>
      </c>
    </row>
    <row r="132" spans="1:4">
      <c r="A132" s="944" t="str">
        <f t="shared" si="6"/>
        <v/>
      </c>
      <c r="B132" s="944" t="str">
        <f t="shared" si="6"/>
        <v/>
      </c>
      <c r="C132" s="944" t="str">
        <f t="shared" si="6"/>
        <v/>
      </c>
      <c r="D132" s="944" t="str">
        <f t="shared" si="6"/>
        <v/>
      </c>
    </row>
    <row r="133" spans="1:4">
      <c r="A133" s="944" t="str">
        <f t="shared" si="6"/>
        <v/>
      </c>
      <c r="B133" s="944" t="str">
        <f t="shared" si="6"/>
        <v/>
      </c>
      <c r="C133" s="944" t="str">
        <f t="shared" si="6"/>
        <v/>
      </c>
      <c r="D133" s="944" t="str">
        <f t="shared" si="6"/>
        <v/>
      </c>
    </row>
    <row r="134" spans="1:4">
      <c r="A134" s="944" t="str">
        <f t="shared" si="6"/>
        <v/>
      </c>
      <c r="B134" s="944" t="str">
        <f t="shared" si="6"/>
        <v/>
      </c>
      <c r="C134" s="944" t="str">
        <f t="shared" si="6"/>
        <v/>
      </c>
      <c r="D134" s="944" t="str">
        <f t="shared" si="6"/>
        <v/>
      </c>
    </row>
    <row r="135" spans="1:4">
      <c r="A135" s="944" t="str">
        <f t="shared" si="6"/>
        <v/>
      </c>
      <c r="B135" s="944" t="str">
        <f t="shared" si="6"/>
        <v/>
      </c>
      <c r="C135" s="944" t="str">
        <f t="shared" si="6"/>
        <v/>
      </c>
      <c r="D135" s="944" t="str">
        <f t="shared" si="6"/>
        <v/>
      </c>
    </row>
    <row r="136" spans="1:4">
      <c r="A136" s="944" t="str">
        <f t="shared" si="6"/>
        <v/>
      </c>
      <c r="B136" s="944" t="str">
        <f t="shared" si="6"/>
        <v/>
      </c>
      <c r="C136" s="944" t="str">
        <f t="shared" si="6"/>
        <v/>
      </c>
      <c r="D136" s="944" t="str">
        <f t="shared" si="6"/>
        <v/>
      </c>
    </row>
    <row r="137" spans="1:4">
      <c r="A137" s="944" t="str">
        <f t="shared" si="6"/>
        <v/>
      </c>
      <c r="B137" s="944" t="str">
        <f t="shared" si="6"/>
        <v/>
      </c>
      <c r="C137" s="944" t="str">
        <f t="shared" si="6"/>
        <v/>
      </c>
      <c r="D137" s="944" t="str">
        <f t="shared" si="6"/>
        <v/>
      </c>
    </row>
    <row r="138" spans="1:4">
      <c r="A138" s="944" t="str">
        <f t="shared" si="6"/>
        <v/>
      </c>
      <c r="B138" s="944" t="str">
        <f t="shared" si="6"/>
        <v/>
      </c>
      <c r="C138" s="944" t="str">
        <f t="shared" si="6"/>
        <v/>
      </c>
      <c r="D138" s="944" t="str">
        <f t="shared" si="6"/>
        <v/>
      </c>
    </row>
    <row r="139" spans="1:4">
      <c r="A139" s="944" t="str">
        <f t="shared" si="6"/>
        <v/>
      </c>
      <c r="B139" s="944" t="str">
        <f t="shared" si="6"/>
        <v/>
      </c>
      <c r="C139" s="944" t="str">
        <f t="shared" si="6"/>
        <v/>
      </c>
      <c r="D139" s="944" t="str">
        <f t="shared" si="6"/>
        <v/>
      </c>
    </row>
    <row r="140" spans="1:4">
      <c r="A140" s="944" t="str">
        <f t="shared" si="6"/>
        <v/>
      </c>
      <c r="B140" s="944" t="str">
        <f t="shared" si="6"/>
        <v/>
      </c>
      <c r="C140" s="944" t="str">
        <f t="shared" si="6"/>
        <v/>
      </c>
      <c r="D140" s="944" t="str">
        <f t="shared" si="6"/>
        <v/>
      </c>
    </row>
    <row r="141" spans="1:4">
      <c r="A141" s="944" t="str">
        <f t="shared" si="6"/>
        <v/>
      </c>
      <c r="B141" s="944" t="str">
        <f t="shared" si="6"/>
        <v/>
      </c>
      <c r="C141" s="944" t="str">
        <f t="shared" si="6"/>
        <v/>
      </c>
      <c r="D141" s="944" t="str">
        <f t="shared" si="6"/>
        <v/>
      </c>
    </row>
    <row r="142" spans="1:4">
      <c r="A142" s="944" t="str">
        <f t="shared" ref="A142:D150" si="7">IF(Etabs="Etabs 9.7.4",IF(INDEX(Story_data_1,ROW($E142),COLUMN(A$1))&lt;&gt;"",INDEX(Story_data_1,ROW($E142),COLUMN(A$1)),""),IF(Etabs="Etabs 2013 trở lên",IF(INDEX(Story_Data_2,ROW($E144),COLUMN(A$1))&lt;&gt;"",INDEX(Story_Data_2,ROW($E144),COLUMN(A$1)),""),""))</f>
        <v/>
      </c>
      <c r="B142" s="944" t="str">
        <f t="shared" si="7"/>
        <v/>
      </c>
      <c r="C142" s="944" t="str">
        <f t="shared" si="7"/>
        <v/>
      </c>
      <c r="D142" s="944" t="str">
        <f t="shared" si="7"/>
        <v/>
      </c>
    </row>
    <row r="143" spans="1:4">
      <c r="A143" s="944" t="str">
        <f t="shared" si="7"/>
        <v/>
      </c>
      <c r="B143" s="944" t="str">
        <f t="shared" si="7"/>
        <v/>
      </c>
      <c r="C143" s="944" t="str">
        <f t="shared" si="7"/>
        <v/>
      </c>
      <c r="D143" s="944" t="str">
        <f t="shared" si="7"/>
        <v/>
      </c>
    </row>
    <row r="144" spans="1:4">
      <c r="A144" s="944" t="str">
        <f t="shared" si="7"/>
        <v/>
      </c>
      <c r="B144" s="944" t="str">
        <f t="shared" si="7"/>
        <v/>
      </c>
      <c r="C144" s="944" t="str">
        <f t="shared" si="7"/>
        <v/>
      </c>
      <c r="D144" s="944" t="str">
        <f t="shared" si="7"/>
        <v/>
      </c>
    </row>
    <row r="145" spans="1:4">
      <c r="A145" s="944" t="str">
        <f t="shared" si="7"/>
        <v/>
      </c>
      <c r="B145" s="944" t="str">
        <f t="shared" si="7"/>
        <v/>
      </c>
      <c r="C145" s="944" t="str">
        <f t="shared" si="7"/>
        <v/>
      </c>
      <c r="D145" s="944" t="str">
        <f t="shared" si="7"/>
        <v/>
      </c>
    </row>
    <row r="146" spans="1:4">
      <c r="A146" s="944" t="str">
        <f t="shared" si="7"/>
        <v/>
      </c>
      <c r="B146" s="944" t="str">
        <f t="shared" si="7"/>
        <v/>
      </c>
      <c r="C146" s="944" t="str">
        <f t="shared" si="7"/>
        <v/>
      </c>
      <c r="D146" s="944" t="str">
        <f t="shared" si="7"/>
        <v/>
      </c>
    </row>
    <row r="147" spans="1:4">
      <c r="A147" s="944" t="str">
        <f t="shared" si="7"/>
        <v/>
      </c>
      <c r="B147" s="944" t="str">
        <f t="shared" si="7"/>
        <v/>
      </c>
      <c r="C147" s="944" t="str">
        <f t="shared" si="7"/>
        <v/>
      </c>
      <c r="D147" s="944" t="str">
        <f t="shared" si="7"/>
        <v/>
      </c>
    </row>
    <row r="148" spans="1:4">
      <c r="A148" s="944" t="str">
        <f t="shared" si="7"/>
        <v/>
      </c>
      <c r="B148" s="944" t="str">
        <f t="shared" si="7"/>
        <v/>
      </c>
      <c r="C148" s="944" t="str">
        <f t="shared" si="7"/>
        <v/>
      </c>
      <c r="D148" s="944" t="str">
        <f t="shared" si="7"/>
        <v/>
      </c>
    </row>
    <row r="149" spans="1:4">
      <c r="A149" s="944" t="str">
        <f t="shared" si="7"/>
        <v/>
      </c>
      <c r="B149" s="944" t="str">
        <f t="shared" si="7"/>
        <v/>
      </c>
      <c r="C149" s="944" t="str">
        <f t="shared" si="7"/>
        <v/>
      </c>
      <c r="D149" s="944" t="str">
        <f t="shared" si="7"/>
        <v/>
      </c>
    </row>
    <row r="150" spans="1:4">
      <c r="A150" s="944" t="str">
        <f t="shared" si="7"/>
        <v/>
      </c>
      <c r="B150" s="944" t="str">
        <f t="shared" si="7"/>
        <v/>
      </c>
      <c r="C150" s="944" t="str">
        <f t="shared" si="7"/>
        <v/>
      </c>
      <c r="D150" s="944" t="str">
        <f t="shared" si="7"/>
        <v/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000"/>
  </sheetPr>
  <dimension ref="A1:Q31"/>
  <sheetViews>
    <sheetView view="pageBreakPreview" zoomScale="91" zoomScaleNormal="100" zoomScaleSheetLayoutView="91" workbookViewId="0">
      <selection sqref="A1:N1048576"/>
    </sheetView>
  </sheetViews>
  <sheetFormatPr defaultColWidth="9" defaultRowHeight="15.75"/>
  <cols>
    <col min="1" max="16384" width="9" style="570"/>
  </cols>
  <sheetData>
    <row r="1" spans="1:17">
      <c r="A1" s="570" t="s">
        <v>1827</v>
      </c>
      <c r="B1" s="570" t="s">
        <v>1835</v>
      </c>
      <c r="C1" s="570" t="s">
        <v>1828</v>
      </c>
      <c r="D1" s="570" t="s">
        <v>1829</v>
      </c>
      <c r="E1" s="570" t="s">
        <v>1830</v>
      </c>
      <c r="F1" s="570" t="s">
        <v>1836</v>
      </c>
      <c r="G1" s="570" t="s">
        <v>1837</v>
      </c>
      <c r="H1" s="570" t="s">
        <v>1838</v>
      </c>
      <c r="I1" s="570" t="s">
        <v>1831</v>
      </c>
      <c r="J1" s="570" t="s">
        <v>1832</v>
      </c>
      <c r="K1" s="570" t="s">
        <v>1833</v>
      </c>
      <c r="L1" s="570" t="s">
        <v>1839</v>
      </c>
      <c r="M1" s="570" t="s">
        <v>1840</v>
      </c>
      <c r="N1" s="570" t="s">
        <v>1841</v>
      </c>
      <c r="Q1" s="460" t="s">
        <v>2066</v>
      </c>
    </row>
    <row r="2" spans="1:17">
      <c r="A2">
        <v>1</v>
      </c>
      <c r="B2">
        <v>4.5980549999999996</v>
      </c>
      <c r="C2" s="570">
        <v>59.031799999999997</v>
      </c>
      <c r="D2" s="570">
        <v>0.22439999999999999</v>
      </c>
      <c r="E2">
        <v>0</v>
      </c>
      <c r="F2">
        <v>59.031799999999997</v>
      </c>
      <c r="G2">
        <v>0.22439999999999999</v>
      </c>
      <c r="H2">
        <v>0</v>
      </c>
      <c r="I2">
        <v>0.41860000000000003</v>
      </c>
      <c r="J2">
        <v>93.645799999999994</v>
      </c>
      <c r="K2">
        <v>3.2313999999999998</v>
      </c>
      <c r="L2">
        <v>0.41860000000000003</v>
      </c>
      <c r="M2">
        <v>93.645799999999994</v>
      </c>
      <c r="N2">
        <v>3.2313999999999998</v>
      </c>
    </row>
    <row r="3" spans="1:17">
      <c r="A3">
        <v>2</v>
      </c>
      <c r="B3">
        <v>4.0776060000000003</v>
      </c>
      <c r="C3" s="570">
        <v>3.5880000000000001</v>
      </c>
      <c r="D3" s="570">
        <v>7.8200000000000006E-2</v>
      </c>
      <c r="E3">
        <v>0</v>
      </c>
      <c r="F3">
        <v>62.619799999999998</v>
      </c>
      <c r="G3">
        <v>0.30259999999999998</v>
      </c>
      <c r="H3">
        <v>0</v>
      </c>
      <c r="I3">
        <v>0.11210000000000001</v>
      </c>
      <c r="J3">
        <v>5.6848000000000001</v>
      </c>
      <c r="K3">
        <v>47.647199999999998</v>
      </c>
      <c r="L3">
        <v>0.53080000000000005</v>
      </c>
      <c r="M3">
        <v>99.330600000000004</v>
      </c>
      <c r="N3">
        <v>50.878599999999999</v>
      </c>
      <c r="O3" s="460" t="s">
        <v>2326</v>
      </c>
    </row>
    <row r="4" spans="1:17">
      <c r="A4">
        <v>3</v>
      </c>
      <c r="B4">
        <v>3.5075440000000002</v>
      </c>
      <c r="C4" s="570">
        <v>0.25459999999999999</v>
      </c>
      <c r="D4" s="570">
        <v>58.063200000000002</v>
      </c>
      <c r="E4">
        <v>0</v>
      </c>
      <c r="F4">
        <v>62.874400000000001</v>
      </c>
      <c r="G4">
        <v>58.3658</v>
      </c>
      <c r="H4">
        <v>0</v>
      </c>
      <c r="I4">
        <v>98.248699999999999</v>
      </c>
      <c r="J4">
        <v>0.30449999999999999</v>
      </c>
      <c r="K4">
        <v>0.2223</v>
      </c>
      <c r="L4">
        <v>98.779499999999999</v>
      </c>
      <c r="M4">
        <v>99.635099999999994</v>
      </c>
      <c r="N4">
        <v>51.100999999999999</v>
      </c>
    </row>
    <row r="5" spans="1:17">
      <c r="A5">
        <v>4</v>
      </c>
      <c r="B5">
        <v>1.3766069999999999</v>
      </c>
      <c r="C5" s="570">
        <v>10.4467</v>
      </c>
      <c r="D5" s="570">
        <v>5.1999999999999998E-3</v>
      </c>
      <c r="E5">
        <v>0</v>
      </c>
      <c r="F5">
        <v>73.321100000000001</v>
      </c>
      <c r="G5">
        <v>58.371000000000002</v>
      </c>
      <c r="H5">
        <v>0</v>
      </c>
      <c r="I5">
        <v>2.3900000000000001E-2</v>
      </c>
      <c r="J5">
        <v>0.12770000000000001</v>
      </c>
      <c r="K5">
        <v>0.70340000000000003</v>
      </c>
      <c r="L5">
        <v>98.803399999999996</v>
      </c>
      <c r="M5">
        <v>99.762799999999999</v>
      </c>
      <c r="N5">
        <v>51.804400000000001</v>
      </c>
    </row>
    <row r="6" spans="1:17">
      <c r="A6">
        <v>5</v>
      </c>
      <c r="B6">
        <v>1.196493</v>
      </c>
      <c r="C6" s="570">
        <v>0.66100000000000003</v>
      </c>
      <c r="D6" s="570">
        <v>3.4799999999999998E-2</v>
      </c>
      <c r="E6">
        <v>0</v>
      </c>
      <c r="F6">
        <v>73.982100000000003</v>
      </c>
      <c r="G6">
        <v>58.405799999999999</v>
      </c>
      <c r="H6">
        <v>0</v>
      </c>
      <c r="I6">
        <v>8.9999999999999998E-4</v>
      </c>
      <c r="J6">
        <v>5.8999999999999999E-3</v>
      </c>
      <c r="K6">
        <v>10.5863</v>
      </c>
      <c r="L6">
        <v>98.804299999999998</v>
      </c>
      <c r="M6">
        <v>99.768699999999995</v>
      </c>
      <c r="N6">
        <v>62.390700000000002</v>
      </c>
    </row>
    <row r="7" spans="1:17">
      <c r="A7">
        <v>6</v>
      </c>
      <c r="B7">
        <v>0.905887</v>
      </c>
      <c r="C7" s="570">
        <v>6.8999999999999999E-3</v>
      </c>
      <c r="D7" s="570">
        <v>15.049799999999999</v>
      </c>
      <c r="E7">
        <v>0</v>
      </c>
      <c r="F7">
        <v>73.989000000000004</v>
      </c>
      <c r="G7">
        <v>73.455600000000004</v>
      </c>
      <c r="H7">
        <v>0</v>
      </c>
      <c r="I7">
        <v>0.84830000000000005</v>
      </c>
      <c r="J7">
        <v>4.4000000000000003E-3</v>
      </c>
      <c r="K7">
        <v>0.11550000000000001</v>
      </c>
      <c r="L7">
        <v>99.652500000000003</v>
      </c>
      <c r="M7">
        <v>99.773099999999999</v>
      </c>
      <c r="N7">
        <v>62.5062</v>
      </c>
    </row>
    <row r="8" spans="1:17">
      <c r="A8">
        <v>7</v>
      </c>
      <c r="B8">
        <v>0.70359499999999997</v>
      </c>
      <c r="C8" s="570">
        <v>4.5918000000000001</v>
      </c>
      <c r="D8" s="570">
        <v>2E-3</v>
      </c>
      <c r="E8">
        <v>0</v>
      </c>
      <c r="F8">
        <v>78.580799999999996</v>
      </c>
      <c r="G8">
        <v>73.457599999999999</v>
      </c>
      <c r="H8">
        <v>0</v>
      </c>
      <c r="I8">
        <v>0</v>
      </c>
      <c r="J8">
        <v>7.6200000000000004E-2</v>
      </c>
      <c r="K8">
        <v>0.2762</v>
      </c>
      <c r="L8">
        <v>99.652500000000003</v>
      </c>
      <c r="M8">
        <v>99.849299999999999</v>
      </c>
      <c r="N8">
        <v>62.782400000000003</v>
      </c>
    </row>
    <row r="9" spans="1:17">
      <c r="A9">
        <v>8</v>
      </c>
      <c r="B9">
        <v>0.60243999999999998</v>
      </c>
      <c r="C9" s="570">
        <v>0.31690000000000002</v>
      </c>
      <c r="D9" s="570">
        <v>2.8199999999999999E-2</v>
      </c>
      <c r="E9">
        <v>0</v>
      </c>
      <c r="F9">
        <v>78.8977</v>
      </c>
      <c r="G9">
        <v>73.485699999999994</v>
      </c>
      <c r="H9">
        <v>0</v>
      </c>
      <c r="I9">
        <v>2.7000000000000001E-3</v>
      </c>
      <c r="J9">
        <v>3.5000000000000001E-3</v>
      </c>
      <c r="K9">
        <v>4.4057000000000004</v>
      </c>
      <c r="L9">
        <v>99.655199999999994</v>
      </c>
      <c r="M9">
        <v>99.852800000000002</v>
      </c>
      <c r="N9">
        <v>67.188100000000006</v>
      </c>
    </row>
    <row r="10" spans="1:17">
      <c r="A10">
        <v>9</v>
      </c>
      <c r="B10">
        <v>0.43601499999999999</v>
      </c>
      <c r="C10" s="570">
        <v>2.7673999999999999</v>
      </c>
      <c r="D10" s="570">
        <v>7.9399999999999998E-2</v>
      </c>
      <c r="E10">
        <v>0</v>
      </c>
      <c r="F10">
        <v>81.665000000000006</v>
      </c>
      <c r="G10">
        <v>73.565100000000001</v>
      </c>
      <c r="H10">
        <v>0</v>
      </c>
      <c r="I10">
        <v>1.5E-3</v>
      </c>
      <c r="J10">
        <v>8.6E-3</v>
      </c>
      <c r="K10">
        <v>0.32050000000000001</v>
      </c>
      <c r="L10">
        <v>99.656700000000001</v>
      </c>
      <c r="M10">
        <v>99.861400000000003</v>
      </c>
      <c r="N10">
        <v>67.508600000000001</v>
      </c>
    </row>
    <row r="11" spans="1:17">
      <c r="A11">
        <v>10</v>
      </c>
      <c r="B11">
        <v>0.41601100000000002</v>
      </c>
      <c r="C11" s="570">
        <v>0.10539999999999999</v>
      </c>
      <c r="D11" s="570">
        <v>5.5164999999999997</v>
      </c>
      <c r="E11">
        <v>0</v>
      </c>
      <c r="F11">
        <v>81.770499999999998</v>
      </c>
      <c r="G11">
        <v>79.081599999999995</v>
      </c>
      <c r="H11">
        <v>0</v>
      </c>
      <c r="I11">
        <v>0.2356</v>
      </c>
      <c r="J11">
        <v>0</v>
      </c>
      <c r="K11">
        <v>2.4299999999999999E-2</v>
      </c>
      <c r="L11">
        <v>99.892300000000006</v>
      </c>
      <c r="M11">
        <v>99.861400000000003</v>
      </c>
      <c r="N11">
        <v>67.532899999999998</v>
      </c>
    </row>
    <row r="12" spans="1:17">
      <c r="A12">
        <v>11</v>
      </c>
      <c r="B12">
        <v>0.37992799999999999</v>
      </c>
      <c r="C12" s="570">
        <v>0.3306</v>
      </c>
      <c r="D12" s="570">
        <v>4.5400000000000003E-2</v>
      </c>
      <c r="E12">
        <v>0</v>
      </c>
      <c r="F12">
        <v>82.100999999999999</v>
      </c>
      <c r="G12">
        <v>79.127099999999999</v>
      </c>
      <c r="H12">
        <v>0</v>
      </c>
      <c r="I12">
        <v>1.1000000000000001E-3</v>
      </c>
      <c r="J12">
        <v>1.1999999999999999E-3</v>
      </c>
      <c r="K12">
        <v>3.2477</v>
      </c>
      <c r="L12">
        <v>99.8934</v>
      </c>
      <c r="M12">
        <v>99.862700000000004</v>
      </c>
      <c r="N12">
        <v>70.780500000000004</v>
      </c>
    </row>
    <row r="13" spans="1:17">
      <c r="A13">
        <v>12</v>
      </c>
      <c r="B13">
        <v>0.299458</v>
      </c>
      <c r="C13" s="570">
        <v>2.2522000000000002</v>
      </c>
      <c r="D13" s="570">
        <v>5.7000000000000002E-3</v>
      </c>
      <c r="E13">
        <v>0</v>
      </c>
      <c r="F13">
        <v>84.353300000000004</v>
      </c>
      <c r="G13">
        <v>79.1327</v>
      </c>
      <c r="H13">
        <v>0</v>
      </c>
      <c r="I13">
        <v>1E-4</v>
      </c>
      <c r="J13">
        <v>8.9999999999999998E-4</v>
      </c>
      <c r="K13">
        <v>0.38150000000000001</v>
      </c>
      <c r="L13">
        <v>99.893500000000003</v>
      </c>
      <c r="M13">
        <v>99.863600000000005</v>
      </c>
      <c r="N13">
        <v>71.162000000000006</v>
      </c>
    </row>
    <row r="14" spans="1:17">
      <c r="A14">
        <v>13</v>
      </c>
      <c r="B14">
        <v>0.265123</v>
      </c>
      <c r="C14" s="570">
        <v>0.40799999999999997</v>
      </c>
      <c r="D14" s="570">
        <v>1.1999999999999999E-3</v>
      </c>
      <c r="E14">
        <v>0</v>
      </c>
      <c r="F14">
        <v>84.761200000000002</v>
      </c>
      <c r="G14">
        <v>79.133899999999997</v>
      </c>
      <c r="H14">
        <v>0</v>
      </c>
      <c r="I14">
        <v>0</v>
      </c>
      <c r="J14">
        <v>5.0000000000000001E-4</v>
      </c>
      <c r="K14">
        <v>3.4910999999999999</v>
      </c>
      <c r="L14">
        <v>99.893500000000003</v>
      </c>
      <c r="M14">
        <v>99.864099999999993</v>
      </c>
      <c r="N14">
        <v>74.653099999999995</v>
      </c>
    </row>
    <row r="15" spans="1:17">
      <c r="A15">
        <v>14</v>
      </c>
      <c r="B15">
        <v>0.25007699999999999</v>
      </c>
      <c r="C15" s="570">
        <v>9.9000000000000008E-3</v>
      </c>
      <c r="D15" s="570">
        <v>3.6097000000000001</v>
      </c>
      <c r="E15">
        <v>0</v>
      </c>
      <c r="F15">
        <v>84.771100000000004</v>
      </c>
      <c r="G15">
        <v>82.743600000000001</v>
      </c>
      <c r="H15">
        <v>0</v>
      </c>
      <c r="I15">
        <v>4.58E-2</v>
      </c>
      <c r="J15">
        <v>0</v>
      </c>
      <c r="K15">
        <v>1.2200000000000001E-2</v>
      </c>
      <c r="L15">
        <v>99.9392</v>
      </c>
      <c r="M15">
        <v>99.864099999999993</v>
      </c>
      <c r="N15">
        <v>74.665300000000002</v>
      </c>
    </row>
    <row r="16" spans="1:17">
      <c r="A16">
        <v>15</v>
      </c>
      <c r="B16">
        <v>0.22067800000000001</v>
      </c>
      <c r="C16" s="570">
        <v>2.1962999999999999</v>
      </c>
      <c r="D16" s="570">
        <v>2.5000000000000001E-3</v>
      </c>
      <c r="E16">
        <v>0</v>
      </c>
      <c r="F16">
        <v>86.967399999999998</v>
      </c>
      <c r="G16">
        <v>82.746200000000002</v>
      </c>
      <c r="H16">
        <v>0</v>
      </c>
      <c r="I16">
        <v>0</v>
      </c>
      <c r="J16">
        <v>1.24E-2</v>
      </c>
      <c r="K16">
        <v>0.50039999999999996</v>
      </c>
      <c r="L16">
        <v>99.9392</v>
      </c>
      <c r="M16">
        <v>99.876499999999993</v>
      </c>
      <c r="N16">
        <v>75.165599999999998</v>
      </c>
    </row>
    <row r="17" spans="1:14">
      <c r="A17">
        <v>16</v>
      </c>
      <c r="B17">
        <v>0.198521</v>
      </c>
      <c r="C17" s="570">
        <v>0.50209999999999999</v>
      </c>
      <c r="D17" s="570">
        <v>8.2000000000000007E-3</v>
      </c>
      <c r="E17">
        <v>0</v>
      </c>
      <c r="F17">
        <v>87.469499999999996</v>
      </c>
      <c r="G17">
        <v>82.754300000000001</v>
      </c>
      <c r="H17">
        <v>0</v>
      </c>
      <c r="I17">
        <v>0</v>
      </c>
      <c r="J17">
        <v>3.5000000000000001E-3</v>
      </c>
      <c r="K17">
        <v>4.8884999999999996</v>
      </c>
      <c r="L17">
        <v>99.939300000000003</v>
      </c>
      <c r="M17">
        <v>99.88</v>
      </c>
      <c r="N17">
        <v>80.054199999999994</v>
      </c>
    </row>
    <row r="18" spans="1:14">
      <c r="A18">
        <v>17</v>
      </c>
      <c r="B18">
        <v>0.17150000000000001</v>
      </c>
      <c r="C18" s="570">
        <v>2.4306999999999999</v>
      </c>
      <c r="D18" s="570">
        <v>0.1414</v>
      </c>
      <c r="E18">
        <v>0</v>
      </c>
      <c r="F18">
        <v>89.900199999999998</v>
      </c>
      <c r="G18">
        <v>82.895700000000005</v>
      </c>
      <c r="H18">
        <v>0</v>
      </c>
      <c r="I18">
        <v>1.1999999999999999E-3</v>
      </c>
      <c r="J18">
        <v>1.2800000000000001E-2</v>
      </c>
      <c r="K18">
        <v>0.6593</v>
      </c>
      <c r="L18">
        <v>99.9405</v>
      </c>
      <c r="M18">
        <v>99.892799999999994</v>
      </c>
      <c r="N18">
        <v>80.713499999999996</v>
      </c>
    </row>
    <row r="19" spans="1:14">
      <c r="A19">
        <v>18</v>
      </c>
      <c r="B19">
        <v>0.17052800000000001</v>
      </c>
      <c r="C19" s="570">
        <v>8.0100000000000005E-2</v>
      </c>
      <c r="D19" s="570">
        <v>2.8839999999999999</v>
      </c>
      <c r="E19">
        <v>0</v>
      </c>
      <c r="F19">
        <v>89.9803</v>
      </c>
      <c r="G19">
        <v>85.779700000000005</v>
      </c>
      <c r="H19">
        <v>0</v>
      </c>
      <c r="I19">
        <v>2.5999999999999999E-2</v>
      </c>
      <c r="J19">
        <v>5.0000000000000001E-4</v>
      </c>
      <c r="K19">
        <v>1.5E-3</v>
      </c>
      <c r="L19">
        <v>99.966499999999996</v>
      </c>
      <c r="M19">
        <v>99.8934</v>
      </c>
      <c r="N19">
        <v>80.715000000000003</v>
      </c>
    </row>
    <row r="20" spans="1:14">
      <c r="A20">
        <v>19</v>
      </c>
      <c r="B20">
        <v>0.15724199999999999</v>
      </c>
      <c r="C20" s="570">
        <v>0.59799999999999998</v>
      </c>
      <c r="D20" s="570">
        <v>1.2200000000000001E-2</v>
      </c>
      <c r="E20">
        <v>0</v>
      </c>
      <c r="F20">
        <v>90.578299999999999</v>
      </c>
      <c r="G20">
        <v>85.791899999999998</v>
      </c>
      <c r="H20">
        <v>0</v>
      </c>
      <c r="I20">
        <v>0</v>
      </c>
      <c r="J20">
        <v>4.4000000000000003E-3</v>
      </c>
      <c r="K20">
        <v>7.2041000000000004</v>
      </c>
      <c r="L20">
        <v>99.966499999999996</v>
      </c>
      <c r="M20">
        <v>99.897800000000004</v>
      </c>
      <c r="N20">
        <v>87.918999999999997</v>
      </c>
    </row>
    <row r="21" spans="1:14">
      <c r="A21">
        <v>20</v>
      </c>
      <c r="B21">
        <v>0.138737</v>
      </c>
      <c r="C21" s="570">
        <v>3.0122</v>
      </c>
      <c r="D21" s="570">
        <v>6.9999999999999999E-4</v>
      </c>
      <c r="E21">
        <v>0</v>
      </c>
      <c r="F21">
        <v>93.590500000000006</v>
      </c>
      <c r="G21">
        <v>85.792599999999993</v>
      </c>
      <c r="H21">
        <v>0</v>
      </c>
      <c r="I21">
        <v>0</v>
      </c>
      <c r="J21">
        <v>2.6700000000000002E-2</v>
      </c>
      <c r="K21">
        <v>0.6462</v>
      </c>
      <c r="L21">
        <v>99.966499999999996</v>
      </c>
      <c r="M21">
        <v>99.924499999999995</v>
      </c>
      <c r="N21">
        <v>88.565200000000004</v>
      </c>
    </row>
    <row r="22" spans="1:14">
      <c r="A22" s="570">
        <v>21</v>
      </c>
      <c r="B22" s="570">
        <v>0.12851599999999999</v>
      </c>
      <c r="C22" s="570">
        <v>0.42109999999999997</v>
      </c>
      <c r="D22" s="570">
        <v>0.88759999999999994</v>
      </c>
      <c r="E22" s="570">
        <v>0</v>
      </c>
      <c r="F22" s="570">
        <v>94.011600000000001</v>
      </c>
      <c r="G22" s="570">
        <v>86.680199999999999</v>
      </c>
      <c r="H22" s="570">
        <v>0</v>
      </c>
      <c r="I22" s="570">
        <v>3.5000000000000001E-3</v>
      </c>
      <c r="J22" s="570">
        <v>4.4999999999999997E-3</v>
      </c>
      <c r="K22" s="570">
        <v>3.7282000000000002</v>
      </c>
      <c r="L22" s="570">
        <v>99.97</v>
      </c>
      <c r="M22" s="570">
        <v>99.929000000000002</v>
      </c>
      <c r="N22" s="570">
        <v>92.293400000000005</v>
      </c>
    </row>
    <row r="23" spans="1:14">
      <c r="A23" s="570">
        <v>22</v>
      </c>
      <c r="B23" s="570">
        <v>0.125782</v>
      </c>
      <c r="C23" s="570">
        <v>0.2329</v>
      </c>
      <c r="D23" s="570">
        <v>2.2082999999999999</v>
      </c>
      <c r="E23" s="570">
        <v>0</v>
      </c>
      <c r="F23" s="570">
        <v>94.244500000000002</v>
      </c>
      <c r="G23" s="570">
        <v>88.888499999999993</v>
      </c>
      <c r="H23" s="570">
        <v>0</v>
      </c>
      <c r="I23" s="570">
        <v>9.7000000000000003E-3</v>
      </c>
      <c r="J23" s="570">
        <v>2.0999999999999999E-3</v>
      </c>
      <c r="K23" s="570">
        <v>0.71509999999999996</v>
      </c>
      <c r="L23" s="570">
        <v>99.979699999999994</v>
      </c>
      <c r="M23" s="570">
        <v>99.931100000000001</v>
      </c>
      <c r="N23" s="570">
        <v>93.008499999999998</v>
      </c>
    </row>
    <row r="24" spans="1:14">
      <c r="A24" s="570">
        <v>23</v>
      </c>
      <c r="B24" s="570">
        <v>0.114034</v>
      </c>
      <c r="C24" s="570">
        <v>2.9401999999999999</v>
      </c>
      <c r="D24" s="570">
        <v>1.4500000000000001E-2</v>
      </c>
      <c r="E24" s="570">
        <v>0</v>
      </c>
      <c r="F24" s="570">
        <v>97.184600000000003</v>
      </c>
      <c r="G24" s="570">
        <v>88.903099999999995</v>
      </c>
      <c r="H24" s="570">
        <v>0</v>
      </c>
      <c r="I24" s="570">
        <v>1E-4</v>
      </c>
      <c r="J24" s="570">
        <v>2.8799999999999999E-2</v>
      </c>
      <c r="K24" s="570">
        <v>0.26090000000000002</v>
      </c>
      <c r="L24" s="570">
        <v>99.979799999999997</v>
      </c>
      <c r="M24" s="570">
        <v>99.959900000000005</v>
      </c>
      <c r="N24" s="570">
        <v>93.269300000000001</v>
      </c>
    </row>
    <row r="25" spans="1:14">
      <c r="A25" s="570">
        <v>24</v>
      </c>
      <c r="B25" s="570">
        <v>9.9113000000000007E-2</v>
      </c>
      <c r="C25" s="570">
        <v>2.6499999999999999E-2</v>
      </c>
      <c r="D25" s="570">
        <v>3.5335999999999999</v>
      </c>
      <c r="E25" s="570">
        <v>0</v>
      </c>
      <c r="F25" s="570">
        <v>97.211100000000002</v>
      </c>
      <c r="G25" s="570">
        <v>92.436700000000002</v>
      </c>
      <c r="H25" s="570">
        <v>0</v>
      </c>
      <c r="I25" s="570">
        <v>1.04E-2</v>
      </c>
      <c r="J25" s="570">
        <v>2.9999999999999997E-4</v>
      </c>
      <c r="K25" s="570">
        <v>6.1499999999999999E-2</v>
      </c>
      <c r="L25" s="570">
        <v>99.990200000000002</v>
      </c>
      <c r="M25" s="570">
        <v>99.9602</v>
      </c>
      <c r="N25" s="570">
        <v>93.330799999999996</v>
      </c>
    </row>
    <row r="26" spans="1:14">
      <c r="A26" s="570">
        <v>25</v>
      </c>
      <c r="B26" s="570">
        <v>9.2415999999999998E-2</v>
      </c>
      <c r="C26" s="570">
        <v>1.7512000000000001</v>
      </c>
      <c r="D26" s="570">
        <v>2.6599999999999999E-2</v>
      </c>
      <c r="E26" s="570">
        <v>0</v>
      </c>
      <c r="F26" s="570">
        <v>98.962299999999999</v>
      </c>
      <c r="G26" s="570">
        <v>92.463300000000004</v>
      </c>
      <c r="H26" s="570">
        <v>0</v>
      </c>
      <c r="I26" s="570">
        <v>1E-4</v>
      </c>
      <c r="J26" s="570">
        <v>2.2499999999999999E-2</v>
      </c>
      <c r="K26" s="570">
        <v>6.9999999999999999E-4</v>
      </c>
      <c r="L26" s="570">
        <v>99.990300000000005</v>
      </c>
      <c r="M26" s="570">
        <v>99.982600000000005</v>
      </c>
      <c r="N26" s="570">
        <v>93.331500000000005</v>
      </c>
    </row>
    <row r="27" spans="1:14">
      <c r="A27" s="570">
        <v>26</v>
      </c>
      <c r="B27" s="570">
        <v>7.8931000000000001E-2</v>
      </c>
      <c r="C27" s="570">
        <v>7.3000000000000001E-3</v>
      </c>
      <c r="D27" s="570">
        <v>4.2050000000000001</v>
      </c>
      <c r="E27" s="570">
        <v>0</v>
      </c>
      <c r="F27" s="570">
        <v>98.9696</v>
      </c>
      <c r="G27" s="570">
        <v>96.668199999999999</v>
      </c>
      <c r="H27" s="570">
        <v>0</v>
      </c>
      <c r="I27" s="570">
        <v>7.1999999999999998E-3</v>
      </c>
      <c r="J27" s="570">
        <v>1E-4</v>
      </c>
      <c r="K27" s="570">
        <v>8.2000000000000003E-2</v>
      </c>
      <c r="L27" s="570">
        <v>99.997500000000002</v>
      </c>
      <c r="M27" s="570">
        <v>99.982699999999994</v>
      </c>
      <c r="N27" s="570">
        <v>93.413499999999999</v>
      </c>
    </row>
    <row r="28" spans="1:14">
      <c r="A28" s="570">
        <v>27</v>
      </c>
      <c r="B28" s="570">
        <v>6.6988000000000006E-2</v>
      </c>
      <c r="C28" s="570">
        <v>0.62119999999999997</v>
      </c>
      <c r="D28" s="570">
        <v>1.6500000000000001E-2</v>
      </c>
      <c r="E28" s="570">
        <v>0</v>
      </c>
      <c r="F28" s="570">
        <v>99.590800000000002</v>
      </c>
      <c r="G28" s="570">
        <v>96.684700000000007</v>
      </c>
      <c r="H28" s="570">
        <v>0</v>
      </c>
      <c r="I28" s="570">
        <v>0</v>
      </c>
      <c r="J28" s="570">
        <v>9.2999999999999992E-3</v>
      </c>
      <c r="K28" s="570">
        <v>5.6899999999999999E-2</v>
      </c>
      <c r="L28" s="570">
        <v>99.997500000000002</v>
      </c>
      <c r="M28" s="570">
        <v>99.992000000000004</v>
      </c>
      <c r="N28" s="570">
        <v>93.470399999999998</v>
      </c>
    </row>
    <row r="29" spans="1:14">
      <c r="A29" s="570">
        <v>28</v>
      </c>
      <c r="B29" s="570">
        <v>5.9698000000000001E-2</v>
      </c>
      <c r="C29" s="570">
        <v>2.3999999999999998E-3</v>
      </c>
      <c r="D29" s="570">
        <v>2.4790999999999999</v>
      </c>
      <c r="E29" s="570">
        <v>0</v>
      </c>
      <c r="F29" s="570">
        <v>99.593299999999999</v>
      </c>
      <c r="G29" s="570">
        <v>99.163799999999995</v>
      </c>
      <c r="H29" s="570">
        <v>0</v>
      </c>
      <c r="I29" s="570">
        <v>2.3E-3</v>
      </c>
      <c r="J29" s="570">
        <v>0</v>
      </c>
      <c r="K29" s="570">
        <v>1.6899999999999998E-2</v>
      </c>
      <c r="L29" s="570">
        <v>99.999799999999993</v>
      </c>
      <c r="M29" s="570">
        <v>99.992000000000004</v>
      </c>
      <c r="N29" s="570">
        <v>93.487399999999994</v>
      </c>
    </row>
    <row r="30" spans="1:14">
      <c r="A30" s="570">
        <v>29</v>
      </c>
      <c r="B30" s="570">
        <v>3.5542999999999998E-2</v>
      </c>
      <c r="C30" s="570">
        <v>8.0000000000000004E-4</v>
      </c>
      <c r="D30" s="570">
        <v>0.55030000000000001</v>
      </c>
      <c r="E30" s="570">
        <v>0</v>
      </c>
      <c r="F30" s="570">
        <v>99.593999999999994</v>
      </c>
      <c r="G30" s="570">
        <v>99.714100000000002</v>
      </c>
      <c r="H30" s="570">
        <v>0</v>
      </c>
      <c r="I30" s="570">
        <v>1E-4</v>
      </c>
      <c r="J30" s="570">
        <v>0</v>
      </c>
      <c r="K30" s="570">
        <v>8.5900000000000004E-2</v>
      </c>
      <c r="L30" s="570">
        <v>99.999899999999997</v>
      </c>
      <c r="M30" s="570">
        <v>99.992099999999994</v>
      </c>
      <c r="N30" s="570">
        <v>93.573300000000003</v>
      </c>
    </row>
    <row r="31" spans="1:14">
      <c r="A31" s="570">
        <v>30</v>
      </c>
      <c r="B31" s="570">
        <v>3.0991000000000001E-2</v>
      </c>
      <c r="C31" s="570">
        <v>0.20200000000000001</v>
      </c>
      <c r="D31" s="570">
        <v>1.2999999999999999E-3</v>
      </c>
      <c r="E31" s="570">
        <v>0</v>
      </c>
      <c r="F31" s="570">
        <v>99.796000000000006</v>
      </c>
      <c r="G31" s="570">
        <v>99.715400000000002</v>
      </c>
      <c r="H31" s="570">
        <v>0</v>
      </c>
      <c r="I31" s="570">
        <v>0</v>
      </c>
      <c r="J31" s="570">
        <v>4.1000000000000003E-3</v>
      </c>
      <c r="K31" s="570">
        <v>1.8100000000000002E-2</v>
      </c>
      <c r="L31" s="570">
        <v>99.999899999999997</v>
      </c>
      <c r="M31" s="570">
        <v>99.996200000000002</v>
      </c>
      <c r="N31" s="570">
        <v>93.591399999999993</v>
      </c>
    </row>
  </sheetData>
  <pageMargins left="0.7" right="0.7" top="0.75" bottom="0.75" header="0.3" footer="0.3"/>
  <pageSetup scale="9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000"/>
  </sheetPr>
  <dimension ref="A1:J44"/>
  <sheetViews>
    <sheetView view="pageBreakPreview" zoomScaleNormal="100" zoomScaleSheetLayoutView="100" workbookViewId="0"/>
  </sheetViews>
  <sheetFormatPr defaultColWidth="9" defaultRowHeight="15.75"/>
  <cols>
    <col min="1" max="16384" width="9" style="570"/>
  </cols>
  <sheetData>
    <row r="1" spans="1:10">
      <c r="A1" s="570" t="s">
        <v>1820</v>
      </c>
      <c r="B1" s="570" t="s">
        <v>1826</v>
      </c>
      <c r="C1" s="570" t="s">
        <v>1842</v>
      </c>
      <c r="D1" s="570" t="s">
        <v>1843</v>
      </c>
      <c r="E1" s="570" t="s">
        <v>1844</v>
      </c>
      <c r="F1" s="570" t="s">
        <v>1845</v>
      </c>
      <c r="G1" s="570" t="s">
        <v>1846</v>
      </c>
      <c r="J1" s="460" t="s">
        <v>2066</v>
      </c>
    </row>
    <row r="2" spans="1:10">
      <c r="A2" s="942" t="s">
        <v>2270</v>
      </c>
      <c r="B2" s="942" t="s">
        <v>1834</v>
      </c>
      <c r="C2" s="942">
        <v>99.324200000000005</v>
      </c>
      <c r="D2" s="942">
        <v>99.324200000000005</v>
      </c>
      <c r="E2" s="942">
        <v>2756.5111999999999</v>
      </c>
      <c r="F2" s="942">
        <v>34.692</v>
      </c>
      <c r="G2" s="942">
        <v>13.833</v>
      </c>
    </row>
    <row r="3" spans="1:10">
      <c r="A3" s="942" t="s">
        <v>2271</v>
      </c>
      <c r="B3" s="942" t="s">
        <v>1834</v>
      </c>
      <c r="C3" s="942">
        <v>1723.2888</v>
      </c>
      <c r="D3" s="942">
        <v>1723.2888</v>
      </c>
      <c r="E3" s="942">
        <v>719382.68709999998</v>
      </c>
      <c r="F3" s="942">
        <v>35.274000000000001</v>
      </c>
      <c r="G3" s="942">
        <v>13.859</v>
      </c>
      <c r="H3" s="460" t="s">
        <v>2326</v>
      </c>
    </row>
    <row r="4" spans="1:10">
      <c r="A4" s="942" t="s">
        <v>2340</v>
      </c>
      <c r="B4" s="942" t="s">
        <v>1834</v>
      </c>
      <c r="C4" s="942">
        <v>1210.2556999999999</v>
      </c>
      <c r="D4" s="942">
        <v>1210.2556999999999</v>
      </c>
      <c r="E4" s="942">
        <v>528424.06039999996</v>
      </c>
      <c r="F4" s="942">
        <v>35.369</v>
      </c>
      <c r="G4" s="942">
        <v>14.233000000000001</v>
      </c>
    </row>
    <row r="5" spans="1:10">
      <c r="A5" s="942" t="s">
        <v>2341</v>
      </c>
      <c r="B5" s="942" t="s">
        <v>1834</v>
      </c>
      <c r="C5" s="942">
        <v>1210.2556999999999</v>
      </c>
      <c r="D5" s="942">
        <v>1210.2556999999999</v>
      </c>
      <c r="E5" s="942">
        <v>528424.06039999996</v>
      </c>
      <c r="F5" s="942">
        <v>35.369</v>
      </c>
      <c r="G5" s="942">
        <v>14.233000000000001</v>
      </c>
    </row>
    <row r="6" spans="1:10">
      <c r="A6" s="942" t="s">
        <v>2342</v>
      </c>
      <c r="B6" s="942" t="s">
        <v>1834</v>
      </c>
      <c r="C6" s="942">
        <v>1210.2556999999999</v>
      </c>
      <c r="D6" s="942">
        <v>1210.2556999999999</v>
      </c>
      <c r="E6" s="942">
        <v>528424.06039999996</v>
      </c>
      <c r="F6" s="942">
        <v>35.369</v>
      </c>
      <c r="G6" s="942">
        <v>14.233000000000001</v>
      </c>
    </row>
    <row r="7" spans="1:10">
      <c r="A7" s="942" t="s">
        <v>2343</v>
      </c>
      <c r="B7" s="942" t="s">
        <v>1834</v>
      </c>
      <c r="C7" s="942">
        <v>1210.2556999999999</v>
      </c>
      <c r="D7" s="942">
        <v>1210.2556999999999</v>
      </c>
      <c r="E7" s="942">
        <v>528424.06039999996</v>
      </c>
      <c r="F7" s="942">
        <v>35.369</v>
      </c>
      <c r="G7" s="942">
        <v>14.233000000000001</v>
      </c>
    </row>
    <row r="8" spans="1:10">
      <c r="A8" s="942" t="s">
        <v>2344</v>
      </c>
      <c r="B8" s="942" t="s">
        <v>1834</v>
      </c>
      <c r="C8" s="942">
        <v>1210.2556999999999</v>
      </c>
      <c r="D8" s="942">
        <v>1210.2556999999999</v>
      </c>
      <c r="E8" s="942">
        <v>528424.06039999996</v>
      </c>
      <c r="F8" s="942">
        <v>35.369</v>
      </c>
      <c r="G8" s="942">
        <v>14.233000000000001</v>
      </c>
    </row>
    <row r="9" spans="1:10">
      <c r="A9" s="942" t="s">
        <v>2345</v>
      </c>
      <c r="B9" s="942" t="s">
        <v>1834</v>
      </c>
      <c r="C9" s="942">
        <v>1210.2556999999999</v>
      </c>
      <c r="D9" s="942">
        <v>1210.2556999999999</v>
      </c>
      <c r="E9" s="942">
        <v>528424.06039999996</v>
      </c>
      <c r="F9" s="942">
        <v>35.369</v>
      </c>
      <c r="G9" s="942">
        <v>14.233000000000001</v>
      </c>
    </row>
    <row r="10" spans="1:10">
      <c r="A10" s="942" t="s">
        <v>2346</v>
      </c>
      <c r="B10" s="942" t="s">
        <v>1834</v>
      </c>
      <c r="C10" s="942">
        <v>1210.2556999999999</v>
      </c>
      <c r="D10" s="942">
        <v>1210.2556999999999</v>
      </c>
      <c r="E10" s="942">
        <v>528424.06039999996</v>
      </c>
      <c r="F10" s="942">
        <v>35.369</v>
      </c>
      <c r="G10" s="942">
        <v>14.233000000000001</v>
      </c>
    </row>
    <row r="11" spans="1:10">
      <c r="A11" s="942" t="s">
        <v>2347</v>
      </c>
      <c r="B11" s="942" t="s">
        <v>1834</v>
      </c>
      <c r="C11" s="942">
        <v>1210.2556999999999</v>
      </c>
      <c r="D11" s="942">
        <v>1210.2556999999999</v>
      </c>
      <c r="E11" s="942">
        <v>528424.06039999996</v>
      </c>
      <c r="F11" s="942">
        <v>35.369</v>
      </c>
      <c r="G11" s="942">
        <v>14.233000000000001</v>
      </c>
    </row>
    <row r="12" spans="1:10">
      <c r="A12" s="942" t="s">
        <v>2348</v>
      </c>
      <c r="B12" s="942" t="s">
        <v>1834</v>
      </c>
      <c r="C12" s="942">
        <v>1210.2556999999999</v>
      </c>
      <c r="D12" s="942">
        <v>1210.2556999999999</v>
      </c>
      <c r="E12" s="942">
        <v>528424.06039999996</v>
      </c>
      <c r="F12" s="942">
        <v>35.369</v>
      </c>
      <c r="G12" s="942">
        <v>14.233000000000001</v>
      </c>
    </row>
    <row r="13" spans="1:10">
      <c r="A13" s="942" t="s">
        <v>2349</v>
      </c>
      <c r="B13" s="942" t="s">
        <v>1834</v>
      </c>
      <c r="C13" s="942">
        <v>1210.2556999999999</v>
      </c>
      <c r="D13" s="942">
        <v>1210.2556999999999</v>
      </c>
      <c r="E13" s="942">
        <v>528424.06039999996</v>
      </c>
      <c r="F13" s="942">
        <v>35.369</v>
      </c>
      <c r="G13" s="942">
        <v>14.233000000000001</v>
      </c>
    </row>
    <row r="14" spans="1:10">
      <c r="A14" s="942" t="s">
        <v>2350</v>
      </c>
      <c r="B14" s="942" t="s">
        <v>1834</v>
      </c>
      <c r="C14" s="942">
        <v>1210.2556999999999</v>
      </c>
      <c r="D14" s="942">
        <v>1210.2556999999999</v>
      </c>
      <c r="E14" s="942">
        <v>528424.06039999996</v>
      </c>
      <c r="F14" s="942">
        <v>35.369</v>
      </c>
      <c r="G14" s="942">
        <v>14.233000000000001</v>
      </c>
    </row>
    <row r="15" spans="1:10">
      <c r="A15" s="942" t="s">
        <v>2351</v>
      </c>
      <c r="B15" s="942" t="s">
        <v>1834</v>
      </c>
      <c r="C15" s="942">
        <v>1210.2556999999999</v>
      </c>
      <c r="D15" s="942">
        <v>1210.2556999999999</v>
      </c>
      <c r="E15" s="942">
        <v>528424.06039999996</v>
      </c>
      <c r="F15" s="942">
        <v>35.369</v>
      </c>
      <c r="G15" s="942">
        <v>14.233000000000001</v>
      </c>
    </row>
    <row r="16" spans="1:10">
      <c r="A16" s="942" t="s">
        <v>2352</v>
      </c>
      <c r="B16" s="942" t="s">
        <v>1834</v>
      </c>
      <c r="C16" s="942">
        <v>1210.2556999999999</v>
      </c>
      <c r="D16" s="942">
        <v>1210.2556999999999</v>
      </c>
      <c r="E16" s="942">
        <v>528424.06039999996</v>
      </c>
      <c r="F16" s="942">
        <v>35.369</v>
      </c>
      <c r="G16" s="942">
        <v>14.233000000000001</v>
      </c>
    </row>
    <row r="17" spans="1:7">
      <c r="A17" s="942" t="s">
        <v>2353</v>
      </c>
      <c r="B17" s="942" t="s">
        <v>1834</v>
      </c>
      <c r="C17" s="942">
        <v>1210.2556999999999</v>
      </c>
      <c r="D17" s="942">
        <v>1210.2556999999999</v>
      </c>
      <c r="E17" s="942">
        <v>528424.06039999996</v>
      </c>
      <c r="F17" s="942">
        <v>35.369</v>
      </c>
      <c r="G17" s="942">
        <v>14.233000000000001</v>
      </c>
    </row>
    <row r="18" spans="1:7">
      <c r="A18" s="942" t="s">
        <v>2354</v>
      </c>
      <c r="B18" s="942" t="s">
        <v>1834</v>
      </c>
      <c r="C18" s="942">
        <v>1210.2556999999999</v>
      </c>
      <c r="D18" s="942">
        <v>1210.2556999999999</v>
      </c>
      <c r="E18" s="942">
        <v>528424.06039999996</v>
      </c>
      <c r="F18" s="942">
        <v>35.369</v>
      </c>
      <c r="G18" s="942">
        <v>14.233000000000001</v>
      </c>
    </row>
    <row r="19" spans="1:7">
      <c r="A19" s="942" t="s">
        <v>2355</v>
      </c>
      <c r="B19" s="942" t="s">
        <v>1834</v>
      </c>
      <c r="C19" s="942">
        <v>1210.2556999999999</v>
      </c>
      <c r="D19" s="942">
        <v>1210.2556999999999</v>
      </c>
      <c r="E19" s="942">
        <v>528424.06039999996</v>
      </c>
      <c r="F19" s="942">
        <v>35.369</v>
      </c>
      <c r="G19" s="942">
        <v>14.233000000000001</v>
      </c>
    </row>
    <row r="20" spans="1:7">
      <c r="A20" s="942" t="s">
        <v>2356</v>
      </c>
      <c r="B20" s="942" t="s">
        <v>1834</v>
      </c>
      <c r="C20" s="942">
        <v>1210.2556999999999</v>
      </c>
      <c r="D20" s="942">
        <v>1210.2556999999999</v>
      </c>
      <c r="E20" s="942">
        <v>528424.06039999996</v>
      </c>
      <c r="F20" s="942">
        <v>35.369</v>
      </c>
      <c r="G20" s="942">
        <v>14.233000000000001</v>
      </c>
    </row>
    <row r="21" spans="1:7">
      <c r="A21" s="942" t="s">
        <v>2357</v>
      </c>
      <c r="B21" s="942" t="s">
        <v>1834</v>
      </c>
      <c r="C21" s="942">
        <v>1210.2556999999999</v>
      </c>
      <c r="D21" s="942">
        <v>1210.2556999999999</v>
      </c>
      <c r="E21" s="942">
        <v>528424.06039999996</v>
      </c>
      <c r="F21" s="942">
        <v>35.369</v>
      </c>
      <c r="G21" s="942">
        <v>14.233000000000001</v>
      </c>
    </row>
    <row r="22" spans="1:7">
      <c r="A22" s="942" t="s">
        <v>2358</v>
      </c>
      <c r="B22" s="942" t="s">
        <v>1834</v>
      </c>
      <c r="C22" s="942">
        <v>1192.1413</v>
      </c>
      <c r="D22" s="942">
        <v>1192.1413</v>
      </c>
      <c r="E22" s="942">
        <v>533935.66249999998</v>
      </c>
      <c r="F22" s="942">
        <v>35.845999999999997</v>
      </c>
      <c r="G22" s="942">
        <v>14.321999999999999</v>
      </c>
    </row>
    <row r="23" spans="1:7">
      <c r="A23" s="942" t="s">
        <v>2359</v>
      </c>
      <c r="B23" s="942" t="s">
        <v>1834</v>
      </c>
      <c r="C23" s="942">
        <v>1210.2556999999999</v>
      </c>
      <c r="D23" s="942">
        <v>1210.2556999999999</v>
      </c>
      <c r="E23" s="942">
        <v>528424.06039999996</v>
      </c>
      <c r="F23" s="942">
        <v>35.369</v>
      </c>
      <c r="G23" s="942">
        <v>14.233000000000001</v>
      </c>
    </row>
    <row r="24" spans="1:7">
      <c r="A24" s="942" t="s">
        <v>2360</v>
      </c>
      <c r="B24" s="942" t="s">
        <v>1834</v>
      </c>
      <c r="C24" s="942">
        <v>1210.2556999999999</v>
      </c>
      <c r="D24" s="942">
        <v>1210.2556999999999</v>
      </c>
      <c r="E24" s="942">
        <v>528424.06039999996</v>
      </c>
      <c r="F24" s="942">
        <v>35.369</v>
      </c>
      <c r="G24" s="942">
        <v>14.233000000000001</v>
      </c>
    </row>
    <row r="25" spans="1:7">
      <c r="A25" s="942" t="s">
        <v>2361</v>
      </c>
      <c r="B25" s="942" t="s">
        <v>1834</v>
      </c>
      <c r="C25" s="942">
        <v>1210.2556999999999</v>
      </c>
      <c r="D25" s="942">
        <v>1210.2556999999999</v>
      </c>
      <c r="E25" s="942">
        <v>528424.06039999996</v>
      </c>
      <c r="F25" s="942">
        <v>35.369</v>
      </c>
      <c r="G25" s="942">
        <v>14.233000000000001</v>
      </c>
    </row>
    <row r="26" spans="1:7">
      <c r="A26" s="942" t="s">
        <v>2362</v>
      </c>
      <c r="B26" s="942" t="s">
        <v>1834</v>
      </c>
      <c r="C26" s="942">
        <v>1210.2556999999999</v>
      </c>
      <c r="D26" s="942">
        <v>1210.2556999999999</v>
      </c>
      <c r="E26" s="942">
        <v>528424.06039999996</v>
      </c>
      <c r="F26" s="942">
        <v>35.369</v>
      </c>
      <c r="G26" s="942">
        <v>14.233000000000001</v>
      </c>
    </row>
    <row r="27" spans="1:7">
      <c r="A27" s="942" t="s">
        <v>2363</v>
      </c>
      <c r="B27" s="942" t="s">
        <v>1834</v>
      </c>
      <c r="C27" s="942">
        <v>1210.2556999999999</v>
      </c>
      <c r="D27" s="942">
        <v>1210.2556999999999</v>
      </c>
      <c r="E27" s="942">
        <v>528424.06039999996</v>
      </c>
      <c r="F27" s="942">
        <v>35.369</v>
      </c>
      <c r="G27" s="942">
        <v>14.233000000000001</v>
      </c>
    </row>
    <row r="28" spans="1:7">
      <c r="A28" s="942" t="s">
        <v>2364</v>
      </c>
      <c r="B28" s="942" t="s">
        <v>1834</v>
      </c>
      <c r="C28" s="942">
        <v>1210.2556999999999</v>
      </c>
      <c r="D28" s="942">
        <v>1210.2556999999999</v>
      </c>
      <c r="E28" s="942">
        <v>528424.06039999996</v>
      </c>
      <c r="F28" s="942">
        <v>35.369</v>
      </c>
      <c r="G28" s="942">
        <v>14.233000000000001</v>
      </c>
    </row>
    <row r="29" spans="1:7">
      <c r="A29" s="942" t="s">
        <v>2365</v>
      </c>
      <c r="B29" s="942" t="s">
        <v>1834</v>
      </c>
      <c r="C29" s="942">
        <v>1210.2556999999999</v>
      </c>
      <c r="D29" s="942">
        <v>1210.2556999999999</v>
      </c>
      <c r="E29" s="942">
        <v>528424.06039999996</v>
      </c>
      <c r="F29" s="942">
        <v>35.369</v>
      </c>
      <c r="G29" s="942">
        <v>14.233000000000001</v>
      </c>
    </row>
    <row r="30" spans="1:7">
      <c r="A30" s="942" t="s">
        <v>2366</v>
      </c>
      <c r="B30" s="942" t="s">
        <v>1834</v>
      </c>
      <c r="C30" s="942">
        <v>1210.2556999999999</v>
      </c>
      <c r="D30" s="942">
        <v>1210.2556999999999</v>
      </c>
      <c r="E30" s="942">
        <v>528424.06039999996</v>
      </c>
      <c r="F30" s="942">
        <v>35.369</v>
      </c>
      <c r="G30" s="942">
        <v>14.233000000000001</v>
      </c>
    </row>
    <row r="31" spans="1:7">
      <c r="A31" s="942" t="s">
        <v>2367</v>
      </c>
      <c r="B31" s="942" t="s">
        <v>1834</v>
      </c>
      <c r="C31" s="942">
        <v>1218.0681999999999</v>
      </c>
      <c r="D31" s="942">
        <v>1218.0681999999999</v>
      </c>
      <c r="E31" s="942">
        <v>532618.11250000005</v>
      </c>
      <c r="F31" s="942">
        <v>35.366999999999997</v>
      </c>
      <c r="G31" s="942">
        <v>14.233000000000001</v>
      </c>
    </row>
    <row r="32" spans="1:7">
      <c r="A32" s="942" t="s">
        <v>2368</v>
      </c>
      <c r="B32" s="942" t="s">
        <v>1834</v>
      </c>
      <c r="C32" s="942">
        <v>1225.8807999999999</v>
      </c>
      <c r="D32" s="942">
        <v>1225.8807999999999</v>
      </c>
      <c r="E32" s="942">
        <v>536812.15179999999</v>
      </c>
      <c r="F32" s="942">
        <v>35.365000000000002</v>
      </c>
      <c r="G32" s="942">
        <v>14.231999999999999</v>
      </c>
    </row>
    <row r="33" spans="1:7">
      <c r="A33" s="942" t="s">
        <v>2369</v>
      </c>
      <c r="B33" s="942" t="s">
        <v>1834</v>
      </c>
      <c r="C33" s="942">
        <v>1225.8807999999999</v>
      </c>
      <c r="D33" s="942">
        <v>1225.8807999999999</v>
      </c>
      <c r="E33" s="942">
        <v>536812.15179999999</v>
      </c>
      <c r="F33" s="942">
        <v>35.365000000000002</v>
      </c>
      <c r="G33" s="942">
        <v>14.231999999999999</v>
      </c>
    </row>
    <row r="34" spans="1:7">
      <c r="A34" s="942" t="s">
        <v>2370</v>
      </c>
      <c r="B34" s="942" t="s">
        <v>1834</v>
      </c>
      <c r="C34" s="942">
        <v>1225.8807999999999</v>
      </c>
      <c r="D34" s="942">
        <v>1225.8807999999999</v>
      </c>
      <c r="E34" s="942">
        <v>536812.15179999999</v>
      </c>
      <c r="F34" s="942">
        <v>35.365000000000002</v>
      </c>
      <c r="G34" s="942">
        <v>14.231999999999999</v>
      </c>
    </row>
    <row r="35" spans="1:7">
      <c r="A35" s="942" t="s">
        <v>2371</v>
      </c>
      <c r="B35" s="942" t="s">
        <v>1834</v>
      </c>
      <c r="C35" s="942">
        <v>1225.8807999999999</v>
      </c>
      <c r="D35" s="942">
        <v>1225.8807999999999</v>
      </c>
      <c r="E35" s="942">
        <v>536812.15179999999</v>
      </c>
      <c r="F35" s="942">
        <v>35.365000000000002</v>
      </c>
      <c r="G35" s="942">
        <v>14.231999999999999</v>
      </c>
    </row>
    <row r="36" spans="1:7">
      <c r="A36" s="942" t="s">
        <v>2372</v>
      </c>
      <c r="B36" s="942" t="s">
        <v>1834</v>
      </c>
      <c r="C36" s="942">
        <v>1225.8807999999999</v>
      </c>
      <c r="D36" s="942">
        <v>1225.8807999999999</v>
      </c>
      <c r="E36" s="942">
        <v>536812.15179999999</v>
      </c>
      <c r="F36" s="942">
        <v>35.365000000000002</v>
      </c>
      <c r="G36" s="942">
        <v>14.231999999999999</v>
      </c>
    </row>
    <row r="37" spans="1:7">
      <c r="A37" s="942" t="s">
        <v>2373</v>
      </c>
      <c r="B37" s="942" t="s">
        <v>1834</v>
      </c>
      <c r="C37" s="942">
        <v>1225.8807999999999</v>
      </c>
      <c r="D37" s="942">
        <v>1225.8807999999999</v>
      </c>
      <c r="E37" s="942">
        <v>536812.15179999999</v>
      </c>
      <c r="F37" s="942">
        <v>35.365000000000002</v>
      </c>
      <c r="G37" s="942">
        <v>14.231999999999999</v>
      </c>
    </row>
    <row r="38" spans="1:7">
      <c r="A38" s="942" t="s">
        <v>2374</v>
      </c>
      <c r="B38" s="942" t="s">
        <v>1834</v>
      </c>
      <c r="C38" s="942">
        <v>1225.8807999999999</v>
      </c>
      <c r="D38" s="942">
        <v>1225.8807999999999</v>
      </c>
      <c r="E38" s="942">
        <v>536812.15179999999</v>
      </c>
      <c r="F38" s="942">
        <v>35.365000000000002</v>
      </c>
      <c r="G38" s="942">
        <v>14.231999999999999</v>
      </c>
    </row>
    <row r="39" spans="1:7">
      <c r="A39" s="942" t="s">
        <v>2375</v>
      </c>
      <c r="B39" s="942" t="s">
        <v>1834</v>
      </c>
      <c r="C39" s="942">
        <v>1225.8807999999999</v>
      </c>
      <c r="D39" s="942">
        <v>1225.8807999999999</v>
      </c>
      <c r="E39" s="942">
        <v>536812.15179999999</v>
      </c>
      <c r="F39" s="942">
        <v>35.365000000000002</v>
      </c>
      <c r="G39" s="942">
        <v>14.231999999999999</v>
      </c>
    </row>
    <row r="40" spans="1:7">
      <c r="A40" s="942" t="s">
        <v>2376</v>
      </c>
      <c r="B40" s="942" t="s">
        <v>1834</v>
      </c>
      <c r="C40" s="942">
        <v>1259.9018000000001</v>
      </c>
      <c r="D40" s="942">
        <v>1259.9018000000001</v>
      </c>
      <c r="E40" s="942">
        <v>552179.28319999995</v>
      </c>
      <c r="F40" s="942">
        <v>35.360999999999997</v>
      </c>
      <c r="G40" s="942">
        <v>14.23</v>
      </c>
    </row>
    <row r="41" spans="1:7">
      <c r="A41" s="942" t="s">
        <v>2377</v>
      </c>
      <c r="B41" s="942" t="s">
        <v>1834</v>
      </c>
      <c r="C41" s="942">
        <v>10933.360500000001</v>
      </c>
      <c r="D41" s="942">
        <v>10933.360500000001</v>
      </c>
      <c r="E41" s="942">
        <v>10601167.646</v>
      </c>
      <c r="F41" s="942">
        <v>37.945999999999998</v>
      </c>
      <c r="G41" s="942">
        <v>11.938000000000001</v>
      </c>
    </row>
    <row r="42" spans="1:7">
      <c r="A42" s="942" t="s">
        <v>2327</v>
      </c>
      <c r="B42" s="942" t="s">
        <v>1834</v>
      </c>
      <c r="C42" s="942">
        <v>0</v>
      </c>
      <c r="D42" s="942">
        <v>0</v>
      </c>
      <c r="E42" s="942">
        <v>0</v>
      </c>
      <c r="F42" s="942">
        <v>29.213000000000001</v>
      </c>
      <c r="G42" s="942">
        <v>16.745000000000001</v>
      </c>
    </row>
    <row r="43" spans="1:7">
      <c r="A43" s="942"/>
      <c r="B43" s="942"/>
      <c r="C43" s="942"/>
      <c r="D43" s="942"/>
      <c r="E43" s="942"/>
      <c r="F43" s="942"/>
      <c r="G43" s="942"/>
    </row>
    <row r="44" spans="1:7">
      <c r="A44" s="942"/>
      <c r="B44" s="942"/>
      <c r="C44" s="942"/>
      <c r="D44" s="942"/>
      <c r="E44" s="942"/>
      <c r="F44" s="942"/>
      <c r="G44" s="94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N1231"/>
  <sheetViews>
    <sheetView view="pageBreakPreview" zoomScaleNormal="100" zoomScaleSheetLayoutView="100" workbookViewId="0"/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4">
      <c r="A1" s="570" t="s">
        <v>1963</v>
      </c>
      <c r="C1" s="570" t="s">
        <v>1820</v>
      </c>
      <c r="D1" s="570" t="s">
        <v>1826</v>
      </c>
      <c r="E1" s="570" t="s">
        <v>1827</v>
      </c>
      <c r="F1" s="570" t="s">
        <v>1828</v>
      </c>
      <c r="G1" s="570" t="s">
        <v>1829</v>
      </c>
      <c r="H1" s="570" t="s">
        <v>1830</v>
      </c>
      <c r="I1" s="570" t="s">
        <v>1831</v>
      </c>
      <c r="J1" s="570" t="s">
        <v>1832</v>
      </c>
      <c r="K1" s="570" t="s">
        <v>1833</v>
      </c>
      <c r="N1" s="460" t="s">
        <v>2066</v>
      </c>
    </row>
    <row r="2" spans="1:14">
      <c r="A2" s="570" t="str">
        <f t="shared" ref="A2:A65" si="0">C2&amp;E2</f>
        <v>MAI1</v>
      </c>
      <c r="C2" t="s">
        <v>2270</v>
      </c>
      <c r="D2" t="s">
        <v>1834</v>
      </c>
      <c r="E2">
        <v>1</v>
      </c>
      <c r="F2">
        <v>-6.4999999999999997E-3</v>
      </c>
      <c r="G2">
        <v>5.0000000000000001E-4</v>
      </c>
      <c r="H2" s="570">
        <v>0</v>
      </c>
      <c r="I2" s="570">
        <v>0</v>
      </c>
      <c r="J2" s="570">
        <v>0</v>
      </c>
      <c r="K2">
        <v>8.0000000000000007E-5</v>
      </c>
    </row>
    <row r="3" spans="1:14">
      <c r="A3" s="570" t="str">
        <f t="shared" si="0"/>
        <v>TUM1</v>
      </c>
      <c r="C3" t="s">
        <v>2271</v>
      </c>
      <c r="D3" t="s">
        <v>1834</v>
      </c>
      <c r="E3">
        <v>1</v>
      </c>
      <c r="F3">
        <v>-6.3E-3</v>
      </c>
      <c r="G3">
        <v>5.0000000000000001E-4</v>
      </c>
      <c r="H3" s="570">
        <v>0</v>
      </c>
      <c r="I3" s="570">
        <v>0</v>
      </c>
      <c r="J3" s="570">
        <v>0</v>
      </c>
      <c r="K3">
        <v>8.0000000000000007E-5</v>
      </c>
      <c r="M3" s="460" t="s">
        <v>2326</v>
      </c>
    </row>
    <row r="4" spans="1:14">
      <c r="A4" s="570" t="str">
        <f t="shared" si="0"/>
        <v>38F1</v>
      </c>
      <c r="C4" t="s">
        <v>2340</v>
      </c>
      <c r="D4" t="s">
        <v>1834</v>
      </c>
      <c r="E4">
        <v>1</v>
      </c>
      <c r="F4">
        <v>-6.1999999999999998E-3</v>
      </c>
      <c r="G4">
        <v>5.0000000000000001E-4</v>
      </c>
      <c r="H4" s="570">
        <v>0</v>
      </c>
      <c r="I4" s="570">
        <v>0</v>
      </c>
      <c r="J4" s="570">
        <v>0</v>
      </c>
      <c r="K4">
        <v>8.0000000000000007E-5</v>
      </c>
      <c r="M4" s="460" t="s">
        <v>2069</v>
      </c>
    </row>
    <row r="5" spans="1:14">
      <c r="A5" s="570" t="str">
        <f t="shared" si="0"/>
        <v>37F1</v>
      </c>
      <c r="C5" t="s">
        <v>2341</v>
      </c>
      <c r="D5" t="s">
        <v>1834</v>
      </c>
      <c r="E5">
        <v>1</v>
      </c>
      <c r="F5">
        <v>-6.1000000000000004E-3</v>
      </c>
      <c r="G5">
        <v>5.0000000000000001E-4</v>
      </c>
      <c r="H5" s="570">
        <v>0</v>
      </c>
      <c r="I5" s="570">
        <v>0</v>
      </c>
      <c r="J5" s="570">
        <v>0</v>
      </c>
      <c r="K5">
        <v>6.9999999999999994E-5</v>
      </c>
    </row>
    <row r="6" spans="1:14">
      <c r="A6" s="570" t="str">
        <f t="shared" si="0"/>
        <v>36F1</v>
      </c>
      <c r="C6" t="s">
        <v>2342</v>
      </c>
      <c r="D6" t="s">
        <v>1834</v>
      </c>
      <c r="E6">
        <v>1</v>
      </c>
      <c r="F6">
        <v>-6.0000000000000001E-3</v>
      </c>
      <c r="G6">
        <v>5.0000000000000001E-4</v>
      </c>
      <c r="H6" s="570">
        <v>0</v>
      </c>
      <c r="I6" s="570">
        <v>0</v>
      </c>
      <c r="J6" s="570">
        <v>0</v>
      </c>
      <c r="K6">
        <v>6.9999999999999994E-5</v>
      </c>
    </row>
    <row r="7" spans="1:14">
      <c r="A7" s="570" t="str">
        <f t="shared" si="0"/>
        <v>35F1</v>
      </c>
      <c r="C7" t="s">
        <v>2343</v>
      </c>
      <c r="D7" t="s">
        <v>1834</v>
      </c>
      <c r="E7">
        <v>1</v>
      </c>
      <c r="F7">
        <v>-5.8999999999999999E-3</v>
      </c>
      <c r="G7">
        <v>4.0000000000000002E-4</v>
      </c>
      <c r="H7" s="570">
        <v>0</v>
      </c>
      <c r="I7" s="570">
        <v>0</v>
      </c>
      <c r="J7" s="570">
        <v>0</v>
      </c>
      <c r="K7">
        <v>6.9999999999999994E-5</v>
      </c>
    </row>
    <row r="8" spans="1:14">
      <c r="A8" s="570" t="str">
        <f t="shared" si="0"/>
        <v>34F1</v>
      </c>
      <c r="C8" t="s">
        <v>2344</v>
      </c>
      <c r="D8" t="s">
        <v>1834</v>
      </c>
      <c r="E8">
        <v>1</v>
      </c>
      <c r="F8">
        <v>-5.7999999999999996E-3</v>
      </c>
      <c r="G8">
        <v>4.0000000000000002E-4</v>
      </c>
      <c r="H8" s="570">
        <v>0</v>
      </c>
      <c r="I8" s="570">
        <v>0</v>
      </c>
      <c r="J8" s="570">
        <v>0</v>
      </c>
      <c r="K8">
        <v>6.9999999999999994E-5</v>
      </c>
    </row>
    <row r="9" spans="1:14">
      <c r="A9" s="570" t="str">
        <f t="shared" si="0"/>
        <v>33F1</v>
      </c>
      <c r="C9" t="s">
        <v>2345</v>
      </c>
      <c r="D9" t="s">
        <v>1834</v>
      </c>
      <c r="E9">
        <v>1</v>
      </c>
      <c r="F9">
        <v>-5.7000000000000002E-3</v>
      </c>
      <c r="G9">
        <v>4.0000000000000002E-4</v>
      </c>
      <c r="H9" s="570">
        <v>0</v>
      </c>
      <c r="I9" s="570">
        <v>0</v>
      </c>
      <c r="J9" s="570">
        <v>0</v>
      </c>
      <c r="K9">
        <v>6.9999999999999994E-5</v>
      </c>
    </row>
    <row r="10" spans="1:14">
      <c r="A10" s="570" t="str">
        <f t="shared" si="0"/>
        <v>32F1</v>
      </c>
      <c r="C10" t="s">
        <v>2346</v>
      </c>
      <c r="D10" t="s">
        <v>1834</v>
      </c>
      <c r="E10">
        <v>1</v>
      </c>
      <c r="F10">
        <v>-5.4999999999999997E-3</v>
      </c>
      <c r="G10">
        <v>4.0000000000000002E-4</v>
      </c>
      <c r="H10" s="570">
        <v>0</v>
      </c>
      <c r="I10" s="570">
        <v>0</v>
      </c>
      <c r="J10" s="570">
        <v>0</v>
      </c>
      <c r="K10">
        <v>6.9999999999999994E-5</v>
      </c>
    </row>
    <row r="11" spans="1:14">
      <c r="A11" s="570" t="str">
        <f t="shared" si="0"/>
        <v>31F1</v>
      </c>
      <c r="C11" t="s">
        <v>2347</v>
      </c>
      <c r="D11" t="s">
        <v>1834</v>
      </c>
      <c r="E11">
        <v>1</v>
      </c>
      <c r="F11">
        <v>-5.4000000000000003E-3</v>
      </c>
      <c r="G11">
        <v>4.0000000000000002E-4</v>
      </c>
      <c r="H11" s="570">
        <v>0</v>
      </c>
      <c r="I11" s="570">
        <v>0</v>
      </c>
      <c r="J11" s="570">
        <v>0</v>
      </c>
      <c r="K11">
        <v>6.0000000000000002E-5</v>
      </c>
    </row>
    <row r="12" spans="1:14">
      <c r="A12" s="570" t="str">
        <f t="shared" si="0"/>
        <v>30F1</v>
      </c>
      <c r="C12" t="s">
        <v>2348</v>
      </c>
      <c r="D12" t="s">
        <v>1834</v>
      </c>
      <c r="E12">
        <v>1</v>
      </c>
      <c r="F12">
        <v>-5.3E-3</v>
      </c>
      <c r="G12">
        <v>4.0000000000000002E-4</v>
      </c>
      <c r="H12" s="570">
        <v>0</v>
      </c>
      <c r="I12" s="570">
        <v>0</v>
      </c>
      <c r="J12" s="570">
        <v>0</v>
      </c>
      <c r="K12">
        <v>6.0000000000000002E-5</v>
      </c>
    </row>
    <row r="13" spans="1:14">
      <c r="A13" s="570" t="str">
        <f t="shared" si="0"/>
        <v>29F1</v>
      </c>
      <c r="C13" t="s">
        <v>2349</v>
      </c>
      <c r="D13" t="s">
        <v>1834</v>
      </c>
      <c r="E13">
        <v>1</v>
      </c>
      <c r="F13">
        <v>-5.1000000000000004E-3</v>
      </c>
      <c r="G13">
        <v>2.9999999999999997E-4</v>
      </c>
      <c r="H13" s="570">
        <v>0</v>
      </c>
      <c r="I13" s="570">
        <v>0</v>
      </c>
      <c r="J13" s="570">
        <v>0</v>
      </c>
      <c r="K13">
        <v>6.0000000000000002E-5</v>
      </c>
    </row>
    <row r="14" spans="1:14">
      <c r="A14" s="570" t="str">
        <f t="shared" si="0"/>
        <v>28F1</v>
      </c>
      <c r="C14" t="s">
        <v>2350</v>
      </c>
      <c r="D14" t="s">
        <v>1834</v>
      </c>
      <c r="E14">
        <v>1</v>
      </c>
      <c r="F14">
        <v>-5.0000000000000001E-3</v>
      </c>
      <c r="G14">
        <v>2.9999999999999997E-4</v>
      </c>
      <c r="H14" s="570">
        <v>0</v>
      </c>
      <c r="I14" s="570">
        <v>0</v>
      </c>
      <c r="J14" s="570">
        <v>0</v>
      </c>
      <c r="K14">
        <v>6.0000000000000002E-5</v>
      </c>
    </row>
    <row r="15" spans="1:14">
      <c r="A15" s="570" t="str">
        <f t="shared" si="0"/>
        <v>27F1</v>
      </c>
      <c r="C15" t="s">
        <v>2351</v>
      </c>
      <c r="D15" t="s">
        <v>1834</v>
      </c>
      <c r="E15">
        <v>1</v>
      </c>
      <c r="F15">
        <v>-4.7999999999999996E-3</v>
      </c>
      <c r="G15">
        <v>2.9999999999999997E-4</v>
      </c>
      <c r="H15" s="570">
        <v>0</v>
      </c>
      <c r="I15" s="570">
        <v>0</v>
      </c>
      <c r="J15" s="570">
        <v>0</v>
      </c>
      <c r="K15">
        <v>6.0000000000000002E-5</v>
      </c>
    </row>
    <row r="16" spans="1:14">
      <c r="A16" s="570" t="str">
        <f t="shared" si="0"/>
        <v>26F1</v>
      </c>
      <c r="C16" t="s">
        <v>2352</v>
      </c>
      <c r="D16" t="s">
        <v>1834</v>
      </c>
      <c r="E16">
        <v>1</v>
      </c>
      <c r="F16">
        <v>-4.5999999999999999E-3</v>
      </c>
      <c r="G16">
        <v>2.9999999999999997E-4</v>
      </c>
      <c r="H16" s="570">
        <v>0</v>
      </c>
      <c r="I16" s="570">
        <v>0</v>
      </c>
      <c r="J16" s="570">
        <v>0</v>
      </c>
      <c r="K16">
        <v>5.0000000000000002E-5</v>
      </c>
    </row>
    <row r="17" spans="1:11">
      <c r="A17" s="570" t="str">
        <f t="shared" si="0"/>
        <v>25F1</v>
      </c>
      <c r="C17" t="s">
        <v>2353</v>
      </c>
      <c r="D17" t="s">
        <v>1834</v>
      </c>
      <c r="E17">
        <v>1</v>
      </c>
      <c r="F17">
        <v>-4.4999999999999997E-3</v>
      </c>
      <c r="G17">
        <v>2.9999999999999997E-4</v>
      </c>
      <c r="H17" s="570">
        <v>0</v>
      </c>
      <c r="I17" s="570">
        <v>0</v>
      </c>
      <c r="J17" s="570">
        <v>0</v>
      </c>
      <c r="K17">
        <v>5.0000000000000002E-5</v>
      </c>
    </row>
    <row r="18" spans="1:11">
      <c r="A18" s="570" t="str">
        <f t="shared" si="0"/>
        <v>24F1</v>
      </c>
      <c r="C18" t="s">
        <v>2354</v>
      </c>
      <c r="D18" t="s">
        <v>1834</v>
      </c>
      <c r="E18">
        <v>1</v>
      </c>
      <c r="F18">
        <v>-4.3E-3</v>
      </c>
      <c r="G18">
        <v>2.0000000000000001E-4</v>
      </c>
      <c r="H18" s="570">
        <v>0</v>
      </c>
      <c r="I18" s="570">
        <v>0</v>
      </c>
      <c r="J18" s="570">
        <v>0</v>
      </c>
      <c r="K18">
        <v>5.0000000000000002E-5</v>
      </c>
    </row>
    <row r="19" spans="1:11">
      <c r="A19" s="570" t="str">
        <f t="shared" si="0"/>
        <v>23F1</v>
      </c>
      <c r="C19" t="s">
        <v>2355</v>
      </c>
      <c r="D19" t="s">
        <v>1834</v>
      </c>
      <c r="E19">
        <v>1</v>
      </c>
      <c r="F19">
        <v>-4.1000000000000003E-3</v>
      </c>
      <c r="G19">
        <v>2.0000000000000001E-4</v>
      </c>
      <c r="H19" s="570">
        <v>0</v>
      </c>
      <c r="I19" s="570">
        <v>0</v>
      </c>
      <c r="J19" s="570">
        <v>0</v>
      </c>
      <c r="K19">
        <v>5.0000000000000002E-5</v>
      </c>
    </row>
    <row r="20" spans="1:11">
      <c r="A20" s="570" t="str">
        <f t="shared" si="0"/>
        <v>22F1</v>
      </c>
      <c r="C20" t="s">
        <v>2356</v>
      </c>
      <c r="D20" t="s">
        <v>1834</v>
      </c>
      <c r="E20">
        <v>1</v>
      </c>
      <c r="F20">
        <v>-3.8999999999999998E-3</v>
      </c>
      <c r="G20">
        <v>2.0000000000000001E-4</v>
      </c>
      <c r="H20" s="570">
        <v>0</v>
      </c>
      <c r="I20" s="570">
        <v>0</v>
      </c>
      <c r="J20" s="570">
        <v>0</v>
      </c>
      <c r="K20">
        <v>5.0000000000000002E-5</v>
      </c>
    </row>
    <row r="21" spans="1:11">
      <c r="A21" s="570" t="str">
        <f t="shared" si="0"/>
        <v>21F1</v>
      </c>
      <c r="C21" t="s">
        <v>2357</v>
      </c>
      <c r="D21" t="s">
        <v>1834</v>
      </c>
      <c r="E21">
        <v>1</v>
      </c>
      <c r="F21">
        <v>-3.7000000000000002E-3</v>
      </c>
      <c r="G21">
        <v>2.0000000000000001E-4</v>
      </c>
      <c r="H21" s="570">
        <v>0</v>
      </c>
      <c r="I21" s="570">
        <v>0</v>
      </c>
      <c r="J21" s="570">
        <v>0</v>
      </c>
      <c r="K21">
        <v>4.0000000000000003E-5</v>
      </c>
    </row>
    <row r="22" spans="1:11">
      <c r="A22" s="570" t="str">
        <f t="shared" si="0"/>
        <v>20F1</v>
      </c>
      <c r="C22" t="s">
        <v>2358</v>
      </c>
      <c r="D22" t="s">
        <v>1834</v>
      </c>
      <c r="E22">
        <v>1</v>
      </c>
      <c r="F22">
        <v>-3.5000000000000001E-3</v>
      </c>
      <c r="G22">
        <v>2.0000000000000001E-4</v>
      </c>
      <c r="H22" s="570">
        <v>0</v>
      </c>
      <c r="I22" s="570">
        <v>0</v>
      </c>
      <c r="J22" s="570">
        <v>0</v>
      </c>
      <c r="K22">
        <v>4.0000000000000003E-5</v>
      </c>
    </row>
    <row r="23" spans="1:11">
      <c r="A23" s="570" t="str">
        <f t="shared" si="0"/>
        <v>19F1</v>
      </c>
      <c r="C23" t="s">
        <v>2359</v>
      </c>
      <c r="D23" t="s">
        <v>1834</v>
      </c>
      <c r="E23">
        <v>1</v>
      </c>
      <c r="F23">
        <v>-3.3E-3</v>
      </c>
      <c r="G23">
        <v>2.0000000000000001E-4</v>
      </c>
      <c r="H23" s="570">
        <v>0</v>
      </c>
      <c r="I23" s="570">
        <v>0</v>
      </c>
      <c r="J23" s="570">
        <v>0</v>
      </c>
      <c r="K23">
        <v>4.0000000000000003E-5</v>
      </c>
    </row>
    <row r="24" spans="1:11">
      <c r="A24" s="570" t="str">
        <f t="shared" si="0"/>
        <v>18F1</v>
      </c>
      <c r="C24" t="s">
        <v>2360</v>
      </c>
      <c r="D24" t="s">
        <v>1834</v>
      </c>
      <c r="E24">
        <v>1</v>
      </c>
      <c r="F24">
        <v>-3.0999999999999999E-3</v>
      </c>
      <c r="G24">
        <v>1E-4</v>
      </c>
      <c r="H24" s="570">
        <v>0</v>
      </c>
      <c r="I24" s="570">
        <v>0</v>
      </c>
      <c r="J24" s="570">
        <v>0</v>
      </c>
      <c r="K24">
        <v>4.0000000000000003E-5</v>
      </c>
    </row>
    <row r="25" spans="1:11">
      <c r="A25" s="570" t="str">
        <f t="shared" si="0"/>
        <v>17F1</v>
      </c>
      <c r="C25" t="s">
        <v>2361</v>
      </c>
      <c r="D25" t="s">
        <v>1834</v>
      </c>
      <c r="E25">
        <v>1</v>
      </c>
      <c r="F25">
        <v>-2.8999999999999998E-3</v>
      </c>
      <c r="G25">
        <v>1E-4</v>
      </c>
      <c r="H25" s="570">
        <v>0</v>
      </c>
      <c r="I25" s="570">
        <v>0</v>
      </c>
      <c r="J25" s="570">
        <v>0</v>
      </c>
      <c r="K25">
        <v>3.0000000000000001E-5</v>
      </c>
    </row>
    <row r="26" spans="1:11">
      <c r="A26" s="570" t="str">
        <f t="shared" si="0"/>
        <v>16F1</v>
      </c>
      <c r="C26" t="s">
        <v>2362</v>
      </c>
      <c r="D26" t="s">
        <v>1834</v>
      </c>
      <c r="E26">
        <v>1</v>
      </c>
      <c r="F26">
        <v>-2.7000000000000001E-3</v>
      </c>
      <c r="G26">
        <v>1E-4</v>
      </c>
      <c r="H26" s="570">
        <v>0</v>
      </c>
      <c r="I26" s="570">
        <v>0</v>
      </c>
      <c r="J26" s="570">
        <v>0</v>
      </c>
      <c r="K26">
        <v>3.0000000000000001E-5</v>
      </c>
    </row>
    <row r="27" spans="1:11">
      <c r="A27" s="570" t="str">
        <f t="shared" si="0"/>
        <v>15F1</v>
      </c>
      <c r="C27" t="s">
        <v>2363</v>
      </c>
      <c r="D27" t="s">
        <v>1834</v>
      </c>
      <c r="E27">
        <v>1</v>
      </c>
      <c r="F27">
        <v>-2.5000000000000001E-3</v>
      </c>
      <c r="G27">
        <v>1E-4</v>
      </c>
      <c r="H27" s="570">
        <v>0</v>
      </c>
      <c r="I27" s="570">
        <v>0</v>
      </c>
      <c r="J27" s="570">
        <v>0</v>
      </c>
      <c r="K27">
        <v>3.0000000000000001E-5</v>
      </c>
    </row>
    <row r="28" spans="1:11">
      <c r="A28" s="570" t="str">
        <f t="shared" si="0"/>
        <v>14F1</v>
      </c>
      <c r="C28" t="s">
        <v>2364</v>
      </c>
      <c r="D28" t="s">
        <v>1834</v>
      </c>
      <c r="E28">
        <v>1</v>
      </c>
      <c r="F28">
        <v>-2.3E-3</v>
      </c>
      <c r="G28">
        <v>1E-4</v>
      </c>
      <c r="H28" s="570">
        <v>0</v>
      </c>
      <c r="I28" s="570">
        <v>0</v>
      </c>
      <c r="J28" s="570">
        <v>0</v>
      </c>
      <c r="K28">
        <v>3.0000000000000001E-5</v>
      </c>
    </row>
    <row r="29" spans="1:11">
      <c r="A29" s="570" t="str">
        <f t="shared" si="0"/>
        <v>13F1</v>
      </c>
      <c r="C29" t="s">
        <v>2365</v>
      </c>
      <c r="D29" t="s">
        <v>1834</v>
      </c>
      <c r="E29">
        <v>1</v>
      </c>
      <c r="F29">
        <v>-2E-3</v>
      </c>
      <c r="G29">
        <v>1E-4</v>
      </c>
      <c r="H29" s="570">
        <v>0</v>
      </c>
      <c r="I29" s="570">
        <v>0</v>
      </c>
      <c r="J29" s="570">
        <v>0</v>
      </c>
      <c r="K29">
        <v>2.0000000000000002E-5</v>
      </c>
    </row>
    <row r="30" spans="1:11">
      <c r="A30" s="570" t="str">
        <f t="shared" si="0"/>
        <v>12F1</v>
      </c>
      <c r="C30" t="s">
        <v>2366</v>
      </c>
      <c r="D30" t="s">
        <v>1834</v>
      </c>
      <c r="E30">
        <v>1</v>
      </c>
      <c r="F30">
        <v>-1.8E-3</v>
      </c>
      <c r="G30">
        <v>1E-4</v>
      </c>
      <c r="H30" s="570">
        <v>0</v>
      </c>
      <c r="I30" s="570">
        <v>0</v>
      </c>
      <c r="J30" s="570">
        <v>0</v>
      </c>
      <c r="K30">
        <v>2.0000000000000002E-5</v>
      </c>
    </row>
    <row r="31" spans="1:11">
      <c r="A31" s="570" t="str">
        <f t="shared" si="0"/>
        <v>11F1</v>
      </c>
      <c r="C31" t="s">
        <v>2367</v>
      </c>
      <c r="D31" t="s">
        <v>1834</v>
      </c>
      <c r="E31">
        <v>1</v>
      </c>
      <c r="F31">
        <v>-1.6000000000000001E-3</v>
      </c>
      <c r="G31">
        <v>1E-4</v>
      </c>
      <c r="H31" s="570">
        <v>0</v>
      </c>
      <c r="I31" s="570">
        <v>0</v>
      </c>
      <c r="J31" s="570">
        <v>0</v>
      </c>
      <c r="K31">
        <v>2.0000000000000002E-5</v>
      </c>
    </row>
    <row r="32" spans="1:11">
      <c r="A32" s="570" t="str">
        <f t="shared" si="0"/>
        <v>10F1</v>
      </c>
      <c r="C32" t="s">
        <v>2368</v>
      </c>
      <c r="D32" t="s">
        <v>1834</v>
      </c>
      <c r="E32">
        <v>1</v>
      </c>
      <c r="F32">
        <v>-1.4E-3</v>
      </c>
      <c r="G32">
        <v>0</v>
      </c>
      <c r="H32" s="570">
        <v>0</v>
      </c>
      <c r="I32" s="570">
        <v>0</v>
      </c>
      <c r="J32" s="570">
        <v>0</v>
      </c>
      <c r="K32">
        <v>2.0000000000000002E-5</v>
      </c>
    </row>
    <row r="33" spans="1:11">
      <c r="A33" s="570" t="str">
        <f t="shared" si="0"/>
        <v>9F1</v>
      </c>
      <c r="C33" t="s">
        <v>2369</v>
      </c>
      <c r="D33" t="s">
        <v>1834</v>
      </c>
      <c r="E33">
        <v>1</v>
      </c>
      <c r="F33">
        <v>-1.1999999999999999E-3</v>
      </c>
      <c r="G33">
        <v>0</v>
      </c>
      <c r="H33" s="570">
        <v>0</v>
      </c>
      <c r="I33" s="570">
        <v>0</v>
      </c>
      <c r="J33" s="570">
        <v>0</v>
      </c>
      <c r="K33">
        <v>1.0000000000000001E-5</v>
      </c>
    </row>
    <row r="34" spans="1:11">
      <c r="A34" s="570" t="str">
        <f t="shared" si="0"/>
        <v>8F1</v>
      </c>
      <c r="C34" t="s">
        <v>2370</v>
      </c>
      <c r="D34" t="s">
        <v>1834</v>
      </c>
      <c r="E34">
        <v>1</v>
      </c>
      <c r="F34">
        <v>-1.1000000000000001E-3</v>
      </c>
      <c r="G34">
        <v>0</v>
      </c>
      <c r="H34" s="570">
        <v>0</v>
      </c>
      <c r="I34" s="570">
        <v>0</v>
      </c>
      <c r="J34" s="570">
        <v>0</v>
      </c>
      <c r="K34">
        <v>1.0000000000000001E-5</v>
      </c>
    </row>
    <row r="35" spans="1:11">
      <c r="A35" s="570" t="str">
        <f t="shared" si="0"/>
        <v>7F1</v>
      </c>
      <c r="C35" t="s">
        <v>2371</v>
      </c>
      <c r="D35" t="s">
        <v>1834</v>
      </c>
      <c r="E35">
        <v>1</v>
      </c>
      <c r="F35">
        <v>-8.9999999999999998E-4</v>
      </c>
      <c r="G35">
        <v>0</v>
      </c>
      <c r="H35" s="570">
        <v>0</v>
      </c>
      <c r="I35" s="570">
        <v>0</v>
      </c>
      <c r="J35" s="570">
        <v>0</v>
      </c>
      <c r="K35">
        <v>1.0000000000000001E-5</v>
      </c>
    </row>
    <row r="36" spans="1:11">
      <c r="A36" s="570" t="str">
        <f t="shared" si="0"/>
        <v>6F1</v>
      </c>
      <c r="C36" t="s">
        <v>2372</v>
      </c>
      <c r="D36" t="s">
        <v>1834</v>
      </c>
      <c r="E36">
        <v>1</v>
      </c>
      <c r="F36">
        <v>-6.9999999999999999E-4</v>
      </c>
      <c r="G36">
        <v>0</v>
      </c>
      <c r="H36" s="570">
        <v>0</v>
      </c>
      <c r="I36" s="570">
        <v>0</v>
      </c>
      <c r="J36" s="570">
        <v>0</v>
      </c>
      <c r="K36">
        <v>1.0000000000000001E-5</v>
      </c>
    </row>
    <row r="37" spans="1:11">
      <c r="A37" s="570" t="str">
        <f t="shared" si="0"/>
        <v>5F1</v>
      </c>
      <c r="C37" t="s">
        <v>2373</v>
      </c>
      <c r="D37" t="s">
        <v>1834</v>
      </c>
      <c r="E37">
        <v>1</v>
      </c>
      <c r="F37">
        <v>-5.0000000000000001E-4</v>
      </c>
      <c r="G37">
        <v>0</v>
      </c>
      <c r="H37" s="570">
        <v>0</v>
      </c>
      <c r="I37" s="570">
        <v>0</v>
      </c>
      <c r="J37" s="570">
        <v>0</v>
      </c>
      <c r="K37">
        <v>1.0000000000000001E-5</v>
      </c>
    </row>
    <row r="38" spans="1:11">
      <c r="A38" s="570" t="str">
        <f t="shared" si="0"/>
        <v>4F1</v>
      </c>
      <c r="C38" t="s">
        <v>2374</v>
      </c>
      <c r="D38" t="s">
        <v>1834</v>
      </c>
      <c r="E38">
        <v>1</v>
      </c>
      <c r="F38">
        <v>-4.0000000000000002E-4</v>
      </c>
      <c r="G38">
        <v>0</v>
      </c>
      <c r="H38" s="570">
        <v>0</v>
      </c>
      <c r="I38" s="570">
        <v>0</v>
      </c>
      <c r="J38" s="570">
        <v>0</v>
      </c>
      <c r="K38">
        <v>0</v>
      </c>
    </row>
    <row r="39" spans="1:11">
      <c r="A39" s="570" t="str">
        <f t="shared" si="0"/>
        <v>3F1</v>
      </c>
      <c r="C39" t="s">
        <v>2375</v>
      </c>
      <c r="D39" t="s">
        <v>1834</v>
      </c>
      <c r="E39">
        <v>1</v>
      </c>
      <c r="F39">
        <v>-2.9999999999999997E-4</v>
      </c>
      <c r="G39">
        <v>0</v>
      </c>
      <c r="H39" s="570">
        <v>0</v>
      </c>
      <c r="I39" s="570">
        <v>0</v>
      </c>
      <c r="J39" s="570">
        <v>0</v>
      </c>
      <c r="K39">
        <v>0</v>
      </c>
    </row>
    <row r="40" spans="1:11">
      <c r="A40" s="570" t="str">
        <f t="shared" si="0"/>
        <v>2F1</v>
      </c>
      <c r="C40" t="s">
        <v>2376</v>
      </c>
      <c r="D40" t="s">
        <v>1834</v>
      </c>
      <c r="E40">
        <v>1</v>
      </c>
      <c r="F40">
        <v>-2.0000000000000001E-4</v>
      </c>
      <c r="G40">
        <v>0</v>
      </c>
      <c r="H40" s="570">
        <v>0</v>
      </c>
      <c r="I40" s="570">
        <v>0</v>
      </c>
      <c r="J40" s="570">
        <v>0</v>
      </c>
      <c r="K40">
        <v>0</v>
      </c>
    </row>
    <row r="41" spans="1:11">
      <c r="A41" s="570" t="str">
        <f t="shared" si="0"/>
        <v>1F1</v>
      </c>
      <c r="C41" t="s">
        <v>2377</v>
      </c>
      <c r="D41" t="s">
        <v>1834</v>
      </c>
      <c r="E41">
        <v>1</v>
      </c>
      <c r="F41">
        <v>0</v>
      </c>
      <c r="G41">
        <v>0</v>
      </c>
      <c r="H41" s="570">
        <v>0</v>
      </c>
      <c r="I41" s="570">
        <v>0</v>
      </c>
      <c r="J41" s="570">
        <v>0</v>
      </c>
      <c r="K41">
        <v>0</v>
      </c>
    </row>
    <row r="42" spans="1:11">
      <c r="A42" s="570" t="str">
        <f t="shared" si="0"/>
        <v>B11</v>
      </c>
      <c r="C42" t="s">
        <v>2327</v>
      </c>
      <c r="D42" t="s">
        <v>1834</v>
      </c>
      <c r="E42">
        <v>1</v>
      </c>
      <c r="F42">
        <v>0</v>
      </c>
      <c r="G42">
        <v>0</v>
      </c>
      <c r="H42" s="570">
        <v>0</v>
      </c>
      <c r="I42" s="570">
        <v>0</v>
      </c>
      <c r="J42" s="570">
        <v>0</v>
      </c>
      <c r="K42">
        <v>0</v>
      </c>
    </row>
    <row r="43" spans="1:11">
      <c r="A43" s="570" t="str">
        <f t="shared" si="0"/>
        <v>MAI2</v>
      </c>
      <c r="C43" t="s">
        <v>2270</v>
      </c>
      <c r="D43" t="s">
        <v>1834</v>
      </c>
      <c r="E43">
        <v>2</v>
      </c>
      <c r="F43">
        <v>-1.6999999999999999E-3</v>
      </c>
      <c r="G43">
        <v>0</v>
      </c>
      <c r="H43" s="570">
        <v>0</v>
      </c>
      <c r="I43" s="570">
        <v>0</v>
      </c>
      <c r="J43" s="570">
        <v>0</v>
      </c>
      <c r="K43">
        <v>-3.3E-4</v>
      </c>
    </row>
    <row r="44" spans="1:11">
      <c r="A44" s="570" t="str">
        <f t="shared" si="0"/>
        <v>TUM2</v>
      </c>
      <c r="C44" t="s">
        <v>2271</v>
      </c>
      <c r="D44" t="s">
        <v>1834</v>
      </c>
      <c r="E44">
        <v>2</v>
      </c>
      <c r="F44">
        <v>-1.6999999999999999E-3</v>
      </c>
      <c r="G44">
        <v>-2.0000000000000001E-4</v>
      </c>
      <c r="H44" s="570">
        <v>0</v>
      </c>
      <c r="I44" s="570">
        <v>0</v>
      </c>
      <c r="J44" s="570">
        <v>0</v>
      </c>
      <c r="K44">
        <v>-3.2000000000000003E-4</v>
      </c>
    </row>
    <row r="45" spans="1:11">
      <c r="A45" s="570" t="str">
        <f t="shared" si="0"/>
        <v>38F2</v>
      </c>
      <c r="C45" t="s">
        <v>2340</v>
      </c>
      <c r="D45" t="s">
        <v>1834</v>
      </c>
      <c r="E45">
        <v>2</v>
      </c>
      <c r="F45">
        <v>-1.5E-3</v>
      </c>
      <c r="G45">
        <v>-2.0000000000000001E-4</v>
      </c>
      <c r="H45" s="570">
        <v>0</v>
      </c>
      <c r="I45" s="570">
        <v>0</v>
      </c>
      <c r="J45" s="570">
        <v>0</v>
      </c>
      <c r="K45">
        <v>-3.1E-4</v>
      </c>
    </row>
    <row r="46" spans="1:11">
      <c r="A46" s="570" t="str">
        <f t="shared" si="0"/>
        <v>37F2</v>
      </c>
      <c r="C46" t="s">
        <v>2341</v>
      </c>
      <c r="D46" t="s">
        <v>1834</v>
      </c>
      <c r="E46">
        <v>2</v>
      </c>
      <c r="F46">
        <v>-1.5E-3</v>
      </c>
      <c r="G46">
        <v>-2.0000000000000001E-4</v>
      </c>
      <c r="H46" s="570">
        <v>0</v>
      </c>
      <c r="I46" s="570">
        <v>0</v>
      </c>
      <c r="J46" s="570">
        <v>0</v>
      </c>
      <c r="K46">
        <v>-3.1E-4</v>
      </c>
    </row>
    <row r="47" spans="1:11">
      <c r="A47" s="570" t="str">
        <f t="shared" si="0"/>
        <v>36F2</v>
      </c>
      <c r="C47" t="s">
        <v>2342</v>
      </c>
      <c r="D47" t="s">
        <v>1834</v>
      </c>
      <c r="E47">
        <v>2</v>
      </c>
      <c r="F47">
        <v>-1.5E-3</v>
      </c>
      <c r="G47">
        <v>-2.0000000000000001E-4</v>
      </c>
      <c r="H47" s="570">
        <v>0</v>
      </c>
      <c r="I47" s="570">
        <v>0</v>
      </c>
      <c r="J47" s="570">
        <v>0</v>
      </c>
      <c r="K47">
        <v>-2.9999999999999997E-4</v>
      </c>
    </row>
    <row r="48" spans="1:11">
      <c r="A48" s="570" t="str">
        <f t="shared" si="0"/>
        <v>35F2</v>
      </c>
      <c r="C48" t="s">
        <v>2343</v>
      </c>
      <c r="D48" t="s">
        <v>1834</v>
      </c>
      <c r="E48">
        <v>2</v>
      </c>
      <c r="F48">
        <v>-1.4E-3</v>
      </c>
      <c r="G48">
        <v>-2.0000000000000001E-4</v>
      </c>
      <c r="H48" s="570">
        <v>0</v>
      </c>
      <c r="I48" s="570">
        <v>0</v>
      </c>
      <c r="J48" s="570">
        <v>0</v>
      </c>
      <c r="K48">
        <v>-2.9E-4</v>
      </c>
    </row>
    <row r="49" spans="1:11">
      <c r="A49" s="570" t="str">
        <f t="shared" si="0"/>
        <v>34F2</v>
      </c>
      <c r="C49" t="s">
        <v>2344</v>
      </c>
      <c r="D49" t="s">
        <v>1834</v>
      </c>
      <c r="E49">
        <v>2</v>
      </c>
      <c r="F49">
        <v>-1.4E-3</v>
      </c>
      <c r="G49">
        <v>-2.0000000000000001E-4</v>
      </c>
      <c r="H49" s="570">
        <v>0</v>
      </c>
      <c r="I49" s="570">
        <v>0</v>
      </c>
      <c r="J49" s="570">
        <v>0</v>
      </c>
      <c r="K49">
        <v>-2.9E-4</v>
      </c>
    </row>
    <row r="50" spans="1:11">
      <c r="A50" s="570" t="str">
        <f t="shared" si="0"/>
        <v>33F2</v>
      </c>
      <c r="C50" t="s">
        <v>2345</v>
      </c>
      <c r="D50" t="s">
        <v>1834</v>
      </c>
      <c r="E50">
        <v>2</v>
      </c>
      <c r="F50">
        <v>-1.4E-3</v>
      </c>
      <c r="G50">
        <v>-2.0000000000000001E-4</v>
      </c>
      <c r="H50" s="570">
        <v>0</v>
      </c>
      <c r="I50" s="570">
        <v>0</v>
      </c>
      <c r="J50" s="570">
        <v>0</v>
      </c>
      <c r="K50">
        <v>-2.7999999999999998E-4</v>
      </c>
    </row>
    <row r="51" spans="1:11">
      <c r="A51" s="570" t="str">
        <f t="shared" si="0"/>
        <v>32F2</v>
      </c>
      <c r="C51" t="s">
        <v>2346</v>
      </c>
      <c r="D51" t="s">
        <v>1834</v>
      </c>
      <c r="E51">
        <v>2</v>
      </c>
      <c r="F51">
        <v>-1.2999999999999999E-3</v>
      </c>
      <c r="G51">
        <v>-2.0000000000000001E-4</v>
      </c>
      <c r="H51" s="570">
        <v>0</v>
      </c>
      <c r="I51" s="570">
        <v>0</v>
      </c>
      <c r="J51" s="570">
        <v>0</v>
      </c>
      <c r="K51">
        <v>-2.7E-4</v>
      </c>
    </row>
    <row r="52" spans="1:11">
      <c r="A52" s="570" t="str">
        <f t="shared" si="0"/>
        <v>31F2</v>
      </c>
      <c r="C52" t="s">
        <v>2347</v>
      </c>
      <c r="D52" t="s">
        <v>1834</v>
      </c>
      <c r="E52">
        <v>2</v>
      </c>
      <c r="F52">
        <v>-1.2999999999999999E-3</v>
      </c>
      <c r="G52">
        <v>-2.0000000000000001E-4</v>
      </c>
      <c r="H52" s="570">
        <v>0</v>
      </c>
      <c r="I52" s="570">
        <v>0</v>
      </c>
      <c r="J52" s="570">
        <v>0</v>
      </c>
      <c r="K52">
        <v>-2.5999999999999998E-4</v>
      </c>
    </row>
    <row r="53" spans="1:11">
      <c r="A53" s="570" t="str">
        <f t="shared" si="0"/>
        <v>30F2</v>
      </c>
      <c r="C53" t="s">
        <v>2348</v>
      </c>
      <c r="D53" t="s">
        <v>1834</v>
      </c>
      <c r="E53">
        <v>2</v>
      </c>
      <c r="F53">
        <v>-1.2999999999999999E-3</v>
      </c>
      <c r="G53">
        <v>-2.0000000000000001E-4</v>
      </c>
      <c r="H53" s="570">
        <v>0</v>
      </c>
      <c r="I53" s="570">
        <v>0</v>
      </c>
      <c r="J53" s="570">
        <v>0</v>
      </c>
      <c r="K53">
        <v>-2.5999999999999998E-4</v>
      </c>
    </row>
    <row r="54" spans="1:11">
      <c r="A54" s="570" t="str">
        <f t="shared" si="0"/>
        <v>29F2</v>
      </c>
      <c r="C54" t="s">
        <v>2349</v>
      </c>
      <c r="D54" t="s">
        <v>1834</v>
      </c>
      <c r="E54">
        <v>2</v>
      </c>
      <c r="F54">
        <v>-1.1999999999999999E-3</v>
      </c>
      <c r="G54">
        <v>-2.0000000000000001E-4</v>
      </c>
      <c r="H54" s="570">
        <v>0</v>
      </c>
      <c r="I54" s="570">
        <v>0</v>
      </c>
      <c r="J54" s="570">
        <v>0</v>
      </c>
      <c r="K54">
        <v>-2.5000000000000001E-4</v>
      </c>
    </row>
    <row r="55" spans="1:11">
      <c r="A55" s="570" t="str">
        <f t="shared" si="0"/>
        <v>28F2</v>
      </c>
      <c r="C55" t="s">
        <v>2350</v>
      </c>
      <c r="D55" t="s">
        <v>1834</v>
      </c>
      <c r="E55">
        <v>2</v>
      </c>
      <c r="F55">
        <v>-1.1999999999999999E-3</v>
      </c>
      <c r="G55">
        <v>-2.0000000000000001E-4</v>
      </c>
      <c r="H55" s="570">
        <v>0</v>
      </c>
      <c r="I55" s="570">
        <v>0</v>
      </c>
      <c r="J55" s="570">
        <v>0</v>
      </c>
      <c r="K55">
        <v>-2.4000000000000001E-4</v>
      </c>
    </row>
    <row r="56" spans="1:11">
      <c r="A56" s="570" t="str">
        <f t="shared" si="0"/>
        <v>27F2</v>
      </c>
      <c r="C56" t="s">
        <v>2351</v>
      </c>
      <c r="D56" t="s">
        <v>1834</v>
      </c>
      <c r="E56">
        <v>2</v>
      </c>
      <c r="F56">
        <v>-1.1999999999999999E-3</v>
      </c>
      <c r="G56">
        <v>-2.0000000000000001E-4</v>
      </c>
      <c r="H56" s="570">
        <v>0</v>
      </c>
      <c r="I56" s="570">
        <v>0</v>
      </c>
      <c r="J56" s="570">
        <v>0</v>
      </c>
      <c r="K56">
        <v>-2.3000000000000001E-4</v>
      </c>
    </row>
    <row r="57" spans="1:11">
      <c r="A57" s="570" t="str">
        <f t="shared" si="0"/>
        <v>26F2</v>
      </c>
      <c r="C57" t="s">
        <v>2352</v>
      </c>
      <c r="D57" t="s">
        <v>1834</v>
      </c>
      <c r="E57">
        <v>2</v>
      </c>
      <c r="F57">
        <v>-1.1000000000000001E-3</v>
      </c>
      <c r="G57">
        <v>-2.0000000000000001E-4</v>
      </c>
      <c r="H57" s="570">
        <v>0</v>
      </c>
      <c r="I57" s="570">
        <v>0</v>
      </c>
      <c r="J57" s="570">
        <v>0</v>
      </c>
      <c r="K57">
        <v>-2.2000000000000001E-4</v>
      </c>
    </row>
    <row r="58" spans="1:11">
      <c r="A58" s="570" t="str">
        <f t="shared" si="0"/>
        <v>25F2</v>
      </c>
      <c r="C58" t="s">
        <v>2353</v>
      </c>
      <c r="D58" t="s">
        <v>1834</v>
      </c>
      <c r="E58">
        <v>2</v>
      </c>
      <c r="F58">
        <v>-1.1000000000000001E-3</v>
      </c>
      <c r="G58">
        <v>-2.0000000000000001E-4</v>
      </c>
      <c r="H58" s="570">
        <v>0</v>
      </c>
      <c r="I58" s="570">
        <v>0</v>
      </c>
      <c r="J58" s="570">
        <v>0</v>
      </c>
      <c r="K58">
        <v>-2.1000000000000001E-4</v>
      </c>
    </row>
    <row r="59" spans="1:11">
      <c r="A59" s="570" t="str">
        <f t="shared" si="0"/>
        <v>24F2</v>
      </c>
      <c r="C59" t="s">
        <v>2354</v>
      </c>
      <c r="D59" t="s">
        <v>1834</v>
      </c>
      <c r="E59">
        <v>2</v>
      </c>
      <c r="F59">
        <v>-1E-3</v>
      </c>
      <c r="G59">
        <v>-2.0000000000000001E-4</v>
      </c>
      <c r="H59" s="570">
        <v>0</v>
      </c>
      <c r="I59" s="570">
        <v>0</v>
      </c>
      <c r="J59" s="570">
        <v>0</v>
      </c>
      <c r="K59">
        <v>-2.0000000000000001E-4</v>
      </c>
    </row>
    <row r="60" spans="1:11">
      <c r="A60" s="570" t="str">
        <f t="shared" si="0"/>
        <v>23F2</v>
      </c>
      <c r="C60" t="s">
        <v>2355</v>
      </c>
      <c r="D60" t="s">
        <v>1834</v>
      </c>
      <c r="E60">
        <v>2</v>
      </c>
      <c r="F60">
        <v>-1E-3</v>
      </c>
      <c r="G60">
        <v>-2.0000000000000001E-4</v>
      </c>
      <c r="H60" s="570">
        <v>0</v>
      </c>
      <c r="I60" s="570">
        <v>0</v>
      </c>
      <c r="J60" s="570">
        <v>0</v>
      </c>
      <c r="K60">
        <v>-1.9000000000000001E-4</v>
      </c>
    </row>
    <row r="61" spans="1:11">
      <c r="A61" s="570" t="str">
        <f t="shared" si="0"/>
        <v>22F2</v>
      </c>
      <c r="C61" t="s">
        <v>2356</v>
      </c>
      <c r="D61" t="s">
        <v>1834</v>
      </c>
      <c r="E61">
        <v>2</v>
      </c>
      <c r="F61">
        <v>-1E-3</v>
      </c>
      <c r="G61">
        <v>-2.0000000000000001E-4</v>
      </c>
      <c r="H61" s="570">
        <v>0</v>
      </c>
      <c r="I61" s="570">
        <v>0</v>
      </c>
      <c r="J61" s="570">
        <v>0</v>
      </c>
      <c r="K61">
        <v>-1.8000000000000001E-4</v>
      </c>
    </row>
    <row r="62" spans="1:11">
      <c r="A62" s="570" t="str">
        <f t="shared" si="0"/>
        <v>21F2</v>
      </c>
      <c r="C62" t="s">
        <v>2357</v>
      </c>
      <c r="D62" t="s">
        <v>1834</v>
      </c>
      <c r="E62">
        <v>2</v>
      </c>
      <c r="F62">
        <v>-8.9999999999999998E-4</v>
      </c>
      <c r="G62">
        <v>-2.0000000000000001E-4</v>
      </c>
      <c r="H62" s="570">
        <v>0</v>
      </c>
      <c r="I62" s="570">
        <v>0</v>
      </c>
      <c r="J62" s="570">
        <v>0</v>
      </c>
      <c r="K62">
        <v>-1.7000000000000001E-4</v>
      </c>
    </row>
    <row r="63" spans="1:11">
      <c r="A63" s="570" t="str">
        <f t="shared" si="0"/>
        <v>20F2</v>
      </c>
      <c r="C63" t="s">
        <v>2358</v>
      </c>
      <c r="D63" t="s">
        <v>1834</v>
      </c>
      <c r="E63">
        <v>2</v>
      </c>
      <c r="F63">
        <v>-8.0000000000000004E-4</v>
      </c>
      <c r="G63">
        <v>-2.0000000000000001E-4</v>
      </c>
      <c r="H63" s="570">
        <v>0</v>
      </c>
      <c r="I63" s="570">
        <v>0</v>
      </c>
      <c r="J63" s="570">
        <v>0</v>
      </c>
      <c r="K63">
        <v>-1.6000000000000001E-4</v>
      </c>
    </row>
    <row r="64" spans="1:11">
      <c r="A64" s="570" t="str">
        <f t="shared" si="0"/>
        <v>19F2</v>
      </c>
      <c r="C64" t="s">
        <v>2359</v>
      </c>
      <c r="D64" t="s">
        <v>1834</v>
      </c>
      <c r="E64">
        <v>2</v>
      </c>
      <c r="F64">
        <v>-8.0000000000000004E-4</v>
      </c>
      <c r="G64">
        <v>-1E-4</v>
      </c>
      <c r="H64" s="570">
        <v>0</v>
      </c>
      <c r="I64" s="570">
        <v>0</v>
      </c>
      <c r="J64" s="570">
        <v>0</v>
      </c>
      <c r="K64">
        <v>-1.4999999999999999E-4</v>
      </c>
    </row>
    <row r="65" spans="1:11">
      <c r="A65" s="570" t="str">
        <f t="shared" si="0"/>
        <v>18F2</v>
      </c>
      <c r="C65" t="s">
        <v>2360</v>
      </c>
      <c r="D65" t="s">
        <v>1834</v>
      </c>
      <c r="E65">
        <v>2</v>
      </c>
      <c r="F65">
        <v>-8.0000000000000004E-4</v>
      </c>
      <c r="G65">
        <v>-1E-4</v>
      </c>
      <c r="H65" s="570">
        <v>0</v>
      </c>
      <c r="I65" s="570">
        <v>0</v>
      </c>
      <c r="J65" s="570">
        <v>0</v>
      </c>
      <c r="K65">
        <v>-1.3999999999999999E-4</v>
      </c>
    </row>
    <row r="66" spans="1:11">
      <c r="A66" s="570" t="str">
        <f t="shared" ref="A66:A129" si="1">C66&amp;E66</f>
        <v>17F2</v>
      </c>
      <c r="C66" t="s">
        <v>2361</v>
      </c>
      <c r="D66" t="s">
        <v>1834</v>
      </c>
      <c r="E66">
        <v>2</v>
      </c>
      <c r="F66">
        <v>-6.9999999999999999E-4</v>
      </c>
      <c r="G66">
        <v>-1E-4</v>
      </c>
      <c r="H66" s="570">
        <v>0</v>
      </c>
      <c r="I66" s="570">
        <v>0</v>
      </c>
      <c r="J66" s="570">
        <v>0</v>
      </c>
      <c r="K66">
        <v>-1.2999999999999999E-4</v>
      </c>
    </row>
    <row r="67" spans="1:11">
      <c r="A67" s="570" t="str">
        <f t="shared" si="1"/>
        <v>16F2</v>
      </c>
      <c r="C67" t="s">
        <v>2362</v>
      </c>
      <c r="D67" t="s">
        <v>1834</v>
      </c>
      <c r="E67">
        <v>2</v>
      </c>
      <c r="F67">
        <v>-6.9999999999999999E-4</v>
      </c>
      <c r="G67">
        <v>-1E-4</v>
      </c>
      <c r="H67" s="570">
        <v>0</v>
      </c>
      <c r="I67" s="570">
        <v>0</v>
      </c>
      <c r="J67" s="570">
        <v>0</v>
      </c>
      <c r="K67">
        <v>-1.2E-4</v>
      </c>
    </row>
    <row r="68" spans="1:11">
      <c r="A68" s="570" t="str">
        <f t="shared" si="1"/>
        <v>15F2</v>
      </c>
      <c r="C68" t="s">
        <v>2363</v>
      </c>
      <c r="D68" t="s">
        <v>1834</v>
      </c>
      <c r="E68">
        <v>2</v>
      </c>
      <c r="F68">
        <v>-5.9999999999999995E-4</v>
      </c>
      <c r="G68">
        <v>-1E-4</v>
      </c>
      <c r="H68" s="570">
        <v>0</v>
      </c>
      <c r="I68" s="570">
        <v>0</v>
      </c>
      <c r="J68" s="570">
        <v>0</v>
      </c>
      <c r="K68">
        <v>-1.1E-4</v>
      </c>
    </row>
    <row r="69" spans="1:11">
      <c r="A69" s="570" t="str">
        <f t="shared" si="1"/>
        <v>14F2</v>
      </c>
      <c r="C69" t="s">
        <v>2364</v>
      </c>
      <c r="D69" t="s">
        <v>1834</v>
      </c>
      <c r="E69">
        <v>2</v>
      </c>
      <c r="F69">
        <v>-5.9999999999999995E-4</v>
      </c>
      <c r="G69">
        <v>-1E-4</v>
      </c>
      <c r="H69" s="570">
        <v>0</v>
      </c>
      <c r="I69" s="570">
        <v>0</v>
      </c>
      <c r="J69" s="570">
        <v>0</v>
      </c>
      <c r="K69">
        <v>-1E-4</v>
      </c>
    </row>
    <row r="70" spans="1:11">
      <c r="A70" s="570" t="str">
        <f t="shared" si="1"/>
        <v>13F2</v>
      </c>
      <c r="C70" t="s">
        <v>2365</v>
      </c>
      <c r="D70" t="s">
        <v>1834</v>
      </c>
      <c r="E70">
        <v>2</v>
      </c>
      <c r="F70">
        <v>-5.0000000000000001E-4</v>
      </c>
      <c r="G70">
        <v>-1E-4</v>
      </c>
      <c r="H70" s="570">
        <v>0</v>
      </c>
      <c r="I70" s="570">
        <v>0</v>
      </c>
      <c r="J70" s="570">
        <v>0</v>
      </c>
      <c r="K70">
        <v>-9.0000000000000006E-5</v>
      </c>
    </row>
    <row r="71" spans="1:11">
      <c r="A71" s="570" t="str">
        <f t="shared" si="1"/>
        <v>12F2</v>
      </c>
      <c r="C71" t="s">
        <v>2366</v>
      </c>
      <c r="D71" t="s">
        <v>1834</v>
      </c>
      <c r="E71">
        <v>2</v>
      </c>
      <c r="F71">
        <v>-5.0000000000000001E-4</v>
      </c>
      <c r="G71">
        <v>-1E-4</v>
      </c>
      <c r="H71" s="570">
        <v>0</v>
      </c>
      <c r="I71" s="570">
        <v>0</v>
      </c>
      <c r="J71" s="570">
        <v>0</v>
      </c>
      <c r="K71">
        <v>-8.0000000000000007E-5</v>
      </c>
    </row>
    <row r="72" spans="1:11">
      <c r="A72" s="570" t="str">
        <f t="shared" si="1"/>
        <v>11F2</v>
      </c>
      <c r="C72" t="s">
        <v>2367</v>
      </c>
      <c r="D72" t="s">
        <v>1834</v>
      </c>
      <c r="E72">
        <v>2</v>
      </c>
      <c r="F72">
        <v>-4.0000000000000002E-4</v>
      </c>
      <c r="G72">
        <v>-1E-4</v>
      </c>
      <c r="H72" s="570">
        <v>0</v>
      </c>
      <c r="I72" s="570">
        <v>0</v>
      </c>
      <c r="J72" s="570">
        <v>0</v>
      </c>
      <c r="K72">
        <v>-6.9999999999999994E-5</v>
      </c>
    </row>
    <row r="73" spans="1:11">
      <c r="A73" s="570" t="str">
        <f t="shared" si="1"/>
        <v>10F2</v>
      </c>
      <c r="C73" t="s">
        <v>2368</v>
      </c>
      <c r="D73" t="s">
        <v>1834</v>
      </c>
      <c r="E73">
        <v>2</v>
      </c>
      <c r="F73">
        <v>-4.0000000000000002E-4</v>
      </c>
      <c r="G73">
        <v>-1E-4</v>
      </c>
      <c r="H73" s="570">
        <v>0</v>
      </c>
      <c r="I73" s="570">
        <v>0</v>
      </c>
      <c r="J73" s="570">
        <v>0</v>
      </c>
      <c r="K73">
        <v>-6.0000000000000002E-5</v>
      </c>
    </row>
    <row r="74" spans="1:11">
      <c r="A74" s="570" t="str">
        <f t="shared" si="1"/>
        <v>9F2</v>
      </c>
      <c r="C74" t="s">
        <v>2369</v>
      </c>
      <c r="D74" t="s">
        <v>1834</v>
      </c>
      <c r="E74">
        <v>2</v>
      </c>
      <c r="F74">
        <v>-2.9999999999999997E-4</v>
      </c>
      <c r="G74">
        <v>-1E-4</v>
      </c>
      <c r="H74" s="570">
        <v>0</v>
      </c>
      <c r="I74" s="570">
        <v>0</v>
      </c>
      <c r="J74" s="570">
        <v>0</v>
      </c>
      <c r="K74">
        <v>-6.0000000000000002E-5</v>
      </c>
    </row>
    <row r="75" spans="1:11">
      <c r="A75" s="570" t="str">
        <f t="shared" si="1"/>
        <v>8F2</v>
      </c>
      <c r="C75" t="s">
        <v>2370</v>
      </c>
      <c r="D75" t="s">
        <v>1834</v>
      </c>
      <c r="E75">
        <v>2</v>
      </c>
      <c r="F75">
        <v>-2.9999999999999997E-4</v>
      </c>
      <c r="G75">
        <v>0</v>
      </c>
      <c r="H75" s="570">
        <v>0</v>
      </c>
      <c r="I75" s="570">
        <v>0</v>
      </c>
      <c r="J75" s="570">
        <v>0</v>
      </c>
      <c r="K75">
        <v>-5.0000000000000002E-5</v>
      </c>
    </row>
    <row r="76" spans="1:11">
      <c r="A76" s="570" t="str">
        <f t="shared" si="1"/>
        <v>7F2</v>
      </c>
      <c r="C76" t="s">
        <v>2371</v>
      </c>
      <c r="D76" t="s">
        <v>1834</v>
      </c>
      <c r="E76">
        <v>2</v>
      </c>
      <c r="F76">
        <v>-2.0000000000000001E-4</v>
      </c>
      <c r="G76">
        <v>0</v>
      </c>
      <c r="H76" s="570">
        <v>0</v>
      </c>
      <c r="I76" s="570">
        <v>0</v>
      </c>
      <c r="J76" s="570">
        <v>0</v>
      </c>
      <c r="K76">
        <v>-4.0000000000000003E-5</v>
      </c>
    </row>
    <row r="77" spans="1:11">
      <c r="A77" s="570" t="str">
        <f t="shared" si="1"/>
        <v>6F2</v>
      </c>
      <c r="C77" t="s">
        <v>2372</v>
      </c>
      <c r="D77" t="s">
        <v>1834</v>
      </c>
      <c r="E77">
        <v>2</v>
      </c>
      <c r="F77">
        <v>-2.0000000000000001E-4</v>
      </c>
      <c r="G77">
        <v>0</v>
      </c>
      <c r="H77" s="570">
        <v>0</v>
      </c>
      <c r="I77" s="570">
        <v>0</v>
      </c>
      <c r="J77" s="570">
        <v>0</v>
      </c>
      <c r="K77">
        <v>-3.0000000000000001E-5</v>
      </c>
    </row>
    <row r="78" spans="1:11">
      <c r="A78" s="570" t="str">
        <f t="shared" si="1"/>
        <v>5F2</v>
      </c>
      <c r="C78" t="s">
        <v>2373</v>
      </c>
      <c r="D78" t="s">
        <v>1834</v>
      </c>
      <c r="E78">
        <v>2</v>
      </c>
      <c r="F78">
        <v>-1E-4</v>
      </c>
      <c r="G78">
        <v>0</v>
      </c>
      <c r="H78" s="570">
        <v>0</v>
      </c>
      <c r="I78" s="570">
        <v>0</v>
      </c>
      <c r="J78" s="570">
        <v>0</v>
      </c>
      <c r="K78">
        <v>-2.0000000000000002E-5</v>
      </c>
    </row>
    <row r="79" spans="1:11">
      <c r="A79" s="570" t="str">
        <f t="shared" si="1"/>
        <v>4F2</v>
      </c>
      <c r="C79" t="s">
        <v>2374</v>
      </c>
      <c r="D79" t="s">
        <v>1834</v>
      </c>
      <c r="E79">
        <v>2</v>
      </c>
      <c r="F79">
        <v>-1E-4</v>
      </c>
      <c r="G79">
        <v>0</v>
      </c>
      <c r="H79" s="570">
        <v>0</v>
      </c>
      <c r="I79" s="570">
        <v>0</v>
      </c>
      <c r="J79" s="570">
        <v>0</v>
      </c>
      <c r="K79">
        <v>-2.0000000000000002E-5</v>
      </c>
    </row>
    <row r="80" spans="1:11">
      <c r="A80" s="570" t="str">
        <f t="shared" si="1"/>
        <v>3F2</v>
      </c>
      <c r="C80" t="s">
        <v>2375</v>
      </c>
      <c r="D80" t="s">
        <v>1834</v>
      </c>
      <c r="E80">
        <v>2</v>
      </c>
      <c r="F80">
        <v>-1E-4</v>
      </c>
      <c r="G80">
        <v>0</v>
      </c>
      <c r="H80" s="570">
        <v>0</v>
      </c>
      <c r="I80" s="570">
        <v>0</v>
      </c>
      <c r="J80" s="570">
        <v>0</v>
      </c>
      <c r="K80">
        <v>-1.0000000000000001E-5</v>
      </c>
    </row>
    <row r="81" spans="1:11">
      <c r="A81" s="570" t="str">
        <f t="shared" si="1"/>
        <v>2F2</v>
      </c>
      <c r="C81" t="s">
        <v>2376</v>
      </c>
      <c r="D81" t="s">
        <v>1834</v>
      </c>
      <c r="E81">
        <v>2</v>
      </c>
      <c r="F81">
        <v>0</v>
      </c>
      <c r="G81">
        <v>0</v>
      </c>
      <c r="H81" s="570">
        <v>0</v>
      </c>
      <c r="I81" s="570">
        <v>0</v>
      </c>
      <c r="J81" s="570">
        <v>0</v>
      </c>
      <c r="K81">
        <v>-1.0000000000000001E-5</v>
      </c>
    </row>
    <row r="82" spans="1:11">
      <c r="A82" s="570" t="str">
        <f t="shared" si="1"/>
        <v>1F2</v>
      </c>
      <c r="C82" t="s">
        <v>2377</v>
      </c>
      <c r="D82" t="s">
        <v>1834</v>
      </c>
      <c r="E82">
        <v>2</v>
      </c>
      <c r="F82">
        <v>0</v>
      </c>
      <c r="G82">
        <v>0</v>
      </c>
      <c r="H82" s="570">
        <v>0</v>
      </c>
      <c r="I82" s="570">
        <v>0</v>
      </c>
      <c r="J82" s="570">
        <v>0</v>
      </c>
      <c r="K82">
        <v>0</v>
      </c>
    </row>
    <row r="83" spans="1:11">
      <c r="A83" s="570" t="str">
        <f t="shared" si="1"/>
        <v>B12</v>
      </c>
      <c r="C83" t="s">
        <v>2327</v>
      </c>
      <c r="D83" t="s">
        <v>1834</v>
      </c>
      <c r="E83">
        <v>2</v>
      </c>
      <c r="F83">
        <v>0</v>
      </c>
      <c r="G83">
        <v>0</v>
      </c>
      <c r="H83" s="570">
        <v>0</v>
      </c>
      <c r="I83" s="570">
        <v>0</v>
      </c>
      <c r="J83" s="570">
        <v>0</v>
      </c>
      <c r="K83">
        <v>0</v>
      </c>
    </row>
    <row r="84" spans="1:11">
      <c r="A84" s="570" t="str">
        <f t="shared" si="1"/>
        <v>MAI3</v>
      </c>
      <c r="C84" t="s">
        <v>2270</v>
      </c>
      <c r="D84" t="s">
        <v>1834</v>
      </c>
      <c r="E84">
        <v>3</v>
      </c>
      <c r="F84">
        <v>-2.0000000000000001E-4</v>
      </c>
      <c r="G84">
        <v>-7.4999999999999997E-3</v>
      </c>
      <c r="H84" s="570">
        <v>0</v>
      </c>
      <c r="I84" s="570">
        <v>0</v>
      </c>
      <c r="J84" s="570">
        <v>0</v>
      </c>
      <c r="K84">
        <v>2.0000000000000002E-5</v>
      </c>
    </row>
    <row r="85" spans="1:11">
      <c r="A85" s="570" t="str">
        <f t="shared" si="1"/>
        <v>TUM3</v>
      </c>
      <c r="C85" t="s">
        <v>2271</v>
      </c>
      <c r="D85" t="s">
        <v>1834</v>
      </c>
      <c r="E85">
        <v>3</v>
      </c>
      <c r="F85">
        <v>-2.0000000000000001E-4</v>
      </c>
      <c r="G85">
        <v>-7.1999999999999998E-3</v>
      </c>
      <c r="H85" s="570">
        <v>0</v>
      </c>
      <c r="I85" s="570">
        <v>0</v>
      </c>
      <c r="J85" s="570">
        <v>0</v>
      </c>
      <c r="K85">
        <v>2.0000000000000002E-5</v>
      </c>
    </row>
    <row r="86" spans="1:11">
      <c r="A86" s="570" t="str">
        <f t="shared" si="1"/>
        <v>38F3</v>
      </c>
      <c r="C86" t="s">
        <v>2340</v>
      </c>
      <c r="D86" t="s">
        <v>1834</v>
      </c>
      <c r="E86">
        <v>3</v>
      </c>
      <c r="F86">
        <v>-2.0000000000000001E-4</v>
      </c>
      <c r="G86">
        <v>-7.0000000000000001E-3</v>
      </c>
      <c r="H86" s="570">
        <v>0</v>
      </c>
      <c r="I86" s="570">
        <v>0</v>
      </c>
      <c r="J86" s="570">
        <v>0</v>
      </c>
      <c r="K86">
        <v>2.0000000000000002E-5</v>
      </c>
    </row>
    <row r="87" spans="1:11">
      <c r="A87" s="570" t="str">
        <f t="shared" si="1"/>
        <v>37F3</v>
      </c>
      <c r="C87" t="s">
        <v>2341</v>
      </c>
      <c r="D87" t="s">
        <v>1834</v>
      </c>
      <c r="E87">
        <v>3</v>
      </c>
      <c r="F87">
        <v>-2.0000000000000001E-4</v>
      </c>
      <c r="G87">
        <v>-6.7999999999999996E-3</v>
      </c>
      <c r="H87" s="570">
        <v>0</v>
      </c>
      <c r="I87" s="570">
        <v>0</v>
      </c>
      <c r="J87" s="570">
        <v>0</v>
      </c>
      <c r="K87">
        <v>2.0000000000000002E-5</v>
      </c>
    </row>
    <row r="88" spans="1:11">
      <c r="A88" s="570" t="str">
        <f t="shared" si="1"/>
        <v>36F3</v>
      </c>
      <c r="C88" t="s">
        <v>2342</v>
      </c>
      <c r="D88" t="s">
        <v>1834</v>
      </c>
      <c r="E88">
        <v>3</v>
      </c>
      <c r="F88">
        <v>-2.9999999999999997E-4</v>
      </c>
      <c r="G88">
        <v>-6.6E-3</v>
      </c>
      <c r="H88" s="570">
        <v>0</v>
      </c>
      <c r="I88" s="570">
        <v>0</v>
      </c>
      <c r="J88" s="570">
        <v>0</v>
      </c>
      <c r="K88">
        <v>2.0000000000000002E-5</v>
      </c>
    </row>
    <row r="89" spans="1:11">
      <c r="A89" s="570" t="str">
        <f t="shared" si="1"/>
        <v>35F3</v>
      </c>
      <c r="C89" t="s">
        <v>2343</v>
      </c>
      <c r="D89" t="s">
        <v>1834</v>
      </c>
      <c r="E89">
        <v>3</v>
      </c>
      <c r="F89">
        <v>-2.9999999999999997E-4</v>
      </c>
      <c r="G89">
        <v>-6.4000000000000003E-3</v>
      </c>
      <c r="H89" s="570">
        <v>0</v>
      </c>
      <c r="I89" s="570">
        <v>0</v>
      </c>
      <c r="J89" s="570">
        <v>0</v>
      </c>
      <c r="K89">
        <v>2.0000000000000002E-5</v>
      </c>
    </row>
    <row r="90" spans="1:11">
      <c r="A90" s="570" t="str">
        <f t="shared" si="1"/>
        <v>34F3</v>
      </c>
      <c r="C90" t="s">
        <v>2344</v>
      </c>
      <c r="D90" t="s">
        <v>1834</v>
      </c>
      <c r="E90">
        <v>3</v>
      </c>
      <c r="F90">
        <v>-2.9999999999999997E-4</v>
      </c>
      <c r="G90">
        <v>-6.1999999999999998E-3</v>
      </c>
      <c r="H90" s="570">
        <v>0</v>
      </c>
      <c r="I90" s="570">
        <v>0</v>
      </c>
      <c r="J90" s="570">
        <v>0</v>
      </c>
      <c r="K90">
        <v>1.0000000000000001E-5</v>
      </c>
    </row>
    <row r="91" spans="1:11">
      <c r="A91" s="570" t="str">
        <f t="shared" si="1"/>
        <v>33F3</v>
      </c>
      <c r="C91" t="s">
        <v>2345</v>
      </c>
      <c r="D91" t="s">
        <v>1834</v>
      </c>
      <c r="E91">
        <v>3</v>
      </c>
      <c r="F91">
        <v>-2.9999999999999997E-4</v>
      </c>
      <c r="G91">
        <v>-6.0000000000000001E-3</v>
      </c>
      <c r="H91" s="570">
        <v>0</v>
      </c>
      <c r="I91" s="570">
        <v>0</v>
      </c>
      <c r="J91" s="570">
        <v>0</v>
      </c>
      <c r="K91">
        <v>1.0000000000000001E-5</v>
      </c>
    </row>
    <row r="92" spans="1:11">
      <c r="A92" s="570" t="str">
        <f t="shared" si="1"/>
        <v>32F3</v>
      </c>
      <c r="C92" t="s">
        <v>2346</v>
      </c>
      <c r="D92" t="s">
        <v>1834</v>
      </c>
      <c r="E92">
        <v>3</v>
      </c>
      <c r="F92">
        <v>-2.9999999999999997E-4</v>
      </c>
      <c r="G92">
        <v>-5.7999999999999996E-3</v>
      </c>
      <c r="H92" s="570">
        <v>0</v>
      </c>
      <c r="I92" s="570">
        <v>0</v>
      </c>
      <c r="J92" s="570">
        <v>0</v>
      </c>
      <c r="K92">
        <v>1.0000000000000001E-5</v>
      </c>
    </row>
    <row r="93" spans="1:11">
      <c r="A93" s="570" t="str">
        <f t="shared" si="1"/>
        <v>31F3</v>
      </c>
      <c r="C93" t="s">
        <v>2347</v>
      </c>
      <c r="D93" t="s">
        <v>1834</v>
      </c>
      <c r="E93">
        <v>3</v>
      </c>
      <c r="F93">
        <v>-2.9999999999999997E-4</v>
      </c>
      <c r="G93">
        <v>-5.5999999999999999E-3</v>
      </c>
      <c r="H93" s="570">
        <v>0</v>
      </c>
      <c r="I93" s="570">
        <v>0</v>
      </c>
      <c r="J93" s="570">
        <v>0</v>
      </c>
      <c r="K93">
        <v>1.0000000000000001E-5</v>
      </c>
    </row>
    <row r="94" spans="1:11">
      <c r="A94" s="570" t="str">
        <f t="shared" si="1"/>
        <v>30F3</v>
      </c>
      <c r="C94" t="s">
        <v>2348</v>
      </c>
      <c r="D94" t="s">
        <v>1834</v>
      </c>
      <c r="E94">
        <v>3</v>
      </c>
      <c r="F94">
        <v>-2.9999999999999997E-4</v>
      </c>
      <c r="G94">
        <v>-5.4000000000000003E-3</v>
      </c>
      <c r="H94" s="570">
        <v>0</v>
      </c>
      <c r="I94" s="570">
        <v>0</v>
      </c>
      <c r="J94" s="570">
        <v>0</v>
      </c>
      <c r="K94">
        <v>1.0000000000000001E-5</v>
      </c>
    </row>
    <row r="95" spans="1:11">
      <c r="A95" s="570" t="str">
        <f t="shared" si="1"/>
        <v>29F3</v>
      </c>
      <c r="C95" t="s">
        <v>2349</v>
      </c>
      <c r="D95" t="s">
        <v>1834</v>
      </c>
      <c r="E95">
        <v>3</v>
      </c>
      <c r="F95">
        <v>-2.9999999999999997E-4</v>
      </c>
      <c r="G95">
        <v>-5.1999999999999998E-3</v>
      </c>
      <c r="H95" s="570">
        <v>0</v>
      </c>
      <c r="I95" s="570">
        <v>0</v>
      </c>
      <c r="J95" s="570">
        <v>0</v>
      </c>
      <c r="K95">
        <v>1.0000000000000001E-5</v>
      </c>
    </row>
    <row r="96" spans="1:11">
      <c r="A96" s="570" t="str">
        <f t="shared" si="1"/>
        <v>28F3</v>
      </c>
      <c r="C96" t="s">
        <v>2350</v>
      </c>
      <c r="D96" t="s">
        <v>1834</v>
      </c>
      <c r="E96">
        <v>3</v>
      </c>
      <c r="F96">
        <v>-2.9999999999999997E-4</v>
      </c>
      <c r="G96">
        <v>-5.0000000000000001E-3</v>
      </c>
      <c r="H96" s="570">
        <v>0</v>
      </c>
      <c r="I96" s="570">
        <v>0</v>
      </c>
      <c r="J96" s="570">
        <v>0</v>
      </c>
      <c r="K96">
        <v>1.0000000000000001E-5</v>
      </c>
    </row>
    <row r="97" spans="1:11">
      <c r="A97" s="570" t="str">
        <f t="shared" si="1"/>
        <v>27F3</v>
      </c>
      <c r="C97" t="s">
        <v>2351</v>
      </c>
      <c r="D97" t="s">
        <v>1834</v>
      </c>
      <c r="E97">
        <v>3</v>
      </c>
      <c r="F97">
        <v>-2.9999999999999997E-4</v>
      </c>
      <c r="G97">
        <v>-4.7000000000000002E-3</v>
      </c>
      <c r="H97" s="570">
        <v>0</v>
      </c>
      <c r="I97" s="570">
        <v>0</v>
      </c>
      <c r="J97" s="570">
        <v>0</v>
      </c>
      <c r="K97">
        <v>1.0000000000000001E-5</v>
      </c>
    </row>
    <row r="98" spans="1:11">
      <c r="A98" s="570" t="str">
        <f t="shared" si="1"/>
        <v>26F3</v>
      </c>
      <c r="C98" t="s">
        <v>2352</v>
      </c>
      <c r="D98" t="s">
        <v>1834</v>
      </c>
      <c r="E98">
        <v>3</v>
      </c>
      <c r="F98">
        <v>-2.9999999999999997E-4</v>
      </c>
      <c r="G98">
        <v>-4.4999999999999997E-3</v>
      </c>
      <c r="H98" s="570">
        <v>0</v>
      </c>
      <c r="I98" s="570">
        <v>0</v>
      </c>
      <c r="J98" s="570">
        <v>0</v>
      </c>
      <c r="K98">
        <v>1.0000000000000001E-5</v>
      </c>
    </row>
    <row r="99" spans="1:11">
      <c r="A99" s="570" t="str">
        <f t="shared" si="1"/>
        <v>25F3</v>
      </c>
      <c r="C99" t="s">
        <v>2353</v>
      </c>
      <c r="D99" t="s">
        <v>1834</v>
      </c>
      <c r="E99">
        <v>3</v>
      </c>
      <c r="F99">
        <v>-2.9999999999999997E-4</v>
      </c>
      <c r="G99">
        <v>-4.3E-3</v>
      </c>
      <c r="H99" s="570">
        <v>0</v>
      </c>
      <c r="I99" s="570">
        <v>0</v>
      </c>
      <c r="J99" s="570">
        <v>0</v>
      </c>
      <c r="K99">
        <v>1.0000000000000001E-5</v>
      </c>
    </row>
    <row r="100" spans="1:11">
      <c r="A100" s="570" t="str">
        <f t="shared" si="1"/>
        <v>24F3</v>
      </c>
      <c r="C100" t="s">
        <v>2354</v>
      </c>
      <c r="D100" t="s">
        <v>1834</v>
      </c>
      <c r="E100">
        <v>3</v>
      </c>
      <c r="F100">
        <v>-2.9999999999999997E-4</v>
      </c>
      <c r="G100">
        <v>-4.1000000000000003E-3</v>
      </c>
      <c r="H100" s="570">
        <v>0</v>
      </c>
      <c r="I100" s="570">
        <v>0</v>
      </c>
      <c r="J100" s="570">
        <v>0</v>
      </c>
      <c r="K100">
        <v>1.0000000000000001E-5</v>
      </c>
    </row>
    <row r="101" spans="1:11">
      <c r="A101" s="570" t="str">
        <f t="shared" si="1"/>
        <v>23F3</v>
      </c>
      <c r="C101" t="s">
        <v>2355</v>
      </c>
      <c r="D101" t="s">
        <v>1834</v>
      </c>
      <c r="E101">
        <v>3</v>
      </c>
      <c r="F101">
        <v>-2.9999999999999997E-4</v>
      </c>
      <c r="G101">
        <v>-3.8999999999999998E-3</v>
      </c>
      <c r="H101" s="570">
        <v>0</v>
      </c>
      <c r="I101" s="570">
        <v>0</v>
      </c>
      <c r="J101" s="570">
        <v>0</v>
      </c>
      <c r="K101">
        <v>1.0000000000000001E-5</v>
      </c>
    </row>
    <row r="102" spans="1:11">
      <c r="A102" s="570" t="str">
        <f t="shared" si="1"/>
        <v>22F3</v>
      </c>
      <c r="C102" t="s">
        <v>2356</v>
      </c>
      <c r="D102" t="s">
        <v>1834</v>
      </c>
      <c r="E102">
        <v>3</v>
      </c>
      <c r="F102">
        <v>-2.9999999999999997E-4</v>
      </c>
      <c r="G102">
        <v>-3.5999999999999999E-3</v>
      </c>
      <c r="H102" s="570">
        <v>0</v>
      </c>
      <c r="I102" s="570">
        <v>0</v>
      </c>
      <c r="J102" s="570">
        <v>0</v>
      </c>
      <c r="K102">
        <v>1.0000000000000001E-5</v>
      </c>
    </row>
    <row r="103" spans="1:11">
      <c r="A103" s="570" t="str">
        <f t="shared" si="1"/>
        <v>21F3</v>
      </c>
      <c r="C103" t="s">
        <v>2357</v>
      </c>
      <c r="D103" t="s">
        <v>1834</v>
      </c>
      <c r="E103">
        <v>3</v>
      </c>
      <c r="F103">
        <v>-2.9999999999999997E-4</v>
      </c>
      <c r="G103">
        <v>-3.3999999999999998E-3</v>
      </c>
      <c r="H103" s="570">
        <v>0</v>
      </c>
      <c r="I103" s="570">
        <v>0</v>
      </c>
      <c r="J103" s="570">
        <v>0</v>
      </c>
      <c r="K103">
        <v>1.0000000000000001E-5</v>
      </c>
    </row>
    <row r="104" spans="1:11">
      <c r="A104" s="570" t="str">
        <f t="shared" si="1"/>
        <v>20F3</v>
      </c>
      <c r="C104" t="s">
        <v>2358</v>
      </c>
      <c r="D104" t="s">
        <v>1834</v>
      </c>
      <c r="E104">
        <v>3</v>
      </c>
      <c r="F104">
        <v>-2.9999999999999997E-4</v>
      </c>
      <c r="G104">
        <v>-3.2000000000000002E-3</v>
      </c>
      <c r="H104" s="570">
        <v>0</v>
      </c>
      <c r="I104" s="570">
        <v>0</v>
      </c>
      <c r="J104" s="570">
        <v>0</v>
      </c>
      <c r="K104">
        <v>1.0000000000000001E-5</v>
      </c>
    </row>
    <row r="105" spans="1:11">
      <c r="A105" s="570" t="str">
        <f t="shared" si="1"/>
        <v>19F3</v>
      </c>
      <c r="C105" t="s">
        <v>2359</v>
      </c>
      <c r="D105" t="s">
        <v>1834</v>
      </c>
      <c r="E105">
        <v>3</v>
      </c>
      <c r="F105">
        <v>-2.9999999999999997E-4</v>
      </c>
      <c r="G105">
        <v>-3.0000000000000001E-3</v>
      </c>
      <c r="H105" s="570">
        <v>0</v>
      </c>
      <c r="I105" s="570">
        <v>0</v>
      </c>
      <c r="J105" s="570">
        <v>0</v>
      </c>
      <c r="K105">
        <v>1.0000000000000001E-5</v>
      </c>
    </row>
    <row r="106" spans="1:11">
      <c r="A106" s="570" t="str">
        <f t="shared" si="1"/>
        <v>18F3</v>
      </c>
      <c r="C106" t="s">
        <v>2360</v>
      </c>
      <c r="D106" t="s">
        <v>1834</v>
      </c>
      <c r="E106">
        <v>3</v>
      </c>
      <c r="F106">
        <v>-2.9999999999999997E-4</v>
      </c>
      <c r="G106">
        <v>-2.8E-3</v>
      </c>
      <c r="H106" s="570">
        <v>0</v>
      </c>
      <c r="I106" s="570">
        <v>0</v>
      </c>
      <c r="J106" s="570">
        <v>0</v>
      </c>
      <c r="K106">
        <v>1.0000000000000001E-5</v>
      </c>
    </row>
    <row r="107" spans="1:11">
      <c r="A107" s="570" t="str">
        <f t="shared" si="1"/>
        <v>17F3</v>
      </c>
      <c r="C107" t="s">
        <v>2361</v>
      </c>
      <c r="D107" t="s">
        <v>1834</v>
      </c>
      <c r="E107">
        <v>3</v>
      </c>
      <c r="F107">
        <v>-2.9999999999999997E-4</v>
      </c>
      <c r="G107">
        <v>-2.5000000000000001E-3</v>
      </c>
      <c r="H107" s="570">
        <v>0</v>
      </c>
      <c r="I107" s="570">
        <v>0</v>
      </c>
      <c r="J107" s="570">
        <v>0</v>
      </c>
      <c r="K107">
        <v>1.0000000000000001E-5</v>
      </c>
    </row>
    <row r="108" spans="1:11">
      <c r="A108" s="570" t="str">
        <f t="shared" si="1"/>
        <v>16F3</v>
      </c>
      <c r="C108" t="s">
        <v>2362</v>
      </c>
      <c r="D108" t="s">
        <v>1834</v>
      </c>
      <c r="E108">
        <v>3</v>
      </c>
      <c r="F108">
        <v>-2.9999999999999997E-4</v>
      </c>
      <c r="G108">
        <v>-2.3E-3</v>
      </c>
      <c r="H108" s="570">
        <v>0</v>
      </c>
      <c r="I108" s="570">
        <v>0</v>
      </c>
      <c r="J108" s="570">
        <v>0</v>
      </c>
      <c r="K108">
        <v>0</v>
      </c>
    </row>
    <row r="109" spans="1:11">
      <c r="A109" s="570" t="str">
        <f t="shared" si="1"/>
        <v>15F3</v>
      </c>
      <c r="C109" t="s">
        <v>2363</v>
      </c>
      <c r="D109" t="s">
        <v>1834</v>
      </c>
      <c r="E109">
        <v>3</v>
      </c>
      <c r="F109">
        <v>-2.0000000000000001E-4</v>
      </c>
      <c r="G109">
        <v>-2.0999999999999999E-3</v>
      </c>
      <c r="H109" s="570">
        <v>0</v>
      </c>
      <c r="I109" s="570">
        <v>0</v>
      </c>
      <c r="J109" s="570">
        <v>0</v>
      </c>
      <c r="K109">
        <v>0</v>
      </c>
    </row>
    <row r="110" spans="1:11">
      <c r="A110" s="570" t="str">
        <f t="shared" si="1"/>
        <v>14F3</v>
      </c>
      <c r="C110" t="s">
        <v>2364</v>
      </c>
      <c r="D110" t="s">
        <v>1834</v>
      </c>
      <c r="E110">
        <v>3</v>
      </c>
      <c r="F110">
        <v>-2.0000000000000001E-4</v>
      </c>
      <c r="G110">
        <v>-1.9E-3</v>
      </c>
      <c r="H110" s="570">
        <v>0</v>
      </c>
      <c r="I110" s="570">
        <v>0</v>
      </c>
      <c r="J110" s="570">
        <v>0</v>
      </c>
      <c r="K110">
        <v>0</v>
      </c>
    </row>
    <row r="111" spans="1:11">
      <c r="A111" s="570" t="str">
        <f t="shared" si="1"/>
        <v>13F3</v>
      </c>
      <c r="C111" t="s">
        <v>2365</v>
      </c>
      <c r="D111" t="s">
        <v>1834</v>
      </c>
      <c r="E111">
        <v>3</v>
      </c>
      <c r="F111">
        <v>-2.0000000000000001E-4</v>
      </c>
      <c r="G111">
        <v>-1.6999999999999999E-3</v>
      </c>
      <c r="H111" s="570">
        <v>0</v>
      </c>
      <c r="I111" s="570">
        <v>0</v>
      </c>
      <c r="J111" s="570">
        <v>0</v>
      </c>
      <c r="K111">
        <v>0</v>
      </c>
    </row>
    <row r="112" spans="1:11">
      <c r="A112" s="570" t="str">
        <f t="shared" si="1"/>
        <v>12F3</v>
      </c>
      <c r="C112" t="s">
        <v>2366</v>
      </c>
      <c r="D112" t="s">
        <v>1834</v>
      </c>
      <c r="E112">
        <v>3</v>
      </c>
      <c r="F112">
        <v>-2.0000000000000001E-4</v>
      </c>
      <c r="G112">
        <v>-1.5E-3</v>
      </c>
      <c r="H112" s="570">
        <v>0</v>
      </c>
      <c r="I112" s="570">
        <v>0</v>
      </c>
      <c r="J112" s="570">
        <v>0</v>
      </c>
      <c r="K112">
        <v>0</v>
      </c>
    </row>
    <row r="113" spans="1:11">
      <c r="A113" s="570" t="str">
        <f t="shared" si="1"/>
        <v>11F3</v>
      </c>
      <c r="C113" t="s">
        <v>2367</v>
      </c>
      <c r="D113" t="s">
        <v>1834</v>
      </c>
      <c r="E113">
        <v>3</v>
      </c>
      <c r="F113">
        <v>-2.0000000000000001E-4</v>
      </c>
      <c r="G113">
        <v>-1.2999999999999999E-3</v>
      </c>
      <c r="H113" s="570">
        <v>0</v>
      </c>
      <c r="I113" s="570">
        <v>0</v>
      </c>
      <c r="J113" s="570">
        <v>0</v>
      </c>
      <c r="K113">
        <v>0</v>
      </c>
    </row>
    <row r="114" spans="1:11">
      <c r="A114" s="570" t="str">
        <f t="shared" si="1"/>
        <v>10F3</v>
      </c>
      <c r="C114" t="s">
        <v>2368</v>
      </c>
      <c r="D114" t="s">
        <v>1834</v>
      </c>
      <c r="E114">
        <v>3</v>
      </c>
      <c r="F114">
        <v>-2.0000000000000001E-4</v>
      </c>
      <c r="G114">
        <v>-1.1999999999999999E-3</v>
      </c>
      <c r="H114" s="570">
        <v>0</v>
      </c>
      <c r="I114" s="570">
        <v>0</v>
      </c>
      <c r="J114" s="570">
        <v>0</v>
      </c>
      <c r="K114">
        <v>0</v>
      </c>
    </row>
    <row r="115" spans="1:11">
      <c r="A115" s="570" t="str">
        <f t="shared" si="1"/>
        <v>9F3</v>
      </c>
      <c r="C115" t="s">
        <v>2369</v>
      </c>
      <c r="D115" t="s">
        <v>1834</v>
      </c>
      <c r="E115">
        <v>3</v>
      </c>
      <c r="F115">
        <v>-1E-4</v>
      </c>
      <c r="G115">
        <v>-1E-3</v>
      </c>
      <c r="H115" s="570">
        <v>0</v>
      </c>
      <c r="I115" s="570">
        <v>0</v>
      </c>
      <c r="J115" s="570">
        <v>0</v>
      </c>
      <c r="K115">
        <v>0</v>
      </c>
    </row>
    <row r="116" spans="1:11">
      <c r="A116" s="570" t="str">
        <f t="shared" si="1"/>
        <v>8F3</v>
      </c>
      <c r="C116" t="s">
        <v>2370</v>
      </c>
      <c r="D116" t="s">
        <v>1834</v>
      </c>
      <c r="E116">
        <v>3</v>
      </c>
      <c r="F116">
        <v>-1E-4</v>
      </c>
      <c r="G116">
        <v>-8.0000000000000004E-4</v>
      </c>
      <c r="H116" s="570">
        <v>0</v>
      </c>
      <c r="I116" s="570">
        <v>0</v>
      </c>
      <c r="J116" s="570">
        <v>0</v>
      </c>
      <c r="K116">
        <v>0</v>
      </c>
    </row>
    <row r="117" spans="1:11">
      <c r="A117" s="570" t="str">
        <f t="shared" si="1"/>
        <v>7F3</v>
      </c>
      <c r="C117" t="s">
        <v>2371</v>
      </c>
      <c r="D117" t="s">
        <v>1834</v>
      </c>
      <c r="E117">
        <v>3</v>
      </c>
      <c r="F117">
        <v>-1E-4</v>
      </c>
      <c r="G117">
        <v>-6.9999999999999999E-4</v>
      </c>
      <c r="H117" s="570">
        <v>0</v>
      </c>
      <c r="I117" s="570">
        <v>0</v>
      </c>
      <c r="J117" s="570">
        <v>0</v>
      </c>
      <c r="K117">
        <v>0</v>
      </c>
    </row>
    <row r="118" spans="1:11">
      <c r="A118" s="570" t="str">
        <f t="shared" si="1"/>
        <v>6F3</v>
      </c>
      <c r="C118" t="s">
        <v>2372</v>
      </c>
      <c r="D118" t="s">
        <v>1834</v>
      </c>
      <c r="E118">
        <v>3</v>
      </c>
      <c r="F118">
        <v>-1E-4</v>
      </c>
      <c r="G118">
        <v>-5.0000000000000001E-4</v>
      </c>
      <c r="H118" s="570">
        <v>0</v>
      </c>
      <c r="I118" s="570">
        <v>0</v>
      </c>
      <c r="J118" s="570">
        <v>0</v>
      </c>
      <c r="K118">
        <v>0</v>
      </c>
    </row>
    <row r="119" spans="1:11">
      <c r="A119" s="570" t="str">
        <f t="shared" si="1"/>
        <v>5F3</v>
      </c>
      <c r="C119" t="s">
        <v>2373</v>
      </c>
      <c r="D119" t="s">
        <v>1834</v>
      </c>
      <c r="E119">
        <v>3</v>
      </c>
      <c r="F119">
        <v>-1E-4</v>
      </c>
      <c r="G119">
        <v>-4.0000000000000002E-4</v>
      </c>
      <c r="H119" s="570">
        <v>0</v>
      </c>
      <c r="I119" s="570">
        <v>0</v>
      </c>
      <c r="J119" s="570">
        <v>0</v>
      </c>
      <c r="K119">
        <v>0</v>
      </c>
    </row>
    <row r="120" spans="1:11">
      <c r="A120" s="570" t="str">
        <f t="shared" si="1"/>
        <v>4F3</v>
      </c>
      <c r="C120" t="s">
        <v>2374</v>
      </c>
      <c r="D120" t="s">
        <v>1834</v>
      </c>
      <c r="E120">
        <v>3</v>
      </c>
      <c r="F120">
        <v>-1E-4</v>
      </c>
      <c r="G120">
        <v>-2.9999999999999997E-4</v>
      </c>
      <c r="H120" s="570">
        <v>0</v>
      </c>
      <c r="I120" s="570">
        <v>0</v>
      </c>
      <c r="J120" s="570">
        <v>0</v>
      </c>
      <c r="K120">
        <v>0</v>
      </c>
    </row>
    <row r="121" spans="1:11">
      <c r="A121" s="570" t="str">
        <f t="shared" si="1"/>
        <v>3F3</v>
      </c>
      <c r="C121" t="s">
        <v>2375</v>
      </c>
      <c r="D121" t="s">
        <v>1834</v>
      </c>
      <c r="E121">
        <v>3</v>
      </c>
      <c r="F121">
        <v>0</v>
      </c>
      <c r="G121">
        <v>-2.0000000000000001E-4</v>
      </c>
      <c r="H121" s="570">
        <v>0</v>
      </c>
      <c r="I121" s="570">
        <v>0</v>
      </c>
      <c r="J121" s="570">
        <v>0</v>
      </c>
      <c r="K121">
        <v>0</v>
      </c>
    </row>
    <row r="122" spans="1:11">
      <c r="A122" s="570" t="str">
        <f t="shared" si="1"/>
        <v>2F3</v>
      </c>
      <c r="C122" t="s">
        <v>2376</v>
      </c>
      <c r="D122" t="s">
        <v>1834</v>
      </c>
      <c r="E122">
        <v>3</v>
      </c>
      <c r="F122">
        <v>0</v>
      </c>
      <c r="G122">
        <v>-1E-4</v>
      </c>
      <c r="H122" s="570">
        <v>0</v>
      </c>
      <c r="I122" s="570">
        <v>0</v>
      </c>
      <c r="J122" s="570">
        <v>0</v>
      </c>
      <c r="K122">
        <v>0</v>
      </c>
    </row>
    <row r="123" spans="1:11">
      <c r="A123" s="570" t="str">
        <f t="shared" si="1"/>
        <v>1F3</v>
      </c>
      <c r="C123" t="s">
        <v>2377</v>
      </c>
      <c r="D123" t="s">
        <v>1834</v>
      </c>
      <c r="E123">
        <v>3</v>
      </c>
      <c r="F123">
        <v>0</v>
      </c>
      <c r="G123">
        <v>0</v>
      </c>
      <c r="H123" s="570">
        <v>0</v>
      </c>
      <c r="I123" s="570">
        <v>0</v>
      </c>
      <c r="J123" s="570">
        <v>0</v>
      </c>
      <c r="K123">
        <v>0</v>
      </c>
    </row>
    <row r="124" spans="1:11">
      <c r="A124" s="570" t="str">
        <f t="shared" si="1"/>
        <v>B13</v>
      </c>
      <c r="C124" t="s">
        <v>2327</v>
      </c>
      <c r="D124" t="s">
        <v>1834</v>
      </c>
      <c r="E124">
        <v>3</v>
      </c>
      <c r="F124">
        <v>0</v>
      </c>
      <c r="G124">
        <v>0</v>
      </c>
      <c r="H124" s="570">
        <v>0</v>
      </c>
      <c r="I124" s="570">
        <v>0</v>
      </c>
      <c r="J124" s="570">
        <v>0</v>
      </c>
      <c r="K124">
        <v>0</v>
      </c>
    </row>
    <row r="125" spans="1:11">
      <c r="A125" s="570" t="str">
        <f t="shared" si="1"/>
        <v>MAI4</v>
      </c>
      <c r="C125" t="s">
        <v>2270</v>
      </c>
      <c r="D125" t="s">
        <v>1834</v>
      </c>
      <c r="E125">
        <v>4</v>
      </c>
      <c r="F125">
        <v>-7.6E-3</v>
      </c>
      <c r="G125">
        <v>-2.0000000000000001E-4</v>
      </c>
      <c r="H125" s="570">
        <v>0</v>
      </c>
      <c r="I125" s="570">
        <v>0</v>
      </c>
      <c r="J125" s="570">
        <v>0</v>
      </c>
      <c r="K125">
        <v>9.0000000000000006E-5</v>
      </c>
    </row>
    <row r="126" spans="1:11">
      <c r="A126" s="570" t="str">
        <f t="shared" si="1"/>
        <v>TUM4</v>
      </c>
      <c r="C126" t="s">
        <v>2271</v>
      </c>
      <c r="D126" t="s">
        <v>1834</v>
      </c>
      <c r="E126">
        <v>4</v>
      </c>
      <c r="F126">
        <v>-6.6E-3</v>
      </c>
      <c r="G126">
        <v>-1E-4</v>
      </c>
      <c r="H126" s="570">
        <v>0</v>
      </c>
      <c r="I126" s="570">
        <v>0</v>
      </c>
      <c r="J126" s="570">
        <v>0</v>
      </c>
      <c r="K126">
        <v>8.0000000000000007E-5</v>
      </c>
    </row>
    <row r="127" spans="1:11">
      <c r="A127" s="570" t="str">
        <f t="shared" si="1"/>
        <v>38F4</v>
      </c>
      <c r="C127" t="s">
        <v>2340</v>
      </c>
      <c r="D127" t="s">
        <v>1834</v>
      </c>
      <c r="E127">
        <v>4</v>
      </c>
      <c r="F127">
        <v>-6.1000000000000004E-3</v>
      </c>
      <c r="G127">
        <v>-1E-4</v>
      </c>
      <c r="H127" s="570">
        <v>0</v>
      </c>
      <c r="I127" s="570">
        <v>0</v>
      </c>
      <c r="J127" s="570">
        <v>0</v>
      </c>
      <c r="K127">
        <v>6.9999999999999994E-5</v>
      </c>
    </row>
    <row r="128" spans="1:11">
      <c r="A128" s="570" t="str">
        <f t="shared" si="1"/>
        <v>37F4</v>
      </c>
      <c r="C128" t="s">
        <v>2341</v>
      </c>
      <c r="D128" t="s">
        <v>1834</v>
      </c>
      <c r="E128">
        <v>4</v>
      </c>
      <c r="F128">
        <v>-5.4999999999999997E-3</v>
      </c>
      <c r="G128">
        <v>-1E-4</v>
      </c>
      <c r="H128" s="570">
        <v>0</v>
      </c>
      <c r="I128" s="570">
        <v>0</v>
      </c>
      <c r="J128" s="570">
        <v>0</v>
      </c>
      <c r="K128">
        <v>6.0000000000000002E-5</v>
      </c>
    </row>
    <row r="129" spans="1:11">
      <c r="A129" s="570" t="str">
        <f t="shared" si="1"/>
        <v>36F4</v>
      </c>
      <c r="C129" t="s">
        <v>2342</v>
      </c>
      <c r="D129" t="s">
        <v>1834</v>
      </c>
      <c r="E129">
        <v>4</v>
      </c>
      <c r="F129">
        <v>-4.8999999999999998E-3</v>
      </c>
      <c r="G129">
        <v>-1E-4</v>
      </c>
      <c r="H129" s="570">
        <v>0</v>
      </c>
      <c r="I129" s="570">
        <v>0</v>
      </c>
      <c r="J129" s="570">
        <v>0</v>
      </c>
      <c r="K129">
        <v>6.0000000000000002E-5</v>
      </c>
    </row>
    <row r="130" spans="1:11">
      <c r="A130" s="570" t="str">
        <f t="shared" ref="A130:A193" si="2">C130&amp;E130</f>
        <v>35F4</v>
      </c>
      <c r="C130" t="s">
        <v>2343</v>
      </c>
      <c r="D130" t="s">
        <v>1834</v>
      </c>
      <c r="E130">
        <v>4</v>
      </c>
      <c r="F130">
        <v>-4.3E-3</v>
      </c>
      <c r="G130">
        <v>-1E-4</v>
      </c>
      <c r="H130" s="570">
        <v>0</v>
      </c>
      <c r="I130" s="570">
        <v>0</v>
      </c>
      <c r="J130" s="570">
        <v>0</v>
      </c>
      <c r="K130">
        <v>5.0000000000000002E-5</v>
      </c>
    </row>
    <row r="131" spans="1:11">
      <c r="A131" s="570" t="str">
        <f t="shared" si="2"/>
        <v>34F4</v>
      </c>
      <c r="C131" t="s">
        <v>2344</v>
      </c>
      <c r="D131" t="s">
        <v>1834</v>
      </c>
      <c r="E131">
        <v>4</v>
      </c>
      <c r="F131">
        <v>-3.5999999999999999E-3</v>
      </c>
      <c r="G131">
        <v>-1E-4</v>
      </c>
      <c r="H131" s="570">
        <v>0</v>
      </c>
      <c r="I131" s="570">
        <v>0</v>
      </c>
      <c r="J131" s="570">
        <v>0</v>
      </c>
      <c r="K131">
        <v>4.0000000000000003E-5</v>
      </c>
    </row>
    <row r="132" spans="1:11">
      <c r="A132" s="570" t="str">
        <f t="shared" si="2"/>
        <v>33F4</v>
      </c>
      <c r="C132" t="s">
        <v>2345</v>
      </c>
      <c r="D132" t="s">
        <v>1834</v>
      </c>
      <c r="E132">
        <v>4</v>
      </c>
      <c r="F132">
        <v>-2.8999999999999998E-3</v>
      </c>
      <c r="G132">
        <v>-1E-4</v>
      </c>
      <c r="H132" s="570">
        <v>0</v>
      </c>
      <c r="I132" s="570">
        <v>0</v>
      </c>
      <c r="J132" s="570">
        <v>0</v>
      </c>
      <c r="K132">
        <v>4.0000000000000003E-5</v>
      </c>
    </row>
    <row r="133" spans="1:11">
      <c r="A133" s="570" t="str">
        <f t="shared" si="2"/>
        <v>32F4</v>
      </c>
      <c r="C133" t="s">
        <v>2346</v>
      </c>
      <c r="D133" t="s">
        <v>1834</v>
      </c>
      <c r="E133">
        <v>4</v>
      </c>
      <c r="F133">
        <v>-2.3E-3</v>
      </c>
      <c r="G133">
        <v>-1E-4</v>
      </c>
      <c r="H133" s="570">
        <v>0</v>
      </c>
      <c r="I133" s="570">
        <v>0</v>
      </c>
      <c r="J133" s="570">
        <v>0</v>
      </c>
      <c r="K133">
        <v>3.0000000000000001E-5</v>
      </c>
    </row>
    <row r="134" spans="1:11">
      <c r="A134" s="570" t="str">
        <f t="shared" si="2"/>
        <v>31F4</v>
      </c>
      <c r="C134" t="s">
        <v>2347</v>
      </c>
      <c r="D134" t="s">
        <v>1834</v>
      </c>
      <c r="E134">
        <v>4</v>
      </c>
      <c r="F134">
        <v>-1.5E-3</v>
      </c>
      <c r="G134">
        <v>-1E-4</v>
      </c>
      <c r="H134" s="570">
        <v>0</v>
      </c>
      <c r="I134" s="570">
        <v>0</v>
      </c>
      <c r="J134" s="570">
        <v>0</v>
      </c>
      <c r="K134">
        <v>2.0000000000000002E-5</v>
      </c>
    </row>
    <row r="135" spans="1:11">
      <c r="A135" s="570" t="str">
        <f t="shared" si="2"/>
        <v>30F4</v>
      </c>
      <c r="C135" t="s">
        <v>2348</v>
      </c>
      <c r="D135" t="s">
        <v>1834</v>
      </c>
      <c r="E135">
        <v>4</v>
      </c>
      <c r="F135">
        <v>-8.0000000000000004E-4</v>
      </c>
      <c r="G135">
        <v>-1E-4</v>
      </c>
      <c r="H135" s="570">
        <v>0</v>
      </c>
      <c r="I135" s="570">
        <v>0</v>
      </c>
      <c r="J135" s="570">
        <v>0</v>
      </c>
      <c r="K135">
        <v>1.0000000000000001E-5</v>
      </c>
    </row>
    <row r="136" spans="1:11">
      <c r="A136" s="570" t="str">
        <f t="shared" si="2"/>
        <v>29F4</v>
      </c>
      <c r="C136" t="s">
        <v>2349</v>
      </c>
      <c r="D136" t="s">
        <v>1834</v>
      </c>
      <c r="E136">
        <v>4</v>
      </c>
      <c r="F136">
        <v>-1E-4</v>
      </c>
      <c r="G136">
        <v>-1E-4</v>
      </c>
      <c r="H136" s="570">
        <v>0</v>
      </c>
      <c r="I136" s="570">
        <v>0</v>
      </c>
      <c r="J136" s="570">
        <v>0</v>
      </c>
      <c r="K136">
        <v>0</v>
      </c>
    </row>
    <row r="137" spans="1:11">
      <c r="A137" s="570" t="str">
        <f t="shared" si="2"/>
        <v>28F4</v>
      </c>
      <c r="C137" t="s">
        <v>2350</v>
      </c>
      <c r="D137" t="s">
        <v>1834</v>
      </c>
      <c r="E137">
        <v>4</v>
      </c>
      <c r="F137">
        <v>5.9999999999999995E-4</v>
      </c>
      <c r="G137">
        <v>-1E-4</v>
      </c>
      <c r="H137" s="570">
        <v>0</v>
      </c>
      <c r="I137" s="570">
        <v>0</v>
      </c>
      <c r="J137" s="570">
        <v>0</v>
      </c>
      <c r="K137">
        <v>-1.0000000000000001E-5</v>
      </c>
    </row>
    <row r="138" spans="1:11">
      <c r="A138" s="570" t="str">
        <f t="shared" si="2"/>
        <v>27F4</v>
      </c>
      <c r="C138" t="s">
        <v>2351</v>
      </c>
      <c r="D138" t="s">
        <v>1834</v>
      </c>
      <c r="E138">
        <v>4</v>
      </c>
      <c r="F138">
        <v>1.2999999999999999E-3</v>
      </c>
      <c r="G138">
        <v>-1E-4</v>
      </c>
      <c r="H138" s="570">
        <v>0</v>
      </c>
      <c r="I138" s="570">
        <v>0</v>
      </c>
      <c r="J138" s="570">
        <v>0</v>
      </c>
      <c r="K138">
        <v>-2.0000000000000002E-5</v>
      </c>
    </row>
    <row r="139" spans="1:11">
      <c r="A139" s="570" t="str">
        <f t="shared" si="2"/>
        <v>26F4</v>
      </c>
      <c r="C139" t="s">
        <v>2352</v>
      </c>
      <c r="D139" t="s">
        <v>1834</v>
      </c>
      <c r="E139">
        <v>4</v>
      </c>
      <c r="F139">
        <v>2E-3</v>
      </c>
      <c r="G139">
        <v>-1E-4</v>
      </c>
      <c r="H139" s="570">
        <v>0</v>
      </c>
      <c r="I139" s="570">
        <v>0</v>
      </c>
      <c r="J139" s="570">
        <v>0</v>
      </c>
      <c r="K139">
        <v>-2.0000000000000002E-5</v>
      </c>
    </row>
    <row r="140" spans="1:11">
      <c r="A140" s="570" t="str">
        <f t="shared" si="2"/>
        <v>25F4</v>
      </c>
      <c r="C140" t="s">
        <v>2353</v>
      </c>
      <c r="D140" t="s">
        <v>1834</v>
      </c>
      <c r="E140">
        <v>4</v>
      </c>
      <c r="F140">
        <v>2.5999999999999999E-3</v>
      </c>
      <c r="G140">
        <v>-1E-4</v>
      </c>
      <c r="H140" s="570">
        <v>0</v>
      </c>
      <c r="I140" s="570">
        <v>0</v>
      </c>
      <c r="J140" s="570">
        <v>0</v>
      </c>
      <c r="K140">
        <v>-3.0000000000000001E-5</v>
      </c>
    </row>
    <row r="141" spans="1:11">
      <c r="A141" s="570" t="str">
        <f t="shared" si="2"/>
        <v>24F4</v>
      </c>
      <c r="C141" t="s">
        <v>2354</v>
      </c>
      <c r="D141" t="s">
        <v>1834</v>
      </c>
      <c r="E141">
        <v>4</v>
      </c>
      <c r="F141">
        <v>3.2000000000000002E-3</v>
      </c>
      <c r="G141">
        <v>-1E-4</v>
      </c>
      <c r="H141" s="570">
        <v>0</v>
      </c>
      <c r="I141" s="570">
        <v>0</v>
      </c>
      <c r="J141" s="570">
        <v>0</v>
      </c>
      <c r="K141">
        <v>-4.0000000000000003E-5</v>
      </c>
    </row>
    <row r="142" spans="1:11">
      <c r="A142" s="570" t="str">
        <f t="shared" si="2"/>
        <v>23F4</v>
      </c>
      <c r="C142" t="s">
        <v>2355</v>
      </c>
      <c r="D142" t="s">
        <v>1834</v>
      </c>
      <c r="E142">
        <v>4</v>
      </c>
      <c r="F142">
        <v>3.7000000000000002E-3</v>
      </c>
      <c r="G142">
        <v>0</v>
      </c>
      <c r="H142" s="570">
        <v>0</v>
      </c>
      <c r="I142" s="570">
        <v>0</v>
      </c>
      <c r="J142" s="570">
        <v>0</v>
      </c>
      <c r="K142">
        <v>-5.0000000000000002E-5</v>
      </c>
    </row>
    <row r="143" spans="1:11">
      <c r="A143" s="570" t="str">
        <f t="shared" si="2"/>
        <v>22F4</v>
      </c>
      <c r="C143" t="s">
        <v>2356</v>
      </c>
      <c r="D143" t="s">
        <v>1834</v>
      </c>
      <c r="E143">
        <v>4</v>
      </c>
      <c r="F143">
        <v>4.1999999999999997E-3</v>
      </c>
      <c r="G143">
        <v>0</v>
      </c>
      <c r="H143" s="570">
        <v>0</v>
      </c>
      <c r="I143" s="570">
        <v>0</v>
      </c>
      <c r="J143" s="570">
        <v>0</v>
      </c>
      <c r="K143">
        <v>-5.0000000000000002E-5</v>
      </c>
    </row>
    <row r="144" spans="1:11">
      <c r="A144" s="570" t="str">
        <f t="shared" si="2"/>
        <v>21F4</v>
      </c>
      <c r="C144" t="s">
        <v>2357</v>
      </c>
      <c r="D144" t="s">
        <v>1834</v>
      </c>
      <c r="E144">
        <v>4</v>
      </c>
      <c r="F144">
        <v>4.5999999999999999E-3</v>
      </c>
      <c r="G144">
        <v>0</v>
      </c>
      <c r="H144" s="570">
        <v>0</v>
      </c>
      <c r="I144" s="570">
        <v>0</v>
      </c>
      <c r="J144" s="570">
        <v>0</v>
      </c>
      <c r="K144">
        <v>-6.0000000000000002E-5</v>
      </c>
    </row>
    <row r="145" spans="1:11">
      <c r="A145" s="570" t="str">
        <f t="shared" si="2"/>
        <v>20F4</v>
      </c>
      <c r="C145" t="s">
        <v>2358</v>
      </c>
      <c r="D145" t="s">
        <v>1834</v>
      </c>
      <c r="E145">
        <v>4</v>
      </c>
      <c r="F145">
        <v>4.8999999999999998E-3</v>
      </c>
      <c r="G145">
        <v>0</v>
      </c>
      <c r="H145" s="570">
        <v>0</v>
      </c>
      <c r="I145" s="570">
        <v>0</v>
      </c>
      <c r="J145" s="570">
        <v>0</v>
      </c>
      <c r="K145">
        <v>-6.0000000000000002E-5</v>
      </c>
    </row>
    <row r="146" spans="1:11">
      <c r="A146" s="570" t="str">
        <f t="shared" si="2"/>
        <v>19F4</v>
      </c>
      <c r="C146" t="s">
        <v>2359</v>
      </c>
      <c r="D146" t="s">
        <v>1834</v>
      </c>
      <c r="E146">
        <v>4</v>
      </c>
      <c r="F146">
        <v>5.1999999999999998E-3</v>
      </c>
      <c r="G146">
        <v>0</v>
      </c>
      <c r="H146" s="570">
        <v>0</v>
      </c>
      <c r="I146" s="570">
        <v>0</v>
      </c>
      <c r="J146" s="570">
        <v>0</v>
      </c>
      <c r="K146">
        <v>-6.0000000000000002E-5</v>
      </c>
    </row>
    <row r="147" spans="1:11">
      <c r="A147" s="570" t="str">
        <f t="shared" si="2"/>
        <v>18F4</v>
      </c>
      <c r="C147" t="s">
        <v>2360</v>
      </c>
      <c r="D147" t="s">
        <v>1834</v>
      </c>
      <c r="E147">
        <v>4</v>
      </c>
      <c r="F147">
        <v>5.4000000000000003E-3</v>
      </c>
      <c r="G147">
        <v>0</v>
      </c>
      <c r="H147" s="570">
        <v>0</v>
      </c>
      <c r="I147" s="570">
        <v>0</v>
      </c>
      <c r="J147" s="570">
        <v>0</v>
      </c>
      <c r="K147">
        <v>-6.9999999999999994E-5</v>
      </c>
    </row>
    <row r="148" spans="1:11">
      <c r="A148" s="570" t="str">
        <f t="shared" si="2"/>
        <v>17F4</v>
      </c>
      <c r="C148" t="s">
        <v>2361</v>
      </c>
      <c r="D148" t="s">
        <v>1834</v>
      </c>
      <c r="E148">
        <v>4</v>
      </c>
      <c r="F148">
        <v>5.4999999999999997E-3</v>
      </c>
      <c r="G148">
        <v>0</v>
      </c>
      <c r="H148" s="570">
        <v>0</v>
      </c>
      <c r="I148" s="570">
        <v>0</v>
      </c>
      <c r="J148" s="570">
        <v>0</v>
      </c>
      <c r="K148">
        <v>-6.9999999999999994E-5</v>
      </c>
    </row>
    <row r="149" spans="1:11">
      <c r="A149" s="570" t="str">
        <f t="shared" si="2"/>
        <v>16F4</v>
      </c>
      <c r="C149" t="s">
        <v>2362</v>
      </c>
      <c r="D149" t="s">
        <v>1834</v>
      </c>
      <c r="E149">
        <v>4</v>
      </c>
      <c r="F149">
        <v>5.4999999999999997E-3</v>
      </c>
      <c r="G149">
        <v>0</v>
      </c>
      <c r="H149" s="570">
        <v>0</v>
      </c>
      <c r="I149" s="570">
        <v>0</v>
      </c>
      <c r="J149" s="570">
        <v>0</v>
      </c>
      <c r="K149">
        <v>-6.9999999999999994E-5</v>
      </c>
    </row>
    <row r="150" spans="1:11">
      <c r="A150" s="570" t="str">
        <f t="shared" si="2"/>
        <v>15F4</v>
      </c>
      <c r="C150" t="s">
        <v>2363</v>
      </c>
      <c r="D150" t="s">
        <v>1834</v>
      </c>
      <c r="E150">
        <v>4</v>
      </c>
      <c r="F150">
        <v>5.4999999999999997E-3</v>
      </c>
      <c r="G150">
        <v>1E-4</v>
      </c>
      <c r="H150" s="570">
        <v>0</v>
      </c>
      <c r="I150" s="570">
        <v>0</v>
      </c>
      <c r="J150" s="570">
        <v>0</v>
      </c>
      <c r="K150">
        <v>-6.9999999999999994E-5</v>
      </c>
    </row>
    <row r="151" spans="1:11">
      <c r="A151" s="570" t="str">
        <f t="shared" si="2"/>
        <v>14F4</v>
      </c>
      <c r="C151" t="s">
        <v>2364</v>
      </c>
      <c r="D151" t="s">
        <v>1834</v>
      </c>
      <c r="E151">
        <v>4</v>
      </c>
      <c r="F151">
        <v>5.3E-3</v>
      </c>
      <c r="G151">
        <v>1E-4</v>
      </c>
      <c r="H151" s="570">
        <v>0</v>
      </c>
      <c r="I151" s="570">
        <v>0</v>
      </c>
      <c r="J151" s="570">
        <v>0</v>
      </c>
      <c r="K151">
        <v>-6.0000000000000002E-5</v>
      </c>
    </row>
    <row r="152" spans="1:11">
      <c r="A152" s="570" t="str">
        <f t="shared" si="2"/>
        <v>13F4</v>
      </c>
      <c r="C152" t="s">
        <v>2365</v>
      </c>
      <c r="D152" t="s">
        <v>1834</v>
      </c>
      <c r="E152">
        <v>4</v>
      </c>
      <c r="F152">
        <v>5.1999999999999998E-3</v>
      </c>
      <c r="G152">
        <v>1E-4</v>
      </c>
      <c r="H152" s="570">
        <v>0</v>
      </c>
      <c r="I152" s="570">
        <v>0</v>
      </c>
      <c r="J152" s="570">
        <v>0</v>
      </c>
      <c r="K152">
        <v>-6.0000000000000002E-5</v>
      </c>
    </row>
    <row r="153" spans="1:11">
      <c r="A153" s="570" t="str">
        <f t="shared" si="2"/>
        <v>12F4</v>
      </c>
      <c r="C153" t="s">
        <v>2366</v>
      </c>
      <c r="D153" t="s">
        <v>1834</v>
      </c>
      <c r="E153">
        <v>4</v>
      </c>
      <c r="F153">
        <v>4.8999999999999998E-3</v>
      </c>
      <c r="G153">
        <v>1E-4</v>
      </c>
      <c r="H153" s="570">
        <v>0</v>
      </c>
      <c r="I153" s="570">
        <v>0</v>
      </c>
      <c r="J153" s="570">
        <v>0</v>
      </c>
      <c r="K153">
        <v>-6.0000000000000002E-5</v>
      </c>
    </row>
    <row r="154" spans="1:11">
      <c r="A154" s="570" t="str">
        <f t="shared" si="2"/>
        <v>11F4</v>
      </c>
      <c r="C154" t="s">
        <v>2367</v>
      </c>
      <c r="D154" t="s">
        <v>1834</v>
      </c>
      <c r="E154">
        <v>4</v>
      </c>
      <c r="F154">
        <v>4.5999999999999999E-3</v>
      </c>
      <c r="G154">
        <v>1E-4</v>
      </c>
      <c r="H154" s="570">
        <v>0</v>
      </c>
      <c r="I154" s="570">
        <v>0</v>
      </c>
      <c r="J154" s="570">
        <v>0</v>
      </c>
      <c r="K154">
        <v>-6.0000000000000002E-5</v>
      </c>
    </row>
    <row r="155" spans="1:11">
      <c r="A155" s="570" t="str">
        <f t="shared" si="2"/>
        <v>10F4</v>
      </c>
      <c r="C155" t="s">
        <v>2368</v>
      </c>
      <c r="D155" t="s">
        <v>1834</v>
      </c>
      <c r="E155">
        <v>4</v>
      </c>
      <c r="F155">
        <v>4.1999999999999997E-3</v>
      </c>
      <c r="G155">
        <v>1E-4</v>
      </c>
      <c r="H155" s="570">
        <v>0</v>
      </c>
      <c r="I155" s="570">
        <v>0</v>
      </c>
      <c r="J155" s="570">
        <v>0</v>
      </c>
      <c r="K155">
        <v>-5.0000000000000002E-5</v>
      </c>
    </row>
    <row r="156" spans="1:11">
      <c r="A156" s="570" t="str">
        <f t="shared" si="2"/>
        <v>9F4</v>
      </c>
      <c r="C156" t="s">
        <v>2369</v>
      </c>
      <c r="D156" t="s">
        <v>1834</v>
      </c>
      <c r="E156">
        <v>4</v>
      </c>
      <c r="F156">
        <v>3.8E-3</v>
      </c>
      <c r="G156">
        <v>1E-4</v>
      </c>
      <c r="H156" s="570">
        <v>0</v>
      </c>
      <c r="I156" s="570">
        <v>0</v>
      </c>
      <c r="J156" s="570">
        <v>0</v>
      </c>
      <c r="K156">
        <v>-5.0000000000000002E-5</v>
      </c>
    </row>
    <row r="157" spans="1:11">
      <c r="A157" s="570" t="str">
        <f t="shared" si="2"/>
        <v>8F4</v>
      </c>
      <c r="C157" t="s">
        <v>2370</v>
      </c>
      <c r="D157" t="s">
        <v>1834</v>
      </c>
      <c r="E157">
        <v>4</v>
      </c>
      <c r="F157">
        <v>3.3E-3</v>
      </c>
      <c r="G157">
        <v>1E-4</v>
      </c>
      <c r="H157" s="570">
        <v>0</v>
      </c>
      <c r="I157" s="570">
        <v>0</v>
      </c>
      <c r="J157" s="570">
        <v>0</v>
      </c>
      <c r="K157">
        <v>-4.0000000000000003E-5</v>
      </c>
    </row>
    <row r="158" spans="1:11">
      <c r="A158" s="570" t="str">
        <f t="shared" si="2"/>
        <v>7F4</v>
      </c>
      <c r="C158" t="s">
        <v>2371</v>
      </c>
      <c r="D158" t="s">
        <v>1834</v>
      </c>
      <c r="E158">
        <v>4</v>
      </c>
      <c r="F158">
        <v>2.8999999999999998E-3</v>
      </c>
      <c r="G158">
        <v>1E-4</v>
      </c>
      <c r="H158" s="570">
        <v>0</v>
      </c>
      <c r="I158" s="570">
        <v>0</v>
      </c>
      <c r="J158" s="570">
        <v>0</v>
      </c>
      <c r="K158">
        <v>-3.0000000000000001E-5</v>
      </c>
    </row>
    <row r="159" spans="1:11">
      <c r="A159" s="570" t="str">
        <f t="shared" si="2"/>
        <v>6F4</v>
      </c>
      <c r="C159" t="s">
        <v>2372</v>
      </c>
      <c r="D159" t="s">
        <v>1834</v>
      </c>
      <c r="E159">
        <v>4</v>
      </c>
      <c r="F159">
        <v>2.3999999999999998E-3</v>
      </c>
      <c r="G159">
        <v>0</v>
      </c>
      <c r="H159" s="570">
        <v>0</v>
      </c>
      <c r="I159" s="570">
        <v>0</v>
      </c>
      <c r="J159" s="570">
        <v>0</v>
      </c>
      <c r="K159">
        <v>-3.0000000000000001E-5</v>
      </c>
    </row>
    <row r="160" spans="1:11">
      <c r="A160" s="570" t="str">
        <f t="shared" si="2"/>
        <v>5F4</v>
      </c>
      <c r="C160" t="s">
        <v>2373</v>
      </c>
      <c r="D160" t="s">
        <v>1834</v>
      </c>
      <c r="E160">
        <v>4</v>
      </c>
      <c r="F160">
        <v>1.9E-3</v>
      </c>
      <c r="G160">
        <v>0</v>
      </c>
      <c r="H160" s="570">
        <v>0</v>
      </c>
      <c r="I160" s="570">
        <v>0</v>
      </c>
      <c r="J160" s="570">
        <v>0</v>
      </c>
      <c r="K160">
        <v>-2.0000000000000002E-5</v>
      </c>
    </row>
    <row r="161" spans="1:11">
      <c r="A161" s="570" t="str">
        <f t="shared" si="2"/>
        <v>4F4</v>
      </c>
      <c r="C161" t="s">
        <v>2374</v>
      </c>
      <c r="D161" t="s">
        <v>1834</v>
      </c>
      <c r="E161">
        <v>4</v>
      </c>
      <c r="F161">
        <v>1.4E-3</v>
      </c>
      <c r="G161">
        <v>0</v>
      </c>
      <c r="H161" s="570">
        <v>0</v>
      </c>
      <c r="I161" s="570">
        <v>0</v>
      </c>
      <c r="J161" s="570">
        <v>0</v>
      </c>
      <c r="K161">
        <v>-2.0000000000000002E-5</v>
      </c>
    </row>
    <row r="162" spans="1:11">
      <c r="A162" s="570" t="str">
        <f t="shared" si="2"/>
        <v>3F4</v>
      </c>
      <c r="C162" t="s">
        <v>2375</v>
      </c>
      <c r="D162" t="s">
        <v>1834</v>
      </c>
      <c r="E162">
        <v>4</v>
      </c>
      <c r="F162">
        <v>1E-3</v>
      </c>
      <c r="G162">
        <v>0</v>
      </c>
      <c r="H162" s="570">
        <v>0</v>
      </c>
      <c r="I162" s="570">
        <v>0</v>
      </c>
      <c r="J162" s="570">
        <v>0</v>
      </c>
      <c r="K162">
        <v>-1.0000000000000001E-5</v>
      </c>
    </row>
    <row r="163" spans="1:11">
      <c r="A163" s="570" t="str">
        <f t="shared" si="2"/>
        <v>2F4</v>
      </c>
      <c r="C163" t="s">
        <v>2376</v>
      </c>
      <c r="D163" t="s">
        <v>1834</v>
      </c>
      <c r="E163">
        <v>4</v>
      </c>
      <c r="F163">
        <v>5.9999999999999995E-4</v>
      </c>
      <c r="G163">
        <v>0</v>
      </c>
      <c r="H163" s="570">
        <v>0</v>
      </c>
      <c r="I163" s="570">
        <v>0</v>
      </c>
      <c r="J163" s="570">
        <v>0</v>
      </c>
      <c r="K163">
        <v>-1.0000000000000001E-5</v>
      </c>
    </row>
    <row r="164" spans="1:11">
      <c r="A164" s="570" t="str">
        <f t="shared" si="2"/>
        <v>1F4</v>
      </c>
      <c r="C164" t="s">
        <v>2377</v>
      </c>
      <c r="D164" t="s">
        <v>1834</v>
      </c>
      <c r="E164">
        <v>4</v>
      </c>
      <c r="F164">
        <v>2.0000000000000001E-4</v>
      </c>
      <c r="G164">
        <v>0</v>
      </c>
      <c r="H164" s="570">
        <v>0</v>
      </c>
      <c r="I164" s="570">
        <v>0</v>
      </c>
      <c r="J164" s="570">
        <v>0</v>
      </c>
      <c r="K164">
        <v>0</v>
      </c>
    </row>
    <row r="165" spans="1:11">
      <c r="A165" s="570" t="str">
        <f t="shared" si="2"/>
        <v>B14</v>
      </c>
      <c r="C165" t="s">
        <v>2327</v>
      </c>
      <c r="D165" t="s">
        <v>1834</v>
      </c>
      <c r="E165">
        <v>4</v>
      </c>
      <c r="F165">
        <v>0</v>
      </c>
      <c r="G165">
        <v>0</v>
      </c>
      <c r="H165" s="570">
        <v>0</v>
      </c>
      <c r="I165" s="570">
        <v>0</v>
      </c>
      <c r="J165" s="570">
        <v>0</v>
      </c>
      <c r="K165">
        <v>0</v>
      </c>
    </row>
    <row r="166" spans="1:11">
      <c r="A166" s="570" t="str">
        <f t="shared" si="2"/>
        <v>MAI5</v>
      </c>
      <c r="C166" t="s">
        <v>2270</v>
      </c>
      <c r="D166" t="s">
        <v>1834</v>
      </c>
      <c r="E166">
        <v>5</v>
      </c>
      <c r="F166">
        <v>-2E-3</v>
      </c>
      <c r="G166">
        <v>-2.9999999999999997E-4</v>
      </c>
      <c r="H166" s="570">
        <v>0</v>
      </c>
      <c r="I166" s="570">
        <v>0</v>
      </c>
      <c r="J166" s="570">
        <v>0</v>
      </c>
      <c r="K166">
        <v>-3.6000000000000002E-4</v>
      </c>
    </row>
    <row r="167" spans="1:11">
      <c r="A167" s="570" t="str">
        <f t="shared" si="2"/>
        <v>TUM5</v>
      </c>
      <c r="C167" t="s">
        <v>2271</v>
      </c>
      <c r="D167" t="s">
        <v>1834</v>
      </c>
      <c r="E167">
        <v>5</v>
      </c>
      <c r="F167">
        <v>-1.6999999999999999E-3</v>
      </c>
      <c r="G167">
        <v>-5.0000000000000001E-4</v>
      </c>
      <c r="H167" s="570">
        <v>0</v>
      </c>
      <c r="I167" s="570">
        <v>0</v>
      </c>
      <c r="J167" s="570">
        <v>0</v>
      </c>
      <c r="K167">
        <v>-3.2000000000000003E-4</v>
      </c>
    </row>
    <row r="168" spans="1:11">
      <c r="A168" s="570" t="str">
        <f t="shared" si="2"/>
        <v>38F5</v>
      </c>
      <c r="C168" t="s">
        <v>2340</v>
      </c>
      <c r="D168" t="s">
        <v>1834</v>
      </c>
      <c r="E168">
        <v>5</v>
      </c>
      <c r="F168">
        <v>-1.5E-3</v>
      </c>
      <c r="G168">
        <v>-5.0000000000000001E-4</v>
      </c>
      <c r="H168" s="570">
        <v>0</v>
      </c>
      <c r="I168" s="570">
        <v>0</v>
      </c>
      <c r="J168" s="570">
        <v>0</v>
      </c>
      <c r="K168">
        <v>-2.9E-4</v>
      </c>
    </row>
    <row r="169" spans="1:11">
      <c r="A169" s="570" t="str">
        <f t="shared" si="2"/>
        <v>37F5</v>
      </c>
      <c r="C169" t="s">
        <v>2341</v>
      </c>
      <c r="D169" t="s">
        <v>1834</v>
      </c>
      <c r="E169">
        <v>5</v>
      </c>
      <c r="F169">
        <v>-1.2999999999999999E-3</v>
      </c>
      <c r="G169">
        <v>-4.0000000000000002E-4</v>
      </c>
      <c r="H169" s="570">
        <v>0</v>
      </c>
      <c r="I169" s="570">
        <v>0</v>
      </c>
      <c r="J169" s="570">
        <v>0</v>
      </c>
      <c r="K169">
        <v>-2.5999999999999998E-4</v>
      </c>
    </row>
    <row r="170" spans="1:11">
      <c r="A170" s="570" t="str">
        <f t="shared" si="2"/>
        <v>36F5</v>
      </c>
      <c r="C170" t="s">
        <v>2342</v>
      </c>
      <c r="D170" t="s">
        <v>1834</v>
      </c>
      <c r="E170">
        <v>5</v>
      </c>
      <c r="F170">
        <v>-1.1999999999999999E-3</v>
      </c>
      <c r="G170">
        <v>-4.0000000000000002E-4</v>
      </c>
      <c r="H170" s="570">
        <v>0</v>
      </c>
      <c r="I170" s="570">
        <v>0</v>
      </c>
      <c r="J170" s="570">
        <v>0</v>
      </c>
      <c r="K170">
        <v>-2.3000000000000001E-4</v>
      </c>
    </row>
    <row r="171" spans="1:11">
      <c r="A171" s="570" t="str">
        <f t="shared" si="2"/>
        <v>35F5</v>
      </c>
      <c r="C171" t="s">
        <v>2343</v>
      </c>
      <c r="D171" t="s">
        <v>1834</v>
      </c>
      <c r="E171">
        <v>5</v>
      </c>
      <c r="F171">
        <v>-1E-3</v>
      </c>
      <c r="G171">
        <v>-2.9999999999999997E-4</v>
      </c>
      <c r="H171" s="570">
        <v>0</v>
      </c>
      <c r="I171" s="570">
        <v>0</v>
      </c>
      <c r="J171" s="570">
        <v>0</v>
      </c>
      <c r="K171">
        <v>-2.0000000000000001E-4</v>
      </c>
    </row>
    <row r="172" spans="1:11">
      <c r="A172" s="570" t="str">
        <f t="shared" si="2"/>
        <v>34F5</v>
      </c>
      <c r="C172" t="s">
        <v>2344</v>
      </c>
      <c r="D172" t="s">
        <v>1834</v>
      </c>
      <c r="E172">
        <v>5</v>
      </c>
      <c r="F172">
        <v>-8.0000000000000004E-4</v>
      </c>
      <c r="G172">
        <v>-2.9999999999999997E-4</v>
      </c>
      <c r="H172" s="570">
        <v>0</v>
      </c>
      <c r="I172" s="570">
        <v>0</v>
      </c>
      <c r="J172" s="570">
        <v>0</v>
      </c>
      <c r="K172">
        <v>-1.7000000000000001E-4</v>
      </c>
    </row>
    <row r="173" spans="1:11">
      <c r="A173" s="570" t="str">
        <f t="shared" si="2"/>
        <v>33F5</v>
      </c>
      <c r="C173" t="s">
        <v>2345</v>
      </c>
      <c r="D173" t="s">
        <v>1834</v>
      </c>
      <c r="E173">
        <v>5</v>
      </c>
      <c r="F173">
        <v>-6.9999999999999999E-4</v>
      </c>
      <c r="G173">
        <v>-2.0000000000000001E-4</v>
      </c>
      <c r="H173" s="570">
        <v>0</v>
      </c>
      <c r="I173" s="570">
        <v>0</v>
      </c>
      <c r="J173" s="570">
        <v>0</v>
      </c>
      <c r="K173">
        <v>-1.3999999999999999E-4</v>
      </c>
    </row>
    <row r="174" spans="1:11">
      <c r="A174" s="570" t="str">
        <f t="shared" si="2"/>
        <v>32F5</v>
      </c>
      <c r="C174" t="s">
        <v>2346</v>
      </c>
      <c r="D174" t="s">
        <v>1834</v>
      </c>
      <c r="E174">
        <v>5</v>
      </c>
      <c r="F174">
        <v>-5.0000000000000001E-4</v>
      </c>
      <c r="G174">
        <v>-2.0000000000000001E-4</v>
      </c>
      <c r="H174" s="570">
        <v>0</v>
      </c>
      <c r="I174" s="570">
        <v>0</v>
      </c>
      <c r="J174" s="570">
        <v>0</v>
      </c>
      <c r="K174">
        <v>-1E-4</v>
      </c>
    </row>
    <row r="175" spans="1:11">
      <c r="A175" s="570" t="str">
        <f t="shared" si="2"/>
        <v>31F5</v>
      </c>
      <c r="C175" t="s">
        <v>2347</v>
      </c>
      <c r="D175" t="s">
        <v>1834</v>
      </c>
      <c r="E175">
        <v>5</v>
      </c>
      <c r="F175">
        <v>-2.9999999999999997E-4</v>
      </c>
      <c r="G175">
        <v>-1E-4</v>
      </c>
      <c r="H175" s="570">
        <v>0</v>
      </c>
      <c r="I175" s="570">
        <v>0</v>
      </c>
      <c r="J175" s="570">
        <v>0</v>
      </c>
      <c r="K175">
        <v>-6.9999999999999994E-5</v>
      </c>
    </row>
    <row r="176" spans="1:11">
      <c r="A176" s="570" t="str">
        <f t="shared" si="2"/>
        <v>30F5</v>
      </c>
      <c r="C176" t="s">
        <v>2348</v>
      </c>
      <c r="D176" t="s">
        <v>1834</v>
      </c>
      <c r="E176">
        <v>5</v>
      </c>
      <c r="F176">
        <v>-2.0000000000000001E-4</v>
      </c>
      <c r="G176">
        <v>-1E-4</v>
      </c>
      <c r="H176" s="570">
        <v>0</v>
      </c>
      <c r="I176" s="570">
        <v>0</v>
      </c>
      <c r="J176" s="570">
        <v>0</v>
      </c>
      <c r="K176">
        <v>-3.0000000000000001E-5</v>
      </c>
    </row>
    <row r="177" spans="1:11">
      <c r="A177" s="570" t="str">
        <f t="shared" si="2"/>
        <v>29F5</v>
      </c>
      <c r="C177" t="s">
        <v>2349</v>
      </c>
      <c r="D177" t="s">
        <v>1834</v>
      </c>
      <c r="E177">
        <v>5</v>
      </c>
      <c r="F177">
        <v>0</v>
      </c>
      <c r="G177">
        <v>0</v>
      </c>
      <c r="H177" s="570">
        <v>0</v>
      </c>
      <c r="I177" s="570">
        <v>0</v>
      </c>
      <c r="J177" s="570">
        <v>0</v>
      </c>
      <c r="K177">
        <v>0</v>
      </c>
    </row>
    <row r="178" spans="1:11">
      <c r="A178" s="570" t="str">
        <f t="shared" si="2"/>
        <v>28F5</v>
      </c>
      <c r="C178" t="s">
        <v>2350</v>
      </c>
      <c r="D178" t="s">
        <v>1834</v>
      </c>
      <c r="E178">
        <v>5</v>
      </c>
      <c r="F178">
        <v>2.0000000000000001E-4</v>
      </c>
      <c r="G178">
        <v>0</v>
      </c>
      <c r="H178" s="570">
        <v>0</v>
      </c>
      <c r="I178" s="570">
        <v>0</v>
      </c>
      <c r="J178" s="570">
        <v>0</v>
      </c>
      <c r="K178">
        <v>4.0000000000000003E-5</v>
      </c>
    </row>
    <row r="179" spans="1:11">
      <c r="A179" s="570" t="str">
        <f t="shared" si="2"/>
        <v>27F5</v>
      </c>
      <c r="C179" t="s">
        <v>2351</v>
      </c>
      <c r="D179" t="s">
        <v>1834</v>
      </c>
      <c r="E179">
        <v>5</v>
      </c>
      <c r="F179">
        <v>2.9999999999999997E-4</v>
      </c>
      <c r="G179">
        <v>1E-4</v>
      </c>
      <c r="H179" s="570">
        <v>0</v>
      </c>
      <c r="I179" s="570">
        <v>0</v>
      </c>
      <c r="J179" s="570">
        <v>0</v>
      </c>
      <c r="K179">
        <v>6.9999999999999994E-5</v>
      </c>
    </row>
    <row r="180" spans="1:11">
      <c r="A180" s="570" t="str">
        <f t="shared" si="2"/>
        <v>26F5</v>
      </c>
      <c r="C180" t="s">
        <v>2352</v>
      </c>
      <c r="D180" t="s">
        <v>1834</v>
      </c>
      <c r="E180">
        <v>5</v>
      </c>
      <c r="F180">
        <v>5.0000000000000001E-4</v>
      </c>
      <c r="G180">
        <v>1E-4</v>
      </c>
      <c r="H180" s="570">
        <v>0</v>
      </c>
      <c r="I180" s="570">
        <v>0</v>
      </c>
      <c r="J180" s="570">
        <v>0</v>
      </c>
      <c r="K180">
        <v>1E-4</v>
      </c>
    </row>
    <row r="181" spans="1:11">
      <c r="A181" s="570" t="str">
        <f t="shared" si="2"/>
        <v>25F5</v>
      </c>
      <c r="C181" t="s">
        <v>2353</v>
      </c>
      <c r="D181" t="s">
        <v>1834</v>
      </c>
      <c r="E181">
        <v>5</v>
      </c>
      <c r="F181">
        <v>6.9999999999999999E-4</v>
      </c>
      <c r="G181">
        <v>2.0000000000000001E-4</v>
      </c>
      <c r="H181" s="570">
        <v>0</v>
      </c>
      <c r="I181" s="570">
        <v>0</v>
      </c>
      <c r="J181" s="570">
        <v>0</v>
      </c>
      <c r="K181">
        <v>1.2999999999999999E-4</v>
      </c>
    </row>
    <row r="182" spans="1:11">
      <c r="A182" s="570" t="str">
        <f t="shared" si="2"/>
        <v>24F5</v>
      </c>
      <c r="C182" t="s">
        <v>2354</v>
      </c>
      <c r="D182" t="s">
        <v>1834</v>
      </c>
      <c r="E182">
        <v>5</v>
      </c>
      <c r="F182">
        <v>8.0000000000000004E-4</v>
      </c>
      <c r="G182">
        <v>2.0000000000000001E-4</v>
      </c>
      <c r="H182" s="570">
        <v>0</v>
      </c>
      <c r="I182" s="570">
        <v>0</v>
      </c>
      <c r="J182" s="570">
        <v>0</v>
      </c>
      <c r="K182">
        <v>1.6000000000000001E-4</v>
      </c>
    </row>
    <row r="183" spans="1:11">
      <c r="A183" s="570" t="str">
        <f t="shared" si="2"/>
        <v>23F5</v>
      </c>
      <c r="C183" t="s">
        <v>2355</v>
      </c>
      <c r="D183" t="s">
        <v>1834</v>
      </c>
      <c r="E183">
        <v>5</v>
      </c>
      <c r="F183">
        <v>8.9999999999999998E-4</v>
      </c>
      <c r="G183">
        <v>2.0000000000000001E-4</v>
      </c>
      <c r="H183" s="570">
        <v>0</v>
      </c>
      <c r="I183" s="570">
        <v>0</v>
      </c>
      <c r="J183" s="570">
        <v>0</v>
      </c>
      <c r="K183">
        <v>1.8000000000000001E-4</v>
      </c>
    </row>
    <row r="184" spans="1:11">
      <c r="A184" s="570" t="str">
        <f t="shared" si="2"/>
        <v>22F5</v>
      </c>
      <c r="C184" t="s">
        <v>2356</v>
      </c>
      <c r="D184" t="s">
        <v>1834</v>
      </c>
      <c r="E184">
        <v>5</v>
      </c>
      <c r="F184">
        <v>1E-3</v>
      </c>
      <c r="G184">
        <v>2.9999999999999997E-4</v>
      </c>
      <c r="H184" s="570">
        <v>0</v>
      </c>
      <c r="I184" s="570">
        <v>0</v>
      </c>
      <c r="J184" s="570">
        <v>0</v>
      </c>
      <c r="K184">
        <v>2.1000000000000001E-4</v>
      </c>
    </row>
    <row r="185" spans="1:11">
      <c r="A185" s="570" t="str">
        <f t="shared" si="2"/>
        <v>21F5</v>
      </c>
      <c r="C185" t="s">
        <v>2357</v>
      </c>
      <c r="D185" t="s">
        <v>1834</v>
      </c>
      <c r="E185">
        <v>5</v>
      </c>
      <c r="F185">
        <v>1.1000000000000001E-3</v>
      </c>
      <c r="G185">
        <v>2.9999999999999997E-4</v>
      </c>
      <c r="H185" s="570">
        <v>0</v>
      </c>
      <c r="I185" s="570">
        <v>0</v>
      </c>
      <c r="J185" s="570">
        <v>0</v>
      </c>
      <c r="K185">
        <v>2.3000000000000001E-4</v>
      </c>
    </row>
    <row r="186" spans="1:11">
      <c r="A186" s="570" t="str">
        <f t="shared" si="2"/>
        <v>20F5</v>
      </c>
      <c r="C186" t="s">
        <v>2358</v>
      </c>
      <c r="D186" t="s">
        <v>1834</v>
      </c>
      <c r="E186">
        <v>5</v>
      </c>
      <c r="F186">
        <v>1.1999999999999999E-3</v>
      </c>
      <c r="G186">
        <v>4.0000000000000002E-4</v>
      </c>
      <c r="H186" s="570">
        <v>0</v>
      </c>
      <c r="I186" s="570">
        <v>0</v>
      </c>
      <c r="J186" s="570">
        <v>0</v>
      </c>
      <c r="K186">
        <v>2.4000000000000001E-4</v>
      </c>
    </row>
    <row r="187" spans="1:11">
      <c r="A187" s="570" t="str">
        <f t="shared" si="2"/>
        <v>19F5</v>
      </c>
      <c r="C187" t="s">
        <v>2359</v>
      </c>
      <c r="D187" t="s">
        <v>1834</v>
      </c>
      <c r="E187">
        <v>5</v>
      </c>
      <c r="F187">
        <v>1.2999999999999999E-3</v>
      </c>
      <c r="G187">
        <v>2.9999999999999997E-4</v>
      </c>
      <c r="H187" s="570">
        <v>0</v>
      </c>
      <c r="I187" s="570">
        <v>0</v>
      </c>
      <c r="J187" s="570">
        <v>0</v>
      </c>
      <c r="K187">
        <v>2.5000000000000001E-4</v>
      </c>
    </row>
    <row r="188" spans="1:11">
      <c r="A188" s="570" t="str">
        <f t="shared" si="2"/>
        <v>18F5</v>
      </c>
      <c r="C188" t="s">
        <v>2360</v>
      </c>
      <c r="D188" t="s">
        <v>1834</v>
      </c>
      <c r="E188">
        <v>5</v>
      </c>
      <c r="F188">
        <v>1.2999999999999999E-3</v>
      </c>
      <c r="G188">
        <v>2.9999999999999997E-4</v>
      </c>
      <c r="H188" s="570">
        <v>0</v>
      </c>
      <c r="I188" s="570">
        <v>0</v>
      </c>
      <c r="J188" s="570">
        <v>0</v>
      </c>
      <c r="K188">
        <v>2.5999999999999998E-4</v>
      </c>
    </row>
    <row r="189" spans="1:11">
      <c r="A189" s="570" t="str">
        <f t="shared" si="2"/>
        <v>17F5</v>
      </c>
      <c r="C189" t="s">
        <v>2361</v>
      </c>
      <c r="D189" t="s">
        <v>1834</v>
      </c>
      <c r="E189">
        <v>5</v>
      </c>
      <c r="F189">
        <v>1.2999999999999999E-3</v>
      </c>
      <c r="G189">
        <v>4.0000000000000002E-4</v>
      </c>
      <c r="H189" s="570">
        <v>0</v>
      </c>
      <c r="I189" s="570">
        <v>0</v>
      </c>
      <c r="J189" s="570">
        <v>0</v>
      </c>
      <c r="K189">
        <v>2.7E-4</v>
      </c>
    </row>
    <row r="190" spans="1:11">
      <c r="A190" s="570" t="str">
        <f t="shared" si="2"/>
        <v>16F5</v>
      </c>
      <c r="C190" t="s">
        <v>2362</v>
      </c>
      <c r="D190" t="s">
        <v>1834</v>
      </c>
      <c r="E190">
        <v>5</v>
      </c>
      <c r="F190">
        <v>1.2999999999999999E-3</v>
      </c>
      <c r="G190">
        <v>4.0000000000000002E-4</v>
      </c>
      <c r="H190" s="570">
        <v>0</v>
      </c>
      <c r="I190" s="570">
        <v>0</v>
      </c>
      <c r="J190" s="570">
        <v>0</v>
      </c>
      <c r="K190">
        <v>2.7E-4</v>
      </c>
    </row>
    <row r="191" spans="1:11">
      <c r="A191" s="570" t="str">
        <f t="shared" si="2"/>
        <v>15F5</v>
      </c>
      <c r="C191" t="s">
        <v>2363</v>
      </c>
      <c r="D191" t="s">
        <v>1834</v>
      </c>
      <c r="E191">
        <v>5</v>
      </c>
      <c r="F191">
        <v>1.2999999999999999E-3</v>
      </c>
      <c r="G191">
        <v>4.0000000000000002E-4</v>
      </c>
      <c r="H191" s="570">
        <v>0</v>
      </c>
      <c r="I191" s="570">
        <v>0</v>
      </c>
      <c r="J191" s="570">
        <v>0</v>
      </c>
      <c r="K191">
        <v>2.7E-4</v>
      </c>
    </row>
    <row r="192" spans="1:11">
      <c r="A192" s="570" t="str">
        <f t="shared" si="2"/>
        <v>14F5</v>
      </c>
      <c r="C192" t="s">
        <v>2364</v>
      </c>
      <c r="D192" t="s">
        <v>1834</v>
      </c>
      <c r="E192">
        <v>5</v>
      </c>
      <c r="F192">
        <v>1.2999999999999999E-3</v>
      </c>
      <c r="G192">
        <v>2.9999999999999997E-4</v>
      </c>
      <c r="H192" s="570">
        <v>0</v>
      </c>
      <c r="I192" s="570">
        <v>0</v>
      </c>
      <c r="J192" s="570">
        <v>0</v>
      </c>
      <c r="K192">
        <v>2.5999999999999998E-4</v>
      </c>
    </row>
    <row r="193" spans="1:11">
      <c r="A193" s="570" t="str">
        <f t="shared" si="2"/>
        <v>13F5</v>
      </c>
      <c r="C193" t="s">
        <v>2365</v>
      </c>
      <c r="D193" t="s">
        <v>1834</v>
      </c>
      <c r="E193">
        <v>5</v>
      </c>
      <c r="F193">
        <v>1.1999999999999999E-3</v>
      </c>
      <c r="G193">
        <v>2.9999999999999997E-4</v>
      </c>
      <c r="H193" s="570">
        <v>0</v>
      </c>
      <c r="I193" s="570">
        <v>0</v>
      </c>
      <c r="J193" s="570">
        <v>0</v>
      </c>
      <c r="K193">
        <v>2.5000000000000001E-4</v>
      </c>
    </row>
    <row r="194" spans="1:11">
      <c r="A194" s="570" t="str">
        <f t="shared" ref="A194:A257" si="3">C194&amp;E194</f>
        <v>12F5</v>
      </c>
      <c r="C194" t="s">
        <v>2366</v>
      </c>
      <c r="D194" t="s">
        <v>1834</v>
      </c>
      <c r="E194">
        <v>5</v>
      </c>
      <c r="F194">
        <v>1.1999999999999999E-3</v>
      </c>
      <c r="G194">
        <v>2.9999999999999997E-4</v>
      </c>
      <c r="H194" s="570">
        <v>0</v>
      </c>
      <c r="I194" s="570">
        <v>0</v>
      </c>
      <c r="J194" s="570">
        <v>0</v>
      </c>
      <c r="K194">
        <v>2.4000000000000001E-4</v>
      </c>
    </row>
    <row r="195" spans="1:11">
      <c r="A195" s="570" t="str">
        <f t="shared" si="3"/>
        <v>11F5</v>
      </c>
      <c r="C195" t="s">
        <v>2367</v>
      </c>
      <c r="D195" t="s">
        <v>1834</v>
      </c>
      <c r="E195">
        <v>5</v>
      </c>
      <c r="F195">
        <v>1.1000000000000001E-3</v>
      </c>
      <c r="G195">
        <v>2.9999999999999997E-4</v>
      </c>
      <c r="H195" s="570">
        <v>0</v>
      </c>
      <c r="I195" s="570">
        <v>0</v>
      </c>
      <c r="J195" s="570">
        <v>0</v>
      </c>
      <c r="K195">
        <v>2.2000000000000001E-4</v>
      </c>
    </row>
    <row r="196" spans="1:11">
      <c r="A196" s="570" t="str">
        <f t="shared" si="3"/>
        <v>10F5</v>
      </c>
      <c r="C196" t="s">
        <v>2368</v>
      </c>
      <c r="D196" t="s">
        <v>1834</v>
      </c>
      <c r="E196">
        <v>5</v>
      </c>
      <c r="F196">
        <v>1E-3</v>
      </c>
      <c r="G196">
        <v>2.9999999999999997E-4</v>
      </c>
      <c r="H196" s="570">
        <v>0</v>
      </c>
      <c r="I196" s="570">
        <v>0</v>
      </c>
      <c r="J196" s="570">
        <v>0</v>
      </c>
      <c r="K196">
        <v>2.0000000000000001E-4</v>
      </c>
    </row>
    <row r="197" spans="1:11">
      <c r="A197" s="570" t="str">
        <f t="shared" si="3"/>
        <v>9F5</v>
      </c>
      <c r="C197" t="s">
        <v>2369</v>
      </c>
      <c r="D197" t="s">
        <v>1834</v>
      </c>
      <c r="E197">
        <v>5</v>
      </c>
      <c r="F197">
        <v>8.9999999999999998E-4</v>
      </c>
      <c r="G197">
        <v>2.0000000000000001E-4</v>
      </c>
      <c r="H197" s="570">
        <v>0</v>
      </c>
      <c r="I197" s="570">
        <v>0</v>
      </c>
      <c r="J197" s="570">
        <v>0</v>
      </c>
      <c r="K197">
        <v>1.8000000000000001E-4</v>
      </c>
    </row>
    <row r="198" spans="1:11">
      <c r="A198" s="570" t="str">
        <f t="shared" si="3"/>
        <v>8F5</v>
      </c>
      <c r="C198" t="s">
        <v>2370</v>
      </c>
      <c r="D198" t="s">
        <v>1834</v>
      </c>
      <c r="E198">
        <v>5</v>
      </c>
      <c r="F198">
        <v>8.0000000000000004E-4</v>
      </c>
      <c r="G198">
        <v>2.0000000000000001E-4</v>
      </c>
      <c r="H198" s="570">
        <v>0</v>
      </c>
      <c r="I198" s="570">
        <v>0</v>
      </c>
      <c r="J198" s="570">
        <v>0</v>
      </c>
      <c r="K198">
        <v>1.6000000000000001E-4</v>
      </c>
    </row>
    <row r="199" spans="1:11">
      <c r="A199" s="570" t="str">
        <f t="shared" si="3"/>
        <v>7F5</v>
      </c>
      <c r="C199" t="s">
        <v>2371</v>
      </c>
      <c r="D199" t="s">
        <v>1834</v>
      </c>
      <c r="E199">
        <v>5</v>
      </c>
      <c r="F199">
        <v>6.9999999999999999E-4</v>
      </c>
      <c r="G199">
        <v>2.0000000000000001E-4</v>
      </c>
      <c r="H199" s="570">
        <v>0</v>
      </c>
      <c r="I199" s="570">
        <v>0</v>
      </c>
      <c r="J199" s="570">
        <v>0</v>
      </c>
      <c r="K199">
        <v>1.3999999999999999E-4</v>
      </c>
    </row>
    <row r="200" spans="1:11">
      <c r="A200" s="570" t="str">
        <f t="shared" si="3"/>
        <v>6F5</v>
      </c>
      <c r="C200" t="s">
        <v>2372</v>
      </c>
      <c r="D200" t="s">
        <v>1834</v>
      </c>
      <c r="E200">
        <v>5</v>
      </c>
      <c r="F200">
        <v>5.9999999999999995E-4</v>
      </c>
      <c r="G200">
        <v>1E-4</v>
      </c>
      <c r="H200" s="570">
        <v>0</v>
      </c>
      <c r="I200" s="570">
        <v>0</v>
      </c>
      <c r="J200" s="570">
        <v>0</v>
      </c>
      <c r="K200">
        <v>1.2E-4</v>
      </c>
    </row>
    <row r="201" spans="1:11">
      <c r="A201" s="570" t="str">
        <f t="shared" si="3"/>
        <v>5F5</v>
      </c>
      <c r="C201" t="s">
        <v>2373</v>
      </c>
      <c r="D201" t="s">
        <v>1834</v>
      </c>
      <c r="E201">
        <v>5</v>
      </c>
      <c r="F201">
        <v>5.0000000000000001E-4</v>
      </c>
      <c r="G201">
        <v>1E-4</v>
      </c>
      <c r="H201" s="570">
        <v>0</v>
      </c>
      <c r="I201" s="570">
        <v>0</v>
      </c>
      <c r="J201" s="570">
        <v>0</v>
      </c>
      <c r="K201">
        <v>9.0000000000000006E-5</v>
      </c>
    </row>
    <row r="202" spans="1:11">
      <c r="A202" s="570" t="str">
        <f t="shared" si="3"/>
        <v>4F5</v>
      </c>
      <c r="C202" t="s">
        <v>2374</v>
      </c>
      <c r="D202" t="s">
        <v>1834</v>
      </c>
      <c r="E202">
        <v>5</v>
      </c>
      <c r="F202">
        <v>4.0000000000000002E-4</v>
      </c>
      <c r="G202">
        <v>1E-4</v>
      </c>
      <c r="H202" s="570">
        <v>0</v>
      </c>
      <c r="I202" s="570">
        <v>0</v>
      </c>
      <c r="J202" s="570">
        <v>0</v>
      </c>
      <c r="K202">
        <v>6.9999999999999994E-5</v>
      </c>
    </row>
    <row r="203" spans="1:11">
      <c r="A203" s="570" t="str">
        <f t="shared" si="3"/>
        <v>3F5</v>
      </c>
      <c r="C203" t="s">
        <v>2375</v>
      </c>
      <c r="D203" t="s">
        <v>1834</v>
      </c>
      <c r="E203">
        <v>5</v>
      </c>
      <c r="F203">
        <v>2.0000000000000001E-4</v>
      </c>
      <c r="G203">
        <v>1E-4</v>
      </c>
      <c r="H203" s="570">
        <v>0</v>
      </c>
      <c r="I203" s="570">
        <v>0</v>
      </c>
      <c r="J203" s="570">
        <v>0</v>
      </c>
      <c r="K203">
        <v>5.0000000000000002E-5</v>
      </c>
    </row>
    <row r="204" spans="1:11">
      <c r="A204" s="570" t="str">
        <f t="shared" si="3"/>
        <v>2F5</v>
      </c>
      <c r="C204" t="s">
        <v>2376</v>
      </c>
      <c r="D204" t="s">
        <v>1834</v>
      </c>
      <c r="E204">
        <v>5</v>
      </c>
      <c r="F204">
        <v>2.0000000000000001E-4</v>
      </c>
      <c r="G204">
        <v>0</v>
      </c>
      <c r="H204" s="570">
        <v>0</v>
      </c>
      <c r="I204" s="570">
        <v>0</v>
      </c>
      <c r="J204" s="570">
        <v>0</v>
      </c>
      <c r="K204">
        <v>3.0000000000000001E-5</v>
      </c>
    </row>
    <row r="205" spans="1:11">
      <c r="A205" s="570" t="str">
        <f t="shared" si="3"/>
        <v>1F5</v>
      </c>
      <c r="C205" t="s">
        <v>2377</v>
      </c>
      <c r="D205" t="s">
        <v>1834</v>
      </c>
      <c r="E205">
        <v>5</v>
      </c>
      <c r="F205">
        <v>1E-4</v>
      </c>
      <c r="G205">
        <v>0</v>
      </c>
      <c r="H205" s="570">
        <v>0</v>
      </c>
      <c r="I205" s="570">
        <v>0</v>
      </c>
      <c r="J205" s="570">
        <v>0</v>
      </c>
      <c r="K205">
        <v>1.0000000000000001E-5</v>
      </c>
    </row>
    <row r="206" spans="1:11">
      <c r="A206" s="570" t="str">
        <f t="shared" si="3"/>
        <v>B15</v>
      </c>
      <c r="C206" t="s">
        <v>2327</v>
      </c>
      <c r="D206" t="s">
        <v>1834</v>
      </c>
      <c r="E206">
        <v>5</v>
      </c>
      <c r="F206">
        <v>0</v>
      </c>
      <c r="G206">
        <v>0</v>
      </c>
      <c r="H206" s="570">
        <v>0</v>
      </c>
      <c r="I206" s="570">
        <v>0</v>
      </c>
      <c r="J206" s="570">
        <v>0</v>
      </c>
      <c r="K206">
        <v>0</v>
      </c>
    </row>
    <row r="207" spans="1:11">
      <c r="A207" s="570" t="str">
        <f t="shared" si="3"/>
        <v>MAI6</v>
      </c>
      <c r="C207" t="s">
        <v>2270</v>
      </c>
      <c r="D207" t="s">
        <v>1834</v>
      </c>
      <c r="E207">
        <v>6</v>
      </c>
      <c r="F207">
        <v>-5.9999999999999995E-4</v>
      </c>
      <c r="G207">
        <v>8.0999999999999996E-3</v>
      </c>
      <c r="H207" s="570">
        <v>0</v>
      </c>
      <c r="I207" s="570">
        <v>0</v>
      </c>
      <c r="J207" s="570">
        <v>0</v>
      </c>
      <c r="K207">
        <v>-1.0000000000000001E-5</v>
      </c>
    </row>
    <row r="208" spans="1:11">
      <c r="A208" s="570" t="str">
        <f t="shared" si="3"/>
        <v>TUM6</v>
      </c>
      <c r="C208" t="s">
        <v>2271</v>
      </c>
      <c r="D208" t="s">
        <v>1834</v>
      </c>
      <c r="E208">
        <v>6</v>
      </c>
      <c r="F208">
        <v>-4.0000000000000002E-4</v>
      </c>
      <c r="G208">
        <v>6.7999999999999996E-3</v>
      </c>
      <c r="H208" s="570">
        <v>0</v>
      </c>
      <c r="I208" s="570">
        <v>0</v>
      </c>
      <c r="J208" s="570">
        <v>0</v>
      </c>
      <c r="K208">
        <v>-1.0000000000000001E-5</v>
      </c>
    </row>
    <row r="209" spans="1:11">
      <c r="A209" s="570" t="str">
        <f t="shared" si="3"/>
        <v>38F6</v>
      </c>
      <c r="C209" t="s">
        <v>2340</v>
      </c>
      <c r="D209" t="s">
        <v>1834</v>
      </c>
      <c r="E209">
        <v>6</v>
      </c>
      <c r="F209">
        <v>-2.9999999999999997E-4</v>
      </c>
      <c r="G209">
        <v>6.1000000000000004E-3</v>
      </c>
      <c r="H209" s="570">
        <v>0</v>
      </c>
      <c r="I209" s="570">
        <v>0</v>
      </c>
      <c r="J209" s="570">
        <v>0</v>
      </c>
      <c r="K209">
        <v>-1.0000000000000001E-5</v>
      </c>
    </row>
    <row r="210" spans="1:11">
      <c r="A210" s="570" t="str">
        <f t="shared" si="3"/>
        <v>37F6</v>
      </c>
      <c r="C210" t="s">
        <v>2341</v>
      </c>
      <c r="D210" t="s">
        <v>1834</v>
      </c>
      <c r="E210">
        <v>6</v>
      </c>
      <c r="F210">
        <v>-2.9999999999999997E-4</v>
      </c>
      <c r="G210">
        <v>5.4000000000000003E-3</v>
      </c>
      <c r="H210" s="570">
        <v>0</v>
      </c>
      <c r="I210" s="570">
        <v>0</v>
      </c>
      <c r="J210" s="570">
        <v>0</v>
      </c>
      <c r="K210">
        <v>-1.0000000000000001E-5</v>
      </c>
    </row>
    <row r="211" spans="1:11">
      <c r="A211" s="570" t="str">
        <f t="shared" si="3"/>
        <v>36F6</v>
      </c>
      <c r="C211" t="s">
        <v>2342</v>
      </c>
      <c r="D211" t="s">
        <v>1834</v>
      </c>
      <c r="E211">
        <v>6</v>
      </c>
      <c r="F211">
        <v>-2.0000000000000001E-4</v>
      </c>
      <c r="G211">
        <v>4.5999999999999999E-3</v>
      </c>
      <c r="H211" s="570">
        <v>0</v>
      </c>
      <c r="I211" s="570">
        <v>0</v>
      </c>
      <c r="J211" s="570">
        <v>0</v>
      </c>
      <c r="K211">
        <v>-1.0000000000000001E-5</v>
      </c>
    </row>
    <row r="212" spans="1:11">
      <c r="A212" s="570" t="str">
        <f t="shared" si="3"/>
        <v>35F6</v>
      </c>
      <c r="C212" t="s">
        <v>2343</v>
      </c>
      <c r="D212" t="s">
        <v>1834</v>
      </c>
      <c r="E212">
        <v>6</v>
      </c>
      <c r="F212">
        <v>-1E-4</v>
      </c>
      <c r="G212">
        <v>3.8999999999999998E-3</v>
      </c>
      <c r="H212" s="570">
        <v>0</v>
      </c>
      <c r="I212" s="570">
        <v>0</v>
      </c>
      <c r="J212" s="570">
        <v>0</v>
      </c>
      <c r="K212">
        <v>-1.0000000000000001E-5</v>
      </c>
    </row>
    <row r="213" spans="1:11">
      <c r="A213" s="570" t="str">
        <f t="shared" si="3"/>
        <v>34F6</v>
      </c>
      <c r="C213" t="s">
        <v>2344</v>
      </c>
      <c r="D213" t="s">
        <v>1834</v>
      </c>
      <c r="E213">
        <v>6</v>
      </c>
      <c r="F213">
        <v>0</v>
      </c>
      <c r="G213">
        <v>3.0999999999999999E-3</v>
      </c>
      <c r="H213" s="570">
        <v>0</v>
      </c>
      <c r="I213" s="570">
        <v>0</v>
      </c>
      <c r="J213" s="570">
        <v>0</v>
      </c>
      <c r="K213">
        <v>-1.0000000000000001E-5</v>
      </c>
    </row>
    <row r="214" spans="1:11">
      <c r="A214" s="570" t="str">
        <f t="shared" si="3"/>
        <v>33F6</v>
      </c>
      <c r="C214" t="s">
        <v>2345</v>
      </c>
      <c r="D214" t="s">
        <v>1834</v>
      </c>
      <c r="E214">
        <v>6</v>
      </c>
      <c r="F214">
        <v>0</v>
      </c>
      <c r="G214">
        <v>2.3E-3</v>
      </c>
      <c r="H214" s="570">
        <v>0</v>
      </c>
      <c r="I214" s="570">
        <v>0</v>
      </c>
      <c r="J214" s="570">
        <v>0</v>
      </c>
      <c r="K214">
        <v>-1.0000000000000001E-5</v>
      </c>
    </row>
    <row r="215" spans="1:11">
      <c r="A215" s="570" t="str">
        <f t="shared" si="3"/>
        <v>32F6</v>
      </c>
      <c r="C215" t="s">
        <v>2346</v>
      </c>
      <c r="D215" t="s">
        <v>1834</v>
      </c>
      <c r="E215">
        <v>6</v>
      </c>
      <c r="F215">
        <v>1E-4</v>
      </c>
      <c r="G215">
        <v>1.6000000000000001E-3</v>
      </c>
      <c r="H215" s="570">
        <v>0</v>
      </c>
      <c r="I215" s="570">
        <v>0</v>
      </c>
      <c r="J215" s="570">
        <v>0</v>
      </c>
      <c r="K215">
        <v>-1.0000000000000001E-5</v>
      </c>
    </row>
    <row r="216" spans="1:11">
      <c r="A216" s="570" t="str">
        <f t="shared" si="3"/>
        <v>31F6</v>
      </c>
      <c r="C216" t="s">
        <v>2347</v>
      </c>
      <c r="D216" t="s">
        <v>1834</v>
      </c>
      <c r="E216">
        <v>6</v>
      </c>
      <c r="F216">
        <v>1E-4</v>
      </c>
      <c r="G216">
        <v>8.0000000000000004E-4</v>
      </c>
      <c r="H216" s="570">
        <v>0</v>
      </c>
      <c r="I216" s="570">
        <v>0</v>
      </c>
      <c r="J216" s="570">
        <v>0</v>
      </c>
      <c r="K216">
        <v>0</v>
      </c>
    </row>
    <row r="217" spans="1:11">
      <c r="A217" s="570" t="str">
        <f t="shared" si="3"/>
        <v>30F6</v>
      </c>
      <c r="C217" t="s">
        <v>2348</v>
      </c>
      <c r="D217" t="s">
        <v>1834</v>
      </c>
      <c r="E217">
        <v>6</v>
      </c>
      <c r="F217">
        <v>2.0000000000000001E-4</v>
      </c>
      <c r="G217">
        <v>0</v>
      </c>
      <c r="H217" s="570">
        <v>0</v>
      </c>
      <c r="I217" s="570">
        <v>0</v>
      </c>
      <c r="J217" s="570">
        <v>0</v>
      </c>
      <c r="K217">
        <v>0</v>
      </c>
    </row>
    <row r="218" spans="1:11">
      <c r="A218" s="570" t="str">
        <f t="shared" si="3"/>
        <v>29F6</v>
      </c>
      <c r="C218" t="s">
        <v>2349</v>
      </c>
      <c r="D218" t="s">
        <v>1834</v>
      </c>
      <c r="E218">
        <v>6</v>
      </c>
      <c r="F218">
        <v>2.0000000000000001E-4</v>
      </c>
      <c r="G218">
        <v>-6.9999999999999999E-4</v>
      </c>
      <c r="H218" s="570">
        <v>0</v>
      </c>
      <c r="I218" s="570">
        <v>0</v>
      </c>
      <c r="J218" s="570">
        <v>0</v>
      </c>
      <c r="K218">
        <v>0</v>
      </c>
    </row>
    <row r="219" spans="1:11">
      <c r="A219" s="570" t="str">
        <f t="shared" si="3"/>
        <v>28F6</v>
      </c>
      <c r="C219" t="s">
        <v>2350</v>
      </c>
      <c r="D219" t="s">
        <v>1834</v>
      </c>
      <c r="E219">
        <v>6</v>
      </c>
      <c r="F219">
        <v>2.9999999999999997E-4</v>
      </c>
      <c r="G219">
        <v>-1.4E-3</v>
      </c>
      <c r="H219" s="570">
        <v>0</v>
      </c>
      <c r="I219" s="570">
        <v>0</v>
      </c>
      <c r="J219" s="570">
        <v>0</v>
      </c>
      <c r="K219">
        <v>0</v>
      </c>
    </row>
    <row r="220" spans="1:11">
      <c r="A220" s="570" t="str">
        <f t="shared" si="3"/>
        <v>27F6</v>
      </c>
      <c r="C220" t="s">
        <v>2351</v>
      </c>
      <c r="D220" t="s">
        <v>1834</v>
      </c>
      <c r="E220">
        <v>6</v>
      </c>
      <c r="F220">
        <v>2.9999999999999997E-4</v>
      </c>
      <c r="G220">
        <v>-2.0999999999999999E-3</v>
      </c>
      <c r="H220" s="570">
        <v>0</v>
      </c>
      <c r="I220" s="570">
        <v>0</v>
      </c>
      <c r="J220" s="570">
        <v>0</v>
      </c>
      <c r="K220">
        <v>0</v>
      </c>
    </row>
    <row r="221" spans="1:11">
      <c r="A221" s="570" t="str">
        <f t="shared" si="3"/>
        <v>26F6</v>
      </c>
      <c r="C221" t="s">
        <v>2352</v>
      </c>
      <c r="D221" t="s">
        <v>1834</v>
      </c>
      <c r="E221">
        <v>6</v>
      </c>
      <c r="F221">
        <v>2.9999999999999997E-4</v>
      </c>
      <c r="G221">
        <v>-2.7000000000000001E-3</v>
      </c>
      <c r="H221" s="570">
        <v>0</v>
      </c>
      <c r="I221" s="570">
        <v>0</v>
      </c>
      <c r="J221" s="570">
        <v>0</v>
      </c>
      <c r="K221">
        <v>0</v>
      </c>
    </row>
    <row r="222" spans="1:11">
      <c r="A222" s="570" t="str">
        <f t="shared" si="3"/>
        <v>25F6</v>
      </c>
      <c r="C222" t="s">
        <v>2353</v>
      </c>
      <c r="D222" t="s">
        <v>1834</v>
      </c>
      <c r="E222">
        <v>6</v>
      </c>
      <c r="F222">
        <v>2.9999999999999997E-4</v>
      </c>
      <c r="G222">
        <v>-3.3E-3</v>
      </c>
      <c r="H222" s="570">
        <v>0</v>
      </c>
      <c r="I222" s="570">
        <v>0</v>
      </c>
      <c r="J222" s="570">
        <v>0</v>
      </c>
      <c r="K222">
        <v>1.0000000000000001E-5</v>
      </c>
    </row>
    <row r="223" spans="1:11">
      <c r="A223" s="570" t="str">
        <f t="shared" si="3"/>
        <v>24F6</v>
      </c>
      <c r="C223" t="s">
        <v>2354</v>
      </c>
      <c r="D223" t="s">
        <v>1834</v>
      </c>
      <c r="E223">
        <v>6</v>
      </c>
      <c r="F223">
        <v>2.9999999999999997E-4</v>
      </c>
      <c r="G223">
        <v>-3.8999999999999998E-3</v>
      </c>
      <c r="H223" s="570">
        <v>0</v>
      </c>
      <c r="I223" s="570">
        <v>0</v>
      </c>
      <c r="J223" s="570">
        <v>0</v>
      </c>
      <c r="K223">
        <v>1.0000000000000001E-5</v>
      </c>
    </row>
    <row r="224" spans="1:11">
      <c r="A224" s="570" t="str">
        <f t="shared" si="3"/>
        <v>23F6</v>
      </c>
      <c r="C224" t="s">
        <v>2355</v>
      </c>
      <c r="D224" t="s">
        <v>1834</v>
      </c>
      <c r="E224">
        <v>6</v>
      </c>
      <c r="F224">
        <v>2.9999999999999997E-4</v>
      </c>
      <c r="G224">
        <v>-4.3E-3</v>
      </c>
      <c r="H224" s="570">
        <v>0</v>
      </c>
      <c r="I224" s="570">
        <v>0</v>
      </c>
      <c r="J224" s="570">
        <v>0</v>
      </c>
      <c r="K224">
        <v>1.0000000000000001E-5</v>
      </c>
    </row>
    <row r="225" spans="1:11">
      <c r="A225" s="570" t="str">
        <f t="shared" si="3"/>
        <v>22F6</v>
      </c>
      <c r="C225" t="s">
        <v>2356</v>
      </c>
      <c r="D225" t="s">
        <v>1834</v>
      </c>
      <c r="E225">
        <v>6</v>
      </c>
      <c r="F225">
        <v>2.9999999999999997E-4</v>
      </c>
      <c r="G225">
        <v>-4.7000000000000002E-3</v>
      </c>
      <c r="H225" s="570">
        <v>0</v>
      </c>
      <c r="I225" s="570">
        <v>0</v>
      </c>
      <c r="J225" s="570">
        <v>0</v>
      </c>
      <c r="K225">
        <v>1.0000000000000001E-5</v>
      </c>
    </row>
    <row r="226" spans="1:11">
      <c r="A226" s="570" t="str">
        <f t="shared" si="3"/>
        <v>21F6</v>
      </c>
      <c r="C226" t="s">
        <v>2357</v>
      </c>
      <c r="D226" t="s">
        <v>1834</v>
      </c>
      <c r="E226">
        <v>6</v>
      </c>
      <c r="F226">
        <v>2.0000000000000001E-4</v>
      </c>
      <c r="G226">
        <v>-5.1000000000000004E-3</v>
      </c>
      <c r="H226" s="570">
        <v>0</v>
      </c>
      <c r="I226" s="570">
        <v>0</v>
      </c>
      <c r="J226" s="570">
        <v>0</v>
      </c>
      <c r="K226">
        <v>1.0000000000000001E-5</v>
      </c>
    </row>
    <row r="227" spans="1:11">
      <c r="A227" s="570" t="str">
        <f t="shared" si="3"/>
        <v>20F6</v>
      </c>
      <c r="C227" t="s">
        <v>2358</v>
      </c>
      <c r="D227" t="s">
        <v>1834</v>
      </c>
      <c r="E227">
        <v>6</v>
      </c>
      <c r="F227">
        <v>2.0000000000000001E-4</v>
      </c>
      <c r="G227">
        <v>-5.3E-3</v>
      </c>
      <c r="H227" s="570">
        <v>0</v>
      </c>
      <c r="I227" s="570">
        <v>0</v>
      </c>
      <c r="J227" s="570">
        <v>0</v>
      </c>
      <c r="K227">
        <v>1.0000000000000001E-5</v>
      </c>
    </row>
    <row r="228" spans="1:11">
      <c r="A228" s="570" t="str">
        <f t="shared" si="3"/>
        <v>19F6</v>
      </c>
      <c r="C228" t="s">
        <v>2359</v>
      </c>
      <c r="D228" t="s">
        <v>1834</v>
      </c>
      <c r="E228">
        <v>6</v>
      </c>
      <c r="F228">
        <v>2.0000000000000001E-4</v>
      </c>
      <c r="G228">
        <v>-5.4999999999999997E-3</v>
      </c>
      <c r="H228" s="570">
        <v>0</v>
      </c>
      <c r="I228" s="570">
        <v>0</v>
      </c>
      <c r="J228" s="570">
        <v>0</v>
      </c>
      <c r="K228">
        <v>2.0000000000000002E-5</v>
      </c>
    </row>
    <row r="229" spans="1:11">
      <c r="A229" s="570" t="str">
        <f t="shared" si="3"/>
        <v>18F6</v>
      </c>
      <c r="C229" t="s">
        <v>2360</v>
      </c>
      <c r="D229" t="s">
        <v>1834</v>
      </c>
      <c r="E229">
        <v>6</v>
      </c>
      <c r="F229">
        <v>1E-4</v>
      </c>
      <c r="G229">
        <v>-5.7000000000000002E-3</v>
      </c>
      <c r="H229" s="570">
        <v>0</v>
      </c>
      <c r="I229" s="570">
        <v>0</v>
      </c>
      <c r="J229" s="570">
        <v>0</v>
      </c>
      <c r="K229">
        <v>2.0000000000000002E-5</v>
      </c>
    </row>
    <row r="230" spans="1:11">
      <c r="A230" s="570" t="str">
        <f t="shared" si="3"/>
        <v>17F6</v>
      </c>
      <c r="C230" t="s">
        <v>2361</v>
      </c>
      <c r="D230" t="s">
        <v>1834</v>
      </c>
      <c r="E230">
        <v>6</v>
      </c>
      <c r="F230">
        <v>1E-4</v>
      </c>
      <c r="G230">
        <v>-5.7000000000000002E-3</v>
      </c>
      <c r="H230" s="570">
        <v>0</v>
      </c>
      <c r="I230" s="570">
        <v>0</v>
      </c>
      <c r="J230" s="570">
        <v>0</v>
      </c>
      <c r="K230">
        <v>2.0000000000000002E-5</v>
      </c>
    </row>
    <row r="231" spans="1:11">
      <c r="A231" s="570" t="str">
        <f t="shared" si="3"/>
        <v>16F6</v>
      </c>
      <c r="C231" t="s">
        <v>2362</v>
      </c>
      <c r="D231" t="s">
        <v>1834</v>
      </c>
      <c r="E231">
        <v>6</v>
      </c>
      <c r="F231">
        <v>1E-4</v>
      </c>
      <c r="G231">
        <v>-5.7000000000000002E-3</v>
      </c>
      <c r="H231" s="570">
        <v>0</v>
      </c>
      <c r="I231" s="570">
        <v>0</v>
      </c>
      <c r="J231" s="570">
        <v>0</v>
      </c>
      <c r="K231">
        <v>2.0000000000000002E-5</v>
      </c>
    </row>
    <row r="232" spans="1:11">
      <c r="A232" s="570" t="str">
        <f t="shared" si="3"/>
        <v>15F6</v>
      </c>
      <c r="C232" t="s">
        <v>2363</v>
      </c>
      <c r="D232" t="s">
        <v>1834</v>
      </c>
      <c r="E232">
        <v>6</v>
      </c>
      <c r="F232">
        <v>0</v>
      </c>
      <c r="G232">
        <v>-5.5999999999999999E-3</v>
      </c>
      <c r="H232" s="570">
        <v>0</v>
      </c>
      <c r="I232" s="570">
        <v>0</v>
      </c>
      <c r="J232" s="570">
        <v>0</v>
      </c>
      <c r="K232">
        <v>2.0000000000000002E-5</v>
      </c>
    </row>
    <row r="233" spans="1:11">
      <c r="A233" s="570" t="str">
        <f t="shared" si="3"/>
        <v>14F6</v>
      </c>
      <c r="C233" t="s">
        <v>2364</v>
      </c>
      <c r="D233" t="s">
        <v>1834</v>
      </c>
      <c r="E233">
        <v>6</v>
      </c>
      <c r="F233">
        <v>0</v>
      </c>
      <c r="G233">
        <v>-5.4000000000000003E-3</v>
      </c>
      <c r="H233" s="570">
        <v>0</v>
      </c>
      <c r="I233" s="570">
        <v>0</v>
      </c>
      <c r="J233" s="570">
        <v>0</v>
      </c>
      <c r="K233">
        <v>2.0000000000000002E-5</v>
      </c>
    </row>
    <row r="234" spans="1:11">
      <c r="A234" s="570" t="str">
        <f t="shared" si="3"/>
        <v>13F6</v>
      </c>
      <c r="C234" t="s">
        <v>2365</v>
      </c>
      <c r="D234" t="s">
        <v>1834</v>
      </c>
      <c r="E234">
        <v>6</v>
      </c>
      <c r="F234">
        <v>0</v>
      </c>
      <c r="G234">
        <v>-5.1999999999999998E-3</v>
      </c>
      <c r="H234" s="570">
        <v>0</v>
      </c>
      <c r="I234" s="570">
        <v>0</v>
      </c>
      <c r="J234" s="570">
        <v>0</v>
      </c>
      <c r="K234">
        <v>2.0000000000000002E-5</v>
      </c>
    </row>
    <row r="235" spans="1:11">
      <c r="A235" s="570" t="str">
        <f t="shared" si="3"/>
        <v>12F6</v>
      </c>
      <c r="C235" t="s">
        <v>2366</v>
      </c>
      <c r="D235" t="s">
        <v>1834</v>
      </c>
      <c r="E235">
        <v>6</v>
      </c>
      <c r="F235">
        <v>0</v>
      </c>
      <c r="G235">
        <v>-4.8999999999999998E-3</v>
      </c>
      <c r="H235" s="570">
        <v>0</v>
      </c>
      <c r="I235" s="570">
        <v>0</v>
      </c>
      <c r="J235" s="570">
        <v>0</v>
      </c>
      <c r="K235">
        <v>2.0000000000000002E-5</v>
      </c>
    </row>
    <row r="236" spans="1:11">
      <c r="A236" s="570" t="str">
        <f t="shared" si="3"/>
        <v>11F6</v>
      </c>
      <c r="C236" t="s">
        <v>2367</v>
      </c>
      <c r="D236" t="s">
        <v>1834</v>
      </c>
      <c r="E236">
        <v>6</v>
      </c>
      <c r="F236">
        <v>0</v>
      </c>
      <c r="G236">
        <v>-4.4999999999999997E-3</v>
      </c>
      <c r="H236" s="570">
        <v>0</v>
      </c>
      <c r="I236" s="570">
        <v>0</v>
      </c>
      <c r="J236" s="570">
        <v>0</v>
      </c>
      <c r="K236">
        <v>2.0000000000000002E-5</v>
      </c>
    </row>
    <row r="237" spans="1:11">
      <c r="A237" s="570" t="str">
        <f t="shared" si="3"/>
        <v>10F6</v>
      </c>
      <c r="C237" t="s">
        <v>2368</v>
      </c>
      <c r="D237" t="s">
        <v>1834</v>
      </c>
      <c r="E237">
        <v>6</v>
      </c>
      <c r="F237">
        <v>-1E-4</v>
      </c>
      <c r="G237">
        <v>-4.1000000000000003E-3</v>
      </c>
      <c r="H237" s="570">
        <v>0</v>
      </c>
      <c r="I237" s="570">
        <v>0</v>
      </c>
      <c r="J237" s="570">
        <v>0</v>
      </c>
      <c r="K237">
        <v>2.0000000000000002E-5</v>
      </c>
    </row>
    <row r="238" spans="1:11">
      <c r="A238" s="570" t="str">
        <f t="shared" si="3"/>
        <v>9F6</v>
      </c>
      <c r="C238" t="s">
        <v>2369</v>
      </c>
      <c r="D238" t="s">
        <v>1834</v>
      </c>
      <c r="E238">
        <v>6</v>
      </c>
      <c r="F238">
        <v>-1E-4</v>
      </c>
      <c r="G238">
        <v>-3.7000000000000002E-3</v>
      </c>
      <c r="H238" s="570">
        <v>0</v>
      </c>
      <c r="I238" s="570">
        <v>0</v>
      </c>
      <c r="J238" s="570">
        <v>0</v>
      </c>
      <c r="K238">
        <v>2.0000000000000002E-5</v>
      </c>
    </row>
    <row r="239" spans="1:11">
      <c r="A239" s="570" t="str">
        <f t="shared" si="3"/>
        <v>8F6</v>
      </c>
      <c r="C239" t="s">
        <v>2370</v>
      </c>
      <c r="D239" t="s">
        <v>1834</v>
      </c>
      <c r="E239">
        <v>6</v>
      </c>
      <c r="F239">
        <v>-1E-4</v>
      </c>
      <c r="G239">
        <v>-3.3E-3</v>
      </c>
      <c r="H239" s="570">
        <v>0</v>
      </c>
      <c r="I239" s="570">
        <v>0</v>
      </c>
      <c r="J239" s="570">
        <v>0</v>
      </c>
      <c r="K239">
        <v>1.0000000000000001E-5</v>
      </c>
    </row>
    <row r="240" spans="1:11">
      <c r="A240" s="570" t="str">
        <f t="shared" si="3"/>
        <v>7F6</v>
      </c>
      <c r="C240" t="s">
        <v>2371</v>
      </c>
      <c r="D240" t="s">
        <v>1834</v>
      </c>
      <c r="E240">
        <v>6</v>
      </c>
      <c r="F240">
        <v>-1E-4</v>
      </c>
      <c r="G240">
        <v>-2.8E-3</v>
      </c>
      <c r="H240" s="570">
        <v>0</v>
      </c>
      <c r="I240" s="570">
        <v>0</v>
      </c>
      <c r="J240" s="570">
        <v>0</v>
      </c>
      <c r="K240">
        <v>1.0000000000000001E-5</v>
      </c>
    </row>
    <row r="241" spans="1:11">
      <c r="A241" s="570" t="str">
        <f t="shared" si="3"/>
        <v>6F6</v>
      </c>
      <c r="C241" t="s">
        <v>2372</v>
      </c>
      <c r="D241" t="s">
        <v>1834</v>
      </c>
      <c r="E241">
        <v>6</v>
      </c>
      <c r="F241">
        <v>-1E-4</v>
      </c>
      <c r="G241">
        <v>-2.3E-3</v>
      </c>
      <c r="H241" s="570">
        <v>0</v>
      </c>
      <c r="I241" s="570">
        <v>0</v>
      </c>
      <c r="J241" s="570">
        <v>0</v>
      </c>
      <c r="K241">
        <v>1.0000000000000001E-5</v>
      </c>
    </row>
    <row r="242" spans="1:11">
      <c r="A242" s="570" t="str">
        <f t="shared" si="3"/>
        <v>5F6</v>
      </c>
      <c r="C242" t="s">
        <v>2373</v>
      </c>
      <c r="D242" t="s">
        <v>1834</v>
      </c>
      <c r="E242">
        <v>6</v>
      </c>
      <c r="F242">
        <v>-1E-4</v>
      </c>
      <c r="G242">
        <v>-1.8E-3</v>
      </c>
      <c r="H242" s="570">
        <v>0</v>
      </c>
      <c r="I242" s="570">
        <v>0</v>
      </c>
      <c r="J242" s="570">
        <v>0</v>
      </c>
      <c r="K242">
        <v>1.0000000000000001E-5</v>
      </c>
    </row>
    <row r="243" spans="1:11">
      <c r="A243" s="570" t="str">
        <f t="shared" si="3"/>
        <v>4F6</v>
      </c>
      <c r="C243" t="s">
        <v>2374</v>
      </c>
      <c r="D243" t="s">
        <v>1834</v>
      </c>
      <c r="E243">
        <v>6</v>
      </c>
      <c r="F243">
        <v>0</v>
      </c>
      <c r="G243">
        <v>-1.4E-3</v>
      </c>
      <c r="H243" s="570">
        <v>0</v>
      </c>
      <c r="I243" s="570">
        <v>0</v>
      </c>
      <c r="J243" s="570">
        <v>0</v>
      </c>
      <c r="K243">
        <v>1.0000000000000001E-5</v>
      </c>
    </row>
    <row r="244" spans="1:11">
      <c r="A244" s="570" t="str">
        <f t="shared" si="3"/>
        <v>3F6</v>
      </c>
      <c r="C244" t="s">
        <v>2375</v>
      </c>
      <c r="D244" t="s">
        <v>1834</v>
      </c>
      <c r="E244">
        <v>6</v>
      </c>
      <c r="F244">
        <v>0</v>
      </c>
      <c r="G244">
        <v>-1E-3</v>
      </c>
      <c r="H244" s="570">
        <v>0</v>
      </c>
      <c r="I244" s="570">
        <v>0</v>
      </c>
      <c r="J244" s="570">
        <v>0</v>
      </c>
      <c r="K244">
        <v>1.0000000000000001E-5</v>
      </c>
    </row>
    <row r="245" spans="1:11">
      <c r="A245" s="570" t="str">
        <f t="shared" si="3"/>
        <v>2F6</v>
      </c>
      <c r="C245" t="s">
        <v>2376</v>
      </c>
      <c r="D245" t="s">
        <v>1834</v>
      </c>
      <c r="E245">
        <v>6</v>
      </c>
      <c r="F245">
        <v>0</v>
      </c>
      <c r="G245">
        <v>-5.9999999999999995E-4</v>
      </c>
      <c r="H245" s="570">
        <v>0</v>
      </c>
      <c r="I245" s="570">
        <v>0</v>
      </c>
      <c r="J245" s="570">
        <v>0</v>
      </c>
      <c r="K245">
        <v>0</v>
      </c>
    </row>
    <row r="246" spans="1:11">
      <c r="A246" s="570" t="str">
        <f t="shared" si="3"/>
        <v>1F6</v>
      </c>
      <c r="C246" t="s">
        <v>2377</v>
      </c>
      <c r="D246" t="s">
        <v>1834</v>
      </c>
      <c r="E246">
        <v>6</v>
      </c>
      <c r="F246">
        <v>0</v>
      </c>
      <c r="G246">
        <v>-2.0000000000000001E-4</v>
      </c>
      <c r="H246" s="570">
        <v>0</v>
      </c>
      <c r="I246" s="570">
        <v>0</v>
      </c>
      <c r="J246" s="570">
        <v>0</v>
      </c>
      <c r="K246">
        <v>0</v>
      </c>
    </row>
    <row r="247" spans="1:11">
      <c r="A247" s="570" t="str">
        <f t="shared" si="3"/>
        <v>B16</v>
      </c>
      <c r="C247" t="s">
        <v>2327</v>
      </c>
      <c r="D247" t="s">
        <v>1834</v>
      </c>
      <c r="E247">
        <v>6</v>
      </c>
      <c r="F247">
        <v>0</v>
      </c>
      <c r="G247">
        <v>0</v>
      </c>
      <c r="H247" s="570">
        <v>0</v>
      </c>
      <c r="I247" s="570">
        <v>0</v>
      </c>
      <c r="J247" s="570">
        <v>0</v>
      </c>
      <c r="K247">
        <v>0</v>
      </c>
    </row>
    <row r="248" spans="1:11">
      <c r="A248" s="570" t="str">
        <f t="shared" si="3"/>
        <v>MAI7</v>
      </c>
      <c r="C248" t="s">
        <v>2270</v>
      </c>
      <c r="D248" t="s">
        <v>1834</v>
      </c>
      <c r="E248">
        <v>7</v>
      </c>
      <c r="F248">
        <v>8.3999999999999995E-3</v>
      </c>
      <c r="G248">
        <v>6.9999999999999999E-4</v>
      </c>
      <c r="H248" s="570">
        <v>0</v>
      </c>
      <c r="I248" s="570">
        <v>0</v>
      </c>
      <c r="J248" s="570">
        <v>0</v>
      </c>
      <c r="K248">
        <v>-1E-4</v>
      </c>
    </row>
    <row r="249" spans="1:11">
      <c r="A249" s="570" t="str">
        <f t="shared" si="3"/>
        <v>TUM7</v>
      </c>
      <c r="C249" t="s">
        <v>2271</v>
      </c>
      <c r="D249" t="s">
        <v>1834</v>
      </c>
      <c r="E249">
        <v>7</v>
      </c>
      <c r="F249">
        <v>6.4000000000000003E-3</v>
      </c>
      <c r="G249">
        <v>5.0000000000000001E-4</v>
      </c>
      <c r="H249" s="570">
        <v>0</v>
      </c>
      <c r="I249" s="570">
        <v>0</v>
      </c>
      <c r="J249" s="570">
        <v>0</v>
      </c>
      <c r="K249">
        <v>-8.0000000000000007E-5</v>
      </c>
    </row>
    <row r="250" spans="1:11">
      <c r="A250" s="570" t="str">
        <f t="shared" si="3"/>
        <v>38F7</v>
      </c>
      <c r="C250" t="s">
        <v>2340</v>
      </c>
      <c r="D250" t="s">
        <v>1834</v>
      </c>
      <c r="E250">
        <v>7</v>
      </c>
      <c r="F250">
        <v>5.4000000000000003E-3</v>
      </c>
      <c r="G250">
        <v>4.0000000000000002E-4</v>
      </c>
      <c r="H250" s="570">
        <v>0</v>
      </c>
      <c r="I250" s="570">
        <v>0</v>
      </c>
      <c r="J250" s="570">
        <v>0</v>
      </c>
      <c r="K250">
        <v>-6.9999999999999994E-5</v>
      </c>
    </row>
    <row r="251" spans="1:11">
      <c r="A251" s="570" t="str">
        <f t="shared" si="3"/>
        <v>37F7</v>
      </c>
      <c r="C251" t="s">
        <v>2341</v>
      </c>
      <c r="D251" t="s">
        <v>1834</v>
      </c>
      <c r="E251">
        <v>7</v>
      </c>
      <c r="F251">
        <v>4.1999999999999997E-3</v>
      </c>
      <c r="G251">
        <v>4.0000000000000002E-4</v>
      </c>
      <c r="H251" s="570">
        <v>0</v>
      </c>
      <c r="I251" s="570">
        <v>0</v>
      </c>
      <c r="J251" s="570">
        <v>0</v>
      </c>
      <c r="K251">
        <v>-6.0000000000000002E-5</v>
      </c>
    </row>
    <row r="252" spans="1:11">
      <c r="A252" s="570" t="str">
        <f t="shared" si="3"/>
        <v>36F7</v>
      </c>
      <c r="C252" t="s">
        <v>2342</v>
      </c>
      <c r="D252" t="s">
        <v>1834</v>
      </c>
      <c r="E252">
        <v>7</v>
      </c>
      <c r="F252">
        <v>3.0000000000000001E-3</v>
      </c>
      <c r="G252">
        <v>2.9999999999999997E-4</v>
      </c>
      <c r="H252" s="570">
        <v>0</v>
      </c>
      <c r="I252" s="570">
        <v>0</v>
      </c>
      <c r="J252" s="570">
        <v>0</v>
      </c>
      <c r="K252">
        <v>-4.0000000000000003E-5</v>
      </c>
    </row>
    <row r="253" spans="1:11">
      <c r="A253" s="570" t="str">
        <f t="shared" si="3"/>
        <v>35F7</v>
      </c>
      <c r="C253" t="s">
        <v>2343</v>
      </c>
      <c r="D253" t="s">
        <v>1834</v>
      </c>
      <c r="E253">
        <v>7</v>
      </c>
      <c r="F253">
        <v>1.8E-3</v>
      </c>
      <c r="G253">
        <v>2.0000000000000001E-4</v>
      </c>
      <c r="H253" s="570">
        <v>0</v>
      </c>
      <c r="I253" s="570">
        <v>0</v>
      </c>
      <c r="J253" s="570">
        <v>0</v>
      </c>
      <c r="K253">
        <v>-3.0000000000000001E-5</v>
      </c>
    </row>
    <row r="254" spans="1:11">
      <c r="A254" s="570" t="str">
        <f t="shared" si="3"/>
        <v>34F7</v>
      </c>
      <c r="C254" t="s">
        <v>2344</v>
      </c>
      <c r="D254" t="s">
        <v>1834</v>
      </c>
      <c r="E254">
        <v>7</v>
      </c>
      <c r="F254">
        <v>5.9999999999999995E-4</v>
      </c>
      <c r="G254">
        <v>2.0000000000000001E-4</v>
      </c>
      <c r="H254" s="570">
        <v>0</v>
      </c>
      <c r="I254" s="570">
        <v>0</v>
      </c>
      <c r="J254" s="570">
        <v>0</v>
      </c>
      <c r="K254">
        <v>-1.0000000000000001E-5</v>
      </c>
    </row>
    <row r="255" spans="1:11">
      <c r="A255" s="570" t="str">
        <f t="shared" si="3"/>
        <v>33F7</v>
      </c>
      <c r="C255" t="s">
        <v>2345</v>
      </c>
      <c r="D255" t="s">
        <v>1834</v>
      </c>
      <c r="E255">
        <v>7</v>
      </c>
      <c r="F255">
        <v>-5.9999999999999995E-4</v>
      </c>
      <c r="G255">
        <v>1E-4</v>
      </c>
      <c r="H255" s="570">
        <v>0</v>
      </c>
      <c r="I255" s="570">
        <v>0</v>
      </c>
      <c r="J255" s="570">
        <v>0</v>
      </c>
      <c r="K255">
        <v>0</v>
      </c>
    </row>
    <row r="256" spans="1:11">
      <c r="A256" s="570" t="str">
        <f t="shared" si="3"/>
        <v>32F7</v>
      </c>
      <c r="C256" t="s">
        <v>2346</v>
      </c>
      <c r="D256" t="s">
        <v>1834</v>
      </c>
      <c r="E256">
        <v>7</v>
      </c>
      <c r="F256">
        <v>-1.6999999999999999E-3</v>
      </c>
      <c r="G256">
        <v>0</v>
      </c>
      <c r="H256" s="570">
        <v>0</v>
      </c>
      <c r="I256" s="570">
        <v>0</v>
      </c>
      <c r="J256" s="570">
        <v>0</v>
      </c>
      <c r="K256">
        <v>2.0000000000000002E-5</v>
      </c>
    </row>
    <row r="257" spans="1:11">
      <c r="A257" s="570" t="str">
        <f t="shared" si="3"/>
        <v>31F7</v>
      </c>
      <c r="C257" t="s">
        <v>2347</v>
      </c>
      <c r="D257" t="s">
        <v>1834</v>
      </c>
      <c r="E257">
        <v>7</v>
      </c>
      <c r="F257">
        <v>-2.7000000000000001E-3</v>
      </c>
      <c r="G257">
        <v>-1E-4</v>
      </c>
      <c r="H257" s="570">
        <v>0</v>
      </c>
      <c r="I257" s="570">
        <v>0</v>
      </c>
      <c r="J257" s="570">
        <v>0</v>
      </c>
      <c r="K257">
        <v>3.0000000000000001E-5</v>
      </c>
    </row>
    <row r="258" spans="1:11">
      <c r="A258" s="570" t="str">
        <f t="shared" ref="A258:A321" si="4">C258&amp;E258</f>
        <v>30F7</v>
      </c>
      <c r="C258" t="s">
        <v>2348</v>
      </c>
      <c r="D258" t="s">
        <v>1834</v>
      </c>
      <c r="E258">
        <v>7</v>
      </c>
      <c r="F258">
        <v>-3.5999999999999999E-3</v>
      </c>
      <c r="G258">
        <v>-1E-4</v>
      </c>
      <c r="H258" s="570">
        <v>0</v>
      </c>
      <c r="I258" s="570">
        <v>0</v>
      </c>
      <c r="J258" s="570">
        <v>0</v>
      </c>
      <c r="K258">
        <v>4.0000000000000003E-5</v>
      </c>
    </row>
    <row r="259" spans="1:11">
      <c r="A259" s="570" t="str">
        <f t="shared" si="4"/>
        <v>29F7</v>
      </c>
      <c r="C259" t="s">
        <v>2349</v>
      </c>
      <c r="D259" t="s">
        <v>1834</v>
      </c>
      <c r="E259">
        <v>7</v>
      </c>
      <c r="F259">
        <v>-4.3E-3</v>
      </c>
      <c r="G259">
        <v>-2.0000000000000001E-4</v>
      </c>
      <c r="H259" s="570">
        <v>0</v>
      </c>
      <c r="I259" s="570">
        <v>0</v>
      </c>
      <c r="J259" s="570">
        <v>0</v>
      </c>
      <c r="K259">
        <v>5.0000000000000002E-5</v>
      </c>
    </row>
    <row r="260" spans="1:11">
      <c r="A260" s="570" t="str">
        <f t="shared" si="4"/>
        <v>28F7</v>
      </c>
      <c r="C260" t="s">
        <v>2350</v>
      </c>
      <c r="D260" t="s">
        <v>1834</v>
      </c>
      <c r="E260">
        <v>7</v>
      </c>
      <c r="F260">
        <v>-4.8999999999999998E-3</v>
      </c>
      <c r="G260">
        <v>-2.0000000000000001E-4</v>
      </c>
      <c r="H260" s="570">
        <v>0</v>
      </c>
      <c r="I260" s="570">
        <v>0</v>
      </c>
      <c r="J260" s="570">
        <v>0</v>
      </c>
      <c r="K260">
        <v>6.0000000000000002E-5</v>
      </c>
    </row>
    <row r="261" spans="1:11">
      <c r="A261" s="570" t="str">
        <f t="shared" si="4"/>
        <v>27F7</v>
      </c>
      <c r="C261" t="s">
        <v>2351</v>
      </c>
      <c r="D261" t="s">
        <v>1834</v>
      </c>
      <c r="E261">
        <v>7</v>
      </c>
      <c r="F261">
        <v>-5.1999999999999998E-3</v>
      </c>
      <c r="G261">
        <v>-2.9999999999999997E-4</v>
      </c>
      <c r="H261" s="570">
        <v>0</v>
      </c>
      <c r="I261" s="570">
        <v>0</v>
      </c>
      <c r="J261" s="570">
        <v>0</v>
      </c>
      <c r="K261">
        <v>6.0000000000000002E-5</v>
      </c>
    </row>
    <row r="262" spans="1:11">
      <c r="A262" s="570" t="str">
        <f t="shared" si="4"/>
        <v>26F7</v>
      </c>
      <c r="C262" t="s">
        <v>2352</v>
      </c>
      <c r="D262" t="s">
        <v>1834</v>
      </c>
      <c r="E262">
        <v>7</v>
      </c>
      <c r="F262">
        <v>-5.3E-3</v>
      </c>
      <c r="G262">
        <v>-2.9999999999999997E-4</v>
      </c>
      <c r="H262" s="570">
        <v>0</v>
      </c>
      <c r="I262" s="570">
        <v>0</v>
      </c>
      <c r="J262" s="570">
        <v>0</v>
      </c>
      <c r="K262">
        <v>6.9999999999999994E-5</v>
      </c>
    </row>
    <row r="263" spans="1:11">
      <c r="A263" s="570" t="str">
        <f t="shared" si="4"/>
        <v>25F7</v>
      </c>
      <c r="C263" t="s">
        <v>2353</v>
      </c>
      <c r="D263" t="s">
        <v>1834</v>
      </c>
      <c r="E263">
        <v>7</v>
      </c>
      <c r="F263">
        <v>-5.1999999999999998E-3</v>
      </c>
      <c r="G263">
        <v>-2.9999999999999997E-4</v>
      </c>
      <c r="H263" s="570">
        <v>0</v>
      </c>
      <c r="I263" s="570">
        <v>0</v>
      </c>
      <c r="J263" s="570">
        <v>0</v>
      </c>
      <c r="K263">
        <v>6.9999999999999994E-5</v>
      </c>
    </row>
    <row r="264" spans="1:11">
      <c r="A264" s="570" t="str">
        <f t="shared" si="4"/>
        <v>24F7</v>
      </c>
      <c r="C264" t="s">
        <v>2354</v>
      </c>
      <c r="D264" t="s">
        <v>1834</v>
      </c>
      <c r="E264">
        <v>7</v>
      </c>
      <c r="F264">
        <v>-4.8999999999999998E-3</v>
      </c>
      <c r="G264">
        <v>-2.9999999999999997E-4</v>
      </c>
      <c r="H264" s="570">
        <v>0</v>
      </c>
      <c r="I264" s="570">
        <v>0</v>
      </c>
      <c r="J264" s="570">
        <v>0</v>
      </c>
      <c r="K264">
        <v>6.0000000000000002E-5</v>
      </c>
    </row>
    <row r="265" spans="1:11">
      <c r="A265" s="570" t="str">
        <f t="shared" si="4"/>
        <v>23F7</v>
      </c>
      <c r="C265" t="s">
        <v>2355</v>
      </c>
      <c r="D265" t="s">
        <v>1834</v>
      </c>
      <c r="E265">
        <v>7</v>
      </c>
      <c r="F265">
        <v>-4.4000000000000003E-3</v>
      </c>
      <c r="G265">
        <v>-2.9999999999999997E-4</v>
      </c>
      <c r="H265" s="570">
        <v>0</v>
      </c>
      <c r="I265" s="570">
        <v>0</v>
      </c>
      <c r="J265" s="570">
        <v>0</v>
      </c>
      <c r="K265">
        <v>6.0000000000000002E-5</v>
      </c>
    </row>
    <row r="266" spans="1:11">
      <c r="A266" s="570" t="str">
        <f t="shared" si="4"/>
        <v>22F7</v>
      </c>
      <c r="C266" t="s">
        <v>2356</v>
      </c>
      <c r="D266" t="s">
        <v>1834</v>
      </c>
      <c r="E266">
        <v>7</v>
      </c>
      <c r="F266">
        <v>-3.7000000000000002E-3</v>
      </c>
      <c r="G266">
        <v>-2.9999999999999997E-4</v>
      </c>
      <c r="H266" s="570">
        <v>0</v>
      </c>
      <c r="I266" s="570">
        <v>0</v>
      </c>
      <c r="J266" s="570">
        <v>0</v>
      </c>
      <c r="K266">
        <v>5.0000000000000002E-5</v>
      </c>
    </row>
    <row r="267" spans="1:11">
      <c r="A267" s="570" t="str">
        <f t="shared" si="4"/>
        <v>21F7</v>
      </c>
      <c r="C267" t="s">
        <v>2357</v>
      </c>
      <c r="D267" t="s">
        <v>1834</v>
      </c>
      <c r="E267">
        <v>7</v>
      </c>
      <c r="F267">
        <v>-2.8E-3</v>
      </c>
      <c r="G267">
        <v>-2.9999999999999997E-4</v>
      </c>
      <c r="H267" s="570">
        <v>0</v>
      </c>
      <c r="I267" s="570">
        <v>0</v>
      </c>
      <c r="J267" s="570">
        <v>0</v>
      </c>
      <c r="K267">
        <v>4.0000000000000003E-5</v>
      </c>
    </row>
    <row r="268" spans="1:11">
      <c r="A268" s="570" t="str">
        <f t="shared" si="4"/>
        <v>20F7</v>
      </c>
      <c r="C268" t="s">
        <v>2358</v>
      </c>
      <c r="D268" t="s">
        <v>1834</v>
      </c>
      <c r="E268">
        <v>7</v>
      </c>
      <c r="F268">
        <v>-1.9E-3</v>
      </c>
      <c r="G268">
        <v>-2.9999999999999997E-4</v>
      </c>
      <c r="H268" s="570">
        <v>0</v>
      </c>
      <c r="I268" s="570">
        <v>0</v>
      </c>
      <c r="J268" s="570">
        <v>0</v>
      </c>
      <c r="K268">
        <v>3.0000000000000001E-5</v>
      </c>
    </row>
    <row r="269" spans="1:11">
      <c r="A269" s="570" t="str">
        <f t="shared" si="4"/>
        <v>19F7</v>
      </c>
      <c r="C269" t="s">
        <v>2359</v>
      </c>
      <c r="D269" t="s">
        <v>1834</v>
      </c>
      <c r="E269">
        <v>7</v>
      </c>
      <c r="F269">
        <v>-8.0000000000000004E-4</v>
      </c>
      <c r="G269">
        <v>-2.0000000000000001E-4</v>
      </c>
      <c r="H269" s="570">
        <v>0</v>
      </c>
      <c r="I269" s="570">
        <v>0</v>
      </c>
      <c r="J269" s="570">
        <v>0</v>
      </c>
      <c r="K269">
        <v>1.0000000000000001E-5</v>
      </c>
    </row>
    <row r="270" spans="1:11">
      <c r="A270" s="570" t="str">
        <f t="shared" si="4"/>
        <v>18F7</v>
      </c>
      <c r="C270" t="s">
        <v>2360</v>
      </c>
      <c r="D270" t="s">
        <v>1834</v>
      </c>
      <c r="E270">
        <v>7</v>
      </c>
      <c r="F270">
        <v>2.9999999999999997E-4</v>
      </c>
      <c r="G270">
        <v>-2.0000000000000001E-4</v>
      </c>
      <c r="H270" s="570">
        <v>0</v>
      </c>
      <c r="I270" s="570">
        <v>0</v>
      </c>
      <c r="J270" s="570">
        <v>0</v>
      </c>
      <c r="K270">
        <v>0</v>
      </c>
    </row>
    <row r="271" spans="1:11">
      <c r="A271" s="570" t="str">
        <f t="shared" si="4"/>
        <v>17F7</v>
      </c>
      <c r="C271" t="s">
        <v>2361</v>
      </c>
      <c r="D271" t="s">
        <v>1834</v>
      </c>
      <c r="E271">
        <v>7</v>
      </c>
      <c r="F271">
        <v>1.2999999999999999E-3</v>
      </c>
      <c r="G271">
        <v>-2.0000000000000001E-4</v>
      </c>
      <c r="H271" s="570">
        <v>0</v>
      </c>
      <c r="I271" s="570">
        <v>0</v>
      </c>
      <c r="J271" s="570">
        <v>0</v>
      </c>
      <c r="K271">
        <v>-1.0000000000000001E-5</v>
      </c>
    </row>
    <row r="272" spans="1:11">
      <c r="A272" s="570" t="str">
        <f t="shared" si="4"/>
        <v>16F7</v>
      </c>
      <c r="C272" t="s">
        <v>2362</v>
      </c>
      <c r="D272" t="s">
        <v>1834</v>
      </c>
      <c r="E272">
        <v>7</v>
      </c>
      <c r="F272">
        <v>2.3E-3</v>
      </c>
      <c r="G272">
        <v>-1E-4</v>
      </c>
      <c r="H272" s="570">
        <v>0</v>
      </c>
      <c r="I272" s="570">
        <v>0</v>
      </c>
      <c r="J272" s="570">
        <v>0</v>
      </c>
      <c r="K272">
        <v>-3.0000000000000001E-5</v>
      </c>
    </row>
    <row r="273" spans="1:11">
      <c r="A273" s="570" t="str">
        <f t="shared" si="4"/>
        <v>15F7</v>
      </c>
      <c r="C273" t="s">
        <v>2363</v>
      </c>
      <c r="D273" t="s">
        <v>1834</v>
      </c>
      <c r="E273">
        <v>7</v>
      </c>
      <c r="F273">
        <v>3.3E-3</v>
      </c>
      <c r="G273">
        <v>-1E-4</v>
      </c>
      <c r="H273" s="570">
        <v>0</v>
      </c>
      <c r="I273" s="570">
        <v>0</v>
      </c>
      <c r="J273" s="570">
        <v>0</v>
      </c>
      <c r="K273">
        <v>-4.0000000000000003E-5</v>
      </c>
    </row>
    <row r="274" spans="1:11">
      <c r="A274" s="570" t="str">
        <f t="shared" si="4"/>
        <v>14F7</v>
      </c>
      <c r="C274" t="s">
        <v>2364</v>
      </c>
      <c r="D274" t="s">
        <v>1834</v>
      </c>
      <c r="E274">
        <v>7</v>
      </c>
      <c r="F274">
        <v>4.1000000000000003E-3</v>
      </c>
      <c r="G274">
        <v>0</v>
      </c>
      <c r="H274" s="570">
        <v>0</v>
      </c>
      <c r="I274" s="570">
        <v>0</v>
      </c>
      <c r="J274" s="570">
        <v>0</v>
      </c>
      <c r="K274">
        <v>-5.0000000000000002E-5</v>
      </c>
    </row>
    <row r="275" spans="1:11">
      <c r="A275" s="570" t="str">
        <f t="shared" si="4"/>
        <v>13F7</v>
      </c>
      <c r="C275" t="s">
        <v>2365</v>
      </c>
      <c r="D275" t="s">
        <v>1834</v>
      </c>
      <c r="E275">
        <v>7</v>
      </c>
      <c r="F275">
        <v>4.7000000000000002E-3</v>
      </c>
      <c r="G275">
        <v>0</v>
      </c>
      <c r="H275" s="570">
        <v>0</v>
      </c>
      <c r="I275" s="570">
        <v>0</v>
      </c>
      <c r="J275" s="570">
        <v>0</v>
      </c>
      <c r="K275">
        <v>-6.0000000000000002E-5</v>
      </c>
    </row>
    <row r="276" spans="1:11">
      <c r="A276" s="570" t="str">
        <f t="shared" si="4"/>
        <v>12F7</v>
      </c>
      <c r="C276" t="s">
        <v>2366</v>
      </c>
      <c r="D276" t="s">
        <v>1834</v>
      </c>
      <c r="E276">
        <v>7</v>
      </c>
      <c r="F276">
        <v>5.1999999999999998E-3</v>
      </c>
      <c r="G276">
        <v>0</v>
      </c>
      <c r="H276" s="570">
        <v>0</v>
      </c>
      <c r="I276" s="570">
        <v>0</v>
      </c>
      <c r="J276" s="570">
        <v>0</v>
      </c>
      <c r="K276">
        <v>-6.0000000000000002E-5</v>
      </c>
    </row>
    <row r="277" spans="1:11">
      <c r="A277" s="570" t="str">
        <f t="shared" si="4"/>
        <v>11F7</v>
      </c>
      <c r="C277" t="s">
        <v>2367</v>
      </c>
      <c r="D277" t="s">
        <v>1834</v>
      </c>
      <c r="E277">
        <v>7</v>
      </c>
      <c r="F277">
        <v>5.4999999999999997E-3</v>
      </c>
      <c r="G277">
        <v>1E-4</v>
      </c>
      <c r="H277" s="570">
        <v>0</v>
      </c>
      <c r="I277" s="570">
        <v>0</v>
      </c>
      <c r="J277" s="570">
        <v>0</v>
      </c>
      <c r="K277">
        <v>-6.9999999999999994E-5</v>
      </c>
    </row>
    <row r="278" spans="1:11">
      <c r="A278" s="570" t="str">
        <f t="shared" si="4"/>
        <v>10F7</v>
      </c>
      <c r="C278" t="s">
        <v>2368</v>
      </c>
      <c r="D278" t="s">
        <v>1834</v>
      </c>
      <c r="E278">
        <v>7</v>
      </c>
      <c r="F278">
        <v>5.4999999999999997E-3</v>
      </c>
      <c r="G278">
        <v>1E-4</v>
      </c>
      <c r="H278" s="570">
        <v>0</v>
      </c>
      <c r="I278" s="570">
        <v>0</v>
      </c>
      <c r="J278" s="570">
        <v>0</v>
      </c>
      <c r="K278">
        <v>-6.9999999999999994E-5</v>
      </c>
    </row>
    <row r="279" spans="1:11">
      <c r="A279" s="570" t="str">
        <f t="shared" si="4"/>
        <v>9F7</v>
      </c>
      <c r="C279" t="s">
        <v>2369</v>
      </c>
      <c r="D279" t="s">
        <v>1834</v>
      </c>
      <c r="E279">
        <v>7</v>
      </c>
      <c r="F279">
        <v>5.4000000000000003E-3</v>
      </c>
      <c r="G279">
        <v>1E-4</v>
      </c>
      <c r="H279" s="570">
        <v>0</v>
      </c>
      <c r="I279" s="570">
        <v>0</v>
      </c>
      <c r="J279" s="570">
        <v>0</v>
      </c>
      <c r="K279">
        <v>-6.9999999999999994E-5</v>
      </c>
    </row>
    <row r="280" spans="1:11">
      <c r="A280" s="570" t="str">
        <f t="shared" si="4"/>
        <v>8F7</v>
      </c>
      <c r="C280" t="s">
        <v>2370</v>
      </c>
      <c r="D280" t="s">
        <v>1834</v>
      </c>
      <c r="E280">
        <v>7</v>
      </c>
      <c r="F280">
        <v>5.1000000000000004E-3</v>
      </c>
      <c r="G280">
        <v>1E-4</v>
      </c>
      <c r="H280" s="570">
        <v>0</v>
      </c>
      <c r="I280" s="570">
        <v>0</v>
      </c>
      <c r="J280" s="570">
        <v>0</v>
      </c>
      <c r="K280">
        <v>-6.0000000000000002E-5</v>
      </c>
    </row>
    <row r="281" spans="1:11">
      <c r="A281" s="570" t="str">
        <f t="shared" si="4"/>
        <v>7F7</v>
      </c>
      <c r="C281" t="s">
        <v>2371</v>
      </c>
      <c r="D281" t="s">
        <v>1834</v>
      </c>
      <c r="E281">
        <v>7</v>
      </c>
      <c r="F281">
        <v>4.7000000000000002E-3</v>
      </c>
      <c r="G281">
        <v>1E-4</v>
      </c>
      <c r="H281" s="570">
        <v>0</v>
      </c>
      <c r="I281" s="570">
        <v>0</v>
      </c>
      <c r="J281" s="570">
        <v>0</v>
      </c>
      <c r="K281">
        <v>-6.0000000000000002E-5</v>
      </c>
    </row>
    <row r="282" spans="1:11">
      <c r="A282" s="570" t="str">
        <f t="shared" si="4"/>
        <v>6F7</v>
      </c>
      <c r="C282" t="s">
        <v>2372</v>
      </c>
      <c r="D282" t="s">
        <v>1834</v>
      </c>
      <c r="E282">
        <v>7</v>
      </c>
      <c r="F282">
        <v>4.1000000000000003E-3</v>
      </c>
      <c r="G282">
        <v>1E-4</v>
      </c>
      <c r="H282" s="570">
        <v>0</v>
      </c>
      <c r="I282" s="570">
        <v>0</v>
      </c>
      <c r="J282" s="570">
        <v>0</v>
      </c>
      <c r="K282">
        <v>-5.0000000000000002E-5</v>
      </c>
    </row>
    <row r="283" spans="1:11">
      <c r="A283" s="570" t="str">
        <f t="shared" si="4"/>
        <v>5F7</v>
      </c>
      <c r="C283" t="s">
        <v>2373</v>
      </c>
      <c r="D283" t="s">
        <v>1834</v>
      </c>
      <c r="E283">
        <v>7</v>
      </c>
      <c r="F283">
        <v>3.3999999999999998E-3</v>
      </c>
      <c r="G283">
        <v>1E-4</v>
      </c>
      <c r="H283" s="570">
        <v>0</v>
      </c>
      <c r="I283" s="570">
        <v>0</v>
      </c>
      <c r="J283" s="570">
        <v>0</v>
      </c>
      <c r="K283">
        <v>-4.0000000000000003E-5</v>
      </c>
    </row>
    <row r="284" spans="1:11">
      <c r="A284" s="570" t="str">
        <f t="shared" si="4"/>
        <v>4F7</v>
      </c>
      <c r="C284" t="s">
        <v>2374</v>
      </c>
      <c r="D284" t="s">
        <v>1834</v>
      </c>
      <c r="E284">
        <v>7</v>
      </c>
      <c r="F284">
        <v>2.7000000000000001E-3</v>
      </c>
      <c r="G284">
        <v>1E-4</v>
      </c>
      <c r="H284" s="570">
        <v>0</v>
      </c>
      <c r="I284" s="570">
        <v>0</v>
      </c>
      <c r="J284" s="570">
        <v>0</v>
      </c>
      <c r="K284">
        <v>-3.0000000000000001E-5</v>
      </c>
    </row>
    <row r="285" spans="1:11">
      <c r="A285" s="570" t="str">
        <f t="shared" si="4"/>
        <v>3F7</v>
      </c>
      <c r="C285" t="s">
        <v>2375</v>
      </c>
      <c r="D285" t="s">
        <v>1834</v>
      </c>
      <c r="E285">
        <v>7</v>
      </c>
      <c r="F285">
        <v>1.9E-3</v>
      </c>
      <c r="G285">
        <v>1E-4</v>
      </c>
      <c r="H285" s="570">
        <v>0</v>
      </c>
      <c r="I285" s="570">
        <v>0</v>
      </c>
      <c r="J285" s="570">
        <v>0</v>
      </c>
      <c r="K285">
        <v>-2.0000000000000002E-5</v>
      </c>
    </row>
    <row r="286" spans="1:11">
      <c r="A286" s="570" t="str">
        <f t="shared" si="4"/>
        <v>2F7</v>
      </c>
      <c r="C286" t="s">
        <v>2376</v>
      </c>
      <c r="D286" t="s">
        <v>1834</v>
      </c>
      <c r="E286">
        <v>7</v>
      </c>
      <c r="F286">
        <v>1.1999999999999999E-3</v>
      </c>
      <c r="G286">
        <v>0</v>
      </c>
      <c r="H286" s="570">
        <v>0</v>
      </c>
      <c r="I286" s="570">
        <v>0</v>
      </c>
      <c r="J286" s="570">
        <v>0</v>
      </c>
      <c r="K286">
        <v>-1.0000000000000001E-5</v>
      </c>
    </row>
    <row r="287" spans="1:11">
      <c r="A287" s="570" t="str">
        <f t="shared" si="4"/>
        <v>1F7</v>
      </c>
      <c r="C287" t="s">
        <v>2377</v>
      </c>
      <c r="D287" t="s">
        <v>1834</v>
      </c>
      <c r="E287">
        <v>7</v>
      </c>
      <c r="F287">
        <v>4.0000000000000002E-4</v>
      </c>
      <c r="G287">
        <v>0</v>
      </c>
      <c r="H287" s="570">
        <v>0</v>
      </c>
      <c r="I287" s="570">
        <v>0</v>
      </c>
      <c r="J287" s="570">
        <v>0</v>
      </c>
      <c r="K287">
        <v>0</v>
      </c>
    </row>
    <row r="288" spans="1:11">
      <c r="A288" s="570" t="str">
        <f t="shared" si="4"/>
        <v>B17</v>
      </c>
      <c r="C288" t="s">
        <v>2327</v>
      </c>
      <c r="D288" t="s">
        <v>1834</v>
      </c>
      <c r="E288">
        <v>7</v>
      </c>
      <c r="F288">
        <v>0</v>
      </c>
      <c r="G288">
        <v>0</v>
      </c>
      <c r="H288" s="570">
        <v>0</v>
      </c>
      <c r="I288" s="570">
        <v>0</v>
      </c>
      <c r="J288" s="570">
        <v>0</v>
      </c>
      <c r="K288">
        <v>0</v>
      </c>
    </row>
    <row r="289" spans="1:11">
      <c r="A289" s="570" t="str">
        <f t="shared" si="4"/>
        <v>MAI8</v>
      </c>
      <c r="C289" t="s">
        <v>2270</v>
      </c>
      <c r="D289" t="s">
        <v>1834</v>
      </c>
      <c r="E289">
        <v>8</v>
      </c>
      <c r="F289">
        <v>2.3999999999999998E-3</v>
      </c>
      <c r="G289">
        <v>2.0000000000000001E-4</v>
      </c>
      <c r="H289" s="570">
        <v>0</v>
      </c>
      <c r="I289" s="570">
        <v>0</v>
      </c>
      <c r="J289" s="570">
        <v>0</v>
      </c>
      <c r="K289">
        <v>3.8999999999999999E-4</v>
      </c>
    </row>
    <row r="290" spans="1:11">
      <c r="A290" s="570" t="str">
        <f t="shared" si="4"/>
        <v>TUM8</v>
      </c>
      <c r="C290" t="s">
        <v>2271</v>
      </c>
      <c r="D290" t="s">
        <v>1834</v>
      </c>
      <c r="E290">
        <v>8</v>
      </c>
      <c r="F290">
        <v>1.8E-3</v>
      </c>
      <c r="G290">
        <v>2.9999999999999997E-4</v>
      </c>
      <c r="H290" s="570">
        <v>0</v>
      </c>
      <c r="I290" s="570">
        <v>0</v>
      </c>
      <c r="J290" s="570">
        <v>0</v>
      </c>
      <c r="K290">
        <v>3.1E-4</v>
      </c>
    </row>
    <row r="291" spans="1:11">
      <c r="A291" s="570" t="str">
        <f t="shared" si="4"/>
        <v>38F8</v>
      </c>
      <c r="C291" t="s">
        <v>2340</v>
      </c>
      <c r="D291" t="s">
        <v>1834</v>
      </c>
      <c r="E291">
        <v>8</v>
      </c>
      <c r="F291">
        <v>1.4E-3</v>
      </c>
      <c r="G291">
        <v>2.9999999999999997E-4</v>
      </c>
      <c r="H291" s="570">
        <v>0</v>
      </c>
      <c r="I291" s="570">
        <v>0</v>
      </c>
      <c r="J291" s="570">
        <v>0</v>
      </c>
      <c r="K291">
        <v>2.5999999999999998E-4</v>
      </c>
    </row>
    <row r="292" spans="1:11">
      <c r="A292" s="570" t="str">
        <f t="shared" si="4"/>
        <v>37F8</v>
      </c>
      <c r="C292" t="s">
        <v>2341</v>
      </c>
      <c r="D292" t="s">
        <v>1834</v>
      </c>
      <c r="E292">
        <v>8</v>
      </c>
      <c r="F292">
        <v>1E-3</v>
      </c>
      <c r="G292">
        <v>2.0000000000000001E-4</v>
      </c>
      <c r="H292" s="570">
        <v>0</v>
      </c>
      <c r="I292" s="570">
        <v>0</v>
      </c>
      <c r="J292" s="570">
        <v>0</v>
      </c>
      <c r="K292">
        <v>2.1000000000000001E-4</v>
      </c>
    </row>
    <row r="293" spans="1:11">
      <c r="A293" s="570" t="str">
        <f t="shared" si="4"/>
        <v>36F8</v>
      </c>
      <c r="C293" t="s">
        <v>2342</v>
      </c>
      <c r="D293" t="s">
        <v>1834</v>
      </c>
      <c r="E293">
        <v>8</v>
      </c>
      <c r="F293">
        <v>6.9999999999999999E-4</v>
      </c>
      <c r="G293">
        <v>1E-4</v>
      </c>
      <c r="H293" s="570">
        <v>0</v>
      </c>
      <c r="I293" s="570">
        <v>0</v>
      </c>
      <c r="J293" s="570">
        <v>0</v>
      </c>
      <c r="K293">
        <v>1.6000000000000001E-4</v>
      </c>
    </row>
    <row r="294" spans="1:11">
      <c r="A294" s="570" t="str">
        <f t="shared" si="4"/>
        <v>35F8</v>
      </c>
      <c r="C294" t="s">
        <v>2343</v>
      </c>
      <c r="D294" t="s">
        <v>1834</v>
      </c>
      <c r="E294">
        <v>8</v>
      </c>
      <c r="F294">
        <v>4.0000000000000002E-4</v>
      </c>
      <c r="G294">
        <v>1E-4</v>
      </c>
      <c r="H294" s="570">
        <v>0</v>
      </c>
      <c r="I294" s="570">
        <v>0</v>
      </c>
      <c r="J294" s="570">
        <v>0</v>
      </c>
      <c r="K294">
        <v>1E-4</v>
      </c>
    </row>
    <row r="295" spans="1:11">
      <c r="A295" s="570" t="str">
        <f t="shared" si="4"/>
        <v>34F8</v>
      </c>
      <c r="C295" t="s">
        <v>2344</v>
      </c>
      <c r="D295" t="s">
        <v>1834</v>
      </c>
      <c r="E295">
        <v>8</v>
      </c>
      <c r="F295">
        <v>1E-4</v>
      </c>
      <c r="G295">
        <v>0</v>
      </c>
      <c r="H295" s="570">
        <v>0</v>
      </c>
      <c r="I295" s="570">
        <v>0</v>
      </c>
      <c r="J295" s="570">
        <v>0</v>
      </c>
      <c r="K295">
        <v>4.0000000000000003E-5</v>
      </c>
    </row>
    <row r="296" spans="1:11">
      <c r="A296" s="570" t="str">
        <f t="shared" si="4"/>
        <v>33F8</v>
      </c>
      <c r="C296" t="s">
        <v>2345</v>
      </c>
      <c r="D296" t="s">
        <v>1834</v>
      </c>
      <c r="E296">
        <v>8</v>
      </c>
      <c r="F296">
        <v>-2.0000000000000001E-4</v>
      </c>
      <c r="G296">
        <v>-1E-4</v>
      </c>
      <c r="H296" s="570">
        <v>0</v>
      </c>
      <c r="I296" s="570">
        <v>0</v>
      </c>
      <c r="J296" s="570">
        <v>0</v>
      </c>
      <c r="K296">
        <v>-2.0000000000000002E-5</v>
      </c>
    </row>
    <row r="297" spans="1:11">
      <c r="A297" s="570" t="str">
        <f t="shared" si="4"/>
        <v>32F8</v>
      </c>
      <c r="C297" t="s">
        <v>2346</v>
      </c>
      <c r="D297" t="s">
        <v>1834</v>
      </c>
      <c r="E297">
        <v>8</v>
      </c>
      <c r="F297">
        <v>-5.0000000000000001E-4</v>
      </c>
      <c r="G297">
        <v>-1E-4</v>
      </c>
      <c r="H297" s="570">
        <v>0</v>
      </c>
      <c r="I297" s="570">
        <v>0</v>
      </c>
      <c r="J297" s="570">
        <v>0</v>
      </c>
      <c r="K297">
        <v>-6.9999999999999994E-5</v>
      </c>
    </row>
    <row r="298" spans="1:11">
      <c r="A298" s="570" t="str">
        <f t="shared" si="4"/>
        <v>31F8</v>
      </c>
      <c r="C298" t="s">
        <v>2347</v>
      </c>
      <c r="D298" t="s">
        <v>1834</v>
      </c>
      <c r="E298">
        <v>8</v>
      </c>
      <c r="F298">
        <v>-6.9999999999999999E-4</v>
      </c>
      <c r="G298">
        <v>-2.0000000000000001E-4</v>
      </c>
      <c r="H298" s="570">
        <v>0</v>
      </c>
      <c r="I298" s="570">
        <v>0</v>
      </c>
      <c r="J298" s="570">
        <v>0</v>
      </c>
      <c r="K298">
        <v>-1.2E-4</v>
      </c>
    </row>
    <row r="299" spans="1:11">
      <c r="A299" s="570" t="str">
        <f t="shared" si="4"/>
        <v>30F8</v>
      </c>
      <c r="C299" t="s">
        <v>2348</v>
      </c>
      <c r="D299" t="s">
        <v>1834</v>
      </c>
      <c r="E299">
        <v>8</v>
      </c>
      <c r="F299">
        <v>-1E-3</v>
      </c>
      <c r="G299">
        <v>-2.0000000000000001E-4</v>
      </c>
      <c r="H299" s="570">
        <v>0</v>
      </c>
      <c r="I299" s="570">
        <v>0</v>
      </c>
      <c r="J299" s="570">
        <v>0</v>
      </c>
      <c r="K299">
        <v>-1.7000000000000001E-4</v>
      </c>
    </row>
    <row r="300" spans="1:11">
      <c r="A300" s="570" t="str">
        <f t="shared" si="4"/>
        <v>29F8</v>
      </c>
      <c r="C300" t="s">
        <v>2349</v>
      </c>
      <c r="D300" t="s">
        <v>1834</v>
      </c>
      <c r="E300">
        <v>8</v>
      </c>
      <c r="F300">
        <v>-1.1000000000000001E-3</v>
      </c>
      <c r="G300">
        <v>-2.0000000000000001E-4</v>
      </c>
      <c r="H300" s="570">
        <v>0</v>
      </c>
      <c r="I300" s="570">
        <v>0</v>
      </c>
      <c r="J300" s="570">
        <v>0</v>
      </c>
      <c r="K300">
        <v>-2.0000000000000001E-4</v>
      </c>
    </row>
    <row r="301" spans="1:11">
      <c r="A301" s="570" t="str">
        <f t="shared" si="4"/>
        <v>28F8</v>
      </c>
      <c r="C301" t="s">
        <v>2350</v>
      </c>
      <c r="D301" t="s">
        <v>1834</v>
      </c>
      <c r="E301">
        <v>8</v>
      </c>
      <c r="F301">
        <v>-1.1999999999999999E-3</v>
      </c>
      <c r="G301">
        <v>-2.9999999999999997E-4</v>
      </c>
      <c r="H301" s="570">
        <v>0</v>
      </c>
      <c r="I301" s="570">
        <v>0</v>
      </c>
      <c r="J301" s="570">
        <v>0</v>
      </c>
      <c r="K301">
        <v>-2.3000000000000001E-4</v>
      </c>
    </row>
    <row r="302" spans="1:11">
      <c r="A302" s="570" t="str">
        <f t="shared" si="4"/>
        <v>27F8</v>
      </c>
      <c r="C302" t="s">
        <v>2351</v>
      </c>
      <c r="D302" t="s">
        <v>1834</v>
      </c>
      <c r="E302">
        <v>8</v>
      </c>
      <c r="F302">
        <v>-1.2999999999999999E-3</v>
      </c>
      <c r="G302">
        <v>-2.9999999999999997E-4</v>
      </c>
      <c r="H302" s="570">
        <v>0</v>
      </c>
      <c r="I302" s="570">
        <v>0</v>
      </c>
      <c r="J302" s="570">
        <v>0</v>
      </c>
      <c r="K302">
        <v>-2.5000000000000001E-4</v>
      </c>
    </row>
    <row r="303" spans="1:11">
      <c r="A303" s="570" t="str">
        <f t="shared" si="4"/>
        <v>26F8</v>
      </c>
      <c r="C303" t="s">
        <v>2352</v>
      </c>
      <c r="D303" t="s">
        <v>1834</v>
      </c>
      <c r="E303">
        <v>8</v>
      </c>
      <c r="F303">
        <v>-1.2999999999999999E-3</v>
      </c>
      <c r="G303">
        <v>-2.9999999999999997E-4</v>
      </c>
      <c r="H303" s="570">
        <v>0</v>
      </c>
      <c r="I303" s="570">
        <v>0</v>
      </c>
      <c r="J303" s="570">
        <v>0</v>
      </c>
      <c r="K303">
        <v>-2.5999999999999998E-4</v>
      </c>
    </row>
    <row r="304" spans="1:11">
      <c r="A304" s="570" t="str">
        <f t="shared" si="4"/>
        <v>25F8</v>
      </c>
      <c r="C304" t="s">
        <v>2353</v>
      </c>
      <c r="D304" t="s">
        <v>1834</v>
      </c>
      <c r="E304">
        <v>8</v>
      </c>
      <c r="F304">
        <v>-1.2999999999999999E-3</v>
      </c>
      <c r="G304">
        <v>-2.0000000000000001E-4</v>
      </c>
      <c r="H304" s="570">
        <v>0</v>
      </c>
      <c r="I304" s="570">
        <v>0</v>
      </c>
      <c r="J304" s="570">
        <v>0</v>
      </c>
      <c r="K304">
        <v>-2.5999999999999998E-4</v>
      </c>
    </row>
    <row r="305" spans="1:11">
      <c r="A305" s="570" t="str">
        <f t="shared" si="4"/>
        <v>24F8</v>
      </c>
      <c r="C305" t="s">
        <v>2354</v>
      </c>
      <c r="D305" t="s">
        <v>1834</v>
      </c>
      <c r="E305">
        <v>8</v>
      </c>
      <c r="F305">
        <v>-1.1999999999999999E-3</v>
      </c>
      <c r="G305">
        <v>-2.0000000000000001E-4</v>
      </c>
      <c r="H305" s="570">
        <v>0</v>
      </c>
      <c r="I305" s="570">
        <v>0</v>
      </c>
      <c r="J305" s="570">
        <v>0</v>
      </c>
      <c r="K305">
        <v>-2.4000000000000001E-4</v>
      </c>
    </row>
    <row r="306" spans="1:11">
      <c r="A306" s="570" t="str">
        <f t="shared" si="4"/>
        <v>23F8</v>
      </c>
      <c r="C306" t="s">
        <v>2355</v>
      </c>
      <c r="D306" t="s">
        <v>1834</v>
      </c>
      <c r="E306">
        <v>8</v>
      </c>
      <c r="F306">
        <v>-1.1000000000000001E-3</v>
      </c>
      <c r="G306">
        <v>-2.0000000000000001E-4</v>
      </c>
      <c r="H306" s="570">
        <v>0</v>
      </c>
      <c r="I306" s="570">
        <v>0</v>
      </c>
      <c r="J306" s="570">
        <v>0</v>
      </c>
      <c r="K306">
        <v>-2.2000000000000001E-4</v>
      </c>
    </row>
    <row r="307" spans="1:11">
      <c r="A307" s="570" t="str">
        <f t="shared" si="4"/>
        <v>22F8</v>
      </c>
      <c r="C307" t="s">
        <v>2356</v>
      </c>
      <c r="D307" t="s">
        <v>1834</v>
      </c>
      <c r="E307">
        <v>8</v>
      </c>
      <c r="F307">
        <v>-8.9999999999999998E-4</v>
      </c>
      <c r="G307">
        <v>-1E-4</v>
      </c>
      <c r="H307" s="570">
        <v>0</v>
      </c>
      <c r="I307" s="570">
        <v>0</v>
      </c>
      <c r="J307" s="570">
        <v>0</v>
      </c>
      <c r="K307">
        <v>-1.9000000000000001E-4</v>
      </c>
    </row>
    <row r="308" spans="1:11">
      <c r="A308" s="570" t="str">
        <f t="shared" si="4"/>
        <v>21F8</v>
      </c>
      <c r="C308" t="s">
        <v>2357</v>
      </c>
      <c r="D308" t="s">
        <v>1834</v>
      </c>
      <c r="E308">
        <v>8</v>
      </c>
      <c r="F308">
        <v>-6.9999999999999999E-4</v>
      </c>
      <c r="G308">
        <v>-1E-4</v>
      </c>
      <c r="H308" s="570">
        <v>0</v>
      </c>
      <c r="I308" s="570">
        <v>0</v>
      </c>
      <c r="J308" s="570">
        <v>0</v>
      </c>
      <c r="K308">
        <v>-1.3999999999999999E-4</v>
      </c>
    </row>
    <row r="309" spans="1:11">
      <c r="A309" s="570" t="str">
        <f t="shared" si="4"/>
        <v>20F8</v>
      </c>
      <c r="C309" t="s">
        <v>2358</v>
      </c>
      <c r="D309" t="s">
        <v>1834</v>
      </c>
      <c r="E309">
        <v>8</v>
      </c>
      <c r="F309">
        <v>-4.0000000000000002E-4</v>
      </c>
      <c r="G309">
        <v>-1E-4</v>
      </c>
      <c r="H309" s="570">
        <v>0</v>
      </c>
      <c r="I309" s="570">
        <v>0</v>
      </c>
      <c r="J309" s="570">
        <v>0</v>
      </c>
      <c r="K309">
        <v>-1E-4</v>
      </c>
    </row>
    <row r="310" spans="1:11">
      <c r="A310" s="570" t="str">
        <f t="shared" si="4"/>
        <v>19F8</v>
      </c>
      <c r="C310" t="s">
        <v>2359</v>
      </c>
      <c r="D310" t="s">
        <v>1834</v>
      </c>
      <c r="E310">
        <v>8</v>
      </c>
      <c r="F310">
        <v>-2.0000000000000001E-4</v>
      </c>
      <c r="G310">
        <v>0</v>
      </c>
      <c r="H310" s="570">
        <v>0</v>
      </c>
      <c r="I310" s="570">
        <v>0</v>
      </c>
      <c r="J310" s="570">
        <v>0</v>
      </c>
      <c r="K310">
        <v>-5.0000000000000002E-5</v>
      </c>
    </row>
    <row r="311" spans="1:11">
      <c r="A311" s="570" t="str">
        <f t="shared" si="4"/>
        <v>18F8</v>
      </c>
      <c r="C311" t="s">
        <v>2360</v>
      </c>
      <c r="D311" t="s">
        <v>1834</v>
      </c>
      <c r="E311">
        <v>8</v>
      </c>
      <c r="F311">
        <v>1E-4</v>
      </c>
      <c r="G311">
        <v>1E-4</v>
      </c>
      <c r="H311" s="570">
        <v>0</v>
      </c>
      <c r="I311" s="570">
        <v>0</v>
      </c>
      <c r="J311" s="570">
        <v>0</v>
      </c>
      <c r="K311">
        <v>1.0000000000000001E-5</v>
      </c>
    </row>
    <row r="312" spans="1:11">
      <c r="A312" s="570" t="str">
        <f t="shared" si="4"/>
        <v>17F8</v>
      </c>
      <c r="C312" t="s">
        <v>2361</v>
      </c>
      <c r="D312" t="s">
        <v>1834</v>
      </c>
      <c r="E312">
        <v>8</v>
      </c>
      <c r="F312">
        <v>2.9999999999999997E-4</v>
      </c>
      <c r="G312">
        <v>1E-4</v>
      </c>
      <c r="H312" s="570">
        <v>0</v>
      </c>
      <c r="I312" s="570">
        <v>0</v>
      </c>
      <c r="J312" s="570">
        <v>0</v>
      </c>
      <c r="K312">
        <v>6.0000000000000002E-5</v>
      </c>
    </row>
    <row r="313" spans="1:11">
      <c r="A313" s="570" t="str">
        <f t="shared" si="4"/>
        <v>16F8</v>
      </c>
      <c r="C313" t="s">
        <v>2362</v>
      </c>
      <c r="D313" t="s">
        <v>1834</v>
      </c>
      <c r="E313">
        <v>8</v>
      </c>
      <c r="F313">
        <v>5.9999999999999995E-4</v>
      </c>
      <c r="G313">
        <v>2.0000000000000001E-4</v>
      </c>
      <c r="H313" s="570">
        <v>0</v>
      </c>
      <c r="I313" s="570">
        <v>0</v>
      </c>
      <c r="J313" s="570">
        <v>0</v>
      </c>
      <c r="K313">
        <v>1.1E-4</v>
      </c>
    </row>
    <row r="314" spans="1:11">
      <c r="A314" s="570" t="str">
        <f t="shared" si="4"/>
        <v>15F8</v>
      </c>
      <c r="C314" t="s">
        <v>2363</v>
      </c>
      <c r="D314" t="s">
        <v>1834</v>
      </c>
      <c r="E314">
        <v>8</v>
      </c>
      <c r="F314">
        <v>8.0000000000000004E-4</v>
      </c>
      <c r="G314">
        <v>2.0000000000000001E-4</v>
      </c>
      <c r="H314" s="570">
        <v>0</v>
      </c>
      <c r="I314" s="570">
        <v>0</v>
      </c>
      <c r="J314" s="570">
        <v>0</v>
      </c>
      <c r="K314">
        <v>1.6000000000000001E-4</v>
      </c>
    </row>
    <row r="315" spans="1:11">
      <c r="A315" s="570" t="str">
        <f t="shared" si="4"/>
        <v>14F8</v>
      </c>
      <c r="C315" t="s">
        <v>2364</v>
      </c>
      <c r="D315" t="s">
        <v>1834</v>
      </c>
      <c r="E315">
        <v>8</v>
      </c>
      <c r="F315">
        <v>1E-3</v>
      </c>
      <c r="G315">
        <v>2.9999999999999997E-4</v>
      </c>
      <c r="H315" s="570">
        <v>0</v>
      </c>
      <c r="I315" s="570">
        <v>0</v>
      </c>
      <c r="J315" s="570">
        <v>0</v>
      </c>
      <c r="K315">
        <v>2.0000000000000001E-4</v>
      </c>
    </row>
    <row r="316" spans="1:11">
      <c r="A316" s="570" t="str">
        <f t="shared" si="4"/>
        <v>13F8</v>
      </c>
      <c r="C316" t="s">
        <v>2365</v>
      </c>
      <c r="D316" t="s">
        <v>1834</v>
      </c>
      <c r="E316">
        <v>8</v>
      </c>
      <c r="F316">
        <v>1.1999999999999999E-3</v>
      </c>
      <c r="G316">
        <v>2.9999999999999997E-4</v>
      </c>
      <c r="H316" s="570">
        <v>0</v>
      </c>
      <c r="I316" s="570">
        <v>0</v>
      </c>
      <c r="J316" s="570">
        <v>0</v>
      </c>
      <c r="K316">
        <v>2.3000000000000001E-4</v>
      </c>
    </row>
    <row r="317" spans="1:11">
      <c r="A317" s="570" t="str">
        <f t="shared" si="4"/>
        <v>12F8</v>
      </c>
      <c r="C317" t="s">
        <v>2366</v>
      </c>
      <c r="D317" t="s">
        <v>1834</v>
      </c>
      <c r="E317">
        <v>8</v>
      </c>
      <c r="F317">
        <v>1.2999999999999999E-3</v>
      </c>
      <c r="G317">
        <v>2.9999999999999997E-4</v>
      </c>
      <c r="H317" s="570">
        <v>0</v>
      </c>
      <c r="I317" s="570">
        <v>0</v>
      </c>
      <c r="J317" s="570">
        <v>0</v>
      </c>
      <c r="K317">
        <v>2.5000000000000001E-4</v>
      </c>
    </row>
    <row r="318" spans="1:11">
      <c r="A318" s="570" t="str">
        <f t="shared" si="4"/>
        <v>11F8</v>
      </c>
      <c r="C318" t="s">
        <v>2367</v>
      </c>
      <c r="D318" t="s">
        <v>1834</v>
      </c>
      <c r="E318">
        <v>8</v>
      </c>
      <c r="F318">
        <v>1.2999999999999999E-3</v>
      </c>
      <c r="G318">
        <v>2.9999999999999997E-4</v>
      </c>
      <c r="H318" s="570">
        <v>0</v>
      </c>
      <c r="I318" s="570">
        <v>0</v>
      </c>
      <c r="J318" s="570">
        <v>0</v>
      </c>
      <c r="K318">
        <v>2.7E-4</v>
      </c>
    </row>
    <row r="319" spans="1:11">
      <c r="A319" s="570" t="str">
        <f t="shared" si="4"/>
        <v>10F8</v>
      </c>
      <c r="C319" t="s">
        <v>2368</v>
      </c>
      <c r="D319" t="s">
        <v>1834</v>
      </c>
      <c r="E319">
        <v>8</v>
      </c>
      <c r="F319">
        <v>1.4E-3</v>
      </c>
      <c r="G319">
        <v>2.9999999999999997E-4</v>
      </c>
      <c r="H319" s="570">
        <v>0</v>
      </c>
      <c r="I319" s="570">
        <v>0</v>
      </c>
      <c r="J319" s="570">
        <v>0</v>
      </c>
      <c r="K319">
        <v>2.7E-4</v>
      </c>
    </row>
    <row r="320" spans="1:11">
      <c r="A320" s="570" t="str">
        <f t="shared" si="4"/>
        <v>9F8</v>
      </c>
      <c r="C320" t="s">
        <v>2369</v>
      </c>
      <c r="D320" t="s">
        <v>1834</v>
      </c>
      <c r="E320">
        <v>8</v>
      </c>
      <c r="F320">
        <v>1.4E-3</v>
      </c>
      <c r="G320">
        <v>2.9999999999999997E-4</v>
      </c>
      <c r="H320" s="570">
        <v>0</v>
      </c>
      <c r="I320" s="570">
        <v>0</v>
      </c>
      <c r="J320" s="570">
        <v>0</v>
      </c>
      <c r="K320">
        <v>2.5999999999999998E-4</v>
      </c>
    </row>
    <row r="321" spans="1:11">
      <c r="A321" s="570" t="str">
        <f t="shared" si="4"/>
        <v>8F8</v>
      </c>
      <c r="C321" t="s">
        <v>2370</v>
      </c>
      <c r="D321" t="s">
        <v>1834</v>
      </c>
      <c r="E321">
        <v>8</v>
      </c>
      <c r="F321">
        <v>1.2999999999999999E-3</v>
      </c>
      <c r="G321">
        <v>2.9999999999999997E-4</v>
      </c>
      <c r="H321" s="570">
        <v>0</v>
      </c>
      <c r="I321" s="570">
        <v>0</v>
      </c>
      <c r="J321" s="570">
        <v>0</v>
      </c>
      <c r="K321">
        <v>2.5000000000000001E-4</v>
      </c>
    </row>
    <row r="322" spans="1:11">
      <c r="A322" s="570" t="str">
        <f t="shared" ref="A322:A385" si="5">C322&amp;E322</f>
        <v>7F8</v>
      </c>
      <c r="C322" t="s">
        <v>2371</v>
      </c>
      <c r="D322" t="s">
        <v>1834</v>
      </c>
      <c r="E322">
        <v>8</v>
      </c>
      <c r="F322">
        <v>1.1999999999999999E-3</v>
      </c>
      <c r="G322">
        <v>2.9999999999999997E-4</v>
      </c>
      <c r="H322" s="570">
        <v>0</v>
      </c>
      <c r="I322" s="570">
        <v>0</v>
      </c>
      <c r="J322" s="570">
        <v>0</v>
      </c>
      <c r="K322">
        <v>2.3000000000000001E-4</v>
      </c>
    </row>
    <row r="323" spans="1:11">
      <c r="A323" s="570" t="str">
        <f t="shared" si="5"/>
        <v>6F8</v>
      </c>
      <c r="C323" t="s">
        <v>2372</v>
      </c>
      <c r="D323" t="s">
        <v>1834</v>
      </c>
      <c r="E323">
        <v>8</v>
      </c>
      <c r="F323">
        <v>1.1000000000000001E-3</v>
      </c>
      <c r="G323">
        <v>2.0000000000000001E-4</v>
      </c>
      <c r="H323" s="570">
        <v>0</v>
      </c>
      <c r="I323" s="570">
        <v>0</v>
      </c>
      <c r="J323" s="570">
        <v>0</v>
      </c>
      <c r="K323">
        <v>2.0000000000000001E-4</v>
      </c>
    </row>
    <row r="324" spans="1:11">
      <c r="A324" s="570" t="str">
        <f t="shared" si="5"/>
        <v>5F8</v>
      </c>
      <c r="C324" t="s">
        <v>2373</v>
      </c>
      <c r="D324" t="s">
        <v>1834</v>
      </c>
      <c r="E324">
        <v>8</v>
      </c>
      <c r="F324">
        <v>8.9999999999999998E-4</v>
      </c>
      <c r="G324">
        <v>2.0000000000000001E-4</v>
      </c>
      <c r="H324" s="570">
        <v>0</v>
      </c>
      <c r="I324" s="570">
        <v>0</v>
      </c>
      <c r="J324" s="570">
        <v>0</v>
      </c>
      <c r="K324">
        <v>1.7000000000000001E-4</v>
      </c>
    </row>
    <row r="325" spans="1:11">
      <c r="A325" s="570" t="str">
        <f t="shared" si="5"/>
        <v>4F8</v>
      </c>
      <c r="C325" t="s">
        <v>2374</v>
      </c>
      <c r="D325" t="s">
        <v>1834</v>
      </c>
      <c r="E325">
        <v>8</v>
      </c>
      <c r="F325">
        <v>6.9999999999999999E-4</v>
      </c>
      <c r="G325">
        <v>1E-4</v>
      </c>
      <c r="H325" s="570">
        <v>0</v>
      </c>
      <c r="I325" s="570">
        <v>0</v>
      </c>
      <c r="J325" s="570">
        <v>0</v>
      </c>
      <c r="K325">
        <v>1.2999999999999999E-4</v>
      </c>
    </row>
    <row r="326" spans="1:11">
      <c r="A326" s="570" t="str">
        <f t="shared" si="5"/>
        <v>3F8</v>
      </c>
      <c r="C326" t="s">
        <v>2375</v>
      </c>
      <c r="D326" t="s">
        <v>1834</v>
      </c>
      <c r="E326">
        <v>8</v>
      </c>
      <c r="F326">
        <v>5.0000000000000001E-4</v>
      </c>
      <c r="G326">
        <v>1E-4</v>
      </c>
      <c r="H326" s="570">
        <v>0</v>
      </c>
      <c r="I326" s="570">
        <v>0</v>
      </c>
      <c r="J326" s="570">
        <v>0</v>
      </c>
      <c r="K326">
        <v>9.0000000000000006E-5</v>
      </c>
    </row>
    <row r="327" spans="1:11">
      <c r="A327" s="570" t="str">
        <f t="shared" si="5"/>
        <v>2F8</v>
      </c>
      <c r="C327" t="s">
        <v>2376</v>
      </c>
      <c r="D327" t="s">
        <v>1834</v>
      </c>
      <c r="E327">
        <v>8</v>
      </c>
      <c r="F327">
        <v>2.9999999999999997E-4</v>
      </c>
      <c r="G327">
        <v>1E-4</v>
      </c>
      <c r="H327" s="570">
        <v>0</v>
      </c>
      <c r="I327" s="570">
        <v>0</v>
      </c>
      <c r="J327" s="570">
        <v>0</v>
      </c>
      <c r="K327">
        <v>5.0000000000000002E-5</v>
      </c>
    </row>
    <row r="328" spans="1:11">
      <c r="A328" s="570" t="str">
        <f t="shared" si="5"/>
        <v>1F8</v>
      </c>
      <c r="C328" t="s">
        <v>2377</v>
      </c>
      <c r="D328" t="s">
        <v>1834</v>
      </c>
      <c r="E328">
        <v>8</v>
      </c>
      <c r="F328">
        <v>2.0000000000000001E-4</v>
      </c>
      <c r="G328">
        <v>1E-4</v>
      </c>
      <c r="H328" s="570">
        <v>0</v>
      </c>
      <c r="I328" s="570">
        <v>0</v>
      </c>
      <c r="J328" s="570">
        <v>0</v>
      </c>
      <c r="K328">
        <v>2.0000000000000002E-5</v>
      </c>
    </row>
    <row r="329" spans="1:11">
      <c r="A329" s="570" t="str">
        <f t="shared" si="5"/>
        <v>B18</v>
      </c>
      <c r="C329" t="s">
        <v>2327</v>
      </c>
      <c r="D329" t="s">
        <v>1834</v>
      </c>
      <c r="E329">
        <v>8</v>
      </c>
      <c r="F329">
        <v>0</v>
      </c>
      <c r="G329">
        <v>0</v>
      </c>
      <c r="H329" s="570">
        <v>0</v>
      </c>
      <c r="I329" s="570">
        <v>0</v>
      </c>
      <c r="J329" s="570">
        <v>0</v>
      </c>
      <c r="K329">
        <v>0</v>
      </c>
    </row>
    <row r="330" spans="1:11">
      <c r="A330" s="570" t="str">
        <f t="shared" si="5"/>
        <v>MAI9</v>
      </c>
      <c r="C330" t="s">
        <v>2270</v>
      </c>
      <c r="D330" t="s">
        <v>1834</v>
      </c>
      <c r="E330">
        <v>9</v>
      </c>
      <c r="F330">
        <v>-8.8000000000000005E-3</v>
      </c>
      <c r="G330">
        <v>2.0000000000000001E-4</v>
      </c>
      <c r="H330" s="570">
        <v>0</v>
      </c>
      <c r="I330" s="570">
        <v>0</v>
      </c>
      <c r="J330" s="570">
        <v>0</v>
      </c>
      <c r="K330">
        <v>1.4999999999999999E-4</v>
      </c>
    </row>
    <row r="331" spans="1:11">
      <c r="A331" s="570" t="str">
        <f t="shared" si="5"/>
        <v>TUM9</v>
      </c>
      <c r="C331" t="s">
        <v>2271</v>
      </c>
      <c r="D331" t="s">
        <v>1834</v>
      </c>
      <c r="E331">
        <v>9</v>
      </c>
      <c r="F331">
        <v>-6.0000000000000001E-3</v>
      </c>
      <c r="G331">
        <v>2.9999999999999997E-4</v>
      </c>
      <c r="H331" s="570">
        <v>0</v>
      </c>
      <c r="I331" s="570">
        <v>0</v>
      </c>
      <c r="J331" s="570">
        <v>0</v>
      </c>
      <c r="K331">
        <v>1E-4</v>
      </c>
    </row>
    <row r="332" spans="1:11">
      <c r="A332" s="570" t="str">
        <f t="shared" si="5"/>
        <v>38F9</v>
      </c>
      <c r="C332" t="s">
        <v>2340</v>
      </c>
      <c r="D332" t="s">
        <v>1834</v>
      </c>
      <c r="E332">
        <v>9</v>
      </c>
      <c r="F332">
        <v>-4.4000000000000003E-3</v>
      </c>
      <c r="G332">
        <v>2.0000000000000001E-4</v>
      </c>
      <c r="H332" s="570">
        <v>0</v>
      </c>
      <c r="I332" s="570">
        <v>0</v>
      </c>
      <c r="J332" s="570">
        <v>0</v>
      </c>
      <c r="K332">
        <v>8.0000000000000007E-5</v>
      </c>
    </row>
    <row r="333" spans="1:11">
      <c r="A333" s="570" t="str">
        <f t="shared" si="5"/>
        <v>37F9</v>
      </c>
      <c r="C333" t="s">
        <v>2341</v>
      </c>
      <c r="D333" t="s">
        <v>1834</v>
      </c>
      <c r="E333">
        <v>9</v>
      </c>
      <c r="F333">
        <v>-2.5999999999999999E-3</v>
      </c>
      <c r="G333">
        <v>2.0000000000000001E-4</v>
      </c>
      <c r="H333" s="570">
        <v>0</v>
      </c>
      <c r="I333" s="570">
        <v>0</v>
      </c>
      <c r="J333" s="570">
        <v>0</v>
      </c>
      <c r="K333">
        <v>5.0000000000000002E-5</v>
      </c>
    </row>
    <row r="334" spans="1:11">
      <c r="A334" s="570" t="str">
        <f t="shared" si="5"/>
        <v>36F9</v>
      </c>
      <c r="C334" t="s">
        <v>2342</v>
      </c>
      <c r="D334" t="s">
        <v>1834</v>
      </c>
      <c r="E334">
        <v>9</v>
      </c>
      <c r="F334">
        <v>-8.9999999999999998E-4</v>
      </c>
      <c r="G334">
        <v>2.0000000000000001E-4</v>
      </c>
      <c r="H334" s="570">
        <v>0</v>
      </c>
      <c r="I334" s="570">
        <v>0</v>
      </c>
      <c r="J334" s="570">
        <v>0</v>
      </c>
      <c r="K334">
        <v>2.0000000000000002E-5</v>
      </c>
    </row>
    <row r="335" spans="1:11">
      <c r="A335" s="570" t="str">
        <f t="shared" si="5"/>
        <v>35F9</v>
      </c>
      <c r="C335" t="s">
        <v>2343</v>
      </c>
      <c r="D335" t="s">
        <v>1834</v>
      </c>
      <c r="E335">
        <v>9</v>
      </c>
      <c r="F335">
        <v>8.0000000000000004E-4</v>
      </c>
      <c r="G335">
        <v>1E-4</v>
      </c>
      <c r="H335" s="570">
        <v>0</v>
      </c>
      <c r="I335" s="570">
        <v>0</v>
      </c>
      <c r="J335" s="570">
        <v>0</v>
      </c>
      <c r="K335">
        <v>0</v>
      </c>
    </row>
    <row r="336" spans="1:11">
      <c r="A336" s="570" t="str">
        <f t="shared" si="5"/>
        <v>34F9</v>
      </c>
      <c r="C336" t="s">
        <v>2344</v>
      </c>
      <c r="D336" t="s">
        <v>1834</v>
      </c>
      <c r="E336">
        <v>9</v>
      </c>
      <c r="F336">
        <v>2.3E-3</v>
      </c>
      <c r="G336">
        <v>1E-4</v>
      </c>
      <c r="H336" s="570">
        <v>0</v>
      </c>
      <c r="I336" s="570">
        <v>0</v>
      </c>
      <c r="J336" s="570">
        <v>0</v>
      </c>
      <c r="K336">
        <v>-3.0000000000000001E-5</v>
      </c>
    </row>
    <row r="337" spans="1:11">
      <c r="A337" s="570" t="str">
        <f t="shared" si="5"/>
        <v>33F9</v>
      </c>
      <c r="C337" t="s">
        <v>2345</v>
      </c>
      <c r="D337" t="s">
        <v>1834</v>
      </c>
      <c r="E337">
        <v>9</v>
      </c>
      <c r="F337">
        <v>3.5000000000000001E-3</v>
      </c>
      <c r="G337">
        <v>1E-4</v>
      </c>
      <c r="H337" s="570">
        <v>0</v>
      </c>
      <c r="I337" s="570">
        <v>0</v>
      </c>
      <c r="J337" s="570">
        <v>0</v>
      </c>
      <c r="K337">
        <v>-5.0000000000000002E-5</v>
      </c>
    </row>
    <row r="338" spans="1:11">
      <c r="A338" s="570" t="str">
        <f t="shared" si="5"/>
        <v>32F9</v>
      </c>
      <c r="C338" t="s">
        <v>2346</v>
      </c>
      <c r="D338" t="s">
        <v>1834</v>
      </c>
      <c r="E338">
        <v>9</v>
      </c>
      <c r="F338">
        <v>4.4999999999999997E-3</v>
      </c>
      <c r="G338">
        <v>0</v>
      </c>
      <c r="H338" s="570">
        <v>0</v>
      </c>
      <c r="I338" s="570">
        <v>0</v>
      </c>
      <c r="J338" s="570">
        <v>0</v>
      </c>
      <c r="K338">
        <v>-6.9999999999999994E-5</v>
      </c>
    </row>
    <row r="339" spans="1:11">
      <c r="A339" s="570" t="str">
        <f t="shared" si="5"/>
        <v>31F9</v>
      </c>
      <c r="C339" t="s">
        <v>2347</v>
      </c>
      <c r="D339" t="s">
        <v>1834</v>
      </c>
      <c r="E339">
        <v>9</v>
      </c>
      <c r="F339">
        <v>5.1000000000000004E-3</v>
      </c>
      <c r="G339">
        <v>0</v>
      </c>
      <c r="H339" s="570">
        <v>0</v>
      </c>
      <c r="I339" s="570">
        <v>0</v>
      </c>
      <c r="J339" s="570">
        <v>0</v>
      </c>
      <c r="K339">
        <v>-8.0000000000000007E-5</v>
      </c>
    </row>
    <row r="340" spans="1:11">
      <c r="A340" s="570" t="str">
        <f t="shared" si="5"/>
        <v>30F9</v>
      </c>
      <c r="C340" t="s">
        <v>2348</v>
      </c>
      <c r="D340" t="s">
        <v>1834</v>
      </c>
      <c r="E340">
        <v>9</v>
      </c>
      <c r="F340">
        <v>5.1999999999999998E-3</v>
      </c>
      <c r="G340">
        <v>-1E-4</v>
      </c>
      <c r="H340" s="570">
        <v>0</v>
      </c>
      <c r="I340" s="570">
        <v>0</v>
      </c>
      <c r="J340" s="570">
        <v>0</v>
      </c>
      <c r="K340">
        <v>-8.0000000000000007E-5</v>
      </c>
    </row>
    <row r="341" spans="1:11">
      <c r="A341" s="570" t="str">
        <f t="shared" si="5"/>
        <v>29F9</v>
      </c>
      <c r="C341" t="s">
        <v>2349</v>
      </c>
      <c r="D341" t="s">
        <v>1834</v>
      </c>
      <c r="E341">
        <v>9</v>
      </c>
      <c r="F341">
        <v>5.0000000000000001E-3</v>
      </c>
      <c r="G341">
        <v>-2.0000000000000001E-4</v>
      </c>
      <c r="H341" s="570">
        <v>0</v>
      </c>
      <c r="I341" s="570">
        <v>0</v>
      </c>
      <c r="J341" s="570">
        <v>0</v>
      </c>
      <c r="K341">
        <v>-8.0000000000000007E-5</v>
      </c>
    </row>
    <row r="342" spans="1:11">
      <c r="A342" s="570" t="str">
        <f t="shared" si="5"/>
        <v>28F9</v>
      </c>
      <c r="C342" t="s">
        <v>2350</v>
      </c>
      <c r="D342" t="s">
        <v>1834</v>
      </c>
      <c r="E342">
        <v>9</v>
      </c>
      <c r="F342">
        <v>4.3E-3</v>
      </c>
      <c r="G342">
        <v>-2.0000000000000001E-4</v>
      </c>
      <c r="H342" s="570">
        <v>0</v>
      </c>
      <c r="I342" s="570">
        <v>0</v>
      </c>
      <c r="J342" s="570">
        <v>0</v>
      </c>
      <c r="K342">
        <v>-6.9999999999999994E-5</v>
      </c>
    </row>
    <row r="343" spans="1:11">
      <c r="A343" s="570" t="str">
        <f t="shared" si="5"/>
        <v>27F9</v>
      </c>
      <c r="C343" t="s">
        <v>2351</v>
      </c>
      <c r="D343" t="s">
        <v>1834</v>
      </c>
      <c r="E343">
        <v>9</v>
      </c>
      <c r="F343">
        <v>3.3E-3</v>
      </c>
      <c r="G343">
        <v>-2.9999999999999997E-4</v>
      </c>
      <c r="H343" s="570">
        <v>0</v>
      </c>
      <c r="I343" s="570">
        <v>0</v>
      </c>
      <c r="J343" s="570">
        <v>0</v>
      </c>
      <c r="K343">
        <v>-6.0000000000000002E-5</v>
      </c>
    </row>
    <row r="344" spans="1:11">
      <c r="A344" s="570" t="str">
        <f t="shared" si="5"/>
        <v>26F9</v>
      </c>
      <c r="C344" t="s">
        <v>2352</v>
      </c>
      <c r="D344" t="s">
        <v>1834</v>
      </c>
      <c r="E344">
        <v>9</v>
      </c>
      <c r="F344">
        <v>2.0999999999999999E-3</v>
      </c>
      <c r="G344">
        <v>-4.0000000000000002E-4</v>
      </c>
      <c r="H344" s="570">
        <v>0</v>
      </c>
      <c r="I344" s="570">
        <v>0</v>
      </c>
      <c r="J344" s="570">
        <v>0</v>
      </c>
      <c r="K344">
        <v>-4.0000000000000003E-5</v>
      </c>
    </row>
    <row r="345" spans="1:11">
      <c r="A345" s="570" t="str">
        <f t="shared" si="5"/>
        <v>25F9</v>
      </c>
      <c r="C345" t="s">
        <v>2353</v>
      </c>
      <c r="D345" t="s">
        <v>1834</v>
      </c>
      <c r="E345">
        <v>9</v>
      </c>
      <c r="F345">
        <v>5.9999999999999995E-4</v>
      </c>
      <c r="G345">
        <v>-4.0000000000000002E-4</v>
      </c>
      <c r="H345" s="570">
        <v>0</v>
      </c>
      <c r="I345" s="570">
        <v>0</v>
      </c>
      <c r="J345" s="570">
        <v>0</v>
      </c>
      <c r="K345">
        <v>-2.0000000000000002E-5</v>
      </c>
    </row>
    <row r="346" spans="1:11">
      <c r="A346" s="570" t="str">
        <f t="shared" si="5"/>
        <v>24F9</v>
      </c>
      <c r="C346" t="s">
        <v>2354</v>
      </c>
      <c r="D346" t="s">
        <v>1834</v>
      </c>
      <c r="E346">
        <v>9</v>
      </c>
      <c r="F346">
        <v>-8.0000000000000004E-4</v>
      </c>
      <c r="G346">
        <v>-5.0000000000000001E-4</v>
      </c>
      <c r="H346" s="570">
        <v>0</v>
      </c>
      <c r="I346" s="570">
        <v>0</v>
      </c>
      <c r="J346" s="570">
        <v>0</v>
      </c>
      <c r="K346">
        <v>1.0000000000000001E-5</v>
      </c>
    </row>
    <row r="347" spans="1:11">
      <c r="A347" s="570" t="str">
        <f t="shared" si="5"/>
        <v>23F9</v>
      </c>
      <c r="C347" t="s">
        <v>2355</v>
      </c>
      <c r="D347" t="s">
        <v>1834</v>
      </c>
      <c r="E347">
        <v>9</v>
      </c>
      <c r="F347">
        <v>-2.2000000000000001E-3</v>
      </c>
      <c r="G347">
        <v>-5.0000000000000001E-4</v>
      </c>
      <c r="H347" s="570">
        <v>0</v>
      </c>
      <c r="I347" s="570">
        <v>0</v>
      </c>
      <c r="J347" s="570">
        <v>0</v>
      </c>
      <c r="K347">
        <v>3.0000000000000001E-5</v>
      </c>
    </row>
    <row r="348" spans="1:11">
      <c r="A348" s="570" t="str">
        <f t="shared" si="5"/>
        <v>22F9</v>
      </c>
      <c r="C348" t="s">
        <v>2356</v>
      </c>
      <c r="D348" t="s">
        <v>1834</v>
      </c>
      <c r="E348">
        <v>9</v>
      </c>
      <c r="F348">
        <v>-3.5000000000000001E-3</v>
      </c>
      <c r="G348">
        <v>-5.0000000000000001E-4</v>
      </c>
      <c r="H348" s="570">
        <v>0</v>
      </c>
      <c r="I348" s="570">
        <v>0</v>
      </c>
      <c r="J348" s="570">
        <v>0</v>
      </c>
      <c r="K348">
        <v>5.0000000000000002E-5</v>
      </c>
    </row>
    <row r="349" spans="1:11">
      <c r="A349" s="570" t="str">
        <f t="shared" si="5"/>
        <v>21F9</v>
      </c>
      <c r="C349" t="s">
        <v>2357</v>
      </c>
      <c r="D349" t="s">
        <v>1834</v>
      </c>
      <c r="E349">
        <v>9</v>
      </c>
      <c r="F349">
        <v>-4.4999999999999997E-3</v>
      </c>
      <c r="G349">
        <v>-4.0000000000000002E-4</v>
      </c>
      <c r="H349" s="570">
        <v>0</v>
      </c>
      <c r="I349" s="570">
        <v>0</v>
      </c>
      <c r="J349" s="570">
        <v>0</v>
      </c>
      <c r="K349">
        <v>6.9999999999999994E-5</v>
      </c>
    </row>
    <row r="350" spans="1:11">
      <c r="A350" s="570" t="str">
        <f t="shared" si="5"/>
        <v>20F9</v>
      </c>
      <c r="C350" t="s">
        <v>2358</v>
      </c>
      <c r="D350" t="s">
        <v>1834</v>
      </c>
      <c r="E350">
        <v>9</v>
      </c>
      <c r="F350">
        <v>-5.1000000000000004E-3</v>
      </c>
      <c r="G350">
        <v>-2.9999999999999997E-4</v>
      </c>
      <c r="H350" s="570">
        <v>0</v>
      </c>
      <c r="I350" s="570">
        <v>0</v>
      </c>
      <c r="J350" s="570">
        <v>0</v>
      </c>
      <c r="K350">
        <v>8.0000000000000007E-5</v>
      </c>
    </row>
    <row r="351" spans="1:11">
      <c r="A351" s="570" t="str">
        <f t="shared" si="5"/>
        <v>19F9</v>
      </c>
      <c r="C351" t="s">
        <v>2359</v>
      </c>
      <c r="D351" t="s">
        <v>1834</v>
      </c>
      <c r="E351">
        <v>9</v>
      </c>
      <c r="F351">
        <v>-5.3E-3</v>
      </c>
      <c r="G351">
        <v>-2.9999999999999997E-4</v>
      </c>
      <c r="H351" s="570">
        <v>0</v>
      </c>
      <c r="I351" s="570">
        <v>0</v>
      </c>
      <c r="J351" s="570">
        <v>0</v>
      </c>
      <c r="K351">
        <v>8.0000000000000007E-5</v>
      </c>
    </row>
    <row r="352" spans="1:11">
      <c r="A352" s="570" t="str">
        <f t="shared" si="5"/>
        <v>18F9</v>
      </c>
      <c r="C352" t="s">
        <v>2360</v>
      </c>
      <c r="D352" t="s">
        <v>1834</v>
      </c>
      <c r="E352">
        <v>9</v>
      </c>
      <c r="F352">
        <v>-5.1999999999999998E-3</v>
      </c>
      <c r="G352">
        <v>-2.0000000000000001E-4</v>
      </c>
      <c r="H352" s="570">
        <v>0</v>
      </c>
      <c r="I352" s="570">
        <v>0</v>
      </c>
      <c r="J352" s="570">
        <v>0</v>
      </c>
      <c r="K352">
        <v>8.0000000000000007E-5</v>
      </c>
    </row>
    <row r="353" spans="1:11">
      <c r="A353" s="570" t="str">
        <f t="shared" si="5"/>
        <v>17F9</v>
      </c>
      <c r="C353" t="s">
        <v>2361</v>
      </c>
      <c r="D353" t="s">
        <v>1834</v>
      </c>
      <c r="E353">
        <v>9</v>
      </c>
      <c r="F353">
        <v>-4.7000000000000002E-3</v>
      </c>
      <c r="G353">
        <v>-1E-4</v>
      </c>
      <c r="H353" s="570">
        <v>0</v>
      </c>
      <c r="I353" s="570">
        <v>0</v>
      </c>
      <c r="J353" s="570">
        <v>0</v>
      </c>
      <c r="K353">
        <v>6.9999999999999994E-5</v>
      </c>
    </row>
    <row r="354" spans="1:11">
      <c r="A354" s="570" t="str">
        <f t="shared" si="5"/>
        <v>16F9</v>
      </c>
      <c r="C354" t="s">
        <v>2362</v>
      </c>
      <c r="D354" t="s">
        <v>1834</v>
      </c>
      <c r="E354">
        <v>9</v>
      </c>
      <c r="F354">
        <v>-3.8E-3</v>
      </c>
      <c r="G354">
        <v>1E-4</v>
      </c>
      <c r="H354" s="570">
        <v>0</v>
      </c>
      <c r="I354" s="570">
        <v>0</v>
      </c>
      <c r="J354" s="570">
        <v>0</v>
      </c>
      <c r="K354">
        <v>6.0000000000000002E-5</v>
      </c>
    </row>
    <row r="355" spans="1:11">
      <c r="A355" s="570" t="str">
        <f t="shared" si="5"/>
        <v>15F9</v>
      </c>
      <c r="C355" t="s">
        <v>2363</v>
      </c>
      <c r="D355" t="s">
        <v>1834</v>
      </c>
      <c r="E355">
        <v>9</v>
      </c>
      <c r="F355">
        <v>-2.7000000000000001E-3</v>
      </c>
      <c r="G355">
        <v>2.0000000000000001E-4</v>
      </c>
      <c r="H355" s="570">
        <v>0</v>
      </c>
      <c r="I355" s="570">
        <v>0</v>
      </c>
      <c r="J355" s="570">
        <v>0</v>
      </c>
      <c r="K355">
        <v>4.0000000000000003E-5</v>
      </c>
    </row>
    <row r="356" spans="1:11">
      <c r="A356" s="570" t="str">
        <f t="shared" si="5"/>
        <v>14F9</v>
      </c>
      <c r="C356" t="s">
        <v>2364</v>
      </c>
      <c r="D356" t="s">
        <v>1834</v>
      </c>
      <c r="E356">
        <v>9</v>
      </c>
      <c r="F356">
        <v>-1.2999999999999999E-3</v>
      </c>
      <c r="G356">
        <v>2.9999999999999997E-4</v>
      </c>
      <c r="H356" s="570">
        <v>0</v>
      </c>
      <c r="I356" s="570">
        <v>0</v>
      </c>
      <c r="J356" s="570">
        <v>0</v>
      </c>
      <c r="K356">
        <v>2.0000000000000002E-5</v>
      </c>
    </row>
    <row r="357" spans="1:11">
      <c r="A357" s="570" t="str">
        <f t="shared" si="5"/>
        <v>13F9</v>
      </c>
      <c r="C357" t="s">
        <v>2365</v>
      </c>
      <c r="D357" t="s">
        <v>1834</v>
      </c>
      <c r="E357">
        <v>9</v>
      </c>
      <c r="F357">
        <v>1E-4</v>
      </c>
      <c r="G357">
        <v>5.0000000000000001E-4</v>
      </c>
      <c r="H357" s="570">
        <v>0</v>
      </c>
      <c r="I357" s="570">
        <v>0</v>
      </c>
      <c r="J357" s="570">
        <v>0</v>
      </c>
      <c r="K357">
        <v>0</v>
      </c>
    </row>
    <row r="358" spans="1:11">
      <c r="A358" s="570" t="str">
        <f t="shared" si="5"/>
        <v>12F9</v>
      </c>
      <c r="C358" t="s">
        <v>2366</v>
      </c>
      <c r="D358" t="s">
        <v>1834</v>
      </c>
      <c r="E358">
        <v>9</v>
      </c>
      <c r="F358">
        <v>1.5E-3</v>
      </c>
      <c r="G358">
        <v>5.9999999999999995E-4</v>
      </c>
      <c r="H358" s="570">
        <v>0</v>
      </c>
      <c r="I358" s="570">
        <v>0</v>
      </c>
      <c r="J358" s="570">
        <v>0</v>
      </c>
      <c r="K358">
        <v>-2.0000000000000002E-5</v>
      </c>
    </row>
    <row r="359" spans="1:11">
      <c r="A359" s="570" t="str">
        <f t="shared" si="5"/>
        <v>11F9</v>
      </c>
      <c r="C359" t="s">
        <v>2367</v>
      </c>
      <c r="D359" t="s">
        <v>1834</v>
      </c>
      <c r="E359">
        <v>9</v>
      </c>
      <c r="F359">
        <v>2.8E-3</v>
      </c>
      <c r="G359">
        <v>6.9999999999999999E-4</v>
      </c>
      <c r="H359" s="570">
        <v>0</v>
      </c>
      <c r="I359" s="570">
        <v>0</v>
      </c>
      <c r="J359" s="570">
        <v>0</v>
      </c>
      <c r="K359">
        <v>-5.0000000000000002E-5</v>
      </c>
    </row>
    <row r="360" spans="1:11">
      <c r="A360" s="570" t="str">
        <f t="shared" si="5"/>
        <v>10F9</v>
      </c>
      <c r="C360" t="s">
        <v>2368</v>
      </c>
      <c r="D360" t="s">
        <v>1834</v>
      </c>
      <c r="E360">
        <v>9</v>
      </c>
      <c r="F360">
        <v>3.8999999999999998E-3</v>
      </c>
      <c r="G360">
        <v>6.9999999999999999E-4</v>
      </c>
      <c r="H360" s="570">
        <v>0</v>
      </c>
      <c r="I360" s="570">
        <v>0</v>
      </c>
      <c r="J360" s="570">
        <v>0</v>
      </c>
      <c r="K360">
        <v>-6.0000000000000002E-5</v>
      </c>
    </row>
    <row r="361" spans="1:11">
      <c r="A361" s="570" t="str">
        <f t="shared" si="5"/>
        <v>9F9</v>
      </c>
      <c r="C361" t="s">
        <v>2369</v>
      </c>
      <c r="D361" t="s">
        <v>1834</v>
      </c>
      <c r="E361">
        <v>9</v>
      </c>
      <c r="F361">
        <v>4.7000000000000002E-3</v>
      </c>
      <c r="G361">
        <v>6.9999999999999999E-4</v>
      </c>
      <c r="H361" s="570">
        <v>0</v>
      </c>
      <c r="I361" s="570">
        <v>0</v>
      </c>
      <c r="J361" s="570">
        <v>0</v>
      </c>
      <c r="K361">
        <v>-6.9999999999999994E-5</v>
      </c>
    </row>
    <row r="362" spans="1:11">
      <c r="A362" s="570" t="str">
        <f t="shared" si="5"/>
        <v>8F9</v>
      </c>
      <c r="C362" t="s">
        <v>2370</v>
      </c>
      <c r="D362" t="s">
        <v>1834</v>
      </c>
      <c r="E362">
        <v>9</v>
      </c>
      <c r="F362">
        <v>5.1999999999999998E-3</v>
      </c>
      <c r="G362">
        <v>6.9999999999999999E-4</v>
      </c>
      <c r="H362" s="570">
        <v>0</v>
      </c>
      <c r="I362" s="570">
        <v>0</v>
      </c>
      <c r="J362" s="570">
        <v>0</v>
      </c>
      <c r="K362">
        <v>-8.0000000000000007E-5</v>
      </c>
    </row>
    <row r="363" spans="1:11">
      <c r="A363" s="570" t="str">
        <f t="shared" si="5"/>
        <v>7F9</v>
      </c>
      <c r="C363" t="s">
        <v>2371</v>
      </c>
      <c r="D363" t="s">
        <v>1834</v>
      </c>
      <c r="E363">
        <v>9</v>
      </c>
      <c r="F363">
        <v>5.3E-3</v>
      </c>
      <c r="G363">
        <v>6.9999999999999999E-4</v>
      </c>
      <c r="H363" s="570">
        <v>0</v>
      </c>
      <c r="I363" s="570">
        <v>0</v>
      </c>
      <c r="J363" s="570">
        <v>0</v>
      </c>
      <c r="K363">
        <v>-8.0000000000000007E-5</v>
      </c>
    </row>
    <row r="364" spans="1:11">
      <c r="A364" s="570" t="str">
        <f t="shared" si="5"/>
        <v>6F9</v>
      </c>
      <c r="C364" t="s">
        <v>2372</v>
      </c>
      <c r="D364" t="s">
        <v>1834</v>
      </c>
      <c r="E364">
        <v>9</v>
      </c>
      <c r="F364">
        <v>5.1000000000000004E-3</v>
      </c>
      <c r="G364">
        <v>5.9999999999999995E-4</v>
      </c>
      <c r="H364" s="570">
        <v>0</v>
      </c>
      <c r="I364" s="570">
        <v>0</v>
      </c>
      <c r="J364" s="570">
        <v>0</v>
      </c>
      <c r="K364">
        <v>-8.0000000000000007E-5</v>
      </c>
    </row>
    <row r="365" spans="1:11">
      <c r="A365" s="570" t="str">
        <f t="shared" si="5"/>
        <v>5F9</v>
      </c>
      <c r="C365" t="s">
        <v>2373</v>
      </c>
      <c r="D365" t="s">
        <v>1834</v>
      </c>
      <c r="E365">
        <v>9</v>
      </c>
      <c r="F365">
        <v>4.5999999999999999E-3</v>
      </c>
      <c r="G365">
        <v>5.9999999999999995E-4</v>
      </c>
      <c r="H365" s="570">
        <v>0</v>
      </c>
      <c r="I365" s="570">
        <v>0</v>
      </c>
      <c r="J365" s="570">
        <v>0</v>
      </c>
      <c r="K365">
        <v>-6.9999999999999994E-5</v>
      </c>
    </row>
    <row r="366" spans="1:11">
      <c r="A366" s="570" t="str">
        <f t="shared" si="5"/>
        <v>4F9</v>
      </c>
      <c r="C366" t="s">
        <v>2374</v>
      </c>
      <c r="D366" t="s">
        <v>1834</v>
      </c>
      <c r="E366">
        <v>9</v>
      </c>
      <c r="F366">
        <v>3.8E-3</v>
      </c>
      <c r="G366">
        <v>4.0000000000000002E-4</v>
      </c>
      <c r="H366" s="570">
        <v>0</v>
      </c>
      <c r="I366" s="570">
        <v>0</v>
      </c>
      <c r="J366" s="570">
        <v>0</v>
      </c>
      <c r="K366">
        <v>-6.0000000000000002E-5</v>
      </c>
    </row>
    <row r="367" spans="1:11">
      <c r="A367" s="570" t="str">
        <f t="shared" si="5"/>
        <v>3F9</v>
      </c>
      <c r="C367" t="s">
        <v>2375</v>
      </c>
      <c r="D367" t="s">
        <v>1834</v>
      </c>
      <c r="E367">
        <v>9</v>
      </c>
      <c r="F367">
        <v>2.8E-3</v>
      </c>
      <c r="G367">
        <v>2.9999999999999997E-4</v>
      </c>
      <c r="H367" s="570">
        <v>0</v>
      </c>
      <c r="I367" s="570">
        <v>0</v>
      </c>
      <c r="J367" s="570">
        <v>0</v>
      </c>
      <c r="K367">
        <v>-4.0000000000000003E-5</v>
      </c>
    </row>
    <row r="368" spans="1:11">
      <c r="A368" s="570" t="str">
        <f t="shared" si="5"/>
        <v>2F9</v>
      </c>
      <c r="C368" t="s">
        <v>2376</v>
      </c>
      <c r="D368" t="s">
        <v>1834</v>
      </c>
      <c r="E368">
        <v>9</v>
      </c>
      <c r="F368">
        <v>1.8E-3</v>
      </c>
      <c r="G368">
        <v>2.0000000000000001E-4</v>
      </c>
      <c r="H368" s="570">
        <v>0</v>
      </c>
      <c r="I368" s="570">
        <v>0</v>
      </c>
      <c r="J368" s="570">
        <v>0</v>
      </c>
      <c r="K368">
        <v>-3.0000000000000001E-5</v>
      </c>
    </row>
    <row r="369" spans="1:11">
      <c r="A369" s="570" t="str">
        <f t="shared" si="5"/>
        <v>1F9</v>
      </c>
      <c r="C369" t="s">
        <v>2377</v>
      </c>
      <c r="D369" t="s">
        <v>1834</v>
      </c>
      <c r="E369">
        <v>9</v>
      </c>
      <c r="F369">
        <v>5.9999999999999995E-4</v>
      </c>
      <c r="G369">
        <v>0</v>
      </c>
      <c r="H369" s="570">
        <v>0</v>
      </c>
      <c r="I369" s="570">
        <v>0</v>
      </c>
      <c r="J369" s="570">
        <v>0</v>
      </c>
      <c r="K369">
        <v>-1.0000000000000001E-5</v>
      </c>
    </row>
    <row r="370" spans="1:11">
      <c r="A370" s="570" t="str">
        <f t="shared" si="5"/>
        <v>B19</v>
      </c>
      <c r="C370" t="s">
        <v>2327</v>
      </c>
      <c r="D370" t="s">
        <v>1834</v>
      </c>
      <c r="E370">
        <v>9</v>
      </c>
      <c r="F370">
        <v>0</v>
      </c>
      <c r="G370">
        <v>0</v>
      </c>
      <c r="H370" s="570">
        <v>0</v>
      </c>
      <c r="I370" s="570">
        <v>0</v>
      </c>
      <c r="J370" s="570">
        <v>0</v>
      </c>
      <c r="K370">
        <v>0</v>
      </c>
    </row>
    <row r="371" spans="1:11">
      <c r="A371" s="570" t="str">
        <f t="shared" si="5"/>
        <v>MAI10</v>
      </c>
      <c r="C371" t="s">
        <v>2270</v>
      </c>
      <c r="D371" t="s">
        <v>1834</v>
      </c>
      <c r="E371">
        <v>10</v>
      </c>
      <c r="F371">
        <v>-4.0000000000000002E-4</v>
      </c>
      <c r="G371">
        <v>-8.6999999999999994E-3</v>
      </c>
      <c r="H371" s="570">
        <v>0</v>
      </c>
      <c r="I371" s="570">
        <v>0</v>
      </c>
      <c r="J371" s="570">
        <v>0</v>
      </c>
      <c r="K371">
        <v>1.0000000000000001E-5</v>
      </c>
    </row>
    <row r="372" spans="1:11">
      <c r="A372" s="570" t="str">
        <f t="shared" si="5"/>
        <v>TUM10</v>
      </c>
      <c r="C372" t="s">
        <v>2271</v>
      </c>
      <c r="D372" t="s">
        <v>1834</v>
      </c>
      <c r="E372">
        <v>10</v>
      </c>
      <c r="F372">
        <v>-2.9999999999999997E-4</v>
      </c>
      <c r="G372">
        <v>-6.4999999999999997E-3</v>
      </c>
      <c r="H372" s="570">
        <v>0</v>
      </c>
      <c r="I372" s="570">
        <v>0</v>
      </c>
      <c r="J372" s="570">
        <v>0</v>
      </c>
      <c r="K372">
        <v>0</v>
      </c>
    </row>
    <row r="373" spans="1:11">
      <c r="A373" s="570" t="str">
        <f t="shared" si="5"/>
        <v>38F10</v>
      </c>
      <c r="C373" t="s">
        <v>2340</v>
      </c>
      <c r="D373" t="s">
        <v>1834</v>
      </c>
      <c r="E373">
        <v>10</v>
      </c>
      <c r="F373">
        <v>-2.0000000000000001E-4</v>
      </c>
      <c r="G373">
        <v>-5.3E-3</v>
      </c>
      <c r="H373" s="570">
        <v>0</v>
      </c>
      <c r="I373" s="570">
        <v>0</v>
      </c>
      <c r="J373" s="570">
        <v>0</v>
      </c>
      <c r="K373">
        <v>1.0000000000000001E-5</v>
      </c>
    </row>
    <row r="374" spans="1:11">
      <c r="A374" s="570" t="str">
        <f t="shared" si="5"/>
        <v>37F10</v>
      </c>
      <c r="C374" t="s">
        <v>2341</v>
      </c>
      <c r="D374" t="s">
        <v>1834</v>
      </c>
      <c r="E374">
        <v>10</v>
      </c>
      <c r="F374">
        <v>-1E-4</v>
      </c>
      <c r="G374">
        <v>-4.0000000000000001E-3</v>
      </c>
      <c r="H374" s="570">
        <v>0</v>
      </c>
      <c r="I374" s="570">
        <v>0</v>
      </c>
      <c r="J374" s="570">
        <v>0</v>
      </c>
      <c r="K374">
        <v>1.0000000000000001E-5</v>
      </c>
    </row>
    <row r="375" spans="1:11">
      <c r="A375" s="570" t="str">
        <f t="shared" si="5"/>
        <v>36F10</v>
      </c>
      <c r="C375" t="s">
        <v>2342</v>
      </c>
      <c r="D375" t="s">
        <v>1834</v>
      </c>
      <c r="E375">
        <v>10</v>
      </c>
      <c r="F375">
        <v>0</v>
      </c>
      <c r="G375">
        <v>-2.7000000000000001E-3</v>
      </c>
      <c r="H375" s="570">
        <v>0</v>
      </c>
      <c r="I375" s="570">
        <v>0</v>
      </c>
      <c r="J375" s="570">
        <v>0</v>
      </c>
      <c r="K375">
        <v>1.0000000000000001E-5</v>
      </c>
    </row>
    <row r="376" spans="1:11">
      <c r="A376" s="570" t="str">
        <f t="shared" si="5"/>
        <v>35F10</v>
      </c>
      <c r="C376" t="s">
        <v>2343</v>
      </c>
      <c r="D376" t="s">
        <v>1834</v>
      </c>
      <c r="E376">
        <v>10</v>
      </c>
      <c r="F376">
        <v>1E-4</v>
      </c>
      <c r="G376">
        <v>-1.4E-3</v>
      </c>
      <c r="H376" s="570">
        <v>0</v>
      </c>
      <c r="I376" s="570">
        <v>0</v>
      </c>
      <c r="J376" s="570">
        <v>0</v>
      </c>
      <c r="K376">
        <v>1.0000000000000001E-5</v>
      </c>
    </row>
    <row r="377" spans="1:11">
      <c r="A377" s="570" t="str">
        <f t="shared" si="5"/>
        <v>34F10</v>
      </c>
      <c r="C377" t="s">
        <v>2344</v>
      </c>
      <c r="D377" t="s">
        <v>1834</v>
      </c>
      <c r="E377">
        <v>10</v>
      </c>
      <c r="F377">
        <v>2.0000000000000001E-4</v>
      </c>
      <c r="G377">
        <v>-2.0000000000000001E-4</v>
      </c>
      <c r="H377" s="570">
        <v>0</v>
      </c>
      <c r="I377" s="570">
        <v>0</v>
      </c>
      <c r="J377" s="570">
        <v>0</v>
      </c>
      <c r="K377">
        <v>1.0000000000000001E-5</v>
      </c>
    </row>
    <row r="378" spans="1:11">
      <c r="A378" s="570" t="str">
        <f t="shared" si="5"/>
        <v>33F10</v>
      </c>
      <c r="C378" t="s">
        <v>2345</v>
      </c>
      <c r="D378" t="s">
        <v>1834</v>
      </c>
      <c r="E378">
        <v>10</v>
      </c>
      <c r="F378">
        <v>2.9999999999999997E-4</v>
      </c>
      <c r="G378">
        <v>1E-3</v>
      </c>
      <c r="H378" s="570">
        <v>0</v>
      </c>
      <c r="I378" s="570">
        <v>0</v>
      </c>
      <c r="J378" s="570">
        <v>0</v>
      </c>
      <c r="K378">
        <v>0</v>
      </c>
    </row>
    <row r="379" spans="1:11">
      <c r="A379" s="570" t="str">
        <f t="shared" si="5"/>
        <v>32F10</v>
      </c>
      <c r="C379" t="s">
        <v>2346</v>
      </c>
      <c r="D379" t="s">
        <v>1834</v>
      </c>
      <c r="E379">
        <v>10</v>
      </c>
      <c r="F379">
        <v>2.9999999999999997E-4</v>
      </c>
      <c r="G379">
        <v>2.2000000000000001E-3</v>
      </c>
      <c r="H379" s="570">
        <v>0</v>
      </c>
      <c r="I379" s="570">
        <v>0</v>
      </c>
      <c r="J379" s="570">
        <v>0</v>
      </c>
      <c r="K379">
        <v>0</v>
      </c>
    </row>
    <row r="380" spans="1:11">
      <c r="A380" s="570" t="str">
        <f t="shared" si="5"/>
        <v>31F10</v>
      </c>
      <c r="C380" t="s">
        <v>2347</v>
      </c>
      <c r="D380" t="s">
        <v>1834</v>
      </c>
      <c r="E380">
        <v>10</v>
      </c>
      <c r="F380">
        <v>2.9999999999999997E-4</v>
      </c>
      <c r="G380">
        <v>3.2000000000000002E-3</v>
      </c>
      <c r="H380" s="570">
        <v>0</v>
      </c>
      <c r="I380" s="570">
        <v>0</v>
      </c>
      <c r="J380" s="570">
        <v>0</v>
      </c>
      <c r="K380">
        <v>0</v>
      </c>
    </row>
    <row r="381" spans="1:11">
      <c r="A381" s="570" t="str">
        <f t="shared" si="5"/>
        <v>30F10</v>
      </c>
      <c r="C381" t="s">
        <v>2348</v>
      </c>
      <c r="D381" t="s">
        <v>1834</v>
      </c>
      <c r="E381">
        <v>10</v>
      </c>
      <c r="F381">
        <v>2.9999999999999997E-4</v>
      </c>
      <c r="G381">
        <v>4.0000000000000001E-3</v>
      </c>
      <c r="H381" s="570">
        <v>0</v>
      </c>
      <c r="I381" s="570">
        <v>0</v>
      </c>
      <c r="J381" s="570">
        <v>0</v>
      </c>
      <c r="K381">
        <v>0</v>
      </c>
    </row>
    <row r="382" spans="1:11">
      <c r="A382" s="570" t="str">
        <f t="shared" si="5"/>
        <v>29F10</v>
      </c>
      <c r="C382" t="s">
        <v>2349</v>
      </c>
      <c r="D382" t="s">
        <v>1834</v>
      </c>
      <c r="E382">
        <v>10</v>
      </c>
      <c r="F382">
        <v>2.9999999999999997E-4</v>
      </c>
      <c r="G382">
        <v>4.5999999999999999E-3</v>
      </c>
      <c r="H382" s="570">
        <v>0</v>
      </c>
      <c r="I382" s="570">
        <v>0</v>
      </c>
      <c r="J382" s="570">
        <v>0</v>
      </c>
      <c r="K382">
        <v>0</v>
      </c>
    </row>
    <row r="383" spans="1:11">
      <c r="A383" s="570" t="str">
        <f t="shared" si="5"/>
        <v>28F10</v>
      </c>
      <c r="C383" t="s">
        <v>2350</v>
      </c>
      <c r="D383" t="s">
        <v>1834</v>
      </c>
      <c r="E383">
        <v>10</v>
      </c>
      <c r="F383">
        <v>2.0000000000000001E-4</v>
      </c>
      <c r="G383">
        <v>5.1000000000000004E-3</v>
      </c>
      <c r="H383" s="570">
        <v>0</v>
      </c>
      <c r="I383" s="570">
        <v>0</v>
      </c>
      <c r="J383" s="570">
        <v>0</v>
      </c>
      <c r="K383">
        <v>-1.0000000000000001E-5</v>
      </c>
    </row>
    <row r="384" spans="1:11">
      <c r="A384" s="570" t="str">
        <f t="shared" si="5"/>
        <v>27F10</v>
      </c>
      <c r="C384" t="s">
        <v>2351</v>
      </c>
      <c r="D384" t="s">
        <v>1834</v>
      </c>
      <c r="E384">
        <v>10</v>
      </c>
      <c r="F384">
        <v>1E-4</v>
      </c>
      <c r="G384">
        <v>5.3E-3</v>
      </c>
      <c r="H384" s="570">
        <v>0</v>
      </c>
      <c r="I384" s="570">
        <v>0</v>
      </c>
      <c r="J384" s="570">
        <v>0</v>
      </c>
      <c r="K384">
        <v>-1.0000000000000001E-5</v>
      </c>
    </row>
    <row r="385" spans="1:11">
      <c r="A385" s="570" t="str">
        <f t="shared" si="5"/>
        <v>26F10</v>
      </c>
      <c r="C385" t="s">
        <v>2352</v>
      </c>
      <c r="D385" t="s">
        <v>1834</v>
      </c>
      <c r="E385">
        <v>10</v>
      </c>
      <c r="F385">
        <v>0</v>
      </c>
      <c r="G385">
        <v>5.3E-3</v>
      </c>
      <c r="H385" s="570">
        <v>0</v>
      </c>
      <c r="I385" s="570">
        <v>0</v>
      </c>
      <c r="J385" s="570">
        <v>0</v>
      </c>
      <c r="K385">
        <v>-1.0000000000000001E-5</v>
      </c>
    </row>
    <row r="386" spans="1:11">
      <c r="A386" s="570" t="str">
        <f t="shared" ref="A386:A449" si="6">C386&amp;E386</f>
        <v>25F10</v>
      </c>
      <c r="C386" t="s">
        <v>2353</v>
      </c>
      <c r="D386" t="s">
        <v>1834</v>
      </c>
      <c r="E386">
        <v>10</v>
      </c>
      <c r="F386">
        <v>-2.0000000000000001E-4</v>
      </c>
      <c r="G386">
        <v>5.1000000000000004E-3</v>
      </c>
      <c r="H386" s="570">
        <v>0</v>
      </c>
      <c r="I386" s="570">
        <v>0</v>
      </c>
      <c r="J386" s="570">
        <v>0</v>
      </c>
      <c r="K386">
        <v>-1.0000000000000001E-5</v>
      </c>
    </row>
    <row r="387" spans="1:11">
      <c r="A387" s="570" t="str">
        <f t="shared" si="6"/>
        <v>24F10</v>
      </c>
      <c r="C387" t="s">
        <v>2354</v>
      </c>
      <c r="D387" t="s">
        <v>1834</v>
      </c>
      <c r="E387">
        <v>10</v>
      </c>
      <c r="F387">
        <v>-2.9999999999999997E-4</v>
      </c>
      <c r="G387">
        <v>4.7000000000000002E-3</v>
      </c>
      <c r="H387" s="570">
        <v>0</v>
      </c>
      <c r="I387" s="570">
        <v>0</v>
      </c>
      <c r="J387" s="570">
        <v>0</v>
      </c>
      <c r="K387">
        <v>-1.0000000000000001E-5</v>
      </c>
    </row>
    <row r="388" spans="1:11">
      <c r="A388" s="570" t="str">
        <f t="shared" si="6"/>
        <v>23F10</v>
      </c>
      <c r="C388" t="s">
        <v>2355</v>
      </c>
      <c r="D388" t="s">
        <v>1834</v>
      </c>
      <c r="E388">
        <v>10</v>
      </c>
      <c r="F388">
        <v>-4.0000000000000002E-4</v>
      </c>
      <c r="G388">
        <v>4.1000000000000003E-3</v>
      </c>
      <c r="H388" s="570">
        <v>0</v>
      </c>
      <c r="I388" s="570">
        <v>0</v>
      </c>
      <c r="J388" s="570">
        <v>0</v>
      </c>
      <c r="K388">
        <v>-1.0000000000000001E-5</v>
      </c>
    </row>
    <row r="389" spans="1:11">
      <c r="A389" s="570" t="str">
        <f t="shared" si="6"/>
        <v>22F10</v>
      </c>
      <c r="C389" t="s">
        <v>2356</v>
      </c>
      <c r="D389" t="s">
        <v>1834</v>
      </c>
      <c r="E389">
        <v>10</v>
      </c>
      <c r="F389">
        <v>-5.0000000000000001E-4</v>
      </c>
      <c r="G389">
        <v>3.3E-3</v>
      </c>
      <c r="H389" s="570">
        <v>0</v>
      </c>
      <c r="I389" s="570">
        <v>0</v>
      </c>
      <c r="J389" s="570">
        <v>0</v>
      </c>
      <c r="K389">
        <v>-1.0000000000000001E-5</v>
      </c>
    </row>
    <row r="390" spans="1:11">
      <c r="A390" s="570" t="str">
        <f t="shared" si="6"/>
        <v>21F10</v>
      </c>
      <c r="C390" t="s">
        <v>2357</v>
      </c>
      <c r="D390" t="s">
        <v>1834</v>
      </c>
      <c r="E390">
        <v>10</v>
      </c>
      <c r="F390">
        <v>-5.9999999999999995E-4</v>
      </c>
      <c r="G390">
        <v>2.3999999999999998E-3</v>
      </c>
      <c r="H390" s="570">
        <v>0</v>
      </c>
      <c r="I390" s="570">
        <v>0</v>
      </c>
      <c r="J390" s="570">
        <v>0</v>
      </c>
      <c r="K390">
        <v>-1.0000000000000001E-5</v>
      </c>
    </row>
    <row r="391" spans="1:11">
      <c r="A391" s="570" t="str">
        <f t="shared" si="6"/>
        <v>20F10</v>
      </c>
      <c r="C391" t="s">
        <v>2358</v>
      </c>
      <c r="D391" t="s">
        <v>1834</v>
      </c>
      <c r="E391">
        <v>10</v>
      </c>
      <c r="F391">
        <v>-5.9999999999999995E-4</v>
      </c>
      <c r="G391">
        <v>1.4E-3</v>
      </c>
      <c r="H391" s="570">
        <v>0</v>
      </c>
      <c r="I391" s="570">
        <v>0</v>
      </c>
      <c r="J391" s="570">
        <v>0</v>
      </c>
      <c r="K391">
        <v>-1.0000000000000001E-5</v>
      </c>
    </row>
    <row r="392" spans="1:11">
      <c r="A392" s="570" t="str">
        <f t="shared" si="6"/>
        <v>19F10</v>
      </c>
      <c r="C392" t="s">
        <v>2359</v>
      </c>
      <c r="D392" t="s">
        <v>1834</v>
      </c>
      <c r="E392">
        <v>10</v>
      </c>
      <c r="F392">
        <v>-5.9999999999999995E-4</v>
      </c>
      <c r="G392">
        <v>4.0000000000000002E-4</v>
      </c>
      <c r="H392" s="570">
        <v>0</v>
      </c>
      <c r="I392" s="570">
        <v>0</v>
      </c>
      <c r="J392" s="570">
        <v>0</v>
      </c>
      <c r="K392">
        <v>-1.0000000000000001E-5</v>
      </c>
    </row>
    <row r="393" spans="1:11">
      <c r="A393" s="570" t="str">
        <f t="shared" si="6"/>
        <v>18F10</v>
      </c>
      <c r="C393" t="s">
        <v>2360</v>
      </c>
      <c r="D393" t="s">
        <v>1834</v>
      </c>
      <c r="E393">
        <v>10</v>
      </c>
      <c r="F393">
        <v>-5.0000000000000001E-4</v>
      </c>
      <c r="G393">
        <v>-6.9999999999999999E-4</v>
      </c>
      <c r="H393" s="570">
        <v>0</v>
      </c>
      <c r="I393" s="570">
        <v>0</v>
      </c>
      <c r="J393" s="570">
        <v>0</v>
      </c>
      <c r="K393">
        <v>0</v>
      </c>
    </row>
    <row r="394" spans="1:11">
      <c r="A394" s="570" t="str">
        <f t="shared" si="6"/>
        <v>17F10</v>
      </c>
      <c r="C394" t="s">
        <v>2361</v>
      </c>
      <c r="D394" t="s">
        <v>1834</v>
      </c>
      <c r="E394">
        <v>10</v>
      </c>
      <c r="F394">
        <v>-4.0000000000000002E-4</v>
      </c>
      <c r="G394">
        <v>-1.8E-3</v>
      </c>
      <c r="H394" s="570">
        <v>0</v>
      </c>
      <c r="I394" s="570">
        <v>0</v>
      </c>
      <c r="J394" s="570">
        <v>0</v>
      </c>
      <c r="K394">
        <v>0</v>
      </c>
    </row>
    <row r="395" spans="1:11">
      <c r="A395" s="570" t="str">
        <f t="shared" si="6"/>
        <v>16F10</v>
      </c>
      <c r="C395" t="s">
        <v>2362</v>
      </c>
      <c r="D395" t="s">
        <v>1834</v>
      </c>
      <c r="E395">
        <v>10</v>
      </c>
      <c r="F395">
        <v>-2.9999999999999997E-4</v>
      </c>
      <c r="G395">
        <v>-2.7000000000000001E-3</v>
      </c>
      <c r="H395" s="570">
        <v>0</v>
      </c>
      <c r="I395" s="570">
        <v>0</v>
      </c>
      <c r="J395" s="570">
        <v>0</v>
      </c>
      <c r="K395">
        <v>0</v>
      </c>
    </row>
    <row r="396" spans="1:11">
      <c r="A396" s="570" t="str">
        <f t="shared" si="6"/>
        <v>15F10</v>
      </c>
      <c r="C396" t="s">
        <v>2363</v>
      </c>
      <c r="D396" t="s">
        <v>1834</v>
      </c>
      <c r="E396">
        <v>10</v>
      </c>
      <c r="F396">
        <v>-1E-4</v>
      </c>
      <c r="G396">
        <v>-3.5999999999999999E-3</v>
      </c>
      <c r="H396" s="570">
        <v>0</v>
      </c>
      <c r="I396" s="570">
        <v>0</v>
      </c>
      <c r="J396" s="570">
        <v>0</v>
      </c>
      <c r="K396">
        <v>0</v>
      </c>
    </row>
    <row r="397" spans="1:11">
      <c r="A397" s="570" t="str">
        <f t="shared" si="6"/>
        <v>14F10</v>
      </c>
      <c r="C397" t="s">
        <v>2364</v>
      </c>
      <c r="D397" t="s">
        <v>1834</v>
      </c>
      <c r="E397">
        <v>10</v>
      </c>
      <c r="F397">
        <v>1E-4</v>
      </c>
      <c r="G397">
        <v>-4.4000000000000003E-3</v>
      </c>
      <c r="H397" s="570">
        <v>0</v>
      </c>
      <c r="I397" s="570">
        <v>0</v>
      </c>
      <c r="J397" s="570">
        <v>0</v>
      </c>
      <c r="K397">
        <v>1.0000000000000001E-5</v>
      </c>
    </row>
    <row r="398" spans="1:11">
      <c r="A398" s="570" t="str">
        <f t="shared" si="6"/>
        <v>13F10</v>
      </c>
      <c r="C398" t="s">
        <v>2365</v>
      </c>
      <c r="D398" t="s">
        <v>1834</v>
      </c>
      <c r="E398">
        <v>10</v>
      </c>
      <c r="F398">
        <v>2.9999999999999997E-4</v>
      </c>
      <c r="G398">
        <v>-5.0000000000000001E-3</v>
      </c>
      <c r="H398" s="570">
        <v>0</v>
      </c>
      <c r="I398" s="570">
        <v>0</v>
      </c>
      <c r="J398" s="570">
        <v>0</v>
      </c>
      <c r="K398">
        <v>1.0000000000000001E-5</v>
      </c>
    </row>
    <row r="399" spans="1:11">
      <c r="A399" s="570" t="str">
        <f t="shared" si="6"/>
        <v>12F10</v>
      </c>
      <c r="C399" t="s">
        <v>2366</v>
      </c>
      <c r="D399" t="s">
        <v>1834</v>
      </c>
      <c r="E399">
        <v>10</v>
      </c>
      <c r="F399">
        <v>4.0000000000000002E-4</v>
      </c>
      <c r="G399">
        <v>-5.4999999999999997E-3</v>
      </c>
      <c r="H399" s="570">
        <v>0</v>
      </c>
      <c r="I399" s="570">
        <v>0</v>
      </c>
      <c r="J399" s="570">
        <v>0</v>
      </c>
      <c r="K399">
        <v>1.0000000000000001E-5</v>
      </c>
    </row>
    <row r="400" spans="1:11">
      <c r="A400" s="570" t="str">
        <f t="shared" si="6"/>
        <v>11F10</v>
      </c>
      <c r="C400" t="s">
        <v>2367</v>
      </c>
      <c r="D400" t="s">
        <v>1834</v>
      </c>
      <c r="E400">
        <v>10</v>
      </c>
      <c r="F400">
        <v>5.9999999999999995E-4</v>
      </c>
      <c r="G400">
        <v>-5.7000000000000002E-3</v>
      </c>
      <c r="H400" s="570">
        <v>0</v>
      </c>
      <c r="I400" s="570">
        <v>0</v>
      </c>
      <c r="J400" s="570">
        <v>0</v>
      </c>
      <c r="K400">
        <v>1.0000000000000001E-5</v>
      </c>
    </row>
    <row r="401" spans="1:11">
      <c r="A401" s="570" t="str">
        <f t="shared" si="6"/>
        <v>10F10</v>
      </c>
      <c r="C401" t="s">
        <v>2368</v>
      </c>
      <c r="D401" t="s">
        <v>1834</v>
      </c>
      <c r="E401">
        <v>10</v>
      </c>
      <c r="F401">
        <v>6.9999999999999999E-4</v>
      </c>
      <c r="G401">
        <v>-5.7999999999999996E-3</v>
      </c>
      <c r="H401" s="570">
        <v>0</v>
      </c>
      <c r="I401" s="570">
        <v>0</v>
      </c>
      <c r="J401" s="570">
        <v>0</v>
      </c>
      <c r="K401">
        <v>1.0000000000000001E-5</v>
      </c>
    </row>
    <row r="402" spans="1:11">
      <c r="A402" s="570" t="str">
        <f t="shared" si="6"/>
        <v>9F10</v>
      </c>
      <c r="C402" t="s">
        <v>2369</v>
      </c>
      <c r="D402" t="s">
        <v>1834</v>
      </c>
      <c r="E402">
        <v>10</v>
      </c>
      <c r="F402">
        <v>8.0000000000000004E-4</v>
      </c>
      <c r="G402">
        <v>-5.5999999999999999E-3</v>
      </c>
      <c r="H402" s="570">
        <v>0</v>
      </c>
      <c r="I402" s="570">
        <v>0</v>
      </c>
      <c r="J402" s="570">
        <v>0</v>
      </c>
      <c r="K402">
        <v>2.0000000000000002E-5</v>
      </c>
    </row>
    <row r="403" spans="1:11">
      <c r="A403" s="570" t="str">
        <f t="shared" si="6"/>
        <v>8F10</v>
      </c>
      <c r="C403" t="s">
        <v>2370</v>
      </c>
      <c r="D403" t="s">
        <v>1834</v>
      </c>
      <c r="E403">
        <v>10</v>
      </c>
      <c r="F403">
        <v>8.0000000000000004E-4</v>
      </c>
      <c r="G403">
        <v>-5.3E-3</v>
      </c>
      <c r="H403" s="570">
        <v>0</v>
      </c>
      <c r="I403" s="570">
        <v>0</v>
      </c>
      <c r="J403" s="570">
        <v>0</v>
      </c>
      <c r="K403">
        <v>2.0000000000000002E-5</v>
      </c>
    </row>
    <row r="404" spans="1:11">
      <c r="A404" s="570" t="str">
        <f t="shared" si="6"/>
        <v>7F10</v>
      </c>
      <c r="C404" t="s">
        <v>2371</v>
      </c>
      <c r="D404" t="s">
        <v>1834</v>
      </c>
      <c r="E404">
        <v>10</v>
      </c>
      <c r="F404">
        <v>8.0000000000000004E-4</v>
      </c>
      <c r="G404">
        <v>-4.8999999999999998E-3</v>
      </c>
      <c r="H404" s="570">
        <v>0</v>
      </c>
      <c r="I404" s="570">
        <v>0</v>
      </c>
      <c r="J404" s="570">
        <v>0</v>
      </c>
      <c r="K404">
        <v>2.0000000000000002E-5</v>
      </c>
    </row>
    <row r="405" spans="1:11">
      <c r="A405" s="570" t="str">
        <f t="shared" si="6"/>
        <v>6F10</v>
      </c>
      <c r="C405" t="s">
        <v>2372</v>
      </c>
      <c r="D405" t="s">
        <v>1834</v>
      </c>
      <c r="E405">
        <v>10</v>
      </c>
      <c r="F405">
        <v>8.0000000000000004E-4</v>
      </c>
      <c r="G405">
        <v>-4.3E-3</v>
      </c>
      <c r="H405" s="570">
        <v>0</v>
      </c>
      <c r="I405" s="570">
        <v>0</v>
      </c>
      <c r="J405" s="570">
        <v>0</v>
      </c>
      <c r="K405">
        <v>1.0000000000000001E-5</v>
      </c>
    </row>
    <row r="406" spans="1:11">
      <c r="A406" s="570" t="str">
        <f t="shared" si="6"/>
        <v>5F10</v>
      </c>
      <c r="C406" t="s">
        <v>2373</v>
      </c>
      <c r="D406" t="s">
        <v>1834</v>
      </c>
      <c r="E406">
        <v>10</v>
      </c>
      <c r="F406">
        <v>6.9999999999999999E-4</v>
      </c>
      <c r="G406">
        <v>-3.5999999999999999E-3</v>
      </c>
      <c r="H406" s="570">
        <v>0</v>
      </c>
      <c r="I406" s="570">
        <v>0</v>
      </c>
      <c r="J406" s="570">
        <v>0</v>
      </c>
      <c r="K406">
        <v>1.0000000000000001E-5</v>
      </c>
    </row>
    <row r="407" spans="1:11">
      <c r="A407" s="570" t="str">
        <f t="shared" si="6"/>
        <v>4F10</v>
      </c>
      <c r="C407" t="s">
        <v>2374</v>
      </c>
      <c r="D407" t="s">
        <v>1834</v>
      </c>
      <c r="E407">
        <v>10</v>
      </c>
      <c r="F407">
        <v>5.9999999999999995E-4</v>
      </c>
      <c r="G407">
        <v>-2.8E-3</v>
      </c>
      <c r="H407" s="570">
        <v>0</v>
      </c>
      <c r="I407" s="570">
        <v>0</v>
      </c>
      <c r="J407" s="570">
        <v>0</v>
      </c>
      <c r="K407">
        <v>1.0000000000000001E-5</v>
      </c>
    </row>
    <row r="408" spans="1:11">
      <c r="A408" s="570" t="str">
        <f t="shared" si="6"/>
        <v>3F10</v>
      </c>
      <c r="C408" t="s">
        <v>2375</v>
      </c>
      <c r="D408" t="s">
        <v>1834</v>
      </c>
      <c r="E408">
        <v>10</v>
      </c>
      <c r="F408">
        <v>4.0000000000000002E-4</v>
      </c>
      <c r="G408">
        <v>-2.0999999999999999E-3</v>
      </c>
      <c r="H408" s="570">
        <v>0</v>
      </c>
      <c r="I408" s="570">
        <v>0</v>
      </c>
      <c r="J408" s="570">
        <v>0</v>
      </c>
      <c r="K408">
        <v>1.0000000000000001E-5</v>
      </c>
    </row>
    <row r="409" spans="1:11">
      <c r="A409" s="570" t="str">
        <f t="shared" si="6"/>
        <v>2F10</v>
      </c>
      <c r="C409" t="s">
        <v>2376</v>
      </c>
      <c r="D409" t="s">
        <v>1834</v>
      </c>
      <c r="E409">
        <v>10</v>
      </c>
      <c r="F409">
        <v>2.9999999999999997E-4</v>
      </c>
      <c r="G409">
        <v>-1.2999999999999999E-3</v>
      </c>
      <c r="H409" s="570">
        <v>0</v>
      </c>
      <c r="I409" s="570">
        <v>0</v>
      </c>
      <c r="J409" s="570">
        <v>0</v>
      </c>
      <c r="K409">
        <v>1.0000000000000001E-5</v>
      </c>
    </row>
    <row r="410" spans="1:11">
      <c r="A410" s="570" t="str">
        <f t="shared" si="6"/>
        <v>1F10</v>
      </c>
      <c r="C410" t="s">
        <v>2377</v>
      </c>
      <c r="D410" t="s">
        <v>1834</v>
      </c>
      <c r="E410">
        <v>10</v>
      </c>
      <c r="F410">
        <v>1E-4</v>
      </c>
      <c r="G410">
        <v>-4.0000000000000002E-4</v>
      </c>
      <c r="H410" s="570">
        <v>0</v>
      </c>
      <c r="I410" s="570">
        <v>0</v>
      </c>
      <c r="J410" s="570">
        <v>0</v>
      </c>
      <c r="K410">
        <v>0</v>
      </c>
    </row>
    <row r="411" spans="1:11">
      <c r="A411" s="570" t="str">
        <f t="shared" si="6"/>
        <v>B110</v>
      </c>
      <c r="C411" t="s">
        <v>2327</v>
      </c>
      <c r="D411" t="s">
        <v>1834</v>
      </c>
      <c r="E411">
        <v>10</v>
      </c>
      <c r="F411">
        <v>0</v>
      </c>
      <c r="G411">
        <v>0</v>
      </c>
      <c r="H411" s="570">
        <v>0</v>
      </c>
      <c r="I411" s="570">
        <v>0</v>
      </c>
      <c r="J411" s="570">
        <v>0</v>
      </c>
      <c r="K411">
        <v>0</v>
      </c>
    </row>
    <row r="412" spans="1:11">
      <c r="A412" s="570" t="str">
        <f t="shared" si="6"/>
        <v>MAI11</v>
      </c>
      <c r="C412" t="s">
        <v>2270</v>
      </c>
      <c r="D412" t="s">
        <v>1834</v>
      </c>
      <c r="E412">
        <v>11</v>
      </c>
      <c r="F412">
        <v>-3.0999999999999999E-3</v>
      </c>
      <c r="G412">
        <v>2.0000000000000001E-4</v>
      </c>
      <c r="H412" s="570">
        <v>0</v>
      </c>
      <c r="I412" s="570">
        <v>0</v>
      </c>
      <c r="J412" s="570">
        <v>0</v>
      </c>
      <c r="K412">
        <v>-4.0999999999999999E-4</v>
      </c>
    </row>
    <row r="413" spans="1:11">
      <c r="A413" s="570" t="str">
        <f t="shared" si="6"/>
        <v>TUM11</v>
      </c>
      <c r="C413" t="s">
        <v>2271</v>
      </c>
      <c r="D413" t="s">
        <v>1834</v>
      </c>
      <c r="E413">
        <v>11</v>
      </c>
      <c r="F413">
        <v>-2E-3</v>
      </c>
      <c r="G413">
        <v>1E-4</v>
      </c>
      <c r="H413" s="570">
        <v>0</v>
      </c>
      <c r="I413" s="570">
        <v>0</v>
      </c>
      <c r="J413" s="570">
        <v>0</v>
      </c>
      <c r="K413">
        <v>-2.9999999999999997E-4</v>
      </c>
    </row>
    <row r="414" spans="1:11">
      <c r="A414" s="570" t="str">
        <f t="shared" si="6"/>
        <v>38F11</v>
      </c>
      <c r="C414" t="s">
        <v>2340</v>
      </c>
      <c r="D414" t="s">
        <v>1834</v>
      </c>
      <c r="E414">
        <v>11</v>
      </c>
      <c r="F414">
        <v>-1.4E-3</v>
      </c>
      <c r="G414">
        <v>1E-4</v>
      </c>
      <c r="H414" s="570">
        <v>0</v>
      </c>
      <c r="I414" s="570">
        <v>0</v>
      </c>
      <c r="J414" s="570">
        <v>0</v>
      </c>
      <c r="K414">
        <v>-2.3000000000000001E-4</v>
      </c>
    </row>
    <row r="415" spans="1:11">
      <c r="A415" s="570" t="str">
        <f t="shared" si="6"/>
        <v>37F11</v>
      </c>
      <c r="C415" t="s">
        <v>2341</v>
      </c>
      <c r="D415" t="s">
        <v>1834</v>
      </c>
      <c r="E415">
        <v>11</v>
      </c>
      <c r="F415">
        <v>-8.0000000000000004E-4</v>
      </c>
      <c r="G415">
        <v>1E-4</v>
      </c>
      <c r="H415" s="570">
        <v>0</v>
      </c>
      <c r="I415" s="570">
        <v>0</v>
      </c>
      <c r="J415" s="570">
        <v>0</v>
      </c>
      <c r="K415">
        <v>-1.4999999999999999E-4</v>
      </c>
    </row>
    <row r="416" spans="1:11">
      <c r="A416" s="570" t="str">
        <f t="shared" si="6"/>
        <v>36F11</v>
      </c>
      <c r="C416" t="s">
        <v>2342</v>
      </c>
      <c r="D416" t="s">
        <v>1834</v>
      </c>
      <c r="E416">
        <v>11</v>
      </c>
      <c r="F416">
        <v>-2.0000000000000001E-4</v>
      </c>
      <c r="G416">
        <v>1E-4</v>
      </c>
      <c r="H416" s="570">
        <v>0</v>
      </c>
      <c r="I416" s="570">
        <v>0</v>
      </c>
      <c r="J416" s="570">
        <v>0</v>
      </c>
      <c r="K416">
        <v>-6.0000000000000002E-5</v>
      </c>
    </row>
    <row r="417" spans="1:11">
      <c r="A417" s="570" t="str">
        <f t="shared" si="6"/>
        <v>35F11</v>
      </c>
      <c r="C417" t="s">
        <v>2343</v>
      </c>
      <c r="D417" t="s">
        <v>1834</v>
      </c>
      <c r="E417">
        <v>11</v>
      </c>
      <c r="F417">
        <v>2.9999999999999997E-4</v>
      </c>
      <c r="G417">
        <v>1E-4</v>
      </c>
      <c r="H417" s="570">
        <v>0</v>
      </c>
      <c r="I417" s="570">
        <v>0</v>
      </c>
      <c r="J417" s="570">
        <v>0</v>
      </c>
      <c r="K417">
        <v>2.0000000000000002E-5</v>
      </c>
    </row>
    <row r="418" spans="1:11">
      <c r="A418" s="570" t="str">
        <f t="shared" si="6"/>
        <v>34F11</v>
      </c>
      <c r="C418" t="s">
        <v>2344</v>
      </c>
      <c r="D418" t="s">
        <v>1834</v>
      </c>
      <c r="E418">
        <v>11</v>
      </c>
      <c r="F418">
        <v>8.0000000000000004E-4</v>
      </c>
      <c r="G418">
        <v>1E-4</v>
      </c>
      <c r="H418" s="570">
        <v>0</v>
      </c>
      <c r="I418" s="570">
        <v>0</v>
      </c>
      <c r="J418" s="570">
        <v>0</v>
      </c>
      <c r="K418">
        <v>9.0000000000000006E-5</v>
      </c>
    </row>
    <row r="419" spans="1:11">
      <c r="A419" s="570" t="str">
        <f t="shared" si="6"/>
        <v>33F11</v>
      </c>
      <c r="C419" t="s">
        <v>2345</v>
      </c>
      <c r="D419" t="s">
        <v>1834</v>
      </c>
      <c r="E419">
        <v>11</v>
      </c>
      <c r="F419">
        <v>1.1999999999999999E-3</v>
      </c>
      <c r="G419">
        <v>1E-4</v>
      </c>
      <c r="H419" s="570">
        <v>0</v>
      </c>
      <c r="I419" s="570">
        <v>0</v>
      </c>
      <c r="J419" s="570">
        <v>0</v>
      </c>
      <c r="K419">
        <v>1.6000000000000001E-4</v>
      </c>
    </row>
    <row r="420" spans="1:11">
      <c r="A420" s="570" t="str">
        <f t="shared" si="6"/>
        <v>32F11</v>
      </c>
      <c r="C420" t="s">
        <v>2346</v>
      </c>
      <c r="D420" t="s">
        <v>1834</v>
      </c>
      <c r="E420">
        <v>11</v>
      </c>
      <c r="F420">
        <v>1.5E-3</v>
      </c>
      <c r="G420">
        <v>1E-4</v>
      </c>
      <c r="H420" s="570">
        <v>0</v>
      </c>
      <c r="I420" s="570">
        <v>0</v>
      </c>
      <c r="J420" s="570">
        <v>0</v>
      </c>
      <c r="K420">
        <v>2.1000000000000001E-4</v>
      </c>
    </row>
    <row r="421" spans="1:11">
      <c r="A421" s="570" t="str">
        <f t="shared" si="6"/>
        <v>31F11</v>
      </c>
      <c r="C421" t="s">
        <v>2347</v>
      </c>
      <c r="D421" t="s">
        <v>1834</v>
      </c>
      <c r="E421">
        <v>11</v>
      </c>
      <c r="F421">
        <v>1.6000000000000001E-3</v>
      </c>
      <c r="G421">
        <v>0</v>
      </c>
      <c r="H421" s="570">
        <v>0</v>
      </c>
      <c r="I421" s="570">
        <v>0</v>
      </c>
      <c r="J421" s="570">
        <v>0</v>
      </c>
      <c r="K421">
        <v>2.4000000000000001E-4</v>
      </c>
    </row>
    <row r="422" spans="1:11">
      <c r="A422" s="570" t="str">
        <f t="shared" si="6"/>
        <v>30F11</v>
      </c>
      <c r="C422" t="s">
        <v>2348</v>
      </c>
      <c r="D422" t="s">
        <v>1834</v>
      </c>
      <c r="E422">
        <v>11</v>
      </c>
      <c r="F422">
        <v>1.6999999999999999E-3</v>
      </c>
      <c r="G422">
        <v>0</v>
      </c>
      <c r="H422" s="570">
        <v>0</v>
      </c>
      <c r="I422" s="570">
        <v>0</v>
      </c>
      <c r="J422" s="570">
        <v>0</v>
      </c>
      <c r="K422">
        <v>2.5999999999999998E-4</v>
      </c>
    </row>
    <row r="423" spans="1:11">
      <c r="A423" s="570" t="str">
        <f t="shared" si="6"/>
        <v>29F11</v>
      </c>
      <c r="C423" t="s">
        <v>2349</v>
      </c>
      <c r="D423" t="s">
        <v>1834</v>
      </c>
      <c r="E423">
        <v>11</v>
      </c>
      <c r="F423">
        <v>1.6000000000000001E-3</v>
      </c>
      <c r="G423">
        <v>-1E-4</v>
      </c>
      <c r="H423" s="570">
        <v>0</v>
      </c>
      <c r="I423" s="570">
        <v>0</v>
      </c>
      <c r="J423" s="570">
        <v>0</v>
      </c>
      <c r="K423">
        <v>2.5000000000000001E-4</v>
      </c>
    </row>
    <row r="424" spans="1:11">
      <c r="A424" s="570" t="str">
        <f t="shared" si="6"/>
        <v>28F11</v>
      </c>
      <c r="C424" t="s">
        <v>2350</v>
      </c>
      <c r="D424" t="s">
        <v>1834</v>
      </c>
      <c r="E424">
        <v>11</v>
      </c>
      <c r="F424">
        <v>1.4E-3</v>
      </c>
      <c r="G424">
        <v>-1E-4</v>
      </c>
      <c r="H424" s="570">
        <v>0</v>
      </c>
      <c r="I424" s="570">
        <v>0</v>
      </c>
      <c r="J424" s="570">
        <v>0</v>
      </c>
      <c r="K424">
        <v>2.2000000000000001E-4</v>
      </c>
    </row>
    <row r="425" spans="1:11">
      <c r="A425" s="570" t="str">
        <f t="shared" si="6"/>
        <v>27F11</v>
      </c>
      <c r="C425" t="s">
        <v>2351</v>
      </c>
      <c r="D425" t="s">
        <v>1834</v>
      </c>
      <c r="E425">
        <v>11</v>
      </c>
      <c r="F425">
        <v>1E-3</v>
      </c>
      <c r="G425">
        <v>-2.0000000000000001E-4</v>
      </c>
      <c r="H425" s="570">
        <v>0</v>
      </c>
      <c r="I425" s="570">
        <v>0</v>
      </c>
      <c r="J425" s="570">
        <v>0</v>
      </c>
      <c r="K425">
        <v>1.8000000000000001E-4</v>
      </c>
    </row>
    <row r="426" spans="1:11">
      <c r="A426" s="570" t="str">
        <f t="shared" si="6"/>
        <v>26F11</v>
      </c>
      <c r="C426" t="s">
        <v>2352</v>
      </c>
      <c r="D426" t="s">
        <v>1834</v>
      </c>
      <c r="E426">
        <v>11</v>
      </c>
      <c r="F426">
        <v>5.9999999999999995E-4</v>
      </c>
      <c r="G426">
        <v>-2.0000000000000001E-4</v>
      </c>
      <c r="H426" s="570">
        <v>0</v>
      </c>
      <c r="I426" s="570">
        <v>0</v>
      </c>
      <c r="J426" s="570">
        <v>0</v>
      </c>
      <c r="K426">
        <v>1.2E-4</v>
      </c>
    </row>
    <row r="427" spans="1:11">
      <c r="A427" s="570" t="str">
        <f t="shared" si="6"/>
        <v>25F11</v>
      </c>
      <c r="C427" t="s">
        <v>2353</v>
      </c>
      <c r="D427" t="s">
        <v>1834</v>
      </c>
      <c r="E427">
        <v>11</v>
      </c>
      <c r="F427">
        <v>2.0000000000000001E-4</v>
      </c>
      <c r="G427">
        <v>-2.0000000000000001E-4</v>
      </c>
      <c r="H427" s="570">
        <v>0</v>
      </c>
      <c r="I427" s="570">
        <v>0</v>
      </c>
      <c r="J427" s="570">
        <v>0</v>
      </c>
      <c r="K427">
        <v>5.0000000000000002E-5</v>
      </c>
    </row>
    <row r="428" spans="1:11">
      <c r="A428" s="570" t="str">
        <f t="shared" si="6"/>
        <v>24F11</v>
      </c>
      <c r="C428" t="s">
        <v>2354</v>
      </c>
      <c r="D428" t="s">
        <v>1834</v>
      </c>
      <c r="E428">
        <v>11</v>
      </c>
      <c r="F428">
        <v>-2.9999999999999997E-4</v>
      </c>
      <c r="G428">
        <v>-2.9999999999999997E-4</v>
      </c>
      <c r="H428" s="570">
        <v>0</v>
      </c>
      <c r="I428" s="570">
        <v>0</v>
      </c>
      <c r="J428" s="570">
        <v>0</v>
      </c>
      <c r="K428">
        <v>-3.0000000000000001E-5</v>
      </c>
    </row>
    <row r="429" spans="1:11">
      <c r="A429" s="570" t="str">
        <f t="shared" si="6"/>
        <v>23F11</v>
      </c>
      <c r="C429" t="s">
        <v>2355</v>
      </c>
      <c r="D429" t="s">
        <v>1834</v>
      </c>
      <c r="E429">
        <v>11</v>
      </c>
      <c r="F429">
        <v>-6.9999999999999999E-4</v>
      </c>
      <c r="G429">
        <v>-2.9999999999999997E-4</v>
      </c>
      <c r="H429" s="570">
        <v>0</v>
      </c>
      <c r="I429" s="570">
        <v>0</v>
      </c>
      <c r="J429" s="570">
        <v>0</v>
      </c>
      <c r="K429">
        <v>-1E-4</v>
      </c>
    </row>
    <row r="430" spans="1:11">
      <c r="A430" s="570" t="str">
        <f t="shared" si="6"/>
        <v>22F11</v>
      </c>
      <c r="C430" t="s">
        <v>2356</v>
      </c>
      <c r="D430" t="s">
        <v>1834</v>
      </c>
      <c r="E430">
        <v>11</v>
      </c>
      <c r="F430">
        <v>-1.1000000000000001E-3</v>
      </c>
      <c r="G430">
        <v>-2.9999999999999997E-4</v>
      </c>
      <c r="H430" s="570">
        <v>0</v>
      </c>
      <c r="I430" s="570">
        <v>0</v>
      </c>
      <c r="J430" s="570">
        <v>0</v>
      </c>
      <c r="K430">
        <v>-1.6000000000000001E-4</v>
      </c>
    </row>
    <row r="431" spans="1:11">
      <c r="A431" s="570" t="str">
        <f t="shared" si="6"/>
        <v>21F11</v>
      </c>
      <c r="C431" t="s">
        <v>2357</v>
      </c>
      <c r="D431" t="s">
        <v>1834</v>
      </c>
      <c r="E431">
        <v>11</v>
      </c>
      <c r="F431">
        <v>-1.4E-3</v>
      </c>
      <c r="G431">
        <v>-2.9999999999999997E-4</v>
      </c>
      <c r="H431" s="570">
        <v>0</v>
      </c>
      <c r="I431" s="570">
        <v>0</v>
      </c>
      <c r="J431" s="570">
        <v>0</v>
      </c>
      <c r="K431">
        <v>-2.1000000000000001E-4</v>
      </c>
    </row>
    <row r="432" spans="1:11">
      <c r="A432" s="570" t="str">
        <f t="shared" si="6"/>
        <v>20F11</v>
      </c>
      <c r="C432" t="s">
        <v>2358</v>
      </c>
      <c r="D432" t="s">
        <v>1834</v>
      </c>
      <c r="E432">
        <v>11</v>
      </c>
      <c r="F432">
        <v>-1.6000000000000001E-3</v>
      </c>
      <c r="G432">
        <v>-4.0000000000000002E-4</v>
      </c>
      <c r="H432" s="570">
        <v>0</v>
      </c>
      <c r="I432" s="570">
        <v>0</v>
      </c>
      <c r="J432" s="570">
        <v>0</v>
      </c>
      <c r="K432">
        <v>-2.5000000000000001E-4</v>
      </c>
    </row>
    <row r="433" spans="1:11">
      <c r="A433" s="570" t="str">
        <f t="shared" si="6"/>
        <v>19F11</v>
      </c>
      <c r="C433" t="s">
        <v>2359</v>
      </c>
      <c r="D433" t="s">
        <v>1834</v>
      </c>
      <c r="E433">
        <v>11</v>
      </c>
      <c r="F433">
        <v>-1.6999999999999999E-3</v>
      </c>
      <c r="G433">
        <v>-2.0000000000000001E-4</v>
      </c>
      <c r="H433" s="570">
        <v>0</v>
      </c>
      <c r="I433" s="570">
        <v>0</v>
      </c>
      <c r="J433" s="570">
        <v>0</v>
      </c>
      <c r="K433">
        <v>-2.5999999999999998E-4</v>
      </c>
    </row>
    <row r="434" spans="1:11">
      <c r="A434" s="570" t="str">
        <f t="shared" si="6"/>
        <v>18F11</v>
      </c>
      <c r="C434" t="s">
        <v>2360</v>
      </c>
      <c r="D434" t="s">
        <v>1834</v>
      </c>
      <c r="E434">
        <v>11</v>
      </c>
      <c r="F434">
        <v>-1.6000000000000001E-3</v>
      </c>
      <c r="G434">
        <v>-1E-4</v>
      </c>
      <c r="H434" s="570">
        <v>0</v>
      </c>
      <c r="I434" s="570">
        <v>0</v>
      </c>
      <c r="J434" s="570">
        <v>0</v>
      </c>
      <c r="K434">
        <v>-2.5999999999999998E-4</v>
      </c>
    </row>
    <row r="435" spans="1:11">
      <c r="A435" s="570" t="str">
        <f t="shared" si="6"/>
        <v>17F11</v>
      </c>
      <c r="C435" t="s">
        <v>2361</v>
      </c>
      <c r="D435" t="s">
        <v>1834</v>
      </c>
      <c r="E435">
        <v>11</v>
      </c>
      <c r="F435">
        <v>-1.5E-3</v>
      </c>
      <c r="G435">
        <v>0</v>
      </c>
      <c r="H435" s="570">
        <v>0</v>
      </c>
      <c r="I435" s="570">
        <v>0</v>
      </c>
      <c r="J435" s="570">
        <v>0</v>
      </c>
      <c r="K435">
        <v>-2.3000000000000001E-4</v>
      </c>
    </row>
    <row r="436" spans="1:11">
      <c r="A436" s="570" t="str">
        <f t="shared" si="6"/>
        <v>16F11</v>
      </c>
      <c r="C436" t="s">
        <v>2362</v>
      </c>
      <c r="D436" t="s">
        <v>1834</v>
      </c>
      <c r="E436">
        <v>11</v>
      </c>
      <c r="F436">
        <v>-1.1999999999999999E-3</v>
      </c>
      <c r="G436">
        <v>0</v>
      </c>
      <c r="H436" s="570">
        <v>0</v>
      </c>
      <c r="I436" s="570">
        <v>0</v>
      </c>
      <c r="J436" s="570">
        <v>0</v>
      </c>
      <c r="K436">
        <v>-1.9000000000000001E-4</v>
      </c>
    </row>
    <row r="437" spans="1:11">
      <c r="A437" s="570" t="str">
        <f t="shared" si="6"/>
        <v>15F11</v>
      </c>
      <c r="C437" t="s">
        <v>2363</v>
      </c>
      <c r="D437" t="s">
        <v>1834</v>
      </c>
      <c r="E437">
        <v>11</v>
      </c>
      <c r="F437">
        <v>-8.9999999999999998E-4</v>
      </c>
      <c r="G437">
        <v>1E-4</v>
      </c>
      <c r="H437" s="570">
        <v>0</v>
      </c>
      <c r="I437" s="570">
        <v>0</v>
      </c>
      <c r="J437" s="570">
        <v>0</v>
      </c>
      <c r="K437">
        <v>-1.3999999999999999E-4</v>
      </c>
    </row>
    <row r="438" spans="1:11">
      <c r="A438" s="570" t="str">
        <f t="shared" si="6"/>
        <v>14F11</v>
      </c>
      <c r="C438" t="s">
        <v>2364</v>
      </c>
      <c r="D438" t="s">
        <v>1834</v>
      </c>
      <c r="E438">
        <v>11</v>
      </c>
      <c r="F438">
        <v>-5.0000000000000001E-4</v>
      </c>
      <c r="G438">
        <v>2.0000000000000001E-4</v>
      </c>
      <c r="H438" s="570">
        <v>0</v>
      </c>
      <c r="I438" s="570">
        <v>0</v>
      </c>
      <c r="J438" s="570">
        <v>0</v>
      </c>
      <c r="K438">
        <v>-6.9999999999999994E-5</v>
      </c>
    </row>
    <row r="439" spans="1:11">
      <c r="A439" s="570" t="str">
        <f t="shared" si="6"/>
        <v>13F11</v>
      </c>
      <c r="C439" t="s">
        <v>2365</v>
      </c>
      <c r="D439" t="s">
        <v>1834</v>
      </c>
      <c r="E439">
        <v>11</v>
      </c>
      <c r="F439">
        <v>0</v>
      </c>
      <c r="G439">
        <v>2.9999999999999997E-4</v>
      </c>
      <c r="H439" s="570">
        <v>0</v>
      </c>
      <c r="I439" s="570">
        <v>0</v>
      </c>
      <c r="J439" s="570">
        <v>0</v>
      </c>
      <c r="K439">
        <v>0</v>
      </c>
    </row>
    <row r="440" spans="1:11">
      <c r="A440" s="570" t="str">
        <f t="shared" si="6"/>
        <v>12F11</v>
      </c>
      <c r="C440" t="s">
        <v>2366</v>
      </c>
      <c r="D440" t="s">
        <v>1834</v>
      </c>
      <c r="E440">
        <v>11</v>
      </c>
      <c r="F440">
        <v>4.0000000000000002E-4</v>
      </c>
      <c r="G440">
        <v>4.0000000000000002E-4</v>
      </c>
      <c r="H440" s="570">
        <v>0</v>
      </c>
      <c r="I440" s="570">
        <v>0</v>
      </c>
      <c r="J440" s="570">
        <v>0</v>
      </c>
      <c r="K440">
        <v>6.9999999999999994E-5</v>
      </c>
    </row>
    <row r="441" spans="1:11">
      <c r="A441" s="570" t="str">
        <f t="shared" si="6"/>
        <v>11F11</v>
      </c>
      <c r="C441" t="s">
        <v>2367</v>
      </c>
      <c r="D441" t="s">
        <v>1834</v>
      </c>
      <c r="E441">
        <v>11</v>
      </c>
      <c r="F441">
        <v>8.0000000000000004E-4</v>
      </c>
      <c r="G441">
        <v>4.0000000000000002E-4</v>
      </c>
      <c r="H441" s="570">
        <v>0</v>
      </c>
      <c r="I441" s="570">
        <v>0</v>
      </c>
      <c r="J441" s="570">
        <v>0</v>
      </c>
      <c r="K441">
        <v>1.2999999999999999E-4</v>
      </c>
    </row>
    <row r="442" spans="1:11">
      <c r="A442" s="570" t="str">
        <f t="shared" si="6"/>
        <v>10F11</v>
      </c>
      <c r="C442" t="s">
        <v>2368</v>
      </c>
      <c r="D442" t="s">
        <v>1834</v>
      </c>
      <c r="E442">
        <v>11</v>
      </c>
      <c r="F442">
        <v>1.1999999999999999E-3</v>
      </c>
      <c r="G442">
        <v>4.0000000000000002E-4</v>
      </c>
      <c r="H442" s="570">
        <v>0</v>
      </c>
      <c r="I442" s="570">
        <v>0</v>
      </c>
      <c r="J442" s="570">
        <v>0</v>
      </c>
      <c r="K442">
        <v>1.8000000000000001E-4</v>
      </c>
    </row>
    <row r="443" spans="1:11">
      <c r="A443" s="570" t="str">
        <f t="shared" si="6"/>
        <v>9F11</v>
      </c>
      <c r="C443" t="s">
        <v>2369</v>
      </c>
      <c r="D443" t="s">
        <v>1834</v>
      </c>
      <c r="E443">
        <v>11</v>
      </c>
      <c r="F443">
        <v>1.4E-3</v>
      </c>
      <c r="G443">
        <v>5.0000000000000001E-4</v>
      </c>
      <c r="H443" s="570">
        <v>0</v>
      </c>
      <c r="I443" s="570">
        <v>0</v>
      </c>
      <c r="J443" s="570">
        <v>0</v>
      </c>
      <c r="K443">
        <v>2.2000000000000001E-4</v>
      </c>
    </row>
    <row r="444" spans="1:11">
      <c r="A444" s="570" t="str">
        <f t="shared" si="6"/>
        <v>8F11</v>
      </c>
      <c r="C444" t="s">
        <v>2370</v>
      </c>
      <c r="D444" t="s">
        <v>1834</v>
      </c>
      <c r="E444">
        <v>11</v>
      </c>
      <c r="F444">
        <v>1.6000000000000001E-3</v>
      </c>
      <c r="G444">
        <v>5.0000000000000001E-4</v>
      </c>
      <c r="H444" s="570">
        <v>0</v>
      </c>
      <c r="I444" s="570">
        <v>0</v>
      </c>
      <c r="J444" s="570">
        <v>0</v>
      </c>
      <c r="K444">
        <v>2.5000000000000001E-4</v>
      </c>
    </row>
    <row r="445" spans="1:11">
      <c r="A445" s="570" t="str">
        <f t="shared" si="6"/>
        <v>7F11</v>
      </c>
      <c r="C445" t="s">
        <v>2371</v>
      </c>
      <c r="D445" t="s">
        <v>1834</v>
      </c>
      <c r="E445">
        <v>11</v>
      </c>
      <c r="F445">
        <v>1.6999999999999999E-3</v>
      </c>
      <c r="G445">
        <v>4.0000000000000002E-4</v>
      </c>
      <c r="H445" s="570">
        <v>0</v>
      </c>
      <c r="I445" s="570">
        <v>0</v>
      </c>
      <c r="J445" s="570">
        <v>0</v>
      </c>
      <c r="K445">
        <v>2.5000000000000001E-4</v>
      </c>
    </row>
    <row r="446" spans="1:11">
      <c r="A446" s="570" t="str">
        <f t="shared" si="6"/>
        <v>6F11</v>
      </c>
      <c r="C446" t="s">
        <v>2372</v>
      </c>
      <c r="D446" t="s">
        <v>1834</v>
      </c>
      <c r="E446">
        <v>11</v>
      </c>
      <c r="F446">
        <v>1.6000000000000001E-3</v>
      </c>
      <c r="G446">
        <v>4.0000000000000002E-4</v>
      </c>
      <c r="H446" s="570">
        <v>0</v>
      </c>
      <c r="I446" s="570">
        <v>0</v>
      </c>
      <c r="J446" s="570">
        <v>0</v>
      </c>
      <c r="K446">
        <v>2.4000000000000001E-4</v>
      </c>
    </row>
    <row r="447" spans="1:11">
      <c r="A447" s="570" t="str">
        <f t="shared" si="6"/>
        <v>5F11</v>
      </c>
      <c r="C447" t="s">
        <v>2373</v>
      </c>
      <c r="D447" t="s">
        <v>1834</v>
      </c>
      <c r="E447">
        <v>11</v>
      </c>
      <c r="F447">
        <v>1.5E-3</v>
      </c>
      <c r="G447">
        <v>2.9999999999999997E-4</v>
      </c>
      <c r="H447" s="570">
        <v>0</v>
      </c>
      <c r="I447" s="570">
        <v>0</v>
      </c>
      <c r="J447" s="570">
        <v>0</v>
      </c>
      <c r="K447">
        <v>2.2000000000000001E-4</v>
      </c>
    </row>
    <row r="448" spans="1:11">
      <c r="A448" s="570" t="str">
        <f t="shared" si="6"/>
        <v>4F11</v>
      </c>
      <c r="C448" t="s">
        <v>2374</v>
      </c>
      <c r="D448" t="s">
        <v>1834</v>
      </c>
      <c r="E448">
        <v>11</v>
      </c>
      <c r="F448">
        <v>1.2999999999999999E-3</v>
      </c>
      <c r="G448">
        <v>2.9999999999999997E-4</v>
      </c>
      <c r="H448" s="570">
        <v>0</v>
      </c>
      <c r="I448" s="570">
        <v>0</v>
      </c>
      <c r="J448" s="570">
        <v>0</v>
      </c>
      <c r="K448">
        <v>1.8000000000000001E-4</v>
      </c>
    </row>
    <row r="449" spans="1:11">
      <c r="A449" s="570" t="str">
        <f t="shared" si="6"/>
        <v>3F11</v>
      </c>
      <c r="C449" t="s">
        <v>2375</v>
      </c>
      <c r="D449" t="s">
        <v>1834</v>
      </c>
      <c r="E449">
        <v>11</v>
      </c>
      <c r="F449">
        <v>1E-3</v>
      </c>
      <c r="G449">
        <v>2.0000000000000001E-4</v>
      </c>
      <c r="H449" s="570">
        <v>0</v>
      </c>
      <c r="I449" s="570">
        <v>0</v>
      </c>
      <c r="J449" s="570">
        <v>0</v>
      </c>
      <c r="K449">
        <v>1.2999999999999999E-4</v>
      </c>
    </row>
    <row r="450" spans="1:11">
      <c r="A450" s="570" t="str">
        <f t="shared" ref="A450:A513" si="7">C450&amp;E450</f>
        <v>2F11</v>
      </c>
      <c r="C450" t="s">
        <v>2376</v>
      </c>
      <c r="D450" t="s">
        <v>1834</v>
      </c>
      <c r="E450">
        <v>11</v>
      </c>
      <c r="F450">
        <v>6.9999999999999999E-4</v>
      </c>
      <c r="G450">
        <v>1E-4</v>
      </c>
      <c r="H450" s="570">
        <v>0</v>
      </c>
      <c r="I450" s="570">
        <v>0</v>
      </c>
      <c r="J450" s="570">
        <v>0</v>
      </c>
      <c r="K450">
        <v>9.0000000000000006E-5</v>
      </c>
    </row>
    <row r="451" spans="1:11">
      <c r="A451" s="570" t="str">
        <f t="shared" si="7"/>
        <v>1F11</v>
      </c>
      <c r="C451" t="s">
        <v>2377</v>
      </c>
      <c r="D451" t="s">
        <v>1834</v>
      </c>
      <c r="E451">
        <v>11</v>
      </c>
      <c r="F451">
        <v>2.9999999999999997E-4</v>
      </c>
      <c r="G451">
        <v>1E-4</v>
      </c>
      <c r="H451" s="570">
        <v>0</v>
      </c>
      <c r="I451" s="570">
        <v>0</v>
      </c>
      <c r="J451" s="570">
        <v>0</v>
      </c>
      <c r="K451">
        <v>3.0000000000000001E-5</v>
      </c>
    </row>
    <row r="452" spans="1:11">
      <c r="A452" s="570" t="str">
        <f t="shared" si="7"/>
        <v>B111</v>
      </c>
      <c r="C452" t="s">
        <v>2327</v>
      </c>
      <c r="D452" t="s">
        <v>1834</v>
      </c>
      <c r="E452">
        <v>11</v>
      </c>
      <c r="F452">
        <v>0</v>
      </c>
      <c r="G452">
        <v>0</v>
      </c>
      <c r="H452" s="570">
        <v>0</v>
      </c>
      <c r="I452" s="570">
        <v>0</v>
      </c>
      <c r="J452" s="570">
        <v>0</v>
      </c>
      <c r="K452">
        <v>0</v>
      </c>
    </row>
    <row r="453" spans="1:11">
      <c r="A453" s="570" t="str">
        <f t="shared" si="7"/>
        <v>MAI12</v>
      </c>
      <c r="C453" t="s">
        <v>2270</v>
      </c>
      <c r="D453" t="s">
        <v>1834</v>
      </c>
      <c r="E453">
        <v>12</v>
      </c>
      <c r="F453">
        <v>-9.1000000000000004E-3</v>
      </c>
      <c r="G453">
        <v>-5.9999999999999995E-4</v>
      </c>
      <c r="H453" s="570">
        <v>0</v>
      </c>
      <c r="I453" s="570">
        <v>0</v>
      </c>
      <c r="J453" s="570">
        <v>0</v>
      </c>
      <c r="K453">
        <v>1.9000000000000001E-4</v>
      </c>
    </row>
    <row r="454" spans="1:11">
      <c r="A454" s="570" t="str">
        <f t="shared" si="7"/>
        <v>TUM12</v>
      </c>
      <c r="C454" t="s">
        <v>2271</v>
      </c>
      <c r="D454" t="s">
        <v>1834</v>
      </c>
      <c r="E454">
        <v>12</v>
      </c>
      <c r="F454">
        <v>-5.4000000000000003E-3</v>
      </c>
      <c r="G454">
        <v>-2.9999999999999997E-4</v>
      </c>
      <c r="H454" s="570">
        <v>0</v>
      </c>
      <c r="I454" s="570">
        <v>0</v>
      </c>
      <c r="J454" s="570">
        <v>0</v>
      </c>
      <c r="K454">
        <v>1.1E-4</v>
      </c>
    </row>
    <row r="455" spans="1:11">
      <c r="A455" s="570" t="str">
        <f t="shared" si="7"/>
        <v>38F12</v>
      </c>
      <c r="C455" t="s">
        <v>2340</v>
      </c>
      <c r="D455" t="s">
        <v>1834</v>
      </c>
      <c r="E455">
        <v>12</v>
      </c>
      <c r="F455">
        <v>-3.3E-3</v>
      </c>
      <c r="G455">
        <v>-2.0000000000000001E-4</v>
      </c>
      <c r="H455" s="570">
        <v>0</v>
      </c>
      <c r="I455" s="570">
        <v>0</v>
      </c>
      <c r="J455" s="570">
        <v>0</v>
      </c>
      <c r="K455">
        <v>6.9999999999999994E-5</v>
      </c>
    </row>
    <row r="456" spans="1:11">
      <c r="A456" s="570" t="str">
        <f t="shared" si="7"/>
        <v>37F12</v>
      </c>
      <c r="C456" t="s">
        <v>2341</v>
      </c>
      <c r="D456" t="s">
        <v>1834</v>
      </c>
      <c r="E456">
        <v>12</v>
      </c>
      <c r="F456">
        <v>-1.1000000000000001E-3</v>
      </c>
      <c r="G456">
        <v>-1E-4</v>
      </c>
      <c r="H456" s="570">
        <v>0</v>
      </c>
      <c r="I456" s="570">
        <v>0</v>
      </c>
      <c r="J456" s="570">
        <v>0</v>
      </c>
      <c r="K456">
        <v>3.0000000000000001E-5</v>
      </c>
    </row>
    <row r="457" spans="1:11">
      <c r="A457" s="570" t="str">
        <f t="shared" si="7"/>
        <v>36F12</v>
      </c>
      <c r="C457" t="s">
        <v>2342</v>
      </c>
      <c r="D457" t="s">
        <v>1834</v>
      </c>
      <c r="E457">
        <v>12</v>
      </c>
      <c r="F457">
        <v>1E-3</v>
      </c>
      <c r="G457">
        <v>0</v>
      </c>
      <c r="H457" s="570">
        <v>0</v>
      </c>
      <c r="I457" s="570">
        <v>0</v>
      </c>
      <c r="J457" s="570">
        <v>0</v>
      </c>
      <c r="K457">
        <v>-1.0000000000000001E-5</v>
      </c>
    </row>
    <row r="458" spans="1:11">
      <c r="A458" s="570" t="str">
        <f t="shared" si="7"/>
        <v>35F12</v>
      </c>
      <c r="C458" t="s">
        <v>2343</v>
      </c>
      <c r="D458" t="s">
        <v>1834</v>
      </c>
      <c r="E458">
        <v>12</v>
      </c>
      <c r="F458">
        <v>2.8E-3</v>
      </c>
      <c r="G458">
        <v>1E-4</v>
      </c>
      <c r="H458" s="570">
        <v>0</v>
      </c>
      <c r="I458" s="570">
        <v>0</v>
      </c>
      <c r="J458" s="570">
        <v>0</v>
      </c>
      <c r="K458">
        <v>-4.0000000000000003E-5</v>
      </c>
    </row>
    <row r="459" spans="1:11">
      <c r="A459" s="570" t="str">
        <f t="shared" si="7"/>
        <v>34F12</v>
      </c>
      <c r="C459" t="s">
        <v>2344</v>
      </c>
      <c r="D459" t="s">
        <v>1834</v>
      </c>
      <c r="E459">
        <v>12</v>
      </c>
      <c r="F459">
        <v>4.1999999999999997E-3</v>
      </c>
      <c r="G459">
        <v>2.0000000000000001E-4</v>
      </c>
      <c r="H459" s="570">
        <v>0</v>
      </c>
      <c r="I459" s="570">
        <v>0</v>
      </c>
      <c r="J459" s="570">
        <v>0</v>
      </c>
      <c r="K459">
        <v>-6.9999999999999994E-5</v>
      </c>
    </row>
    <row r="460" spans="1:11">
      <c r="A460" s="570" t="str">
        <f t="shared" si="7"/>
        <v>33F12</v>
      </c>
      <c r="C460" t="s">
        <v>2345</v>
      </c>
      <c r="D460" t="s">
        <v>1834</v>
      </c>
      <c r="E460">
        <v>12</v>
      </c>
      <c r="F460">
        <v>5.0000000000000001E-3</v>
      </c>
      <c r="G460">
        <v>2.0000000000000001E-4</v>
      </c>
      <c r="H460" s="570">
        <v>0</v>
      </c>
      <c r="I460" s="570">
        <v>0</v>
      </c>
      <c r="J460" s="570">
        <v>0</v>
      </c>
      <c r="K460">
        <v>-9.0000000000000006E-5</v>
      </c>
    </row>
    <row r="461" spans="1:11">
      <c r="A461" s="570" t="str">
        <f t="shared" si="7"/>
        <v>32F12</v>
      </c>
      <c r="C461" t="s">
        <v>2346</v>
      </c>
      <c r="D461" t="s">
        <v>1834</v>
      </c>
      <c r="E461">
        <v>12</v>
      </c>
      <c r="F461">
        <v>5.0000000000000001E-3</v>
      </c>
      <c r="G461">
        <v>2.0000000000000001E-4</v>
      </c>
      <c r="H461" s="570">
        <v>0</v>
      </c>
      <c r="I461" s="570">
        <v>0</v>
      </c>
      <c r="J461" s="570">
        <v>0</v>
      </c>
      <c r="K461">
        <v>-9.0000000000000006E-5</v>
      </c>
    </row>
    <row r="462" spans="1:11">
      <c r="A462" s="570" t="str">
        <f t="shared" si="7"/>
        <v>31F12</v>
      </c>
      <c r="C462" t="s">
        <v>2347</v>
      </c>
      <c r="D462" t="s">
        <v>1834</v>
      </c>
      <c r="E462">
        <v>12</v>
      </c>
      <c r="F462">
        <v>4.4999999999999997E-3</v>
      </c>
      <c r="G462">
        <v>2.0000000000000001E-4</v>
      </c>
      <c r="H462" s="570">
        <v>0</v>
      </c>
      <c r="I462" s="570">
        <v>0</v>
      </c>
      <c r="J462" s="570">
        <v>0</v>
      </c>
      <c r="K462">
        <v>-9.0000000000000006E-5</v>
      </c>
    </row>
    <row r="463" spans="1:11">
      <c r="A463" s="570" t="str">
        <f t="shared" si="7"/>
        <v>30F12</v>
      </c>
      <c r="C463" t="s">
        <v>2348</v>
      </c>
      <c r="D463" t="s">
        <v>1834</v>
      </c>
      <c r="E463">
        <v>12</v>
      </c>
      <c r="F463">
        <v>3.3E-3</v>
      </c>
      <c r="G463">
        <v>1E-4</v>
      </c>
      <c r="H463" s="570">
        <v>0</v>
      </c>
      <c r="I463" s="570">
        <v>0</v>
      </c>
      <c r="J463" s="570">
        <v>0</v>
      </c>
      <c r="K463">
        <v>-6.9999999999999994E-5</v>
      </c>
    </row>
    <row r="464" spans="1:11">
      <c r="A464" s="570" t="str">
        <f t="shared" si="7"/>
        <v>29F12</v>
      </c>
      <c r="C464" t="s">
        <v>2349</v>
      </c>
      <c r="D464" t="s">
        <v>1834</v>
      </c>
      <c r="E464">
        <v>12</v>
      </c>
      <c r="F464">
        <v>1.6999999999999999E-3</v>
      </c>
      <c r="G464">
        <v>1E-4</v>
      </c>
      <c r="H464" s="570">
        <v>0</v>
      </c>
      <c r="I464" s="570">
        <v>0</v>
      </c>
      <c r="J464" s="570">
        <v>0</v>
      </c>
      <c r="K464">
        <v>-4.0000000000000003E-5</v>
      </c>
    </row>
    <row r="465" spans="1:11">
      <c r="A465" s="570" t="str">
        <f t="shared" si="7"/>
        <v>28F12</v>
      </c>
      <c r="C465" t="s">
        <v>2350</v>
      </c>
      <c r="D465" t="s">
        <v>1834</v>
      </c>
      <c r="E465">
        <v>12</v>
      </c>
      <c r="F465">
        <v>-1E-4</v>
      </c>
      <c r="G465">
        <v>0</v>
      </c>
      <c r="H465" s="570">
        <v>0</v>
      </c>
      <c r="I465" s="570">
        <v>0</v>
      </c>
      <c r="J465" s="570">
        <v>0</v>
      </c>
      <c r="K465">
        <v>-1.0000000000000001E-5</v>
      </c>
    </row>
    <row r="466" spans="1:11">
      <c r="A466" s="570" t="str">
        <f t="shared" si="7"/>
        <v>27F12</v>
      </c>
      <c r="C466" t="s">
        <v>2351</v>
      </c>
      <c r="D466" t="s">
        <v>1834</v>
      </c>
      <c r="E466">
        <v>12</v>
      </c>
      <c r="F466">
        <v>-1.9E-3</v>
      </c>
      <c r="G466">
        <v>-1E-4</v>
      </c>
      <c r="H466" s="570">
        <v>0</v>
      </c>
      <c r="I466" s="570">
        <v>0</v>
      </c>
      <c r="J466" s="570">
        <v>0</v>
      </c>
      <c r="K466">
        <v>3.0000000000000001E-5</v>
      </c>
    </row>
    <row r="467" spans="1:11">
      <c r="A467" s="570" t="str">
        <f t="shared" si="7"/>
        <v>26F12</v>
      </c>
      <c r="C467" t="s">
        <v>2352</v>
      </c>
      <c r="D467" t="s">
        <v>1834</v>
      </c>
      <c r="E467">
        <v>12</v>
      </c>
      <c r="F467">
        <v>-3.5000000000000001E-3</v>
      </c>
      <c r="G467">
        <v>-2.0000000000000001E-4</v>
      </c>
      <c r="H467" s="570">
        <v>0</v>
      </c>
      <c r="I467" s="570">
        <v>0</v>
      </c>
      <c r="J467" s="570">
        <v>0</v>
      </c>
      <c r="K467">
        <v>6.0000000000000002E-5</v>
      </c>
    </row>
    <row r="468" spans="1:11">
      <c r="A468" s="570" t="str">
        <f t="shared" si="7"/>
        <v>25F12</v>
      </c>
      <c r="C468" t="s">
        <v>2353</v>
      </c>
      <c r="D468" t="s">
        <v>1834</v>
      </c>
      <c r="E468">
        <v>12</v>
      </c>
      <c r="F468">
        <v>-4.7000000000000002E-3</v>
      </c>
      <c r="G468">
        <v>-2.0000000000000001E-4</v>
      </c>
      <c r="H468" s="570">
        <v>0</v>
      </c>
      <c r="I468" s="570">
        <v>0</v>
      </c>
      <c r="J468" s="570">
        <v>0</v>
      </c>
      <c r="K468">
        <v>8.0000000000000007E-5</v>
      </c>
    </row>
    <row r="469" spans="1:11">
      <c r="A469" s="570" t="str">
        <f t="shared" si="7"/>
        <v>24F12</v>
      </c>
      <c r="C469" t="s">
        <v>2354</v>
      </c>
      <c r="D469" t="s">
        <v>1834</v>
      </c>
      <c r="E469">
        <v>12</v>
      </c>
      <c r="F469">
        <v>-5.3E-3</v>
      </c>
      <c r="G469">
        <v>-2.0000000000000001E-4</v>
      </c>
      <c r="H469" s="570">
        <v>0</v>
      </c>
      <c r="I469" s="570">
        <v>0</v>
      </c>
      <c r="J469" s="570">
        <v>0</v>
      </c>
      <c r="K469">
        <v>9.0000000000000006E-5</v>
      </c>
    </row>
    <row r="470" spans="1:11">
      <c r="A470" s="570" t="str">
        <f t="shared" si="7"/>
        <v>23F12</v>
      </c>
      <c r="C470" t="s">
        <v>2355</v>
      </c>
      <c r="D470" t="s">
        <v>1834</v>
      </c>
      <c r="E470">
        <v>12</v>
      </c>
      <c r="F470">
        <v>-5.1999999999999998E-3</v>
      </c>
      <c r="G470">
        <v>-2.0000000000000001E-4</v>
      </c>
      <c r="H470" s="570">
        <v>0</v>
      </c>
      <c r="I470" s="570">
        <v>0</v>
      </c>
      <c r="J470" s="570">
        <v>0</v>
      </c>
      <c r="K470">
        <v>9.0000000000000006E-5</v>
      </c>
    </row>
    <row r="471" spans="1:11">
      <c r="A471" s="570" t="str">
        <f t="shared" si="7"/>
        <v>22F12</v>
      </c>
      <c r="C471" t="s">
        <v>2356</v>
      </c>
      <c r="D471" t="s">
        <v>1834</v>
      </c>
      <c r="E471">
        <v>12</v>
      </c>
      <c r="F471">
        <v>-4.4999999999999997E-3</v>
      </c>
      <c r="G471">
        <v>-2.0000000000000001E-4</v>
      </c>
      <c r="H471" s="570">
        <v>0</v>
      </c>
      <c r="I471" s="570">
        <v>0</v>
      </c>
      <c r="J471" s="570">
        <v>0</v>
      </c>
      <c r="K471">
        <v>8.0000000000000007E-5</v>
      </c>
    </row>
    <row r="472" spans="1:11">
      <c r="A472" s="570" t="str">
        <f t="shared" si="7"/>
        <v>21F12</v>
      </c>
      <c r="C472" t="s">
        <v>2357</v>
      </c>
      <c r="D472" t="s">
        <v>1834</v>
      </c>
      <c r="E472">
        <v>12</v>
      </c>
      <c r="F472">
        <v>-3.2000000000000002E-3</v>
      </c>
      <c r="G472">
        <v>-1E-4</v>
      </c>
      <c r="H472" s="570">
        <v>0</v>
      </c>
      <c r="I472" s="570">
        <v>0</v>
      </c>
      <c r="J472" s="570">
        <v>0</v>
      </c>
      <c r="K472">
        <v>6.0000000000000002E-5</v>
      </c>
    </row>
    <row r="473" spans="1:11">
      <c r="A473" s="570" t="str">
        <f t="shared" si="7"/>
        <v>20F12</v>
      </c>
      <c r="C473" t="s">
        <v>2358</v>
      </c>
      <c r="D473" t="s">
        <v>1834</v>
      </c>
      <c r="E473">
        <v>12</v>
      </c>
      <c r="F473">
        <v>-1.6000000000000001E-3</v>
      </c>
      <c r="G473">
        <v>0</v>
      </c>
      <c r="H473" s="570">
        <v>0</v>
      </c>
      <c r="I473" s="570">
        <v>0</v>
      </c>
      <c r="J473" s="570">
        <v>0</v>
      </c>
      <c r="K473">
        <v>3.0000000000000001E-5</v>
      </c>
    </row>
    <row r="474" spans="1:11">
      <c r="A474" s="570" t="str">
        <f t="shared" si="7"/>
        <v>19F12</v>
      </c>
      <c r="C474" t="s">
        <v>2359</v>
      </c>
      <c r="D474" t="s">
        <v>1834</v>
      </c>
      <c r="E474">
        <v>12</v>
      </c>
      <c r="F474">
        <v>2.0000000000000001E-4</v>
      </c>
      <c r="G474">
        <v>1E-4</v>
      </c>
      <c r="H474" s="570">
        <v>0</v>
      </c>
      <c r="I474" s="570">
        <v>0</v>
      </c>
      <c r="J474" s="570">
        <v>0</v>
      </c>
      <c r="K474">
        <v>0</v>
      </c>
    </row>
    <row r="475" spans="1:11">
      <c r="A475" s="570" t="str">
        <f t="shared" si="7"/>
        <v>18F12</v>
      </c>
      <c r="C475" t="s">
        <v>2360</v>
      </c>
      <c r="D475" t="s">
        <v>1834</v>
      </c>
      <c r="E475">
        <v>12</v>
      </c>
      <c r="F475">
        <v>2E-3</v>
      </c>
      <c r="G475">
        <v>2.0000000000000001E-4</v>
      </c>
      <c r="H475" s="570">
        <v>0</v>
      </c>
      <c r="I475" s="570">
        <v>0</v>
      </c>
      <c r="J475" s="570">
        <v>0</v>
      </c>
      <c r="K475">
        <v>-3.0000000000000001E-5</v>
      </c>
    </row>
    <row r="476" spans="1:11">
      <c r="A476" s="570" t="str">
        <f t="shared" si="7"/>
        <v>17F12</v>
      </c>
      <c r="C476" t="s">
        <v>2361</v>
      </c>
      <c r="D476" t="s">
        <v>1834</v>
      </c>
      <c r="E476">
        <v>12</v>
      </c>
      <c r="F476">
        <v>3.5999999999999999E-3</v>
      </c>
      <c r="G476">
        <v>2.0000000000000001E-4</v>
      </c>
      <c r="H476" s="570">
        <v>0</v>
      </c>
      <c r="I476" s="570">
        <v>0</v>
      </c>
      <c r="J476" s="570">
        <v>0</v>
      </c>
      <c r="K476">
        <v>-6.0000000000000002E-5</v>
      </c>
    </row>
    <row r="477" spans="1:11">
      <c r="A477" s="570" t="str">
        <f t="shared" si="7"/>
        <v>16F12</v>
      </c>
      <c r="C477" t="s">
        <v>2362</v>
      </c>
      <c r="D477" t="s">
        <v>1834</v>
      </c>
      <c r="E477">
        <v>12</v>
      </c>
      <c r="F477">
        <v>4.7000000000000002E-3</v>
      </c>
      <c r="G477">
        <v>2.9999999999999997E-4</v>
      </c>
      <c r="H477" s="570">
        <v>0</v>
      </c>
      <c r="I477" s="570">
        <v>0</v>
      </c>
      <c r="J477" s="570">
        <v>0</v>
      </c>
      <c r="K477">
        <v>-8.0000000000000007E-5</v>
      </c>
    </row>
    <row r="478" spans="1:11">
      <c r="A478" s="570" t="str">
        <f t="shared" si="7"/>
        <v>15F12</v>
      </c>
      <c r="C478" t="s">
        <v>2363</v>
      </c>
      <c r="D478" t="s">
        <v>1834</v>
      </c>
      <c r="E478">
        <v>12</v>
      </c>
      <c r="F478">
        <v>5.1999999999999998E-3</v>
      </c>
      <c r="G478">
        <v>2.9999999999999997E-4</v>
      </c>
      <c r="H478" s="570">
        <v>0</v>
      </c>
      <c r="I478" s="570">
        <v>0</v>
      </c>
      <c r="J478" s="570">
        <v>0</v>
      </c>
      <c r="K478">
        <v>-9.0000000000000006E-5</v>
      </c>
    </row>
    <row r="479" spans="1:11">
      <c r="A479" s="570" t="str">
        <f t="shared" si="7"/>
        <v>14F12</v>
      </c>
      <c r="C479" t="s">
        <v>2364</v>
      </c>
      <c r="D479" t="s">
        <v>1834</v>
      </c>
      <c r="E479">
        <v>12</v>
      </c>
      <c r="F479">
        <v>5.1000000000000004E-3</v>
      </c>
      <c r="G479">
        <v>2.9999999999999997E-4</v>
      </c>
      <c r="H479" s="570">
        <v>0</v>
      </c>
      <c r="I479" s="570">
        <v>0</v>
      </c>
      <c r="J479" s="570">
        <v>0</v>
      </c>
      <c r="K479">
        <v>-9.0000000000000006E-5</v>
      </c>
    </row>
    <row r="480" spans="1:11">
      <c r="A480" s="570" t="str">
        <f t="shared" si="7"/>
        <v>13F12</v>
      </c>
      <c r="C480" t="s">
        <v>2365</v>
      </c>
      <c r="D480" t="s">
        <v>1834</v>
      </c>
      <c r="E480">
        <v>12</v>
      </c>
      <c r="F480">
        <v>4.4000000000000003E-3</v>
      </c>
      <c r="G480">
        <v>2.0000000000000001E-4</v>
      </c>
      <c r="H480" s="570">
        <v>0</v>
      </c>
      <c r="I480" s="570">
        <v>0</v>
      </c>
      <c r="J480" s="570">
        <v>0</v>
      </c>
      <c r="K480">
        <v>-8.0000000000000007E-5</v>
      </c>
    </row>
    <row r="481" spans="1:11">
      <c r="A481" s="570" t="str">
        <f t="shared" si="7"/>
        <v>12F12</v>
      </c>
      <c r="C481" t="s">
        <v>2366</v>
      </c>
      <c r="D481" t="s">
        <v>1834</v>
      </c>
      <c r="E481">
        <v>12</v>
      </c>
      <c r="F481">
        <v>3.2000000000000002E-3</v>
      </c>
      <c r="G481">
        <v>1E-4</v>
      </c>
      <c r="H481" s="570">
        <v>0</v>
      </c>
      <c r="I481" s="570">
        <v>0</v>
      </c>
      <c r="J481" s="570">
        <v>0</v>
      </c>
      <c r="K481">
        <v>-5.0000000000000002E-5</v>
      </c>
    </row>
    <row r="482" spans="1:11">
      <c r="A482" s="570" t="str">
        <f t="shared" si="7"/>
        <v>11F12</v>
      </c>
      <c r="C482" t="s">
        <v>2367</v>
      </c>
      <c r="D482" t="s">
        <v>1834</v>
      </c>
      <c r="E482">
        <v>12</v>
      </c>
      <c r="F482">
        <v>1.6000000000000001E-3</v>
      </c>
      <c r="G482">
        <v>0</v>
      </c>
      <c r="H482" s="570">
        <v>0</v>
      </c>
      <c r="I482" s="570">
        <v>0</v>
      </c>
      <c r="J482" s="570">
        <v>0</v>
      </c>
      <c r="K482">
        <v>-2.0000000000000002E-5</v>
      </c>
    </row>
    <row r="483" spans="1:11">
      <c r="A483" s="570" t="str">
        <f t="shared" si="7"/>
        <v>10F12</v>
      </c>
      <c r="C483" t="s">
        <v>2368</v>
      </c>
      <c r="D483" t="s">
        <v>1834</v>
      </c>
      <c r="E483">
        <v>12</v>
      </c>
      <c r="F483">
        <v>-2.0000000000000001E-4</v>
      </c>
      <c r="G483">
        <v>-1E-4</v>
      </c>
      <c r="H483" s="570">
        <v>0</v>
      </c>
      <c r="I483" s="570">
        <v>0</v>
      </c>
      <c r="J483" s="570">
        <v>0</v>
      </c>
      <c r="K483">
        <v>1.0000000000000001E-5</v>
      </c>
    </row>
    <row r="484" spans="1:11">
      <c r="A484" s="570" t="str">
        <f t="shared" si="7"/>
        <v>9F12</v>
      </c>
      <c r="C484" t="s">
        <v>2369</v>
      </c>
      <c r="D484" t="s">
        <v>1834</v>
      </c>
      <c r="E484">
        <v>12</v>
      </c>
      <c r="F484">
        <v>-2E-3</v>
      </c>
      <c r="G484">
        <v>-2.0000000000000001E-4</v>
      </c>
      <c r="H484" s="570">
        <v>0</v>
      </c>
      <c r="I484" s="570">
        <v>0</v>
      </c>
      <c r="J484" s="570">
        <v>0</v>
      </c>
      <c r="K484">
        <v>4.0000000000000003E-5</v>
      </c>
    </row>
    <row r="485" spans="1:11">
      <c r="A485" s="570" t="str">
        <f t="shared" si="7"/>
        <v>8F12</v>
      </c>
      <c r="C485" t="s">
        <v>2370</v>
      </c>
      <c r="D485" t="s">
        <v>1834</v>
      </c>
      <c r="E485">
        <v>12</v>
      </c>
      <c r="F485">
        <v>-3.5000000000000001E-3</v>
      </c>
      <c r="G485">
        <v>-2.0000000000000001E-4</v>
      </c>
      <c r="H485" s="570">
        <v>0</v>
      </c>
      <c r="I485" s="570">
        <v>0</v>
      </c>
      <c r="J485" s="570">
        <v>0</v>
      </c>
      <c r="K485">
        <v>6.0000000000000002E-5</v>
      </c>
    </row>
    <row r="486" spans="1:11">
      <c r="A486" s="570" t="str">
        <f t="shared" si="7"/>
        <v>7F12</v>
      </c>
      <c r="C486" t="s">
        <v>2371</v>
      </c>
      <c r="D486" t="s">
        <v>1834</v>
      </c>
      <c r="E486">
        <v>12</v>
      </c>
      <c r="F486">
        <v>-4.5999999999999999E-3</v>
      </c>
      <c r="G486">
        <v>-2.9999999999999997E-4</v>
      </c>
      <c r="H486" s="570">
        <v>0</v>
      </c>
      <c r="I486" s="570">
        <v>0</v>
      </c>
      <c r="J486" s="570">
        <v>0</v>
      </c>
      <c r="K486">
        <v>8.0000000000000007E-5</v>
      </c>
    </row>
    <row r="487" spans="1:11">
      <c r="A487" s="570" t="str">
        <f t="shared" si="7"/>
        <v>6F12</v>
      </c>
      <c r="C487" t="s">
        <v>2372</v>
      </c>
      <c r="D487" t="s">
        <v>1834</v>
      </c>
      <c r="E487">
        <v>12</v>
      </c>
      <c r="F487">
        <v>-5.1999999999999998E-3</v>
      </c>
      <c r="G487">
        <v>-2.9999999999999997E-4</v>
      </c>
      <c r="H487" s="570">
        <v>0</v>
      </c>
      <c r="I487" s="570">
        <v>0</v>
      </c>
      <c r="J487" s="570">
        <v>0</v>
      </c>
      <c r="K487">
        <v>9.0000000000000006E-5</v>
      </c>
    </row>
    <row r="488" spans="1:11">
      <c r="A488" s="570" t="str">
        <f t="shared" si="7"/>
        <v>5F12</v>
      </c>
      <c r="C488" t="s">
        <v>2373</v>
      </c>
      <c r="D488" t="s">
        <v>1834</v>
      </c>
      <c r="E488">
        <v>12</v>
      </c>
      <c r="F488">
        <v>-5.3E-3</v>
      </c>
      <c r="G488">
        <v>-2.9999999999999997E-4</v>
      </c>
      <c r="H488" s="570">
        <v>0</v>
      </c>
      <c r="I488" s="570">
        <v>0</v>
      </c>
      <c r="J488" s="570">
        <v>0</v>
      </c>
      <c r="K488">
        <v>9.0000000000000006E-5</v>
      </c>
    </row>
    <row r="489" spans="1:11">
      <c r="A489" s="570" t="str">
        <f t="shared" si="7"/>
        <v>4F12</v>
      </c>
      <c r="C489" t="s">
        <v>2374</v>
      </c>
      <c r="D489" t="s">
        <v>1834</v>
      </c>
      <c r="E489">
        <v>12</v>
      </c>
      <c r="F489">
        <v>-4.7999999999999996E-3</v>
      </c>
      <c r="G489">
        <v>-2.9999999999999997E-4</v>
      </c>
      <c r="H489" s="570">
        <v>0</v>
      </c>
      <c r="I489" s="570">
        <v>0</v>
      </c>
      <c r="J489" s="570">
        <v>0</v>
      </c>
      <c r="K489">
        <v>8.0000000000000007E-5</v>
      </c>
    </row>
    <row r="490" spans="1:11">
      <c r="A490" s="570" t="str">
        <f t="shared" si="7"/>
        <v>3F12</v>
      </c>
      <c r="C490" t="s">
        <v>2375</v>
      </c>
      <c r="D490" t="s">
        <v>1834</v>
      </c>
      <c r="E490">
        <v>12</v>
      </c>
      <c r="F490">
        <v>-3.8999999999999998E-3</v>
      </c>
      <c r="G490">
        <v>-2.0000000000000001E-4</v>
      </c>
      <c r="H490" s="570">
        <v>0</v>
      </c>
      <c r="I490" s="570">
        <v>0</v>
      </c>
      <c r="J490" s="570">
        <v>0</v>
      </c>
      <c r="K490">
        <v>6.0000000000000002E-5</v>
      </c>
    </row>
    <row r="491" spans="1:11">
      <c r="A491" s="570" t="str">
        <f t="shared" si="7"/>
        <v>2F12</v>
      </c>
      <c r="C491" t="s">
        <v>2376</v>
      </c>
      <c r="D491" t="s">
        <v>1834</v>
      </c>
      <c r="E491">
        <v>12</v>
      </c>
      <c r="F491">
        <v>-2.7000000000000001E-3</v>
      </c>
      <c r="G491">
        <v>-2.0000000000000001E-4</v>
      </c>
      <c r="H491" s="570">
        <v>0</v>
      </c>
      <c r="I491" s="570">
        <v>0</v>
      </c>
      <c r="J491" s="570">
        <v>0</v>
      </c>
      <c r="K491">
        <v>4.0000000000000003E-5</v>
      </c>
    </row>
    <row r="492" spans="1:11">
      <c r="A492" s="570" t="str">
        <f t="shared" si="7"/>
        <v>1F12</v>
      </c>
      <c r="C492" t="s">
        <v>2377</v>
      </c>
      <c r="D492" t="s">
        <v>1834</v>
      </c>
      <c r="E492">
        <v>12</v>
      </c>
      <c r="F492">
        <v>-1E-3</v>
      </c>
      <c r="G492">
        <v>0</v>
      </c>
      <c r="H492" s="570">
        <v>0</v>
      </c>
      <c r="I492" s="570">
        <v>0</v>
      </c>
      <c r="J492" s="570">
        <v>0</v>
      </c>
      <c r="K492">
        <v>2.0000000000000002E-5</v>
      </c>
    </row>
    <row r="493" spans="1:11">
      <c r="A493" s="570" t="str">
        <f t="shared" si="7"/>
        <v>B112</v>
      </c>
      <c r="C493" t="s">
        <v>2327</v>
      </c>
      <c r="D493" t="s">
        <v>1834</v>
      </c>
      <c r="E493">
        <v>12</v>
      </c>
      <c r="F493">
        <v>0</v>
      </c>
      <c r="G493">
        <v>0</v>
      </c>
      <c r="H493" s="570">
        <v>0</v>
      </c>
      <c r="I493" s="570">
        <v>0</v>
      </c>
      <c r="J493" s="570">
        <v>0</v>
      </c>
      <c r="K493">
        <v>0</v>
      </c>
    </row>
    <row r="494" spans="1:11">
      <c r="A494" s="570" t="str">
        <f t="shared" si="7"/>
        <v>MAI13</v>
      </c>
      <c r="C494" t="s">
        <v>2270</v>
      </c>
      <c r="D494" t="s">
        <v>1834</v>
      </c>
      <c r="E494">
        <v>13</v>
      </c>
      <c r="F494">
        <v>-3.5000000000000001E-3</v>
      </c>
      <c r="G494">
        <v>-5.9999999999999995E-4</v>
      </c>
      <c r="H494" s="570">
        <v>0</v>
      </c>
      <c r="I494" s="570">
        <v>0</v>
      </c>
      <c r="J494" s="570">
        <v>0</v>
      </c>
      <c r="K494">
        <v>-4.2000000000000002E-4</v>
      </c>
    </row>
    <row r="495" spans="1:11">
      <c r="A495" s="570" t="str">
        <f t="shared" si="7"/>
        <v>TUM13</v>
      </c>
      <c r="C495" t="s">
        <v>2271</v>
      </c>
      <c r="D495" t="s">
        <v>1834</v>
      </c>
      <c r="E495">
        <v>13</v>
      </c>
      <c r="F495">
        <v>-2.0999999999999999E-3</v>
      </c>
      <c r="G495">
        <v>-5.0000000000000001E-4</v>
      </c>
      <c r="H495" s="570">
        <v>0</v>
      </c>
      <c r="I495" s="570">
        <v>0</v>
      </c>
      <c r="J495" s="570">
        <v>0</v>
      </c>
      <c r="K495">
        <v>-2.7999999999999998E-4</v>
      </c>
    </row>
    <row r="496" spans="1:11">
      <c r="A496" s="570" t="str">
        <f t="shared" si="7"/>
        <v>38F13</v>
      </c>
      <c r="C496" t="s">
        <v>2340</v>
      </c>
      <c r="D496" t="s">
        <v>1834</v>
      </c>
      <c r="E496">
        <v>13</v>
      </c>
      <c r="F496">
        <v>-1.1999999999999999E-3</v>
      </c>
      <c r="G496">
        <v>-4.0000000000000002E-4</v>
      </c>
      <c r="H496" s="570">
        <v>0</v>
      </c>
      <c r="I496" s="570">
        <v>0</v>
      </c>
      <c r="J496" s="570">
        <v>0</v>
      </c>
      <c r="K496">
        <v>-1.8000000000000001E-4</v>
      </c>
    </row>
    <row r="497" spans="1:11">
      <c r="A497" s="570" t="str">
        <f t="shared" si="7"/>
        <v>37F13</v>
      </c>
      <c r="C497" t="s">
        <v>2341</v>
      </c>
      <c r="D497" t="s">
        <v>1834</v>
      </c>
      <c r="E497">
        <v>13</v>
      </c>
      <c r="F497">
        <v>-2.9999999999999997E-4</v>
      </c>
      <c r="G497">
        <v>-2.0000000000000001E-4</v>
      </c>
      <c r="H497" s="570">
        <v>0</v>
      </c>
      <c r="I497" s="570">
        <v>0</v>
      </c>
      <c r="J497" s="570">
        <v>0</v>
      </c>
      <c r="K497">
        <v>-8.0000000000000007E-5</v>
      </c>
    </row>
    <row r="498" spans="1:11">
      <c r="A498" s="570" t="str">
        <f t="shared" si="7"/>
        <v>36F13</v>
      </c>
      <c r="C498" t="s">
        <v>2342</v>
      </c>
      <c r="D498" t="s">
        <v>1834</v>
      </c>
      <c r="E498">
        <v>13</v>
      </c>
      <c r="F498">
        <v>4.0000000000000002E-4</v>
      </c>
      <c r="G498">
        <v>0</v>
      </c>
      <c r="H498" s="570">
        <v>0</v>
      </c>
      <c r="I498" s="570">
        <v>0</v>
      </c>
      <c r="J498" s="570">
        <v>0</v>
      </c>
      <c r="K498">
        <v>2.0000000000000002E-5</v>
      </c>
    </row>
    <row r="499" spans="1:11">
      <c r="A499" s="570" t="str">
        <f t="shared" si="7"/>
        <v>35F13</v>
      </c>
      <c r="C499" t="s">
        <v>2343</v>
      </c>
      <c r="D499" t="s">
        <v>1834</v>
      </c>
      <c r="E499">
        <v>13</v>
      </c>
      <c r="F499">
        <v>1.1000000000000001E-3</v>
      </c>
      <c r="G499">
        <v>1E-4</v>
      </c>
      <c r="H499" s="570">
        <v>0</v>
      </c>
      <c r="I499" s="570">
        <v>0</v>
      </c>
      <c r="J499" s="570">
        <v>0</v>
      </c>
      <c r="K499">
        <v>1.2E-4</v>
      </c>
    </row>
    <row r="500" spans="1:11">
      <c r="A500" s="570" t="str">
        <f t="shared" si="7"/>
        <v>34F13</v>
      </c>
      <c r="C500" t="s">
        <v>2344</v>
      </c>
      <c r="D500" t="s">
        <v>1834</v>
      </c>
      <c r="E500">
        <v>13</v>
      </c>
      <c r="F500">
        <v>1.6000000000000001E-3</v>
      </c>
      <c r="G500">
        <v>2.9999999999999997E-4</v>
      </c>
      <c r="H500" s="570">
        <v>0</v>
      </c>
      <c r="I500" s="570">
        <v>0</v>
      </c>
      <c r="J500" s="570">
        <v>0</v>
      </c>
      <c r="K500">
        <v>1.9000000000000001E-4</v>
      </c>
    </row>
    <row r="501" spans="1:11">
      <c r="A501" s="570" t="str">
        <f t="shared" si="7"/>
        <v>33F13</v>
      </c>
      <c r="C501" t="s">
        <v>2345</v>
      </c>
      <c r="D501" t="s">
        <v>1834</v>
      </c>
      <c r="E501">
        <v>13</v>
      </c>
      <c r="F501">
        <v>1.8E-3</v>
      </c>
      <c r="G501">
        <v>4.0000000000000002E-4</v>
      </c>
      <c r="H501" s="570">
        <v>0</v>
      </c>
      <c r="I501" s="570">
        <v>0</v>
      </c>
      <c r="J501" s="570">
        <v>0</v>
      </c>
      <c r="K501">
        <v>2.3000000000000001E-4</v>
      </c>
    </row>
    <row r="502" spans="1:11">
      <c r="A502" s="570" t="str">
        <f t="shared" si="7"/>
        <v>32F13</v>
      </c>
      <c r="C502" t="s">
        <v>2346</v>
      </c>
      <c r="D502" t="s">
        <v>1834</v>
      </c>
      <c r="E502">
        <v>13</v>
      </c>
      <c r="F502">
        <v>1.8E-3</v>
      </c>
      <c r="G502">
        <v>4.0000000000000002E-4</v>
      </c>
      <c r="H502" s="570">
        <v>0</v>
      </c>
      <c r="I502" s="570">
        <v>0</v>
      </c>
      <c r="J502" s="570">
        <v>0</v>
      </c>
      <c r="K502">
        <v>2.5000000000000001E-4</v>
      </c>
    </row>
    <row r="503" spans="1:11">
      <c r="A503" s="570" t="str">
        <f t="shared" si="7"/>
        <v>31F13</v>
      </c>
      <c r="C503" t="s">
        <v>2347</v>
      </c>
      <c r="D503" t="s">
        <v>1834</v>
      </c>
      <c r="E503">
        <v>13</v>
      </c>
      <c r="F503">
        <v>1.6000000000000001E-3</v>
      </c>
      <c r="G503">
        <v>4.0000000000000002E-4</v>
      </c>
      <c r="H503" s="570">
        <v>0</v>
      </c>
      <c r="I503" s="570">
        <v>0</v>
      </c>
      <c r="J503" s="570">
        <v>0</v>
      </c>
      <c r="K503">
        <v>2.3000000000000001E-4</v>
      </c>
    </row>
    <row r="504" spans="1:11">
      <c r="A504" s="570" t="str">
        <f t="shared" si="7"/>
        <v>30F13</v>
      </c>
      <c r="C504" t="s">
        <v>2348</v>
      </c>
      <c r="D504" t="s">
        <v>1834</v>
      </c>
      <c r="E504">
        <v>13</v>
      </c>
      <c r="F504">
        <v>1.1999999999999999E-3</v>
      </c>
      <c r="G504">
        <v>4.0000000000000002E-4</v>
      </c>
      <c r="H504" s="570">
        <v>0</v>
      </c>
      <c r="I504" s="570">
        <v>0</v>
      </c>
      <c r="J504" s="570">
        <v>0</v>
      </c>
      <c r="K504">
        <v>1.8000000000000001E-4</v>
      </c>
    </row>
    <row r="505" spans="1:11">
      <c r="A505" s="570" t="str">
        <f t="shared" si="7"/>
        <v>29F13</v>
      </c>
      <c r="C505" t="s">
        <v>2349</v>
      </c>
      <c r="D505" t="s">
        <v>1834</v>
      </c>
      <c r="E505">
        <v>13</v>
      </c>
      <c r="F505">
        <v>5.9999999999999995E-4</v>
      </c>
      <c r="G505">
        <v>2.9999999999999997E-4</v>
      </c>
      <c r="H505" s="570">
        <v>0</v>
      </c>
      <c r="I505" s="570">
        <v>0</v>
      </c>
      <c r="J505" s="570">
        <v>0</v>
      </c>
      <c r="K505">
        <v>1E-4</v>
      </c>
    </row>
    <row r="506" spans="1:11">
      <c r="A506" s="570" t="str">
        <f t="shared" si="7"/>
        <v>28F13</v>
      </c>
      <c r="C506" t="s">
        <v>2350</v>
      </c>
      <c r="D506" t="s">
        <v>1834</v>
      </c>
      <c r="E506">
        <v>13</v>
      </c>
      <c r="F506">
        <v>-1E-4</v>
      </c>
      <c r="G506">
        <v>2.9999999999999997E-4</v>
      </c>
      <c r="H506" s="570">
        <v>0</v>
      </c>
      <c r="I506" s="570">
        <v>0</v>
      </c>
      <c r="J506" s="570">
        <v>0</v>
      </c>
      <c r="K506">
        <v>2.0000000000000002E-5</v>
      </c>
    </row>
    <row r="507" spans="1:11">
      <c r="A507" s="570" t="str">
        <f t="shared" si="7"/>
        <v>27F13</v>
      </c>
      <c r="C507" t="s">
        <v>2351</v>
      </c>
      <c r="D507" t="s">
        <v>1834</v>
      </c>
      <c r="E507">
        <v>13</v>
      </c>
      <c r="F507">
        <v>-6.9999999999999999E-4</v>
      </c>
      <c r="G507">
        <v>2.0000000000000001E-4</v>
      </c>
      <c r="H507" s="570">
        <v>0</v>
      </c>
      <c r="I507" s="570">
        <v>0</v>
      </c>
      <c r="J507" s="570">
        <v>0</v>
      </c>
      <c r="K507">
        <v>-6.9999999999999994E-5</v>
      </c>
    </row>
    <row r="508" spans="1:11">
      <c r="A508" s="570" t="str">
        <f t="shared" si="7"/>
        <v>26F13</v>
      </c>
      <c r="C508" t="s">
        <v>2352</v>
      </c>
      <c r="D508" t="s">
        <v>1834</v>
      </c>
      <c r="E508">
        <v>13</v>
      </c>
      <c r="F508">
        <v>-1.2999999999999999E-3</v>
      </c>
      <c r="G508">
        <v>0</v>
      </c>
      <c r="H508" s="570">
        <v>0</v>
      </c>
      <c r="I508" s="570">
        <v>0</v>
      </c>
      <c r="J508" s="570">
        <v>0</v>
      </c>
      <c r="K508">
        <v>-1.4999999999999999E-4</v>
      </c>
    </row>
    <row r="509" spans="1:11">
      <c r="A509" s="570" t="str">
        <f t="shared" si="7"/>
        <v>25F13</v>
      </c>
      <c r="C509" t="s">
        <v>2353</v>
      </c>
      <c r="D509" t="s">
        <v>1834</v>
      </c>
      <c r="E509">
        <v>13</v>
      </c>
      <c r="F509">
        <v>-1.6999999999999999E-3</v>
      </c>
      <c r="G509">
        <v>-1E-4</v>
      </c>
      <c r="H509" s="570">
        <v>0</v>
      </c>
      <c r="I509" s="570">
        <v>0</v>
      </c>
      <c r="J509" s="570">
        <v>0</v>
      </c>
      <c r="K509">
        <v>-2.2000000000000001E-4</v>
      </c>
    </row>
    <row r="510" spans="1:11">
      <c r="A510" s="570" t="str">
        <f t="shared" si="7"/>
        <v>24F13</v>
      </c>
      <c r="C510" t="s">
        <v>2354</v>
      </c>
      <c r="D510" t="s">
        <v>1834</v>
      </c>
      <c r="E510">
        <v>13</v>
      </c>
      <c r="F510">
        <v>-1.9E-3</v>
      </c>
      <c r="G510">
        <v>-2.0000000000000001E-4</v>
      </c>
      <c r="H510" s="570">
        <v>0</v>
      </c>
      <c r="I510" s="570">
        <v>0</v>
      </c>
      <c r="J510" s="570">
        <v>0</v>
      </c>
      <c r="K510">
        <v>-2.5000000000000001E-4</v>
      </c>
    </row>
    <row r="511" spans="1:11">
      <c r="A511" s="570" t="str">
        <f t="shared" si="7"/>
        <v>23F13</v>
      </c>
      <c r="C511" t="s">
        <v>2355</v>
      </c>
      <c r="D511" t="s">
        <v>1834</v>
      </c>
      <c r="E511">
        <v>13</v>
      </c>
      <c r="F511">
        <v>-1.9E-3</v>
      </c>
      <c r="G511">
        <v>-2.9999999999999997E-4</v>
      </c>
      <c r="H511" s="570">
        <v>0</v>
      </c>
      <c r="I511" s="570">
        <v>0</v>
      </c>
      <c r="J511" s="570">
        <v>0</v>
      </c>
      <c r="K511">
        <v>-2.5000000000000001E-4</v>
      </c>
    </row>
    <row r="512" spans="1:11">
      <c r="A512" s="570" t="str">
        <f t="shared" si="7"/>
        <v>22F13</v>
      </c>
      <c r="C512" t="s">
        <v>2356</v>
      </c>
      <c r="D512" t="s">
        <v>1834</v>
      </c>
      <c r="E512">
        <v>13</v>
      </c>
      <c r="F512">
        <v>-1.6000000000000001E-3</v>
      </c>
      <c r="G512">
        <v>-2.9999999999999997E-4</v>
      </c>
      <c r="H512" s="570">
        <v>0</v>
      </c>
      <c r="I512" s="570">
        <v>0</v>
      </c>
      <c r="J512" s="570">
        <v>0</v>
      </c>
      <c r="K512">
        <v>-2.3000000000000001E-4</v>
      </c>
    </row>
    <row r="513" spans="1:11">
      <c r="A513" s="570" t="str">
        <f t="shared" si="7"/>
        <v>21F13</v>
      </c>
      <c r="C513" t="s">
        <v>2357</v>
      </c>
      <c r="D513" t="s">
        <v>1834</v>
      </c>
      <c r="E513">
        <v>13</v>
      </c>
      <c r="F513">
        <v>-1.1999999999999999E-3</v>
      </c>
      <c r="G513">
        <v>-4.0000000000000002E-4</v>
      </c>
      <c r="H513" s="570">
        <v>0</v>
      </c>
      <c r="I513" s="570">
        <v>0</v>
      </c>
      <c r="J513" s="570">
        <v>0</v>
      </c>
      <c r="K513">
        <v>-1.7000000000000001E-4</v>
      </c>
    </row>
    <row r="514" spans="1:11">
      <c r="A514" s="570" t="str">
        <f t="shared" ref="A514:A577" si="8">C514&amp;E514</f>
        <v>20F13</v>
      </c>
      <c r="C514" t="s">
        <v>2358</v>
      </c>
      <c r="D514" t="s">
        <v>1834</v>
      </c>
      <c r="E514">
        <v>13</v>
      </c>
      <c r="F514">
        <v>-5.9999999999999995E-4</v>
      </c>
      <c r="G514">
        <v>-4.0000000000000002E-4</v>
      </c>
      <c r="H514" s="570">
        <v>0</v>
      </c>
      <c r="I514" s="570">
        <v>0</v>
      </c>
      <c r="J514" s="570">
        <v>0</v>
      </c>
      <c r="K514">
        <v>-9.0000000000000006E-5</v>
      </c>
    </row>
    <row r="515" spans="1:11">
      <c r="A515" s="570" t="str">
        <f t="shared" si="8"/>
        <v>19F13</v>
      </c>
      <c r="C515" t="s">
        <v>2359</v>
      </c>
      <c r="D515" t="s">
        <v>1834</v>
      </c>
      <c r="E515">
        <v>13</v>
      </c>
      <c r="F515">
        <v>0</v>
      </c>
      <c r="G515">
        <v>-4.0000000000000002E-4</v>
      </c>
      <c r="H515" s="570">
        <v>0</v>
      </c>
      <c r="I515" s="570">
        <v>0</v>
      </c>
      <c r="J515" s="570">
        <v>0</v>
      </c>
      <c r="K515">
        <v>0</v>
      </c>
    </row>
    <row r="516" spans="1:11">
      <c r="A516" s="570" t="str">
        <f t="shared" si="8"/>
        <v>18F13</v>
      </c>
      <c r="C516" t="s">
        <v>2360</v>
      </c>
      <c r="D516" t="s">
        <v>1834</v>
      </c>
      <c r="E516">
        <v>13</v>
      </c>
      <c r="F516">
        <v>6.9999999999999999E-4</v>
      </c>
      <c r="G516">
        <v>-2.9999999999999997E-4</v>
      </c>
      <c r="H516" s="570">
        <v>0</v>
      </c>
      <c r="I516" s="570">
        <v>0</v>
      </c>
      <c r="J516" s="570">
        <v>0</v>
      </c>
      <c r="K516">
        <v>9.0000000000000006E-5</v>
      </c>
    </row>
    <row r="517" spans="1:11">
      <c r="A517" s="570" t="str">
        <f t="shared" si="8"/>
        <v>17F13</v>
      </c>
      <c r="C517" t="s">
        <v>2361</v>
      </c>
      <c r="D517" t="s">
        <v>1834</v>
      </c>
      <c r="E517">
        <v>13</v>
      </c>
      <c r="F517">
        <v>1.1999999999999999E-3</v>
      </c>
      <c r="G517">
        <v>-2.9999999999999997E-4</v>
      </c>
      <c r="H517" s="570">
        <v>0</v>
      </c>
      <c r="I517" s="570">
        <v>0</v>
      </c>
      <c r="J517" s="570">
        <v>0</v>
      </c>
      <c r="K517">
        <v>1.6000000000000001E-4</v>
      </c>
    </row>
    <row r="518" spans="1:11">
      <c r="A518" s="570" t="str">
        <f t="shared" si="8"/>
        <v>16F13</v>
      </c>
      <c r="C518" t="s">
        <v>2362</v>
      </c>
      <c r="D518" t="s">
        <v>1834</v>
      </c>
      <c r="E518">
        <v>13</v>
      </c>
      <c r="F518">
        <v>1.6000000000000001E-3</v>
      </c>
      <c r="G518">
        <v>-2.0000000000000001E-4</v>
      </c>
      <c r="H518" s="570">
        <v>0</v>
      </c>
      <c r="I518" s="570">
        <v>0</v>
      </c>
      <c r="J518" s="570">
        <v>0</v>
      </c>
      <c r="K518">
        <v>2.2000000000000001E-4</v>
      </c>
    </row>
    <row r="519" spans="1:11">
      <c r="A519" s="570" t="str">
        <f t="shared" si="8"/>
        <v>15F13</v>
      </c>
      <c r="C519" t="s">
        <v>2363</v>
      </c>
      <c r="D519" t="s">
        <v>1834</v>
      </c>
      <c r="E519">
        <v>13</v>
      </c>
      <c r="F519">
        <v>1.9E-3</v>
      </c>
      <c r="G519">
        <v>-1E-4</v>
      </c>
      <c r="H519" s="570">
        <v>0</v>
      </c>
      <c r="I519" s="570">
        <v>0</v>
      </c>
      <c r="J519" s="570">
        <v>0</v>
      </c>
      <c r="K519">
        <v>2.5000000000000001E-4</v>
      </c>
    </row>
    <row r="520" spans="1:11">
      <c r="A520" s="570" t="str">
        <f t="shared" si="8"/>
        <v>14F13</v>
      </c>
      <c r="C520" t="s">
        <v>2364</v>
      </c>
      <c r="D520" t="s">
        <v>1834</v>
      </c>
      <c r="E520">
        <v>13</v>
      </c>
      <c r="F520">
        <v>1.9E-3</v>
      </c>
      <c r="G520">
        <v>0</v>
      </c>
      <c r="H520" s="570">
        <v>0</v>
      </c>
      <c r="I520" s="570">
        <v>0</v>
      </c>
      <c r="J520" s="570">
        <v>0</v>
      </c>
      <c r="K520">
        <v>2.5000000000000001E-4</v>
      </c>
    </row>
    <row r="521" spans="1:11">
      <c r="A521" s="570" t="str">
        <f t="shared" si="8"/>
        <v>13F13</v>
      </c>
      <c r="C521" t="s">
        <v>2365</v>
      </c>
      <c r="D521" t="s">
        <v>1834</v>
      </c>
      <c r="E521">
        <v>13</v>
      </c>
      <c r="F521">
        <v>1.6000000000000001E-3</v>
      </c>
      <c r="G521">
        <v>1E-4</v>
      </c>
      <c r="H521" s="570">
        <v>0</v>
      </c>
      <c r="I521" s="570">
        <v>0</v>
      </c>
      <c r="J521" s="570">
        <v>0</v>
      </c>
      <c r="K521">
        <v>2.2000000000000001E-4</v>
      </c>
    </row>
    <row r="522" spans="1:11">
      <c r="A522" s="570" t="str">
        <f t="shared" si="8"/>
        <v>12F13</v>
      </c>
      <c r="C522" t="s">
        <v>2366</v>
      </c>
      <c r="D522" t="s">
        <v>1834</v>
      </c>
      <c r="E522">
        <v>13</v>
      </c>
      <c r="F522">
        <v>1.1999999999999999E-3</v>
      </c>
      <c r="G522">
        <v>1E-4</v>
      </c>
      <c r="H522" s="570">
        <v>0</v>
      </c>
      <c r="I522" s="570">
        <v>0</v>
      </c>
      <c r="J522" s="570">
        <v>0</v>
      </c>
      <c r="K522">
        <v>1.6000000000000001E-4</v>
      </c>
    </row>
    <row r="523" spans="1:11">
      <c r="A523" s="570" t="str">
        <f t="shared" si="8"/>
        <v>11F13</v>
      </c>
      <c r="C523" t="s">
        <v>2367</v>
      </c>
      <c r="D523" t="s">
        <v>1834</v>
      </c>
      <c r="E523">
        <v>13</v>
      </c>
      <c r="F523">
        <v>6.9999999999999999E-4</v>
      </c>
      <c r="G523">
        <v>2.0000000000000001E-4</v>
      </c>
      <c r="H523" s="570">
        <v>0</v>
      </c>
      <c r="I523" s="570">
        <v>0</v>
      </c>
      <c r="J523" s="570">
        <v>0</v>
      </c>
      <c r="K523">
        <v>8.0000000000000007E-5</v>
      </c>
    </row>
    <row r="524" spans="1:11">
      <c r="A524" s="570" t="str">
        <f t="shared" si="8"/>
        <v>10F13</v>
      </c>
      <c r="C524" t="s">
        <v>2368</v>
      </c>
      <c r="D524" t="s">
        <v>1834</v>
      </c>
      <c r="E524">
        <v>13</v>
      </c>
      <c r="F524">
        <v>1E-4</v>
      </c>
      <c r="G524">
        <v>2.0000000000000001E-4</v>
      </c>
      <c r="H524" s="570">
        <v>0</v>
      </c>
      <c r="I524" s="570">
        <v>0</v>
      </c>
      <c r="J524" s="570">
        <v>0</v>
      </c>
      <c r="K524">
        <v>0</v>
      </c>
    </row>
    <row r="525" spans="1:11">
      <c r="A525" s="570" t="str">
        <f t="shared" si="8"/>
        <v>9F13</v>
      </c>
      <c r="C525" t="s">
        <v>2369</v>
      </c>
      <c r="D525" t="s">
        <v>1834</v>
      </c>
      <c r="E525">
        <v>13</v>
      </c>
      <c r="F525">
        <v>-5.9999999999999995E-4</v>
      </c>
      <c r="G525">
        <v>2.9999999999999997E-4</v>
      </c>
      <c r="H525" s="570">
        <v>0</v>
      </c>
      <c r="I525" s="570">
        <v>0</v>
      </c>
      <c r="J525" s="570">
        <v>0</v>
      </c>
      <c r="K525">
        <v>-9.0000000000000006E-5</v>
      </c>
    </row>
    <row r="526" spans="1:11">
      <c r="A526" s="570" t="str">
        <f t="shared" si="8"/>
        <v>8F13</v>
      </c>
      <c r="C526" t="s">
        <v>2370</v>
      </c>
      <c r="D526" t="s">
        <v>1834</v>
      </c>
      <c r="E526">
        <v>13</v>
      </c>
      <c r="F526">
        <v>-1.1999999999999999E-3</v>
      </c>
      <c r="G526">
        <v>2.9999999999999997E-4</v>
      </c>
      <c r="H526" s="570">
        <v>0</v>
      </c>
      <c r="I526" s="570">
        <v>0</v>
      </c>
      <c r="J526" s="570">
        <v>0</v>
      </c>
      <c r="K526">
        <v>-1.6000000000000001E-4</v>
      </c>
    </row>
    <row r="527" spans="1:11">
      <c r="A527" s="570" t="str">
        <f t="shared" si="8"/>
        <v>7F13</v>
      </c>
      <c r="C527" t="s">
        <v>2371</v>
      </c>
      <c r="D527" t="s">
        <v>1834</v>
      </c>
      <c r="E527">
        <v>13</v>
      </c>
      <c r="F527">
        <v>-1.6000000000000001E-3</v>
      </c>
      <c r="G527">
        <v>2.9999999999999997E-4</v>
      </c>
      <c r="H527" s="570">
        <v>0</v>
      </c>
      <c r="I527" s="570">
        <v>0</v>
      </c>
      <c r="J527" s="570">
        <v>0</v>
      </c>
      <c r="K527">
        <v>-2.1000000000000001E-4</v>
      </c>
    </row>
    <row r="528" spans="1:11">
      <c r="A528" s="570" t="str">
        <f t="shared" si="8"/>
        <v>6F13</v>
      </c>
      <c r="C528" t="s">
        <v>2372</v>
      </c>
      <c r="D528" t="s">
        <v>1834</v>
      </c>
      <c r="E528">
        <v>13</v>
      </c>
      <c r="F528">
        <v>-1.9E-3</v>
      </c>
      <c r="G528">
        <v>2.9999999999999997E-4</v>
      </c>
      <c r="H528" s="570">
        <v>0</v>
      </c>
      <c r="I528" s="570">
        <v>0</v>
      </c>
      <c r="J528" s="570">
        <v>0</v>
      </c>
      <c r="K528">
        <v>-2.5000000000000001E-4</v>
      </c>
    </row>
    <row r="529" spans="1:11">
      <c r="A529" s="570" t="str">
        <f t="shared" si="8"/>
        <v>5F13</v>
      </c>
      <c r="C529" t="s">
        <v>2373</v>
      </c>
      <c r="D529" t="s">
        <v>1834</v>
      </c>
      <c r="E529">
        <v>13</v>
      </c>
      <c r="F529">
        <v>-2E-3</v>
      </c>
      <c r="G529">
        <v>2.0000000000000001E-4</v>
      </c>
      <c r="H529" s="570">
        <v>0</v>
      </c>
      <c r="I529" s="570">
        <v>0</v>
      </c>
      <c r="J529" s="570">
        <v>0</v>
      </c>
      <c r="K529">
        <v>-2.5000000000000001E-4</v>
      </c>
    </row>
    <row r="530" spans="1:11">
      <c r="A530" s="570" t="str">
        <f t="shared" si="8"/>
        <v>4F13</v>
      </c>
      <c r="C530" t="s">
        <v>2374</v>
      </c>
      <c r="D530" t="s">
        <v>1834</v>
      </c>
      <c r="E530">
        <v>13</v>
      </c>
      <c r="F530">
        <v>-1.8E-3</v>
      </c>
      <c r="G530">
        <v>2.0000000000000001E-4</v>
      </c>
      <c r="H530" s="570">
        <v>0</v>
      </c>
      <c r="I530" s="570">
        <v>0</v>
      </c>
      <c r="J530" s="570">
        <v>0</v>
      </c>
      <c r="K530">
        <v>-2.3000000000000001E-4</v>
      </c>
    </row>
    <row r="531" spans="1:11">
      <c r="A531" s="570" t="str">
        <f t="shared" si="8"/>
        <v>3F13</v>
      </c>
      <c r="C531" t="s">
        <v>2375</v>
      </c>
      <c r="D531" t="s">
        <v>1834</v>
      </c>
      <c r="E531">
        <v>13</v>
      </c>
      <c r="F531">
        <v>-1.5E-3</v>
      </c>
      <c r="G531">
        <v>1E-4</v>
      </c>
      <c r="H531" s="570">
        <v>0</v>
      </c>
      <c r="I531" s="570">
        <v>0</v>
      </c>
      <c r="J531" s="570">
        <v>0</v>
      </c>
      <c r="K531">
        <v>-1.8000000000000001E-4</v>
      </c>
    </row>
    <row r="532" spans="1:11">
      <c r="A532" s="570" t="str">
        <f t="shared" si="8"/>
        <v>2F13</v>
      </c>
      <c r="C532" t="s">
        <v>2376</v>
      </c>
      <c r="D532" t="s">
        <v>1834</v>
      </c>
      <c r="E532">
        <v>13</v>
      </c>
      <c r="F532">
        <v>-1.1000000000000001E-3</v>
      </c>
      <c r="G532">
        <v>1E-4</v>
      </c>
      <c r="H532" s="570">
        <v>0</v>
      </c>
      <c r="I532" s="570">
        <v>0</v>
      </c>
      <c r="J532" s="570">
        <v>0</v>
      </c>
      <c r="K532">
        <v>-1.2999999999999999E-4</v>
      </c>
    </row>
    <row r="533" spans="1:11">
      <c r="A533" s="570" t="str">
        <f t="shared" si="8"/>
        <v>1F13</v>
      </c>
      <c r="C533" t="s">
        <v>2377</v>
      </c>
      <c r="D533" t="s">
        <v>1834</v>
      </c>
      <c r="E533">
        <v>13</v>
      </c>
      <c r="F533">
        <v>-5.9999999999999995E-4</v>
      </c>
      <c r="G533">
        <v>-1E-4</v>
      </c>
      <c r="H533" s="570">
        <v>0</v>
      </c>
      <c r="I533" s="570">
        <v>0</v>
      </c>
      <c r="J533" s="570">
        <v>0</v>
      </c>
      <c r="K533">
        <v>-5.0000000000000002E-5</v>
      </c>
    </row>
    <row r="534" spans="1:11">
      <c r="A534" s="570" t="str">
        <f t="shared" si="8"/>
        <v>B113</v>
      </c>
      <c r="C534" t="s">
        <v>2327</v>
      </c>
      <c r="D534" t="s">
        <v>1834</v>
      </c>
      <c r="E534">
        <v>13</v>
      </c>
      <c r="F534">
        <v>0</v>
      </c>
      <c r="G534">
        <v>0</v>
      </c>
      <c r="H534" s="570">
        <v>0</v>
      </c>
      <c r="I534" s="570">
        <v>0</v>
      </c>
      <c r="J534" s="570">
        <v>0</v>
      </c>
      <c r="K534">
        <v>0</v>
      </c>
    </row>
    <row r="535" spans="1:11">
      <c r="A535" s="570" t="str">
        <f t="shared" si="8"/>
        <v>MAI14</v>
      </c>
      <c r="C535" t="s">
        <v>2270</v>
      </c>
      <c r="D535" t="s">
        <v>1834</v>
      </c>
      <c r="E535">
        <v>14</v>
      </c>
      <c r="F535">
        <v>6.9999999999999999E-4</v>
      </c>
      <c r="G535">
        <v>-9.1999999999999998E-3</v>
      </c>
      <c r="H535" s="570">
        <v>0</v>
      </c>
      <c r="I535" s="570">
        <v>0</v>
      </c>
      <c r="J535" s="570">
        <v>0</v>
      </c>
      <c r="K535">
        <v>3.0000000000000001E-5</v>
      </c>
    </row>
    <row r="536" spans="1:11">
      <c r="A536" s="570" t="str">
        <f t="shared" si="8"/>
        <v>TUM14</v>
      </c>
      <c r="C536" t="s">
        <v>2271</v>
      </c>
      <c r="D536" t="s">
        <v>1834</v>
      </c>
      <c r="E536">
        <v>14</v>
      </c>
      <c r="F536">
        <v>4.0000000000000002E-4</v>
      </c>
      <c r="G536">
        <v>-6.0000000000000001E-3</v>
      </c>
      <c r="H536" s="570">
        <v>0</v>
      </c>
      <c r="I536" s="570">
        <v>0</v>
      </c>
      <c r="J536" s="570">
        <v>0</v>
      </c>
      <c r="K536">
        <v>2.0000000000000002E-5</v>
      </c>
    </row>
    <row r="537" spans="1:11">
      <c r="A537" s="570" t="str">
        <f t="shared" si="8"/>
        <v>38F14</v>
      </c>
      <c r="C537" t="s">
        <v>2340</v>
      </c>
      <c r="D537" t="s">
        <v>1834</v>
      </c>
      <c r="E537">
        <v>14</v>
      </c>
      <c r="F537">
        <v>2.9999999999999997E-4</v>
      </c>
      <c r="G537">
        <v>-4.3E-3</v>
      </c>
      <c r="H537" s="570">
        <v>0</v>
      </c>
      <c r="I537" s="570">
        <v>0</v>
      </c>
      <c r="J537" s="570">
        <v>0</v>
      </c>
      <c r="K537">
        <v>2.0000000000000002E-5</v>
      </c>
    </row>
    <row r="538" spans="1:11">
      <c r="A538" s="570" t="str">
        <f t="shared" si="8"/>
        <v>37F14</v>
      </c>
      <c r="C538" t="s">
        <v>2341</v>
      </c>
      <c r="D538" t="s">
        <v>1834</v>
      </c>
      <c r="E538">
        <v>14</v>
      </c>
      <c r="F538">
        <v>1E-4</v>
      </c>
      <c r="G538">
        <v>-2.5000000000000001E-3</v>
      </c>
      <c r="H538" s="570">
        <v>0</v>
      </c>
      <c r="I538" s="570">
        <v>0</v>
      </c>
      <c r="J538" s="570">
        <v>0</v>
      </c>
      <c r="K538">
        <v>1.0000000000000001E-5</v>
      </c>
    </row>
    <row r="539" spans="1:11">
      <c r="A539" s="570" t="str">
        <f t="shared" si="8"/>
        <v>36F14</v>
      </c>
      <c r="C539" t="s">
        <v>2342</v>
      </c>
      <c r="D539" t="s">
        <v>1834</v>
      </c>
      <c r="E539">
        <v>14</v>
      </c>
      <c r="F539">
        <v>0</v>
      </c>
      <c r="G539">
        <v>-6.9999999999999999E-4</v>
      </c>
      <c r="H539" s="570">
        <v>0</v>
      </c>
      <c r="I539" s="570">
        <v>0</v>
      </c>
      <c r="J539" s="570">
        <v>0</v>
      </c>
      <c r="K539">
        <v>0</v>
      </c>
    </row>
    <row r="540" spans="1:11">
      <c r="A540" s="570" t="str">
        <f t="shared" si="8"/>
        <v>35F14</v>
      </c>
      <c r="C540" t="s">
        <v>2343</v>
      </c>
      <c r="D540" t="s">
        <v>1834</v>
      </c>
      <c r="E540">
        <v>14</v>
      </c>
      <c r="F540">
        <v>-1E-4</v>
      </c>
      <c r="G540">
        <v>1E-3</v>
      </c>
      <c r="H540" s="570">
        <v>0</v>
      </c>
      <c r="I540" s="570">
        <v>0</v>
      </c>
      <c r="J540" s="570">
        <v>0</v>
      </c>
      <c r="K540">
        <v>-1.0000000000000001E-5</v>
      </c>
    </row>
    <row r="541" spans="1:11">
      <c r="A541" s="570" t="str">
        <f t="shared" si="8"/>
        <v>34F14</v>
      </c>
      <c r="C541" t="s">
        <v>2344</v>
      </c>
      <c r="D541" t="s">
        <v>1834</v>
      </c>
      <c r="E541">
        <v>14</v>
      </c>
      <c r="F541">
        <v>-2.0000000000000001E-4</v>
      </c>
      <c r="G541">
        <v>2.5999999999999999E-3</v>
      </c>
      <c r="H541" s="570">
        <v>0</v>
      </c>
      <c r="I541" s="570">
        <v>0</v>
      </c>
      <c r="J541" s="570">
        <v>0</v>
      </c>
      <c r="K541">
        <v>-1.0000000000000001E-5</v>
      </c>
    </row>
    <row r="542" spans="1:11">
      <c r="A542" s="570" t="str">
        <f t="shared" si="8"/>
        <v>33F14</v>
      </c>
      <c r="C542" t="s">
        <v>2345</v>
      </c>
      <c r="D542" t="s">
        <v>1834</v>
      </c>
      <c r="E542">
        <v>14</v>
      </c>
      <c r="F542">
        <v>-2.9999999999999997E-4</v>
      </c>
      <c r="G542">
        <v>3.8E-3</v>
      </c>
      <c r="H542" s="570">
        <v>0</v>
      </c>
      <c r="I542" s="570">
        <v>0</v>
      </c>
      <c r="J542" s="570">
        <v>0</v>
      </c>
      <c r="K542">
        <v>-2.0000000000000002E-5</v>
      </c>
    </row>
    <row r="543" spans="1:11">
      <c r="A543" s="570" t="str">
        <f t="shared" si="8"/>
        <v>32F14</v>
      </c>
      <c r="C543" t="s">
        <v>2346</v>
      </c>
      <c r="D543" t="s">
        <v>1834</v>
      </c>
      <c r="E543">
        <v>14</v>
      </c>
      <c r="F543">
        <v>-4.0000000000000002E-4</v>
      </c>
      <c r="G543">
        <v>4.7999999999999996E-3</v>
      </c>
      <c r="H543" s="570">
        <v>0</v>
      </c>
      <c r="I543" s="570">
        <v>0</v>
      </c>
      <c r="J543" s="570">
        <v>0</v>
      </c>
      <c r="K543">
        <v>-2.0000000000000002E-5</v>
      </c>
    </row>
    <row r="544" spans="1:11">
      <c r="A544" s="570" t="str">
        <f t="shared" si="8"/>
        <v>31F14</v>
      </c>
      <c r="C544" t="s">
        <v>2347</v>
      </c>
      <c r="D544" t="s">
        <v>1834</v>
      </c>
      <c r="E544">
        <v>14</v>
      </c>
      <c r="F544">
        <v>-4.0000000000000002E-4</v>
      </c>
      <c r="G544">
        <v>5.3E-3</v>
      </c>
      <c r="H544" s="570">
        <v>0</v>
      </c>
      <c r="I544" s="570">
        <v>0</v>
      </c>
      <c r="J544" s="570">
        <v>0</v>
      </c>
      <c r="K544">
        <v>-2.0000000000000002E-5</v>
      </c>
    </row>
    <row r="545" spans="1:11">
      <c r="A545" s="570" t="str">
        <f t="shared" si="8"/>
        <v>30F14</v>
      </c>
      <c r="C545" t="s">
        <v>2348</v>
      </c>
      <c r="D545" t="s">
        <v>1834</v>
      </c>
      <c r="E545">
        <v>14</v>
      </c>
      <c r="F545">
        <v>-2.9999999999999997E-4</v>
      </c>
      <c r="G545">
        <v>5.4000000000000003E-3</v>
      </c>
      <c r="H545" s="570">
        <v>0</v>
      </c>
      <c r="I545" s="570">
        <v>0</v>
      </c>
      <c r="J545" s="570">
        <v>0</v>
      </c>
      <c r="K545">
        <v>-2.0000000000000002E-5</v>
      </c>
    </row>
    <row r="546" spans="1:11">
      <c r="A546" s="570" t="str">
        <f t="shared" si="8"/>
        <v>29F14</v>
      </c>
      <c r="C546" t="s">
        <v>2349</v>
      </c>
      <c r="D546" t="s">
        <v>1834</v>
      </c>
      <c r="E546">
        <v>14</v>
      </c>
      <c r="F546">
        <v>-2.9999999999999997E-4</v>
      </c>
      <c r="G546">
        <v>5.0000000000000001E-3</v>
      </c>
      <c r="H546" s="570">
        <v>0</v>
      </c>
      <c r="I546" s="570">
        <v>0</v>
      </c>
      <c r="J546" s="570">
        <v>0</v>
      </c>
      <c r="K546">
        <v>-1.0000000000000001E-5</v>
      </c>
    </row>
    <row r="547" spans="1:11">
      <c r="A547" s="570" t="str">
        <f t="shared" si="8"/>
        <v>28F14</v>
      </c>
      <c r="C547" t="s">
        <v>2350</v>
      </c>
      <c r="D547" t="s">
        <v>1834</v>
      </c>
      <c r="E547">
        <v>14</v>
      </c>
      <c r="F547">
        <v>-2.0000000000000001E-4</v>
      </c>
      <c r="G547">
        <v>4.3E-3</v>
      </c>
      <c r="H547" s="570">
        <v>0</v>
      </c>
      <c r="I547" s="570">
        <v>0</v>
      </c>
      <c r="J547" s="570">
        <v>0</v>
      </c>
      <c r="K547">
        <v>-1.0000000000000001E-5</v>
      </c>
    </row>
    <row r="548" spans="1:11">
      <c r="A548" s="570" t="str">
        <f t="shared" si="8"/>
        <v>27F14</v>
      </c>
      <c r="C548" t="s">
        <v>2351</v>
      </c>
      <c r="D548" t="s">
        <v>1834</v>
      </c>
      <c r="E548">
        <v>14</v>
      </c>
      <c r="F548">
        <v>-1E-4</v>
      </c>
      <c r="G548">
        <v>3.2000000000000002E-3</v>
      </c>
      <c r="H548" s="570">
        <v>0</v>
      </c>
      <c r="I548" s="570">
        <v>0</v>
      </c>
      <c r="J548" s="570">
        <v>0</v>
      </c>
      <c r="K548">
        <v>0</v>
      </c>
    </row>
    <row r="549" spans="1:11">
      <c r="A549" s="570" t="str">
        <f t="shared" si="8"/>
        <v>26F14</v>
      </c>
      <c r="C549" t="s">
        <v>2352</v>
      </c>
      <c r="D549" t="s">
        <v>1834</v>
      </c>
      <c r="E549">
        <v>14</v>
      </c>
      <c r="F549">
        <v>0</v>
      </c>
      <c r="G549">
        <v>1.9E-3</v>
      </c>
      <c r="H549" s="570">
        <v>0</v>
      </c>
      <c r="I549" s="570">
        <v>0</v>
      </c>
      <c r="J549" s="570">
        <v>0</v>
      </c>
      <c r="K549">
        <v>1.0000000000000001E-5</v>
      </c>
    </row>
    <row r="550" spans="1:11">
      <c r="A550" s="570" t="str">
        <f t="shared" si="8"/>
        <v>25F14</v>
      </c>
      <c r="C550" t="s">
        <v>2353</v>
      </c>
      <c r="D550" t="s">
        <v>1834</v>
      </c>
      <c r="E550">
        <v>14</v>
      </c>
      <c r="F550">
        <v>1E-4</v>
      </c>
      <c r="G550">
        <v>5.0000000000000001E-4</v>
      </c>
      <c r="H550" s="570">
        <v>0</v>
      </c>
      <c r="I550" s="570">
        <v>0</v>
      </c>
      <c r="J550" s="570">
        <v>0</v>
      </c>
      <c r="K550">
        <v>1.0000000000000001E-5</v>
      </c>
    </row>
    <row r="551" spans="1:11">
      <c r="A551" s="570" t="str">
        <f t="shared" si="8"/>
        <v>24F14</v>
      </c>
      <c r="C551" t="s">
        <v>2354</v>
      </c>
      <c r="D551" t="s">
        <v>1834</v>
      </c>
      <c r="E551">
        <v>14</v>
      </c>
      <c r="F551">
        <v>2.0000000000000001E-4</v>
      </c>
      <c r="G551">
        <v>-1.1000000000000001E-3</v>
      </c>
      <c r="H551" s="570">
        <v>0</v>
      </c>
      <c r="I551" s="570">
        <v>0</v>
      </c>
      <c r="J551" s="570">
        <v>0</v>
      </c>
      <c r="K551">
        <v>2.0000000000000002E-5</v>
      </c>
    </row>
    <row r="552" spans="1:11">
      <c r="A552" s="570" t="str">
        <f t="shared" si="8"/>
        <v>23F14</v>
      </c>
      <c r="C552" t="s">
        <v>2355</v>
      </c>
      <c r="D552" t="s">
        <v>1834</v>
      </c>
      <c r="E552">
        <v>14</v>
      </c>
      <c r="F552">
        <v>2.0000000000000001E-4</v>
      </c>
      <c r="G552">
        <v>-2.5000000000000001E-3</v>
      </c>
      <c r="H552" s="570">
        <v>0</v>
      </c>
      <c r="I552" s="570">
        <v>0</v>
      </c>
      <c r="J552" s="570">
        <v>0</v>
      </c>
      <c r="K552">
        <v>2.0000000000000002E-5</v>
      </c>
    </row>
    <row r="553" spans="1:11">
      <c r="A553" s="570" t="str">
        <f t="shared" si="8"/>
        <v>22F14</v>
      </c>
      <c r="C553" t="s">
        <v>2356</v>
      </c>
      <c r="D553" t="s">
        <v>1834</v>
      </c>
      <c r="E553">
        <v>14</v>
      </c>
      <c r="F553">
        <v>2.9999999999999997E-4</v>
      </c>
      <c r="G553">
        <v>-3.8E-3</v>
      </c>
      <c r="H553" s="570">
        <v>0</v>
      </c>
      <c r="I553" s="570">
        <v>0</v>
      </c>
      <c r="J553" s="570">
        <v>0</v>
      </c>
      <c r="K553">
        <v>2.0000000000000002E-5</v>
      </c>
    </row>
    <row r="554" spans="1:11">
      <c r="A554" s="570" t="str">
        <f t="shared" si="8"/>
        <v>21F14</v>
      </c>
      <c r="C554" t="s">
        <v>2357</v>
      </c>
      <c r="D554" t="s">
        <v>1834</v>
      </c>
      <c r="E554">
        <v>14</v>
      </c>
      <c r="F554">
        <v>2.9999999999999997E-4</v>
      </c>
      <c r="G554">
        <v>-4.7999999999999996E-3</v>
      </c>
      <c r="H554" s="570">
        <v>0</v>
      </c>
      <c r="I554" s="570">
        <v>0</v>
      </c>
      <c r="J554" s="570">
        <v>0</v>
      </c>
      <c r="K554">
        <v>2.0000000000000002E-5</v>
      </c>
    </row>
    <row r="555" spans="1:11">
      <c r="A555" s="570" t="str">
        <f t="shared" si="8"/>
        <v>20F14</v>
      </c>
      <c r="C555" t="s">
        <v>2358</v>
      </c>
      <c r="D555" t="s">
        <v>1834</v>
      </c>
      <c r="E555">
        <v>14</v>
      </c>
      <c r="F555">
        <v>2.9999999999999997E-4</v>
      </c>
      <c r="G555">
        <v>-5.4000000000000003E-3</v>
      </c>
      <c r="H555" s="570">
        <v>0</v>
      </c>
      <c r="I555" s="570">
        <v>0</v>
      </c>
      <c r="J555" s="570">
        <v>0</v>
      </c>
      <c r="K555">
        <v>1.0000000000000001E-5</v>
      </c>
    </row>
    <row r="556" spans="1:11">
      <c r="A556" s="570" t="str">
        <f t="shared" si="8"/>
        <v>19F14</v>
      </c>
      <c r="C556" t="s">
        <v>2359</v>
      </c>
      <c r="D556" t="s">
        <v>1834</v>
      </c>
      <c r="E556">
        <v>14</v>
      </c>
      <c r="F556">
        <v>2.9999999999999997E-4</v>
      </c>
      <c r="G556">
        <v>-5.5999999999999999E-3</v>
      </c>
      <c r="H556" s="570">
        <v>0</v>
      </c>
      <c r="I556" s="570">
        <v>0</v>
      </c>
      <c r="J556" s="570">
        <v>0</v>
      </c>
      <c r="K556">
        <v>1.0000000000000001E-5</v>
      </c>
    </row>
    <row r="557" spans="1:11">
      <c r="A557" s="570" t="str">
        <f t="shared" si="8"/>
        <v>18F14</v>
      </c>
      <c r="C557" t="s">
        <v>2360</v>
      </c>
      <c r="D557" t="s">
        <v>1834</v>
      </c>
      <c r="E557">
        <v>14</v>
      </c>
      <c r="F557">
        <v>2.0000000000000001E-4</v>
      </c>
      <c r="G557">
        <v>-5.4999999999999997E-3</v>
      </c>
      <c r="H557" s="570">
        <v>0</v>
      </c>
      <c r="I557" s="570">
        <v>0</v>
      </c>
      <c r="J557" s="570">
        <v>0</v>
      </c>
      <c r="K557">
        <v>0</v>
      </c>
    </row>
    <row r="558" spans="1:11">
      <c r="A558" s="570" t="str">
        <f t="shared" si="8"/>
        <v>17F14</v>
      </c>
      <c r="C558" t="s">
        <v>2361</v>
      </c>
      <c r="D558" t="s">
        <v>1834</v>
      </c>
      <c r="E558">
        <v>14</v>
      </c>
      <c r="F558">
        <v>2.0000000000000001E-4</v>
      </c>
      <c r="G558">
        <v>-4.8999999999999998E-3</v>
      </c>
      <c r="H558" s="570">
        <v>0</v>
      </c>
      <c r="I558" s="570">
        <v>0</v>
      </c>
      <c r="J558" s="570">
        <v>0</v>
      </c>
      <c r="K558">
        <v>-1.0000000000000001E-5</v>
      </c>
    </row>
    <row r="559" spans="1:11">
      <c r="A559" s="570" t="str">
        <f t="shared" si="8"/>
        <v>16F14</v>
      </c>
      <c r="C559" t="s">
        <v>2362</v>
      </c>
      <c r="D559" t="s">
        <v>1834</v>
      </c>
      <c r="E559">
        <v>14</v>
      </c>
      <c r="F559">
        <v>1E-4</v>
      </c>
      <c r="G559">
        <v>-4.0000000000000001E-3</v>
      </c>
      <c r="H559" s="570">
        <v>0</v>
      </c>
      <c r="I559" s="570">
        <v>0</v>
      </c>
      <c r="J559" s="570">
        <v>0</v>
      </c>
      <c r="K559">
        <v>-1.0000000000000001E-5</v>
      </c>
    </row>
    <row r="560" spans="1:11">
      <c r="A560" s="570" t="str">
        <f t="shared" si="8"/>
        <v>15F14</v>
      </c>
      <c r="C560" t="s">
        <v>2363</v>
      </c>
      <c r="D560" t="s">
        <v>1834</v>
      </c>
      <c r="E560">
        <v>14</v>
      </c>
      <c r="F560">
        <v>1E-4</v>
      </c>
      <c r="G560">
        <v>-2.8E-3</v>
      </c>
      <c r="H560" s="570">
        <v>0</v>
      </c>
      <c r="I560" s="570">
        <v>0</v>
      </c>
      <c r="J560" s="570">
        <v>0</v>
      </c>
      <c r="K560">
        <v>-1.0000000000000001E-5</v>
      </c>
    </row>
    <row r="561" spans="1:11">
      <c r="A561" s="570" t="str">
        <f t="shared" si="8"/>
        <v>14F14</v>
      </c>
      <c r="C561" t="s">
        <v>2364</v>
      </c>
      <c r="D561" t="s">
        <v>1834</v>
      </c>
      <c r="E561">
        <v>14</v>
      </c>
      <c r="F561">
        <v>0</v>
      </c>
      <c r="G561">
        <v>-1.5E-3</v>
      </c>
      <c r="H561" s="570">
        <v>0</v>
      </c>
      <c r="I561" s="570">
        <v>0</v>
      </c>
      <c r="J561" s="570">
        <v>0</v>
      </c>
      <c r="K561">
        <v>-1.0000000000000001E-5</v>
      </c>
    </row>
    <row r="562" spans="1:11">
      <c r="A562" s="570" t="str">
        <f t="shared" si="8"/>
        <v>13F14</v>
      </c>
      <c r="C562" t="s">
        <v>2365</v>
      </c>
      <c r="D562" t="s">
        <v>1834</v>
      </c>
      <c r="E562">
        <v>14</v>
      </c>
      <c r="F562">
        <v>-1E-4</v>
      </c>
      <c r="G562">
        <v>0</v>
      </c>
      <c r="H562" s="570">
        <v>0</v>
      </c>
      <c r="I562" s="570">
        <v>0</v>
      </c>
      <c r="J562" s="570">
        <v>0</v>
      </c>
      <c r="K562">
        <v>-1.0000000000000001E-5</v>
      </c>
    </row>
    <row r="563" spans="1:11">
      <c r="A563" s="570" t="str">
        <f t="shared" si="8"/>
        <v>12F14</v>
      </c>
      <c r="C563" t="s">
        <v>2366</v>
      </c>
      <c r="D563" t="s">
        <v>1834</v>
      </c>
      <c r="E563">
        <v>14</v>
      </c>
      <c r="F563">
        <v>-1E-4</v>
      </c>
      <c r="G563">
        <v>1.5E-3</v>
      </c>
      <c r="H563" s="570">
        <v>0</v>
      </c>
      <c r="I563" s="570">
        <v>0</v>
      </c>
      <c r="J563" s="570">
        <v>0</v>
      </c>
      <c r="K563">
        <v>-1.0000000000000001E-5</v>
      </c>
    </row>
    <row r="564" spans="1:11">
      <c r="A564" s="570" t="str">
        <f t="shared" si="8"/>
        <v>11F14</v>
      </c>
      <c r="C564" t="s">
        <v>2367</v>
      </c>
      <c r="D564" t="s">
        <v>1834</v>
      </c>
      <c r="E564">
        <v>14</v>
      </c>
      <c r="F564">
        <v>-2.0000000000000001E-4</v>
      </c>
      <c r="G564">
        <v>2.8999999999999998E-3</v>
      </c>
      <c r="H564" s="570">
        <v>0</v>
      </c>
      <c r="I564" s="570">
        <v>0</v>
      </c>
      <c r="J564" s="570">
        <v>0</v>
      </c>
      <c r="K564">
        <v>-1.0000000000000001E-5</v>
      </c>
    </row>
    <row r="565" spans="1:11">
      <c r="A565" s="570" t="str">
        <f t="shared" si="8"/>
        <v>10F14</v>
      </c>
      <c r="C565" t="s">
        <v>2368</v>
      </c>
      <c r="D565" t="s">
        <v>1834</v>
      </c>
      <c r="E565">
        <v>14</v>
      </c>
      <c r="F565">
        <v>-2.0000000000000001E-4</v>
      </c>
      <c r="G565">
        <v>4.0000000000000001E-3</v>
      </c>
      <c r="H565" s="570">
        <v>0</v>
      </c>
      <c r="I565" s="570">
        <v>0</v>
      </c>
      <c r="J565" s="570">
        <v>0</v>
      </c>
      <c r="K565">
        <v>0</v>
      </c>
    </row>
    <row r="566" spans="1:11">
      <c r="A566" s="570" t="str">
        <f t="shared" si="8"/>
        <v>9F14</v>
      </c>
      <c r="C566" t="s">
        <v>2369</v>
      </c>
      <c r="D566" t="s">
        <v>1834</v>
      </c>
      <c r="E566">
        <v>14</v>
      </c>
      <c r="F566">
        <v>-2.0000000000000001E-4</v>
      </c>
      <c r="G566">
        <v>4.8999999999999998E-3</v>
      </c>
      <c r="H566" s="570">
        <v>0</v>
      </c>
      <c r="I566" s="570">
        <v>0</v>
      </c>
      <c r="J566" s="570">
        <v>0</v>
      </c>
      <c r="K566">
        <v>0</v>
      </c>
    </row>
    <row r="567" spans="1:11">
      <c r="A567" s="570" t="str">
        <f t="shared" si="8"/>
        <v>8F14</v>
      </c>
      <c r="C567" t="s">
        <v>2370</v>
      </c>
      <c r="D567" t="s">
        <v>1834</v>
      </c>
      <c r="E567">
        <v>14</v>
      </c>
      <c r="F567">
        <v>-2.9999999999999997E-4</v>
      </c>
      <c r="G567">
        <v>5.4999999999999997E-3</v>
      </c>
      <c r="H567" s="570">
        <v>0</v>
      </c>
      <c r="I567" s="570">
        <v>0</v>
      </c>
      <c r="J567" s="570">
        <v>0</v>
      </c>
      <c r="K567">
        <v>1.0000000000000001E-5</v>
      </c>
    </row>
    <row r="568" spans="1:11">
      <c r="A568" s="570" t="str">
        <f t="shared" si="8"/>
        <v>7F14</v>
      </c>
      <c r="C568" t="s">
        <v>2371</v>
      </c>
      <c r="D568" t="s">
        <v>1834</v>
      </c>
      <c r="E568">
        <v>14</v>
      </c>
      <c r="F568">
        <v>-2.9999999999999997E-4</v>
      </c>
      <c r="G568">
        <v>5.7000000000000002E-3</v>
      </c>
      <c r="H568" s="570">
        <v>0</v>
      </c>
      <c r="I568" s="570">
        <v>0</v>
      </c>
      <c r="J568" s="570">
        <v>0</v>
      </c>
      <c r="K568">
        <v>1.0000000000000001E-5</v>
      </c>
    </row>
    <row r="569" spans="1:11">
      <c r="A569" s="570" t="str">
        <f t="shared" si="8"/>
        <v>6F14</v>
      </c>
      <c r="C569" t="s">
        <v>2372</v>
      </c>
      <c r="D569" t="s">
        <v>1834</v>
      </c>
      <c r="E569">
        <v>14</v>
      </c>
      <c r="F569">
        <v>-2.9999999999999997E-4</v>
      </c>
      <c r="G569">
        <v>5.4999999999999997E-3</v>
      </c>
      <c r="H569" s="570">
        <v>0</v>
      </c>
      <c r="I569" s="570">
        <v>0</v>
      </c>
      <c r="J569" s="570">
        <v>0</v>
      </c>
      <c r="K569">
        <v>1.0000000000000001E-5</v>
      </c>
    </row>
    <row r="570" spans="1:11">
      <c r="A570" s="570" t="str">
        <f t="shared" si="8"/>
        <v>5F14</v>
      </c>
      <c r="C570" t="s">
        <v>2373</v>
      </c>
      <c r="D570" t="s">
        <v>1834</v>
      </c>
      <c r="E570">
        <v>14</v>
      </c>
      <c r="F570">
        <v>-2.0000000000000001E-4</v>
      </c>
      <c r="G570">
        <v>5.0000000000000001E-3</v>
      </c>
      <c r="H570" s="570">
        <v>0</v>
      </c>
      <c r="I570" s="570">
        <v>0</v>
      </c>
      <c r="J570" s="570">
        <v>0</v>
      </c>
      <c r="K570">
        <v>1.0000000000000001E-5</v>
      </c>
    </row>
    <row r="571" spans="1:11">
      <c r="A571" s="570" t="str">
        <f t="shared" si="8"/>
        <v>4F14</v>
      </c>
      <c r="C571" t="s">
        <v>2374</v>
      </c>
      <c r="D571" t="s">
        <v>1834</v>
      </c>
      <c r="E571">
        <v>14</v>
      </c>
      <c r="F571">
        <v>-2.0000000000000001E-4</v>
      </c>
      <c r="G571">
        <v>4.3E-3</v>
      </c>
      <c r="H571" s="570">
        <v>0</v>
      </c>
      <c r="I571" s="570">
        <v>0</v>
      </c>
      <c r="J571" s="570">
        <v>0</v>
      </c>
      <c r="K571">
        <v>1.0000000000000001E-5</v>
      </c>
    </row>
    <row r="572" spans="1:11">
      <c r="A572" s="570" t="str">
        <f t="shared" si="8"/>
        <v>3F14</v>
      </c>
      <c r="C572" t="s">
        <v>2375</v>
      </c>
      <c r="D572" t="s">
        <v>1834</v>
      </c>
      <c r="E572">
        <v>14</v>
      </c>
      <c r="F572">
        <v>-2.0000000000000001E-4</v>
      </c>
      <c r="G572">
        <v>3.3E-3</v>
      </c>
      <c r="H572" s="570">
        <v>0</v>
      </c>
      <c r="I572" s="570">
        <v>0</v>
      </c>
      <c r="J572" s="570">
        <v>0</v>
      </c>
      <c r="K572">
        <v>1.0000000000000001E-5</v>
      </c>
    </row>
    <row r="573" spans="1:11">
      <c r="A573" s="570" t="str">
        <f t="shared" si="8"/>
        <v>2F14</v>
      </c>
      <c r="C573" t="s">
        <v>2376</v>
      </c>
      <c r="D573" t="s">
        <v>1834</v>
      </c>
      <c r="E573">
        <v>14</v>
      </c>
      <c r="F573">
        <v>-1E-4</v>
      </c>
      <c r="G573">
        <v>2.2000000000000001E-3</v>
      </c>
      <c r="H573" s="570">
        <v>0</v>
      </c>
      <c r="I573" s="570">
        <v>0</v>
      </c>
      <c r="J573" s="570">
        <v>0</v>
      </c>
      <c r="K573">
        <v>1.0000000000000001E-5</v>
      </c>
    </row>
    <row r="574" spans="1:11">
      <c r="A574" s="570" t="str">
        <f t="shared" si="8"/>
        <v>1F14</v>
      </c>
      <c r="C574" t="s">
        <v>2377</v>
      </c>
      <c r="D574" t="s">
        <v>1834</v>
      </c>
      <c r="E574">
        <v>14</v>
      </c>
      <c r="F574">
        <v>0</v>
      </c>
      <c r="G574">
        <v>8.9999999999999998E-4</v>
      </c>
      <c r="H574" s="570">
        <v>0</v>
      </c>
      <c r="I574" s="570">
        <v>0</v>
      </c>
      <c r="J574" s="570">
        <v>0</v>
      </c>
      <c r="K574">
        <v>0</v>
      </c>
    </row>
    <row r="575" spans="1:11">
      <c r="A575" s="570" t="str">
        <f t="shared" si="8"/>
        <v>B114</v>
      </c>
      <c r="C575" t="s">
        <v>2327</v>
      </c>
      <c r="D575" t="s">
        <v>1834</v>
      </c>
      <c r="E575">
        <v>14</v>
      </c>
      <c r="F575">
        <v>0</v>
      </c>
      <c r="G575">
        <v>0</v>
      </c>
      <c r="H575" s="570">
        <v>0</v>
      </c>
      <c r="I575" s="570">
        <v>0</v>
      </c>
      <c r="J575" s="570">
        <v>0</v>
      </c>
      <c r="K575">
        <v>0</v>
      </c>
    </row>
    <row r="576" spans="1:11">
      <c r="A576" s="570" t="str">
        <f t="shared" si="8"/>
        <v>MAI15</v>
      </c>
      <c r="C576" t="s">
        <v>2270</v>
      </c>
      <c r="D576" t="s">
        <v>1834</v>
      </c>
      <c r="E576">
        <v>15</v>
      </c>
      <c r="F576">
        <v>9.4000000000000004E-3</v>
      </c>
      <c r="G576">
        <v>8.9999999999999998E-4</v>
      </c>
      <c r="H576" s="570">
        <v>0</v>
      </c>
      <c r="I576" s="570">
        <v>0</v>
      </c>
      <c r="J576" s="570">
        <v>0</v>
      </c>
      <c r="K576">
        <v>-2.3000000000000001E-4</v>
      </c>
    </row>
    <row r="577" spans="1:11">
      <c r="A577" s="570" t="str">
        <f t="shared" si="8"/>
        <v>TUM15</v>
      </c>
      <c r="C577" t="s">
        <v>2271</v>
      </c>
      <c r="D577" t="s">
        <v>1834</v>
      </c>
      <c r="E577">
        <v>15</v>
      </c>
      <c r="F577">
        <v>4.8999999999999998E-3</v>
      </c>
      <c r="G577">
        <v>2.9999999999999997E-4</v>
      </c>
      <c r="H577" s="570">
        <v>0</v>
      </c>
      <c r="I577" s="570">
        <v>0</v>
      </c>
      <c r="J577" s="570">
        <v>0</v>
      </c>
      <c r="K577">
        <v>-1.1E-4</v>
      </c>
    </row>
    <row r="578" spans="1:11">
      <c r="A578" s="570" t="str">
        <f t="shared" ref="A578:A641" si="9">C578&amp;E578</f>
        <v>38F15</v>
      </c>
      <c r="C578" t="s">
        <v>2340</v>
      </c>
      <c r="D578" t="s">
        <v>1834</v>
      </c>
      <c r="E578">
        <v>15</v>
      </c>
      <c r="F578">
        <v>2.3E-3</v>
      </c>
      <c r="G578">
        <v>2.0000000000000001E-4</v>
      </c>
      <c r="H578" s="570">
        <v>0</v>
      </c>
      <c r="I578" s="570">
        <v>0</v>
      </c>
      <c r="J578" s="570">
        <v>0</v>
      </c>
      <c r="K578">
        <v>-6.0000000000000002E-5</v>
      </c>
    </row>
    <row r="579" spans="1:11">
      <c r="A579" s="570" t="str">
        <f t="shared" si="9"/>
        <v>37F15</v>
      </c>
      <c r="C579" t="s">
        <v>2341</v>
      </c>
      <c r="D579" t="s">
        <v>1834</v>
      </c>
      <c r="E579">
        <v>15</v>
      </c>
      <c r="F579">
        <v>-2.9999999999999997E-4</v>
      </c>
      <c r="G579">
        <v>0</v>
      </c>
      <c r="H579" s="570">
        <v>0</v>
      </c>
      <c r="I579" s="570">
        <v>0</v>
      </c>
      <c r="J579" s="570">
        <v>0</v>
      </c>
      <c r="K579">
        <v>-1.0000000000000001E-5</v>
      </c>
    </row>
    <row r="580" spans="1:11">
      <c r="A580" s="570" t="str">
        <f t="shared" si="9"/>
        <v>36F15</v>
      </c>
      <c r="C580" t="s">
        <v>2342</v>
      </c>
      <c r="D580" t="s">
        <v>1834</v>
      </c>
      <c r="E580">
        <v>15</v>
      </c>
      <c r="F580">
        <v>-2.5999999999999999E-3</v>
      </c>
      <c r="G580">
        <v>-1E-4</v>
      </c>
      <c r="H580" s="570">
        <v>0</v>
      </c>
      <c r="I580" s="570">
        <v>0</v>
      </c>
      <c r="J580" s="570">
        <v>0</v>
      </c>
      <c r="K580">
        <v>4.0000000000000003E-5</v>
      </c>
    </row>
    <row r="581" spans="1:11">
      <c r="A581" s="570" t="str">
        <f t="shared" si="9"/>
        <v>35F15</v>
      </c>
      <c r="C581" t="s">
        <v>2343</v>
      </c>
      <c r="D581" t="s">
        <v>1834</v>
      </c>
      <c r="E581">
        <v>15</v>
      </c>
      <c r="F581">
        <v>-4.1999999999999997E-3</v>
      </c>
      <c r="G581">
        <v>-2.0000000000000001E-4</v>
      </c>
      <c r="H581" s="570">
        <v>0</v>
      </c>
      <c r="I581" s="570">
        <v>0</v>
      </c>
      <c r="J581" s="570">
        <v>0</v>
      </c>
      <c r="K581">
        <v>8.0000000000000007E-5</v>
      </c>
    </row>
    <row r="582" spans="1:11">
      <c r="A582" s="570" t="str">
        <f t="shared" si="9"/>
        <v>34F15</v>
      </c>
      <c r="C582" t="s">
        <v>2344</v>
      </c>
      <c r="D582" t="s">
        <v>1834</v>
      </c>
      <c r="E582">
        <v>15</v>
      </c>
      <c r="F582">
        <v>-5.0000000000000001E-3</v>
      </c>
      <c r="G582">
        <v>-2.9999999999999997E-4</v>
      </c>
      <c r="H582" s="570">
        <v>0</v>
      </c>
      <c r="I582" s="570">
        <v>0</v>
      </c>
      <c r="J582" s="570">
        <v>0</v>
      </c>
      <c r="K582">
        <v>9.0000000000000006E-5</v>
      </c>
    </row>
    <row r="583" spans="1:11">
      <c r="A583" s="570" t="str">
        <f t="shared" si="9"/>
        <v>33F15</v>
      </c>
      <c r="C583" t="s">
        <v>2345</v>
      </c>
      <c r="D583" t="s">
        <v>1834</v>
      </c>
      <c r="E583">
        <v>15</v>
      </c>
      <c r="F583">
        <v>-4.7000000000000002E-3</v>
      </c>
      <c r="G583">
        <v>-2.9999999999999997E-4</v>
      </c>
      <c r="H583" s="570">
        <v>0</v>
      </c>
      <c r="I583" s="570">
        <v>0</v>
      </c>
      <c r="J583" s="570">
        <v>0</v>
      </c>
      <c r="K583">
        <v>9.0000000000000006E-5</v>
      </c>
    </row>
    <row r="584" spans="1:11">
      <c r="A584" s="570" t="str">
        <f t="shared" si="9"/>
        <v>32F15</v>
      </c>
      <c r="C584" t="s">
        <v>2346</v>
      </c>
      <c r="D584" t="s">
        <v>1834</v>
      </c>
      <c r="E584">
        <v>15</v>
      </c>
      <c r="F584">
        <v>-3.5000000000000001E-3</v>
      </c>
      <c r="G584">
        <v>-2.0000000000000001E-4</v>
      </c>
      <c r="H584" s="570">
        <v>0</v>
      </c>
      <c r="I584" s="570">
        <v>0</v>
      </c>
      <c r="J584" s="570">
        <v>0</v>
      </c>
      <c r="K584">
        <v>8.0000000000000007E-5</v>
      </c>
    </row>
    <row r="585" spans="1:11">
      <c r="A585" s="570" t="str">
        <f t="shared" si="9"/>
        <v>31F15</v>
      </c>
      <c r="C585" t="s">
        <v>2347</v>
      </c>
      <c r="D585" t="s">
        <v>1834</v>
      </c>
      <c r="E585">
        <v>15</v>
      </c>
      <c r="F585">
        <v>-1.6999999999999999E-3</v>
      </c>
      <c r="G585">
        <v>-1E-4</v>
      </c>
      <c r="H585" s="570">
        <v>0</v>
      </c>
      <c r="I585" s="570">
        <v>0</v>
      </c>
      <c r="J585" s="570">
        <v>0</v>
      </c>
      <c r="K585">
        <v>4.0000000000000003E-5</v>
      </c>
    </row>
    <row r="586" spans="1:11">
      <c r="A586" s="570" t="str">
        <f t="shared" si="9"/>
        <v>30F15</v>
      </c>
      <c r="C586" t="s">
        <v>2348</v>
      </c>
      <c r="D586" t="s">
        <v>1834</v>
      </c>
      <c r="E586">
        <v>15</v>
      </c>
      <c r="F586">
        <v>5.0000000000000001E-4</v>
      </c>
      <c r="G586">
        <v>0</v>
      </c>
      <c r="H586" s="570">
        <v>0</v>
      </c>
      <c r="I586" s="570">
        <v>0</v>
      </c>
      <c r="J586" s="570">
        <v>0</v>
      </c>
      <c r="K586">
        <v>0</v>
      </c>
    </row>
    <row r="587" spans="1:11">
      <c r="A587" s="570" t="str">
        <f t="shared" si="9"/>
        <v>29F15</v>
      </c>
      <c r="C587" t="s">
        <v>2349</v>
      </c>
      <c r="D587" t="s">
        <v>1834</v>
      </c>
      <c r="E587">
        <v>15</v>
      </c>
      <c r="F587">
        <v>2.5999999999999999E-3</v>
      </c>
      <c r="G587">
        <v>1E-4</v>
      </c>
      <c r="H587" s="570">
        <v>0</v>
      </c>
      <c r="I587" s="570">
        <v>0</v>
      </c>
      <c r="J587" s="570">
        <v>0</v>
      </c>
      <c r="K587">
        <v>-4.0000000000000003E-5</v>
      </c>
    </row>
    <row r="588" spans="1:11">
      <c r="A588" s="570" t="str">
        <f t="shared" si="9"/>
        <v>28F15</v>
      </c>
      <c r="C588" t="s">
        <v>2350</v>
      </c>
      <c r="D588" t="s">
        <v>1834</v>
      </c>
      <c r="E588">
        <v>15</v>
      </c>
      <c r="F588">
        <v>4.3E-3</v>
      </c>
      <c r="G588">
        <v>2.0000000000000001E-4</v>
      </c>
      <c r="H588" s="570">
        <v>0</v>
      </c>
      <c r="I588" s="570">
        <v>0</v>
      </c>
      <c r="J588" s="570">
        <v>0</v>
      </c>
      <c r="K588">
        <v>-6.9999999999999994E-5</v>
      </c>
    </row>
    <row r="589" spans="1:11">
      <c r="A589" s="570" t="str">
        <f t="shared" si="9"/>
        <v>27F15</v>
      </c>
      <c r="C589" t="s">
        <v>2351</v>
      </c>
      <c r="D589" t="s">
        <v>1834</v>
      </c>
      <c r="E589">
        <v>15</v>
      </c>
      <c r="F589">
        <v>5.1999999999999998E-3</v>
      </c>
      <c r="G589">
        <v>2.0000000000000001E-4</v>
      </c>
      <c r="H589" s="570">
        <v>0</v>
      </c>
      <c r="I589" s="570">
        <v>0</v>
      </c>
      <c r="J589" s="570">
        <v>0</v>
      </c>
      <c r="K589">
        <v>-9.0000000000000006E-5</v>
      </c>
    </row>
    <row r="590" spans="1:11">
      <c r="A590" s="570" t="str">
        <f t="shared" si="9"/>
        <v>26F15</v>
      </c>
      <c r="C590" t="s">
        <v>2352</v>
      </c>
      <c r="D590" t="s">
        <v>1834</v>
      </c>
      <c r="E590">
        <v>15</v>
      </c>
      <c r="F590">
        <v>5.1000000000000004E-3</v>
      </c>
      <c r="G590">
        <v>2.0000000000000001E-4</v>
      </c>
      <c r="H590" s="570">
        <v>0</v>
      </c>
      <c r="I590" s="570">
        <v>0</v>
      </c>
      <c r="J590" s="570">
        <v>0</v>
      </c>
      <c r="K590">
        <v>-1E-4</v>
      </c>
    </row>
    <row r="591" spans="1:11">
      <c r="A591" s="570" t="str">
        <f t="shared" si="9"/>
        <v>25F15</v>
      </c>
      <c r="C591" t="s">
        <v>2353</v>
      </c>
      <c r="D591" t="s">
        <v>1834</v>
      </c>
      <c r="E591">
        <v>15</v>
      </c>
      <c r="F591">
        <v>4.1000000000000003E-3</v>
      </c>
      <c r="G591">
        <v>2.0000000000000001E-4</v>
      </c>
      <c r="H591" s="570">
        <v>0</v>
      </c>
      <c r="I591" s="570">
        <v>0</v>
      </c>
      <c r="J591" s="570">
        <v>0</v>
      </c>
      <c r="K591">
        <v>-8.0000000000000007E-5</v>
      </c>
    </row>
    <row r="592" spans="1:11">
      <c r="A592" s="570" t="str">
        <f t="shared" si="9"/>
        <v>24F15</v>
      </c>
      <c r="C592" t="s">
        <v>2354</v>
      </c>
      <c r="D592" t="s">
        <v>1834</v>
      </c>
      <c r="E592">
        <v>15</v>
      </c>
      <c r="F592">
        <v>2.3999999999999998E-3</v>
      </c>
      <c r="G592">
        <v>1E-4</v>
      </c>
      <c r="H592" s="570">
        <v>0</v>
      </c>
      <c r="I592" s="570">
        <v>0</v>
      </c>
      <c r="J592" s="570">
        <v>0</v>
      </c>
      <c r="K592">
        <v>-5.0000000000000002E-5</v>
      </c>
    </row>
    <row r="593" spans="1:11">
      <c r="A593" s="570" t="str">
        <f t="shared" si="9"/>
        <v>23F15</v>
      </c>
      <c r="C593" t="s">
        <v>2355</v>
      </c>
      <c r="D593" t="s">
        <v>1834</v>
      </c>
      <c r="E593">
        <v>15</v>
      </c>
      <c r="F593">
        <v>2.0000000000000001E-4</v>
      </c>
      <c r="G593">
        <v>0</v>
      </c>
      <c r="H593" s="570">
        <v>0</v>
      </c>
      <c r="I593" s="570">
        <v>0</v>
      </c>
      <c r="J593" s="570">
        <v>0</v>
      </c>
      <c r="K593">
        <v>-1.0000000000000001E-5</v>
      </c>
    </row>
    <row r="594" spans="1:11">
      <c r="A594" s="570" t="str">
        <f t="shared" si="9"/>
        <v>22F15</v>
      </c>
      <c r="C594" t="s">
        <v>2356</v>
      </c>
      <c r="D594" t="s">
        <v>1834</v>
      </c>
      <c r="E594">
        <v>15</v>
      </c>
      <c r="F594">
        <v>-2E-3</v>
      </c>
      <c r="G594">
        <v>-1E-4</v>
      </c>
      <c r="H594" s="570">
        <v>0</v>
      </c>
      <c r="I594" s="570">
        <v>0</v>
      </c>
      <c r="J594" s="570">
        <v>0</v>
      </c>
      <c r="K594">
        <v>3.0000000000000001E-5</v>
      </c>
    </row>
    <row r="595" spans="1:11">
      <c r="A595" s="570" t="str">
        <f t="shared" si="9"/>
        <v>21F15</v>
      </c>
      <c r="C595" t="s">
        <v>2357</v>
      </c>
      <c r="D595" t="s">
        <v>1834</v>
      </c>
      <c r="E595">
        <v>15</v>
      </c>
      <c r="F595">
        <v>-3.8E-3</v>
      </c>
      <c r="G595">
        <v>-2.0000000000000001E-4</v>
      </c>
      <c r="H595" s="570">
        <v>0</v>
      </c>
      <c r="I595" s="570">
        <v>0</v>
      </c>
      <c r="J595" s="570">
        <v>0</v>
      </c>
      <c r="K595">
        <v>6.9999999999999994E-5</v>
      </c>
    </row>
    <row r="596" spans="1:11">
      <c r="A596" s="570" t="str">
        <f t="shared" si="9"/>
        <v>20F15</v>
      </c>
      <c r="C596" t="s">
        <v>2358</v>
      </c>
      <c r="D596" t="s">
        <v>1834</v>
      </c>
      <c r="E596">
        <v>15</v>
      </c>
      <c r="F596">
        <v>-4.8999999999999998E-3</v>
      </c>
      <c r="G596">
        <v>-2.0000000000000001E-4</v>
      </c>
      <c r="H596" s="570">
        <v>0</v>
      </c>
      <c r="I596" s="570">
        <v>0</v>
      </c>
      <c r="J596" s="570">
        <v>0</v>
      </c>
      <c r="K596">
        <v>9.0000000000000006E-5</v>
      </c>
    </row>
    <row r="597" spans="1:11">
      <c r="A597" s="570" t="str">
        <f t="shared" si="9"/>
        <v>19F15</v>
      </c>
      <c r="C597" t="s">
        <v>2359</v>
      </c>
      <c r="D597" t="s">
        <v>1834</v>
      </c>
      <c r="E597">
        <v>15</v>
      </c>
      <c r="F597">
        <v>-5.1999999999999998E-3</v>
      </c>
      <c r="G597">
        <v>-2.0000000000000001E-4</v>
      </c>
      <c r="H597" s="570">
        <v>0</v>
      </c>
      <c r="I597" s="570">
        <v>0</v>
      </c>
      <c r="J597" s="570">
        <v>0</v>
      </c>
      <c r="K597">
        <v>9.0000000000000006E-5</v>
      </c>
    </row>
    <row r="598" spans="1:11">
      <c r="A598" s="570" t="str">
        <f t="shared" si="9"/>
        <v>18F15</v>
      </c>
      <c r="C598" t="s">
        <v>2360</v>
      </c>
      <c r="D598" t="s">
        <v>1834</v>
      </c>
      <c r="E598">
        <v>15</v>
      </c>
      <c r="F598">
        <v>-4.4999999999999997E-3</v>
      </c>
      <c r="G598">
        <v>-2.0000000000000001E-4</v>
      </c>
      <c r="H598" s="570">
        <v>0</v>
      </c>
      <c r="I598" s="570">
        <v>0</v>
      </c>
      <c r="J598" s="570">
        <v>0</v>
      </c>
      <c r="K598">
        <v>8.0000000000000007E-5</v>
      </c>
    </row>
    <row r="599" spans="1:11">
      <c r="A599" s="570" t="str">
        <f t="shared" si="9"/>
        <v>17F15</v>
      </c>
      <c r="C599" t="s">
        <v>2361</v>
      </c>
      <c r="D599" t="s">
        <v>1834</v>
      </c>
      <c r="E599">
        <v>15</v>
      </c>
      <c r="F599">
        <v>-3.0000000000000001E-3</v>
      </c>
      <c r="G599">
        <v>-1E-4</v>
      </c>
      <c r="H599" s="570">
        <v>0</v>
      </c>
      <c r="I599" s="570">
        <v>0</v>
      </c>
      <c r="J599" s="570">
        <v>0</v>
      </c>
      <c r="K599">
        <v>5.0000000000000002E-5</v>
      </c>
    </row>
    <row r="600" spans="1:11">
      <c r="A600" s="570" t="str">
        <f t="shared" si="9"/>
        <v>16F15</v>
      </c>
      <c r="C600" t="s">
        <v>2362</v>
      </c>
      <c r="D600" t="s">
        <v>1834</v>
      </c>
      <c r="E600">
        <v>15</v>
      </c>
      <c r="F600">
        <v>-1E-3</v>
      </c>
      <c r="G600">
        <v>0</v>
      </c>
      <c r="H600" s="570">
        <v>0</v>
      </c>
      <c r="I600" s="570">
        <v>0</v>
      </c>
      <c r="J600" s="570">
        <v>0</v>
      </c>
      <c r="K600">
        <v>2.0000000000000002E-5</v>
      </c>
    </row>
    <row r="601" spans="1:11">
      <c r="A601" s="570" t="str">
        <f t="shared" si="9"/>
        <v>15F15</v>
      </c>
      <c r="C601" t="s">
        <v>2363</v>
      </c>
      <c r="D601" t="s">
        <v>1834</v>
      </c>
      <c r="E601">
        <v>15</v>
      </c>
      <c r="F601">
        <v>1.1000000000000001E-3</v>
      </c>
      <c r="G601">
        <v>1E-4</v>
      </c>
      <c r="H601" s="570">
        <v>0</v>
      </c>
      <c r="I601" s="570">
        <v>0</v>
      </c>
      <c r="J601" s="570">
        <v>0</v>
      </c>
      <c r="K601">
        <v>-2.0000000000000002E-5</v>
      </c>
    </row>
    <row r="602" spans="1:11">
      <c r="A602" s="570" t="str">
        <f t="shared" si="9"/>
        <v>14F15</v>
      </c>
      <c r="C602" t="s">
        <v>2364</v>
      </c>
      <c r="D602" t="s">
        <v>1834</v>
      </c>
      <c r="E602">
        <v>15</v>
      </c>
      <c r="F602">
        <v>3.0999999999999999E-3</v>
      </c>
      <c r="G602">
        <v>2.0000000000000001E-4</v>
      </c>
      <c r="H602" s="570">
        <v>0</v>
      </c>
      <c r="I602" s="570">
        <v>0</v>
      </c>
      <c r="J602" s="570">
        <v>0</v>
      </c>
      <c r="K602">
        <v>-6.0000000000000002E-5</v>
      </c>
    </row>
    <row r="603" spans="1:11">
      <c r="A603" s="570" t="str">
        <f t="shared" si="9"/>
        <v>13F15</v>
      </c>
      <c r="C603" t="s">
        <v>2365</v>
      </c>
      <c r="D603" t="s">
        <v>1834</v>
      </c>
      <c r="E603">
        <v>15</v>
      </c>
      <c r="F603">
        <v>4.4999999999999997E-3</v>
      </c>
      <c r="G603">
        <v>2.0000000000000001E-4</v>
      </c>
      <c r="H603" s="570">
        <v>0</v>
      </c>
      <c r="I603" s="570">
        <v>0</v>
      </c>
      <c r="J603" s="570">
        <v>0</v>
      </c>
      <c r="K603">
        <v>-8.0000000000000007E-5</v>
      </c>
    </row>
    <row r="604" spans="1:11">
      <c r="A604" s="570" t="str">
        <f t="shared" si="9"/>
        <v>12F15</v>
      </c>
      <c r="C604" t="s">
        <v>2366</v>
      </c>
      <c r="D604" t="s">
        <v>1834</v>
      </c>
      <c r="E604">
        <v>15</v>
      </c>
      <c r="F604">
        <v>5.1000000000000004E-3</v>
      </c>
      <c r="G604">
        <v>2.9999999999999997E-4</v>
      </c>
      <c r="H604" s="570">
        <v>0</v>
      </c>
      <c r="I604" s="570">
        <v>0</v>
      </c>
      <c r="J604" s="570">
        <v>0</v>
      </c>
      <c r="K604">
        <v>-9.0000000000000006E-5</v>
      </c>
    </row>
    <row r="605" spans="1:11">
      <c r="A605" s="570" t="str">
        <f t="shared" si="9"/>
        <v>11F15</v>
      </c>
      <c r="C605" t="s">
        <v>2367</v>
      </c>
      <c r="D605" t="s">
        <v>1834</v>
      </c>
      <c r="E605">
        <v>15</v>
      </c>
      <c r="F605">
        <v>4.7999999999999996E-3</v>
      </c>
      <c r="G605">
        <v>2.0000000000000001E-4</v>
      </c>
      <c r="H605" s="570">
        <v>0</v>
      </c>
      <c r="I605" s="570">
        <v>0</v>
      </c>
      <c r="J605" s="570">
        <v>0</v>
      </c>
      <c r="K605">
        <v>-9.0000000000000006E-5</v>
      </c>
    </row>
    <row r="606" spans="1:11">
      <c r="A606" s="570" t="str">
        <f t="shared" si="9"/>
        <v>10F15</v>
      </c>
      <c r="C606" t="s">
        <v>2368</v>
      </c>
      <c r="D606" t="s">
        <v>1834</v>
      </c>
      <c r="E606">
        <v>15</v>
      </c>
      <c r="F606">
        <v>3.5999999999999999E-3</v>
      </c>
      <c r="G606">
        <v>2.0000000000000001E-4</v>
      </c>
      <c r="H606" s="570">
        <v>0</v>
      </c>
      <c r="I606" s="570">
        <v>0</v>
      </c>
      <c r="J606" s="570">
        <v>0</v>
      </c>
      <c r="K606">
        <v>-6.0000000000000002E-5</v>
      </c>
    </row>
    <row r="607" spans="1:11">
      <c r="A607" s="570" t="str">
        <f t="shared" si="9"/>
        <v>9F15</v>
      </c>
      <c r="C607" t="s">
        <v>2369</v>
      </c>
      <c r="D607" t="s">
        <v>1834</v>
      </c>
      <c r="E607">
        <v>15</v>
      </c>
      <c r="F607">
        <v>1.9E-3</v>
      </c>
      <c r="G607">
        <v>1E-4</v>
      </c>
      <c r="H607" s="570">
        <v>0</v>
      </c>
      <c r="I607" s="570">
        <v>0</v>
      </c>
      <c r="J607" s="570">
        <v>0</v>
      </c>
      <c r="K607">
        <v>-3.0000000000000001E-5</v>
      </c>
    </row>
    <row r="608" spans="1:11">
      <c r="A608" s="570" t="str">
        <f t="shared" si="9"/>
        <v>8F15</v>
      </c>
      <c r="C608" t="s">
        <v>2370</v>
      </c>
      <c r="D608" t="s">
        <v>1834</v>
      </c>
      <c r="E608">
        <v>15</v>
      </c>
      <c r="F608">
        <v>-2.0000000000000001E-4</v>
      </c>
      <c r="G608">
        <v>-1E-4</v>
      </c>
      <c r="H608" s="570">
        <v>0</v>
      </c>
      <c r="I608" s="570">
        <v>0</v>
      </c>
      <c r="J608" s="570">
        <v>0</v>
      </c>
      <c r="K608">
        <v>1.0000000000000001E-5</v>
      </c>
    </row>
    <row r="609" spans="1:11">
      <c r="A609" s="570" t="str">
        <f t="shared" si="9"/>
        <v>7F15</v>
      </c>
      <c r="C609" t="s">
        <v>2371</v>
      </c>
      <c r="D609" t="s">
        <v>1834</v>
      </c>
      <c r="E609">
        <v>15</v>
      </c>
      <c r="F609">
        <v>-2.2000000000000001E-3</v>
      </c>
      <c r="G609">
        <v>-2.0000000000000001E-4</v>
      </c>
      <c r="H609" s="570">
        <v>0</v>
      </c>
      <c r="I609" s="570">
        <v>0</v>
      </c>
      <c r="J609" s="570">
        <v>0</v>
      </c>
      <c r="K609">
        <v>4.0000000000000003E-5</v>
      </c>
    </row>
    <row r="610" spans="1:11">
      <c r="A610" s="570" t="str">
        <f t="shared" si="9"/>
        <v>6F15</v>
      </c>
      <c r="C610" t="s">
        <v>2372</v>
      </c>
      <c r="D610" t="s">
        <v>1834</v>
      </c>
      <c r="E610">
        <v>15</v>
      </c>
      <c r="F610">
        <v>-3.8999999999999998E-3</v>
      </c>
      <c r="G610">
        <v>-2.0000000000000001E-4</v>
      </c>
      <c r="H610" s="570">
        <v>0</v>
      </c>
      <c r="I610" s="570">
        <v>0</v>
      </c>
      <c r="J610" s="570">
        <v>0</v>
      </c>
      <c r="K610">
        <v>6.9999999999999994E-5</v>
      </c>
    </row>
    <row r="611" spans="1:11">
      <c r="A611" s="570" t="str">
        <f t="shared" si="9"/>
        <v>5F15</v>
      </c>
      <c r="C611" t="s">
        <v>2373</v>
      </c>
      <c r="D611" t="s">
        <v>1834</v>
      </c>
      <c r="E611">
        <v>15</v>
      </c>
      <c r="F611">
        <v>-5.0000000000000001E-3</v>
      </c>
      <c r="G611">
        <v>-2.9999999999999997E-4</v>
      </c>
      <c r="H611" s="570">
        <v>0</v>
      </c>
      <c r="I611" s="570">
        <v>0</v>
      </c>
      <c r="J611" s="570">
        <v>0</v>
      </c>
      <c r="K611">
        <v>9.0000000000000006E-5</v>
      </c>
    </row>
    <row r="612" spans="1:11">
      <c r="A612" s="570" t="str">
        <f t="shared" si="9"/>
        <v>4F15</v>
      </c>
      <c r="C612" t="s">
        <v>2374</v>
      </c>
      <c r="D612" t="s">
        <v>1834</v>
      </c>
      <c r="E612">
        <v>15</v>
      </c>
      <c r="F612">
        <v>-5.3E-3</v>
      </c>
      <c r="G612">
        <v>-2.9999999999999997E-4</v>
      </c>
      <c r="H612" s="570">
        <v>0</v>
      </c>
      <c r="I612" s="570">
        <v>0</v>
      </c>
      <c r="J612" s="570">
        <v>0</v>
      </c>
      <c r="K612">
        <v>9.0000000000000006E-5</v>
      </c>
    </row>
    <row r="613" spans="1:11">
      <c r="A613" s="570" t="str">
        <f t="shared" si="9"/>
        <v>3F15</v>
      </c>
      <c r="C613" t="s">
        <v>2375</v>
      </c>
      <c r="D613" t="s">
        <v>1834</v>
      </c>
      <c r="E613">
        <v>15</v>
      </c>
      <c r="F613">
        <v>-4.7999999999999996E-3</v>
      </c>
      <c r="G613">
        <v>-2.9999999999999997E-4</v>
      </c>
      <c r="H613" s="570">
        <v>0</v>
      </c>
      <c r="I613" s="570">
        <v>0</v>
      </c>
      <c r="J613" s="570">
        <v>0</v>
      </c>
      <c r="K613">
        <v>8.0000000000000007E-5</v>
      </c>
    </row>
    <row r="614" spans="1:11">
      <c r="A614" s="570" t="str">
        <f t="shared" si="9"/>
        <v>2F15</v>
      </c>
      <c r="C614" t="s">
        <v>2376</v>
      </c>
      <c r="D614" t="s">
        <v>1834</v>
      </c>
      <c r="E614">
        <v>15</v>
      </c>
      <c r="F614">
        <v>-3.5999999999999999E-3</v>
      </c>
      <c r="G614">
        <v>-2.0000000000000001E-4</v>
      </c>
      <c r="H614" s="570">
        <v>0</v>
      </c>
      <c r="I614" s="570">
        <v>0</v>
      </c>
      <c r="J614" s="570">
        <v>0</v>
      </c>
      <c r="K614">
        <v>6.0000000000000002E-5</v>
      </c>
    </row>
    <row r="615" spans="1:11">
      <c r="A615" s="570" t="str">
        <f t="shared" si="9"/>
        <v>1F15</v>
      </c>
      <c r="C615" t="s">
        <v>2377</v>
      </c>
      <c r="D615" t="s">
        <v>1834</v>
      </c>
      <c r="E615">
        <v>15</v>
      </c>
      <c r="F615">
        <v>-1.6000000000000001E-3</v>
      </c>
      <c r="G615">
        <v>0</v>
      </c>
      <c r="H615" s="570">
        <v>0</v>
      </c>
      <c r="I615" s="570">
        <v>0</v>
      </c>
      <c r="J615" s="570">
        <v>0</v>
      </c>
      <c r="K615">
        <v>3.0000000000000001E-5</v>
      </c>
    </row>
    <row r="616" spans="1:11">
      <c r="A616" s="570" t="str">
        <f t="shared" si="9"/>
        <v>B115</v>
      </c>
      <c r="C616" t="s">
        <v>2327</v>
      </c>
      <c r="D616" t="s">
        <v>1834</v>
      </c>
      <c r="E616">
        <v>15</v>
      </c>
      <c r="F616">
        <v>0</v>
      </c>
      <c r="G616">
        <v>0</v>
      </c>
      <c r="H616" s="570">
        <v>0</v>
      </c>
      <c r="I616" s="570">
        <v>0</v>
      </c>
      <c r="J616" s="570">
        <v>0</v>
      </c>
      <c r="K616">
        <v>0</v>
      </c>
    </row>
    <row r="617" spans="1:11">
      <c r="A617" s="570" t="str">
        <f t="shared" si="9"/>
        <v>MAI16</v>
      </c>
      <c r="C617" t="s">
        <v>2270</v>
      </c>
      <c r="D617" t="s">
        <v>1834</v>
      </c>
      <c r="E617">
        <v>16</v>
      </c>
      <c r="F617">
        <v>-3.7000000000000002E-3</v>
      </c>
      <c r="G617">
        <v>0</v>
      </c>
      <c r="H617" s="570">
        <v>0</v>
      </c>
      <c r="I617" s="570">
        <v>0</v>
      </c>
      <c r="J617" s="570">
        <v>0</v>
      </c>
      <c r="K617">
        <v>-4.0999999999999999E-4</v>
      </c>
    </row>
    <row r="618" spans="1:11">
      <c r="A618" s="570" t="str">
        <f t="shared" si="9"/>
        <v>TUM16</v>
      </c>
      <c r="C618" t="s">
        <v>2271</v>
      </c>
      <c r="D618" t="s">
        <v>1834</v>
      </c>
      <c r="E618">
        <v>16</v>
      </c>
      <c r="F618">
        <v>-2E-3</v>
      </c>
      <c r="G618">
        <v>-1E-4</v>
      </c>
      <c r="H618" s="570">
        <v>0</v>
      </c>
      <c r="I618" s="570">
        <v>0</v>
      </c>
      <c r="J618" s="570">
        <v>0</v>
      </c>
      <c r="K618">
        <v>-2.5999999999999998E-4</v>
      </c>
    </row>
    <row r="619" spans="1:11">
      <c r="A619" s="570" t="str">
        <f t="shared" si="9"/>
        <v>38F16</v>
      </c>
      <c r="C619" t="s">
        <v>2340</v>
      </c>
      <c r="D619" t="s">
        <v>1834</v>
      </c>
      <c r="E619">
        <v>16</v>
      </c>
      <c r="F619">
        <v>-8.0000000000000004E-4</v>
      </c>
      <c r="G619">
        <v>0</v>
      </c>
      <c r="H619" s="570">
        <v>0</v>
      </c>
      <c r="I619" s="570">
        <v>0</v>
      </c>
      <c r="J619" s="570">
        <v>0</v>
      </c>
      <c r="K619">
        <v>-1.3999999999999999E-4</v>
      </c>
    </row>
    <row r="620" spans="1:11">
      <c r="A620" s="570" t="str">
        <f t="shared" si="9"/>
        <v>37F16</v>
      </c>
      <c r="C620" t="s">
        <v>2341</v>
      </c>
      <c r="D620" t="s">
        <v>1834</v>
      </c>
      <c r="E620">
        <v>16</v>
      </c>
      <c r="F620">
        <v>2.0000000000000001E-4</v>
      </c>
      <c r="G620">
        <v>0</v>
      </c>
      <c r="H620" s="570">
        <v>0</v>
      </c>
      <c r="I620" s="570">
        <v>0</v>
      </c>
      <c r="J620" s="570">
        <v>0</v>
      </c>
      <c r="K620">
        <v>-1.0000000000000001E-5</v>
      </c>
    </row>
    <row r="621" spans="1:11">
      <c r="A621" s="570" t="str">
        <f t="shared" si="9"/>
        <v>36F16</v>
      </c>
      <c r="C621" t="s">
        <v>2342</v>
      </c>
      <c r="D621" t="s">
        <v>1834</v>
      </c>
      <c r="E621">
        <v>16</v>
      </c>
      <c r="F621">
        <v>1E-3</v>
      </c>
      <c r="G621">
        <v>1E-4</v>
      </c>
      <c r="H621" s="570">
        <v>0</v>
      </c>
      <c r="I621" s="570">
        <v>0</v>
      </c>
      <c r="J621" s="570">
        <v>0</v>
      </c>
      <c r="K621">
        <v>1E-4</v>
      </c>
    </row>
    <row r="622" spans="1:11">
      <c r="A622" s="570" t="str">
        <f t="shared" si="9"/>
        <v>35F16</v>
      </c>
      <c r="C622" t="s">
        <v>2343</v>
      </c>
      <c r="D622" t="s">
        <v>1834</v>
      </c>
      <c r="E622">
        <v>16</v>
      </c>
      <c r="F622">
        <v>1.6000000000000001E-3</v>
      </c>
      <c r="G622">
        <v>1E-4</v>
      </c>
      <c r="H622" s="570">
        <v>0</v>
      </c>
      <c r="I622" s="570">
        <v>0</v>
      </c>
      <c r="J622" s="570">
        <v>0</v>
      </c>
      <c r="K622">
        <v>1.9000000000000001E-4</v>
      </c>
    </row>
    <row r="623" spans="1:11">
      <c r="A623" s="570" t="str">
        <f t="shared" si="9"/>
        <v>34F16</v>
      </c>
      <c r="C623" t="s">
        <v>2344</v>
      </c>
      <c r="D623" t="s">
        <v>1834</v>
      </c>
      <c r="E623">
        <v>16</v>
      </c>
      <c r="F623">
        <v>1.9E-3</v>
      </c>
      <c r="G623">
        <v>1E-4</v>
      </c>
      <c r="H623" s="570">
        <v>0</v>
      </c>
      <c r="I623" s="570">
        <v>0</v>
      </c>
      <c r="J623" s="570">
        <v>0</v>
      </c>
      <c r="K623">
        <v>2.3000000000000001E-4</v>
      </c>
    </row>
    <row r="624" spans="1:11">
      <c r="A624" s="570" t="str">
        <f t="shared" si="9"/>
        <v>33F16</v>
      </c>
      <c r="C624" t="s">
        <v>2345</v>
      </c>
      <c r="D624" t="s">
        <v>1834</v>
      </c>
      <c r="E624">
        <v>16</v>
      </c>
      <c r="F624">
        <v>1.8E-3</v>
      </c>
      <c r="G624">
        <v>1E-4</v>
      </c>
      <c r="H624" s="570">
        <v>0</v>
      </c>
      <c r="I624" s="570">
        <v>0</v>
      </c>
      <c r="J624" s="570">
        <v>0</v>
      </c>
      <c r="K624">
        <v>2.3000000000000001E-4</v>
      </c>
    </row>
    <row r="625" spans="1:11">
      <c r="A625" s="570" t="str">
        <f t="shared" si="9"/>
        <v>32F16</v>
      </c>
      <c r="C625" t="s">
        <v>2346</v>
      </c>
      <c r="D625" t="s">
        <v>1834</v>
      </c>
      <c r="E625">
        <v>16</v>
      </c>
      <c r="F625">
        <v>1.4E-3</v>
      </c>
      <c r="G625">
        <v>1E-4</v>
      </c>
      <c r="H625" s="570">
        <v>0</v>
      </c>
      <c r="I625" s="570">
        <v>0</v>
      </c>
      <c r="J625" s="570">
        <v>0</v>
      </c>
      <c r="K625">
        <v>1.9000000000000001E-4</v>
      </c>
    </row>
    <row r="626" spans="1:11">
      <c r="A626" s="570" t="str">
        <f t="shared" si="9"/>
        <v>31F16</v>
      </c>
      <c r="C626" t="s">
        <v>2347</v>
      </c>
      <c r="D626" t="s">
        <v>1834</v>
      </c>
      <c r="E626">
        <v>16</v>
      </c>
      <c r="F626">
        <v>6.9999999999999999E-4</v>
      </c>
      <c r="G626">
        <v>0</v>
      </c>
      <c r="H626" s="570">
        <v>0</v>
      </c>
      <c r="I626" s="570">
        <v>0</v>
      </c>
      <c r="J626" s="570">
        <v>0</v>
      </c>
      <c r="K626">
        <v>1.1E-4</v>
      </c>
    </row>
    <row r="627" spans="1:11">
      <c r="A627" s="570" t="str">
        <f t="shared" si="9"/>
        <v>30F16</v>
      </c>
      <c r="C627" t="s">
        <v>2348</v>
      </c>
      <c r="D627" t="s">
        <v>1834</v>
      </c>
      <c r="E627">
        <v>16</v>
      </c>
      <c r="F627">
        <v>-1E-4</v>
      </c>
      <c r="G627">
        <v>0</v>
      </c>
      <c r="H627" s="570">
        <v>0</v>
      </c>
      <c r="I627" s="570">
        <v>0</v>
      </c>
      <c r="J627" s="570">
        <v>0</v>
      </c>
      <c r="K627">
        <v>1.0000000000000001E-5</v>
      </c>
    </row>
    <row r="628" spans="1:11">
      <c r="A628" s="570" t="str">
        <f t="shared" si="9"/>
        <v>29F16</v>
      </c>
      <c r="C628" t="s">
        <v>2349</v>
      </c>
      <c r="D628" t="s">
        <v>1834</v>
      </c>
      <c r="E628">
        <v>16</v>
      </c>
      <c r="F628">
        <v>-8.9999999999999998E-4</v>
      </c>
      <c r="G628">
        <v>0</v>
      </c>
      <c r="H628" s="570">
        <v>0</v>
      </c>
      <c r="I628" s="570">
        <v>0</v>
      </c>
      <c r="J628" s="570">
        <v>0</v>
      </c>
      <c r="K628">
        <v>-1E-4</v>
      </c>
    </row>
    <row r="629" spans="1:11">
      <c r="A629" s="570" t="str">
        <f t="shared" si="9"/>
        <v>28F16</v>
      </c>
      <c r="C629" t="s">
        <v>2350</v>
      </c>
      <c r="D629" t="s">
        <v>1834</v>
      </c>
      <c r="E629">
        <v>16</v>
      </c>
      <c r="F629">
        <v>-1.6000000000000001E-3</v>
      </c>
      <c r="G629">
        <v>-1E-4</v>
      </c>
      <c r="H629" s="570">
        <v>0</v>
      </c>
      <c r="I629" s="570">
        <v>0</v>
      </c>
      <c r="J629" s="570">
        <v>0</v>
      </c>
      <c r="K629">
        <v>-1.8000000000000001E-4</v>
      </c>
    </row>
    <row r="630" spans="1:11">
      <c r="A630" s="570" t="str">
        <f t="shared" si="9"/>
        <v>27F16</v>
      </c>
      <c r="C630" t="s">
        <v>2351</v>
      </c>
      <c r="D630" t="s">
        <v>1834</v>
      </c>
      <c r="E630">
        <v>16</v>
      </c>
      <c r="F630">
        <v>-1.9E-3</v>
      </c>
      <c r="G630">
        <v>-1E-4</v>
      </c>
      <c r="H630" s="570">
        <v>0</v>
      </c>
      <c r="I630" s="570">
        <v>0</v>
      </c>
      <c r="J630" s="570">
        <v>0</v>
      </c>
      <c r="K630">
        <v>-2.4000000000000001E-4</v>
      </c>
    </row>
    <row r="631" spans="1:11">
      <c r="A631" s="570" t="str">
        <f t="shared" si="9"/>
        <v>26F16</v>
      </c>
      <c r="C631" t="s">
        <v>2352</v>
      </c>
      <c r="D631" t="s">
        <v>1834</v>
      </c>
      <c r="E631">
        <v>16</v>
      </c>
      <c r="F631">
        <v>-1.9E-3</v>
      </c>
      <c r="G631">
        <v>-1E-4</v>
      </c>
      <c r="H631" s="570">
        <v>0</v>
      </c>
      <c r="I631" s="570">
        <v>0</v>
      </c>
      <c r="J631" s="570">
        <v>0</v>
      </c>
      <c r="K631">
        <v>-2.5000000000000001E-4</v>
      </c>
    </row>
    <row r="632" spans="1:11">
      <c r="A632" s="570" t="str">
        <f t="shared" si="9"/>
        <v>25F16</v>
      </c>
      <c r="C632" t="s">
        <v>2353</v>
      </c>
      <c r="D632" t="s">
        <v>1834</v>
      </c>
      <c r="E632">
        <v>16</v>
      </c>
      <c r="F632">
        <v>-1.6000000000000001E-3</v>
      </c>
      <c r="G632">
        <v>-1E-4</v>
      </c>
      <c r="H632" s="570">
        <v>0</v>
      </c>
      <c r="I632" s="570">
        <v>0</v>
      </c>
      <c r="J632" s="570">
        <v>0</v>
      </c>
      <c r="K632">
        <v>-2.1000000000000001E-4</v>
      </c>
    </row>
    <row r="633" spans="1:11">
      <c r="A633" s="570" t="str">
        <f t="shared" si="9"/>
        <v>24F16</v>
      </c>
      <c r="C633" t="s">
        <v>2354</v>
      </c>
      <c r="D633" t="s">
        <v>1834</v>
      </c>
      <c r="E633">
        <v>16</v>
      </c>
      <c r="F633">
        <v>-1E-3</v>
      </c>
      <c r="G633">
        <v>-1E-4</v>
      </c>
      <c r="H633" s="570">
        <v>0</v>
      </c>
      <c r="I633" s="570">
        <v>0</v>
      </c>
      <c r="J633" s="570">
        <v>0</v>
      </c>
      <c r="K633">
        <v>-1.3999999999999999E-4</v>
      </c>
    </row>
    <row r="634" spans="1:11">
      <c r="A634" s="570" t="str">
        <f t="shared" si="9"/>
        <v>23F16</v>
      </c>
      <c r="C634" t="s">
        <v>2355</v>
      </c>
      <c r="D634" t="s">
        <v>1834</v>
      </c>
      <c r="E634">
        <v>16</v>
      </c>
      <c r="F634">
        <v>-2.0000000000000001E-4</v>
      </c>
      <c r="G634">
        <v>-1E-4</v>
      </c>
      <c r="H634" s="570">
        <v>0</v>
      </c>
      <c r="I634" s="570">
        <v>0</v>
      </c>
      <c r="J634" s="570">
        <v>0</v>
      </c>
      <c r="K634">
        <v>-4.0000000000000003E-5</v>
      </c>
    </row>
    <row r="635" spans="1:11">
      <c r="A635" s="570" t="str">
        <f t="shared" si="9"/>
        <v>22F16</v>
      </c>
      <c r="C635" t="s">
        <v>2356</v>
      </c>
      <c r="D635" t="s">
        <v>1834</v>
      </c>
      <c r="E635">
        <v>16</v>
      </c>
      <c r="F635">
        <v>5.9999999999999995E-4</v>
      </c>
      <c r="G635">
        <v>0</v>
      </c>
      <c r="H635" s="570">
        <v>0</v>
      </c>
      <c r="I635" s="570">
        <v>0</v>
      </c>
      <c r="J635" s="570">
        <v>0</v>
      </c>
      <c r="K635">
        <v>6.9999999999999994E-5</v>
      </c>
    </row>
    <row r="636" spans="1:11">
      <c r="A636" s="570" t="str">
        <f t="shared" si="9"/>
        <v>21F16</v>
      </c>
      <c r="C636" t="s">
        <v>2357</v>
      </c>
      <c r="D636" t="s">
        <v>1834</v>
      </c>
      <c r="E636">
        <v>16</v>
      </c>
      <c r="F636">
        <v>1.2999999999999999E-3</v>
      </c>
      <c r="G636">
        <v>0</v>
      </c>
      <c r="H636" s="570">
        <v>0</v>
      </c>
      <c r="I636" s="570">
        <v>0</v>
      </c>
      <c r="J636" s="570">
        <v>0</v>
      </c>
      <c r="K636">
        <v>1.6000000000000001E-4</v>
      </c>
    </row>
    <row r="637" spans="1:11">
      <c r="A637" s="570" t="str">
        <f t="shared" si="9"/>
        <v>20F16</v>
      </c>
      <c r="C637" t="s">
        <v>2358</v>
      </c>
      <c r="D637" t="s">
        <v>1834</v>
      </c>
      <c r="E637">
        <v>16</v>
      </c>
      <c r="F637">
        <v>1.8E-3</v>
      </c>
      <c r="G637">
        <v>1E-4</v>
      </c>
      <c r="H637" s="570">
        <v>0</v>
      </c>
      <c r="I637" s="570">
        <v>0</v>
      </c>
      <c r="J637" s="570">
        <v>0</v>
      </c>
      <c r="K637">
        <v>2.2000000000000001E-4</v>
      </c>
    </row>
    <row r="638" spans="1:11">
      <c r="A638" s="570" t="str">
        <f t="shared" si="9"/>
        <v>19F16</v>
      </c>
      <c r="C638" t="s">
        <v>2359</v>
      </c>
      <c r="D638" t="s">
        <v>1834</v>
      </c>
      <c r="E638">
        <v>16</v>
      </c>
      <c r="F638">
        <v>1.9E-3</v>
      </c>
      <c r="G638">
        <v>0</v>
      </c>
      <c r="H638" s="570">
        <v>0</v>
      </c>
      <c r="I638" s="570">
        <v>0</v>
      </c>
      <c r="J638" s="570">
        <v>0</v>
      </c>
      <c r="K638">
        <v>2.4000000000000001E-4</v>
      </c>
    </row>
    <row r="639" spans="1:11">
      <c r="A639" s="570" t="str">
        <f t="shared" si="9"/>
        <v>18F16</v>
      </c>
      <c r="C639" t="s">
        <v>2360</v>
      </c>
      <c r="D639" t="s">
        <v>1834</v>
      </c>
      <c r="E639">
        <v>16</v>
      </c>
      <c r="F639">
        <v>1.8E-3</v>
      </c>
      <c r="G639">
        <v>1E-4</v>
      </c>
      <c r="H639" s="570">
        <v>0</v>
      </c>
      <c r="I639" s="570">
        <v>0</v>
      </c>
      <c r="J639" s="570">
        <v>0</v>
      </c>
      <c r="K639">
        <v>2.2000000000000001E-4</v>
      </c>
    </row>
    <row r="640" spans="1:11">
      <c r="A640" s="570" t="str">
        <f t="shared" si="9"/>
        <v>17F16</v>
      </c>
      <c r="C640" t="s">
        <v>2361</v>
      </c>
      <c r="D640" t="s">
        <v>1834</v>
      </c>
      <c r="E640">
        <v>16</v>
      </c>
      <c r="F640">
        <v>1.2999999999999999E-3</v>
      </c>
      <c r="G640">
        <v>1E-4</v>
      </c>
      <c r="H640" s="570">
        <v>0</v>
      </c>
      <c r="I640" s="570">
        <v>0</v>
      </c>
      <c r="J640" s="570">
        <v>0</v>
      </c>
      <c r="K640">
        <v>1.6000000000000001E-4</v>
      </c>
    </row>
    <row r="641" spans="1:11">
      <c r="A641" s="570" t="str">
        <f t="shared" si="9"/>
        <v>16F16</v>
      </c>
      <c r="C641" t="s">
        <v>2362</v>
      </c>
      <c r="D641" t="s">
        <v>1834</v>
      </c>
      <c r="E641">
        <v>16</v>
      </c>
      <c r="F641">
        <v>5.9999999999999995E-4</v>
      </c>
      <c r="G641">
        <v>1E-4</v>
      </c>
      <c r="H641" s="570">
        <v>0</v>
      </c>
      <c r="I641" s="570">
        <v>0</v>
      </c>
      <c r="J641" s="570">
        <v>0</v>
      </c>
      <c r="K641">
        <v>6.9999999999999994E-5</v>
      </c>
    </row>
    <row r="642" spans="1:11">
      <c r="A642" s="570" t="str">
        <f t="shared" ref="A642:A705" si="10">C642&amp;E642</f>
        <v>15F16</v>
      </c>
      <c r="C642" t="s">
        <v>2363</v>
      </c>
      <c r="D642" t="s">
        <v>1834</v>
      </c>
      <c r="E642">
        <v>16</v>
      </c>
      <c r="F642">
        <v>-2.0000000000000001E-4</v>
      </c>
      <c r="G642">
        <v>1E-4</v>
      </c>
      <c r="H642" s="570">
        <v>0</v>
      </c>
      <c r="I642" s="570">
        <v>0</v>
      </c>
      <c r="J642" s="570">
        <v>0</v>
      </c>
      <c r="K642">
        <v>-3.0000000000000001E-5</v>
      </c>
    </row>
    <row r="643" spans="1:11">
      <c r="A643" s="570" t="str">
        <f t="shared" si="10"/>
        <v>14F16</v>
      </c>
      <c r="C643" t="s">
        <v>2364</v>
      </c>
      <c r="D643" t="s">
        <v>1834</v>
      </c>
      <c r="E643">
        <v>16</v>
      </c>
      <c r="F643">
        <v>-1E-3</v>
      </c>
      <c r="G643">
        <v>1E-4</v>
      </c>
      <c r="H643" s="570">
        <v>0</v>
      </c>
      <c r="I643" s="570">
        <v>0</v>
      </c>
      <c r="J643" s="570">
        <v>0</v>
      </c>
      <c r="K643">
        <v>-1.2999999999999999E-4</v>
      </c>
    </row>
    <row r="644" spans="1:11">
      <c r="A644" s="570" t="str">
        <f t="shared" si="10"/>
        <v>13F16</v>
      </c>
      <c r="C644" t="s">
        <v>2365</v>
      </c>
      <c r="D644" t="s">
        <v>1834</v>
      </c>
      <c r="E644">
        <v>16</v>
      </c>
      <c r="F644">
        <v>-1.6000000000000001E-3</v>
      </c>
      <c r="G644">
        <v>0</v>
      </c>
      <c r="H644" s="570">
        <v>0</v>
      </c>
      <c r="I644" s="570">
        <v>0</v>
      </c>
      <c r="J644" s="570">
        <v>0</v>
      </c>
      <c r="K644">
        <v>-2.0000000000000001E-4</v>
      </c>
    </row>
    <row r="645" spans="1:11">
      <c r="A645" s="570" t="str">
        <f t="shared" si="10"/>
        <v>12F16</v>
      </c>
      <c r="C645" t="s">
        <v>2366</v>
      </c>
      <c r="D645" t="s">
        <v>1834</v>
      </c>
      <c r="E645">
        <v>16</v>
      </c>
      <c r="F645">
        <v>-1.9E-3</v>
      </c>
      <c r="G645">
        <v>0</v>
      </c>
      <c r="H645" s="570">
        <v>0</v>
      </c>
      <c r="I645" s="570">
        <v>0</v>
      </c>
      <c r="J645" s="570">
        <v>0</v>
      </c>
      <c r="K645">
        <v>-2.4000000000000001E-4</v>
      </c>
    </row>
    <row r="646" spans="1:11">
      <c r="A646" s="570" t="str">
        <f t="shared" si="10"/>
        <v>11F16</v>
      </c>
      <c r="C646" t="s">
        <v>2367</v>
      </c>
      <c r="D646" t="s">
        <v>1834</v>
      </c>
      <c r="E646">
        <v>16</v>
      </c>
      <c r="F646">
        <v>-1.9E-3</v>
      </c>
      <c r="G646">
        <v>0</v>
      </c>
      <c r="H646" s="570">
        <v>0</v>
      </c>
      <c r="I646" s="570">
        <v>0</v>
      </c>
      <c r="J646" s="570">
        <v>0</v>
      </c>
      <c r="K646">
        <v>-2.3000000000000001E-4</v>
      </c>
    </row>
    <row r="647" spans="1:11">
      <c r="A647" s="570" t="str">
        <f t="shared" si="10"/>
        <v>10F16</v>
      </c>
      <c r="C647" t="s">
        <v>2368</v>
      </c>
      <c r="D647" t="s">
        <v>1834</v>
      </c>
      <c r="E647">
        <v>16</v>
      </c>
      <c r="F647">
        <v>-1.5E-3</v>
      </c>
      <c r="G647">
        <v>0</v>
      </c>
      <c r="H647" s="570">
        <v>0</v>
      </c>
      <c r="I647" s="570">
        <v>0</v>
      </c>
      <c r="J647" s="570">
        <v>0</v>
      </c>
      <c r="K647">
        <v>-1.8000000000000001E-4</v>
      </c>
    </row>
    <row r="648" spans="1:11">
      <c r="A648" s="570" t="str">
        <f t="shared" si="10"/>
        <v>9F16</v>
      </c>
      <c r="C648" t="s">
        <v>2369</v>
      </c>
      <c r="D648" t="s">
        <v>1834</v>
      </c>
      <c r="E648">
        <v>16</v>
      </c>
      <c r="F648">
        <v>-1E-3</v>
      </c>
      <c r="G648">
        <v>0</v>
      </c>
      <c r="H648" s="570">
        <v>0</v>
      </c>
      <c r="I648" s="570">
        <v>0</v>
      </c>
      <c r="J648" s="570">
        <v>0</v>
      </c>
      <c r="K648">
        <v>-1.1E-4</v>
      </c>
    </row>
    <row r="649" spans="1:11">
      <c r="A649" s="570" t="str">
        <f t="shared" si="10"/>
        <v>8F16</v>
      </c>
      <c r="C649" t="s">
        <v>2370</v>
      </c>
      <c r="D649" t="s">
        <v>1834</v>
      </c>
      <c r="E649">
        <v>16</v>
      </c>
      <c r="F649">
        <v>-2.0000000000000001E-4</v>
      </c>
      <c r="G649">
        <v>0</v>
      </c>
      <c r="H649" s="570">
        <v>0</v>
      </c>
      <c r="I649" s="570">
        <v>0</v>
      </c>
      <c r="J649" s="570">
        <v>0</v>
      </c>
      <c r="K649">
        <v>-2.0000000000000002E-5</v>
      </c>
    </row>
    <row r="650" spans="1:11">
      <c r="A650" s="570" t="str">
        <f t="shared" si="10"/>
        <v>7F16</v>
      </c>
      <c r="C650" t="s">
        <v>2371</v>
      </c>
      <c r="D650" t="s">
        <v>1834</v>
      </c>
      <c r="E650">
        <v>16</v>
      </c>
      <c r="F650">
        <v>5.9999999999999995E-4</v>
      </c>
      <c r="G650">
        <v>0</v>
      </c>
      <c r="H650" s="570">
        <v>0</v>
      </c>
      <c r="I650" s="570">
        <v>0</v>
      </c>
      <c r="J650" s="570">
        <v>0</v>
      </c>
      <c r="K650">
        <v>8.0000000000000007E-5</v>
      </c>
    </row>
    <row r="651" spans="1:11">
      <c r="A651" s="570" t="str">
        <f t="shared" si="10"/>
        <v>6F16</v>
      </c>
      <c r="C651" t="s">
        <v>2372</v>
      </c>
      <c r="D651" t="s">
        <v>1834</v>
      </c>
      <c r="E651">
        <v>16</v>
      </c>
      <c r="F651">
        <v>1.2999999999999999E-3</v>
      </c>
      <c r="G651">
        <v>0</v>
      </c>
      <c r="H651" s="570">
        <v>0</v>
      </c>
      <c r="I651" s="570">
        <v>0</v>
      </c>
      <c r="J651" s="570">
        <v>0</v>
      </c>
      <c r="K651">
        <v>1.6000000000000001E-4</v>
      </c>
    </row>
    <row r="652" spans="1:11">
      <c r="A652" s="570" t="str">
        <f t="shared" si="10"/>
        <v>5F16</v>
      </c>
      <c r="C652" t="s">
        <v>2373</v>
      </c>
      <c r="D652" t="s">
        <v>1834</v>
      </c>
      <c r="E652">
        <v>16</v>
      </c>
      <c r="F652">
        <v>1.8E-3</v>
      </c>
      <c r="G652">
        <v>0</v>
      </c>
      <c r="H652" s="570">
        <v>0</v>
      </c>
      <c r="I652" s="570">
        <v>0</v>
      </c>
      <c r="J652" s="570">
        <v>0</v>
      </c>
      <c r="K652">
        <v>2.2000000000000001E-4</v>
      </c>
    </row>
    <row r="653" spans="1:11">
      <c r="A653" s="570" t="str">
        <f t="shared" si="10"/>
        <v>4F16</v>
      </c>
      <c r="C653" t="s">
        <v>2374</v>
      </c>
      <c r="D653" t="s">
        <v>1834</v>
      </c>
      <c r="E653">
        <v>16</v>
      </c>
      <c r="F653">
        <v>2E-3</v>
      </c>
      <c r="G653">
        <v>0</v>
      </c>
      <c r="H653" s="570">
        <v>0</v>
      </c>
      <c r="I653" s="570">
        <v>0</v>
      </c>
      <c r="J653" s="570">
        <v>0</v>
      </c>
      <c r="K653">
        <v>2.4000000000000001E-4</v>
      </c>
    </row>
    <row r="654" spans="1:11">
      <c r="A654" s="570" t="str">
        <f t="shared" si="10"/>
        <v>3F16</v>
      </c>
      <c r="C654" t="s">
        <v>2375</v>
      </c>
      <c r="D654" t="s">
        <v>1834</v>
      </c>
      <c r="E654">
        <v>16</v>
      </c>
      <c r="F654">
        <v>1.9E-3</v>
      </c>
      <c r="G654">
        <v>0</v>
      </c>
      <c r="H654" s="570">
        <v>0</v>
      </c>
      <c r="I654" s="570">
        <v>0</v>
      </c>
      <c r="J654" s="570">
        <v>0</v>
      </c>
      <c r="K654">
        <v>2.2000000000000001E-4</v>
      </c>
    </row>
    <row r="655" spans="1:11">
      <c r="A655" s="570" t="str">
        <f t="shared" si="10"/>
        <v>2F16</v>
      </c>
      <c r="C655" t="s">
        <v>2376</v>
      </c>
      <c r="D655" t="s">
        <v>1834</v>
      </c>
      <c r="E655">
        <v>16</v>
      </c>
      <c r="F655">
        <v>1.6000000000000001E-3</v>
      </c>
      <c r="G655">
        <v>0</v>
      </c>
      <c r="H655" s="570">
        <v>0</v>
      </c>
      <c r="I655" s="570">
        <v>0</v>
      </c>
      <c r="J655" s="570">
        <v>0</v>
      </c>
      <c r="K655">
        <v>1.8000000000000001E-4</v>
      </c>
    </row>
    <row r="656" spans="1:11">
      <c r="A656" s="570" t="str">
        <f t="shared" si="10"/>
        <v>1F16</v>
      </c>
      <c r="C656" t="s">
        <v>2377</v>
      </c>
      <c r="D656" t="s">
        <v>1834</v>
      </c>
      <c r="E656">
        <v>16</v>
      </c>
      <c r="F656">
        <v>1E-3</v>
      </c>
      <c r="G656">
        <v>2.0000000000000001E-4</v>
      </c>
      <c r="H656" s="570">
        <v>0</v>
      </c>
      <c r="I656" s="570">
        <v>0</v>
      </c>
      <c r="J656" s="570">
        <v>0</v>
      </c>
      <c r="K656">
        <v>8.0000000000000007E-5</v>
      </c>
    </row>
    <row r="657" spans="1:11">
      <c r="A657" s="570" t="str">
        <f t="shared" si="10"/>
        <v>B116</v>
      </c>
      <c r="C657" t="s">
        <v>2327</v>
      </c>
      <c r="D657" t="s">
        <v>1834</v>
      </c>
      <c r="E657">
        <v>16</v>
      </c>
      <c r="F657">
        <v>0</v>
      </c>
      <c r="G657">
        <v>0</v>
      </c>
      <c r="H657" s="570">
        <v>0</v>
      </c>
      <c r="I657" s="570">
        <v>0</v>
      </c>
      <c r="J657" s="570">
        <v>0</v>
      </c>
      <c r="K657">
        <v>0</v>
      </c>
    </row>
    <row r="658" spans="1:11">
      <c r="A658" s="570" t="str">
        <f t="shared" si="10"/>
        <v>MAI17</v>
      </c>
      <c r="C658" t="s">
        <v>2270</v>
      </c>
      <c r="D658" t="s">
        <v>1834</v>
      </c>
      <c r="E658">
        <v>17</v>
      </c>
      <c r="F658">
        <v>-9.5999999999999992E-3</v>
      </c>
      <c r="G658">
        <v>1.2999999999999999E-3</v>
      </c>
      <c r="H658" s="570">
        <v>0</v>
      </c>
      <c r="I658" s="570">
        <v>0</v>
      </c>
      <c r="J658" s="570">
        <v>0</v>
      </c>
      <c r="K658">
        <v>2.4000000000000001E-4</v>
      </c>
    </row>
    <row r="659" spans="1:11">
      <c r="A659" s="570" t="str">
        <f t="shared" si="10"/>
        <v>TUM17</v>
      </c>
      <c r="C659" t="s">
        <v>2271</v>
      </c>
      <c r="D659" t="s">
        <v>1834</v>
      </c>
      <c r="E659">
        <v>17</v>
      </c>
      <c r="F659">
        <v>-4.4000000000000003E-3</v>
      </c>
      <c r="G659">
        <v>1E-3</v>
      </c>
      <c r="H659" s="570">
        <v>0</v>
      </c>
      <c r="I659" s="570">
        <v>0</v>
      </c>
      <c r="J659" s="570">
        <v>0</v>
      </c>
      <c r="K659">
        <v>1E-4</v>
      </c>
    </row>
    <row r="660" spans="1:11">
      <c r="A660" s="570" t="str">
        <f t="shared" si="10"/>
        <v>38F17</v>
      </c>
      <c r="C660" t="s">
        <v>2340</v>
      </c>
      <c r="D660" t="s">
        <v>1834</v>
      </c>
      <c r="E660">
        <v>17</v>
      </c>
      <c r="F660">
        <v>-1.2999999999999999E-3</v>
      </c>
      <c r="G660">
        <v>6.9999999999999999E-4</v>
      </c>
      <c r="H660" s="570">
        <v>0</v>
      </c>
      <c r="I660" s="570">
        <v>0</v>
      </c>
      <c r="J660" s="570">
        <v>0</v>
      </c>
      <c r="K660">
        <v>4.0000000000000003E-5</v>
      </c>
    </row>
    <row r="661" spans="1:11">
      <c r="A661" s="570" t="str">
        <f t="shared" si="10"/>
        <v>37F17</v>
      </c>
      <c r="C661" t="s">
        <v>2341</v>
      </c>
      <c r="D661" t="s">
        <v>1834</v>
      </c>
      <c r="E661">
        <v>17</v>
      </c>
      <c r="F661">
        <v>1.5E-3</v>
      </c>
      <c r="G661">
        <v>2.9999999999999997E-4</v>
      </c>
      <c r="H661" s="570">
        <v>0</v>
      </c>
      <c r="I661" s="570">
        <v>0</v>
      </c>
      <c r="J661" s="570">
        <v>0</v>
      </c>
      <c r="K661">
        <v>-2.0000000000000002E-5</v>
      </c>
    </row>
    <row r="662" spans="1:11">
      <c r="A662" s="570" t="str">
        <f t="shared" si="10"/>
        <v>36F17</v>
      </c>
      <c r="C662" t="s">
        <v>2342</v>
      </c>
      <c r="D662" t="s">
        <v>1834</v>
      </c>
      <c r="E662">
        <v>17</v>
      </c>
      <c r="F662">
        <v>3.7000000000000002E-3</v>
      </c>
      <c r="G662">
        <v>-1E-4</v>
      </c>
      <c r="H662" s="570">
        <v>0</v>
      </c>
      <c r="I662" s="570">
        <v>0</v>
      </c>
      <c r="J662" s="570">
        <v>0</v>
      </c>
      <c r="K662">
        <v>-6.0000000000000002E-5</v>
      </c>
    </row>
    <row r="663" spans="1:11">
      <c r="A663" s="570" t="str">
        <f t="shared" si="10"/>
        <v>35F17</v>
      </c>
      <c r="C663" t="s">
        <v>2343</v>
      </c>
      <c r="D663" t="s">
        <v>1834</v>
      </c>
      <c r="E663">
        <v>17</v>
      </c>
      <c r="F663">
        <v>4.7999999999999996E-3</v>
      </c>
      <c r="G663">
        <v>-4.0000000000000002E-4</v>
      </c>
      <c r="H663" s="570">
        <v>0</v>
      </c>
      <c r="I663" s="570">
        <v>0</v>
      </c>
      <c r="J663" s="570">
        <v>0</v>
      </c>
      <c r="K663">
        <v>-9.0000000000000006E-5</v>
      </c>
    </row>
    <row r="664" spans="1:11">
      <c r="A664" s="570" t="str">
        <f t="shared" si="10"/>
        <v>34F17</v>
      </c>
      <c r="C664" t="s">
        <v>2344</v>
      </c>
      <c r="D664" t="s">
        <v>1834</v>
      </c>
      <c r="E664">
        <v>17</v>
      </c>
      <c r="F664">
        <v>4.4999999999999997E-3</v>
      </c>
      <c r="G664">
        <v>-8.0000000000000004E-4</v>
      </c>
      <c r="H664" s="570">
        <v>0</v>
      </c>
      <c r="I664" s="570">
        <v>0</v>
      </c>
      <c r="J664" s="570">
        <v>0</v>
      </c>
      <c r="K664">
        <v>-9.0000000000000006E-5</v>
      </c>
    </row>
    <row r="665" spans="1:11">
      <c r="A665" s="570" t="str">
        <f t="shared" si="10"/>
        <v>33F17</v>
      </c>
      <c r="C665" t="s">
        <v>2345</v>
      </c>
      <c r="D665" t="s">
        <v>1834</v>
      </c>
      <c r="E665">
        <v>17</v>
      </c>
      <c r="F665">
        <v>3.0999999999999999E-3</v>
      </c>
      <c r="G665">
        <v>-1E-3</v>
      </c>
      <c r="H665" s="570">
        <v>0</v>
      </c>
      <c r="I665" s="570">
        <v>0</v>
      </c>
      <c r="J665" s="570">
        <v>0</v>
      </c>
      <c r="K665">
        <v>-6.0000000000000002E-5</v>
      </c>
    </row>
    <row r="666" spans="1:11">
      <c r="A666" s="570" t="str">
        <f t="shared" si="10"/>
        <v>32F17</v>
      </c>
      <c r="C666" t="s">
        <v>2346</v>
      </c>
      <c r="D666" t="s">
        <v>1834</v>
      </c>
      <c r="E666">
        <v>17</v>
      </c>
      <c r="F666">
        <v>8.0000000000000004E-4</v>
      </c>
      <c r="G666">
        <v>-1.1999999999999999E-3</v>
      </c>
      <c r="H666" s="570">
        <v>0</v>
      </c>
      <c r="I666" s="570">
        <v>0</v>
      </c>
      <c r="J666" s="570">
        <v>0</v>
      </c>
      <c r="K666">
        <v>-2.0000000000000002E-5</v>
      </c>
    </row>
    <row r="667" spans="1:11">
      <c r="A667" s="570" t="str">
        <f t="shared" si="10"/>
        <v>31F17</v>
      </c>
      <c r="C667" t="s">
        <v>2347</v>
      </c>
      <c r="D667" t="s">
        <v>1834</v>
      </c>
      <c r="E667">
        <v>17</v>
      </c>
      <c r="F667">
        <v>-1.6000000000000001E-3</v>
      </c>
      <c r="G667">
        <v>-1.1999999999999999E-3</v>
      </c>
      <c r="H667" s="570">
        <v>0</v>
      </c>
      <c r="I667" s="570">
        <v>0</v>
      </c>
      <c r="J667" s="570">
        <v>0</v>
      </c>
      <c r="K667">
        <v>2.0000000000000002E-5</v>
      </c>
    </row>
    <row r="668" spans="1:11">
      <c r="A668" s="570" t="str">
        <f t="shared" si="10"/>
        <v>30F17</v>
      </c>
      <c r="C668" t="s">
        <v>2348</v>
      </c>
      <c r="D668" t="s">
        <v>1834</v>
      </c>
      <c r="E668">
        <v>17</v>
      </c>
      <c r="F668">
        <v>-3.7000000000000002E-3</v>
      </c>
      <c r="G668">
        <v>-1E-3</v>
      </c>
      <c r="H668" s="570">
        <v>0</v>
      </c>
      <c r="I668" s="570">
        <v>0</v>
      </c>
      <c r="J668" s="570">
        <v>0</v>
      </c>
      <c r="K668">
        <v>6.0000000000000002E-5</v>
      </c>
    </row>
    <row r="669" spans="1:11">
      <c r="A669" s="570" t="str">
        <f t="shared" si="10"/>
        <v>29F17</v>
      </c>
      <c r="C669" t="s">
        <v>2349</v>
      </c>
      <c r="D669" t="s">
        <v>1834</v>
      </c>
      <c r="E669">
        <v>17</v>
      </c>
      <c r="F669">
        <v>-4.8999999999999998E-3</v>
      </c>
      <c r="G669">
        <v>-6.9999999999999999E-4</v>
      </c>
      <c r="H669" s="570">
        <v>0</v>
      </c>
      <c r="I669" s="570">
        <v>0</v>
      </c>
      <c r="J669" s="570">
        <v>0</v>
      </c>
      <c r="K669">
        <v>9.0000000000000006E-5</v>
      </c>
    </row>
    <row r="670" spans="1:11">
      <c r="A670" s="570" t="str">
        <f t="shared" si="10"/>
        <v>28F17</v>
      </c>
      <c r="C670" t="s">
        <v>2350</v>
      </c>
      <c r="D670" t="s">
        <v>1834</v>
      </c>
      <c r="E670">
        <v>17</v>
      </c>
      <c r="F670">
        <v>-4.7999999999999996E-3</v>
      </c>
      <c r="G670">
        <v>-2.0000000000000001E-4</v>
      </c>
      <c r="H670" s="570">
        <v>0</v>
      </c>
      <c r="I670" s="570">
        <v>0</v>
      </c>
      <c r="J670" s="570">
        <v>0</v>
      </c>
      <c r="K670">
        <v>9.0000000000000006E-5</v>
      </c>
    </row>
    <row r="671" spans="1:11">
      <c r="A671" s="570" t="str">
        <f t="shared" si="10"/>
        <v>27F17</v>
      </c>
      <c r="C671" t="s">
        <v>2351</v>
      </c>
      <c r="D671" t="s">
        <v>1834</v>
      </c>
      <c r="E671">
        <v>17</v>
      </c>
      <c r="F671">
        <v>-3.5999999999999999E-3</v>
      </c>
      <c r="G671">
        <v>2.9999999999999997E-4</v>
      </c>
      <c r="H671" s="570">
        <v>0</v>
      </c>
      <c r="I671" s="570">
        <v>0</v>
      </c>
      <c r="J671" s="570">
        <v>0</v>
      </c>
      <c r="K671">
        <v>6.9999999999999994E-5</v>
      </c>
    </row>
    <row r="672" spans="1:11">
      <c r="A672" s="570" t="str">
        <f t="shared" si="10"/>
        <v>26F17</v>
      </c>
      <c r="C672" t="s">
        <v>2352</v>
      </c>
      <c r="D672" t="s">
        <v>1834</v>
      </c>
      <c r="E672">
        <v>17</v>
      </c>
      <c r="F672">
        <v>-1.4E-3</v>
      </c>
      <c r="G672">
        <v>8.0000000000000004E-4</v>
      </c>
      <c r="H672" s="570">
        <v>0</v>
      </c>
      <c r="I672" s="570">
        <v>0</v>
      </c>
      <c r="J672" s="570">
        <v>0</v>
      </c>
      <c r="K672">
        <v>3.0000000000000001E-5</v>
      </c>
    </row>
    <row r="673" spans="1:11">
      <c r="A673" s="570" t="str">
        <f t="shared" si="10"/>
        <v>25F17</v>
      </c>
      <c r="C673" t="s">
        <v>2353</v>
      </c>
      <c r="D673" t="s">
        <v>1834</v>
      </c>
      <c r="E673">
        <v>17</v>
      </c>
      <c r="F673">
        <v>1E-3</v>
      </c>
      <c r="G673">
        <v>1.1999999999999999E-3</v>
      </c>
      <c r="H673" s="570">
        <v>0</v>
      </c>
      <c r="I673" s="570">
        <v>0</v>
      </c>
      <c r="J673" s="570">
        <v>0</v>
      </c>
      <c r="K673">
        <v>-1.0000000000000001E-5</v>
      </c>
    </row>
    <row r="674" spans="1:11">
      <c r="A674" s="570" t="str">
        <f t="shared" si="10"/>
        <v>24F17</v>
      </c>
      <c r="C674" t="s">
        <v>2354</v>
      </c>
      <c r="D674" t="s">
        <v>1834</v>
      </c>
      <c r="E674">
        <v>17</v>
      </c>
      <c r="F674">
        <v>3.2000000000000002E-3</v>
      </c>
      <c r="G674">
        <v>1.4E-3</v>
      </c>
      <c r="H674" s="570">
        <v>0</v>
      </c>
      <c r="I674" s="570">
        <v>0</v>
      </c>
      <c r="J674" s="570">
        <v>0</v>
      </c>
      <c r="K674">
        <v>-5.0000000000000002E-5</v>
      </c>
    </row>
    <row r="675" spans="1:11">
      <c r="A675" s="570" t="str">
        <f t="shared" si="10"/>
        <v>23F17</v>
      </c>
      <c r="C675" t="s">
        <v>2355</v>
      </c>
      <c r="D675" t="s">
        <v>1834</v>
      </c>
      <c r="E675">
        <v>17</v>
      </c>
      <c r="F675">
        <v>4.5999999999999999E-3</v>
      </c>
      <c r="G675">
        <v>1.5E-3</v>
      </c>
      <c r="H675" s="570">
        <v>0</v>
      </c>
      <c r="I675" s="570">
        <v>0</v>
      </c>
      <c r="J675" s="570">
        <v>0</v>
      </c>
      <c r="K675">
        <v>-8.0000000000000007E-5</v>
      </c>
    </row>
    <row r="676" spans="1:11">
      <c r="A676" s="570" t="str">
        <f t="shared" si="10"/>
        <v>22F17</v>
      </c>
      <c r="C676" t="s">
        <v>2356</v>
      </c>
      <c r="D676" t="s">
        <v>1834</v>
      </c>
      <c r="E676">
        <v>17</v>
      </c>
      <c r="F676">
        <v>4.8999999999999998E-3</v>
      </c>
      <c r="G676">
        <v>1.4E-3</v>
      </c>
      <c r="H676" s="570">
        <v>0</v>
      </c>
      <c r="I676" s="570">
        <v>0</v>
      </c>
      <c r="J676" s="570">
        <v>0</v>
      </c>
      <c r="K676">
        <v>-9.0000000000000006E-5</v>
      </c>
    </row>
    <row r="677" spans="1:11">
      <c r="A677" s="570" t="str">
        <f t="shared" si="10"/>
        <v>21F17</v>
      </c>
      <c r="C677" t="s">
        <v>2357</v>
      </c>
      <c r="D677" t="s">
        <v>1834</v>
      </c>
      <c r="E677">
        <v>17</v>
      </c>
      <c r="F677">
        <v>3.8999999999999998E-3</v>
      </c>
      <c r="G677">
        <v>1E-3</v>
      </c>
      <c r="H677" s="570">
        <v>0</v>
      </c>
      <c r="I677" s="570">
        <v>0</v>
      </c>
      <c r="J677" s="570">
        <v>0</v>
      </c>
      <c r="K677">
        <v>-6.9999999999999994E-5</v>
      </c>
    </row>
    <row r="678" spans="1:11">
      <c r="A678" s="570" t="str">
        <f t="shared" si="10"/>
        <v>20F17</v>
      </c>
      <c r="C678" t="s">
        <v>2358</v>
      </c>
      <c r="D678" t="s">
        <v>1834</v>
      </c>
      <c r="E678">
        <v>17</v>
      </c>
      <c r="F678">
        <v>1.9E-3</v>
      </c>
      <c r="G678">
        <v>5.0000000000000001E-4</v>
      </c>
      <c r="H678" s="570">
        <v>0</v>
      </c>
      <c r="I678" s="570">
        <v>0</v>
      </c>
      <c r="J678" s="570">
        <v>0</v>
      </c>
      <c r="K678">
        <v>-4.0000000000000003E-5</v>
      </c>
    </row>
    <row r="679" spans="1:11">
      <c r="A679" s="570" t="str">
        <f t="shared" si="10"/>
        <v>19F17</v>
      </c>
      <c r="C679" t="s">
        <v>2359</v>
      </c>
      <c r="D679" t="s">
        <v>1834</v>
      </c>
      <c r="E679">
        <v>17</v>
      </c>
      <c r="F679">
        <v>-5.0000000000000001E-4</v>
      </c>
      <c r="G679">
        <v>0</v>
      </c>
      <c r="H679" s="570">
        <v>0</v>
      </c>
      <c r="I679" s="570">
        <v>0</v>
      </c>
      <c r="J679" s="570">
        <v>0</v>
      </c>
      <c r="K679">
        <v>1.0000000000000001E-5</v>
      </c>
    </row>
    <row r="680" spans="1:11">
      <c r="A680" s="570" t="str">
        <f t="shared" si="10"/>
        <v>18F17</v>
      </c>
      <c r="C680" t="s">
        <v>2360</v>
      </c>
      <c r="D680" t="s">
        <v>1834</v>
      </c>
      <c r="E680">
        <v>17</v>
      </c>
      <c r="F680">
        <v>-2.7000000000000001E-3</v>
      </c>
      <c r="G680">
        <v>-5.0000000000000001E-4</v>
      </c>
      <c r="H680" s="570">
        <v>0</v>
      </c>
      <c r="I680" s="570">
        <v>0</v>
      </c>
      <c r="J680" s="570">
        <v>0</v>
      </c>
      <c r="K680">
        <v>5.0000000000000002E-5</v>
      </c>
    </row>
    <row r="681" spans="1:11">
      <c r="A681" s="570" t="str">
        <f t="shared" si="10"/>
        <v>17F17</v>
      </c>
      <c r="C681" t="s">
        <v>2361</v>
      </c>
      <c r="D681" t="s">
        <v>1834</v>
      </c>
      <c r="E681">
        <v>17</v>
      </c>
      <c r="F681">
        <v>-4.4000000000000003E-3</v>
      </c>
      <c r="G681">
        <v>-1E-3</v>
      </c>
      <c r="H681" s="570">
        <v>0</v>
      </c>
      <c r="I681" s="570">
        <v>0</v>
      </c>
      <c r="J681" s="570">
        <v>0</v>
      </c>
      <c r="K681">
        <v>8.0000000000000007E-5</v>
      </c>
    </row>
    <row r="682" spans="1:11">
      <c r="A682" s="570" t="str">
        <f t="shared" si="10"/>
        <v>16F17</v>
      </c>
      <c r="C682" t="s">
        <v>2362</v>
      </c>
      <c r="D682" t="s">
        <v>1834</v>
      </c>
      <c r="E682">
        <v>17</v>
      </c>
      <c r="F682">
        <v>-4.8999999999999998E-3</v>
      </c>
      <c r="G682">
        <v>-1.2999999999999999E-3</v>
      </c>
      <c r="H682" s="570">
        <v>0</v>
      </c>
      <c r="I682" s="570">
        <v>0</v>
      </c>
      <c r="J682" s="570">
        <v>0</v>
      </c>
      <c r="K682">
        <v>9.0000000000000006E-5</v>
      </c>
    </row>
    <row r="683" spans="1:11">
      <c r="A683" s="570" t="str">
        <f t="shared" si="10"/>
        <v>15F17</v>
      </c>
      <c r="C683" t="s">
        <v>2363</v>
      </c>
      <c r="D683" t="s">
        <v>1834</v>
      </c>
      <c r="E683">
        <v>17</v>
      </c>
      <c r="F683">
        <v>-4.3E-3</v>
      </c>
      <c r="G683">
        <v>-1.4E-3</v>
      </c>
      <c r="H683" s="570">
        <v>0</v>
      </c>
      <c r="I683" s="570">
        <v>0</v>
      </c>
      <c r="J683" s="570">
        <v>0</v>
      </c>
      <c r="K683">
        <v>8.0000000000000007E-5</v>
      </c>
    </row>
    <row r="684" spans="1:11">
      <c r="A684" s="570" t="str">
        <f t="shared" si="10"/>
        <v>14F17</v>
      </c>
      <c r="C684" t="s">
        <v>2364</v>
      </c>
      <c r="D684" t="s">
        <v>1834</v>
      </c>
      <c r="E684">
        <v>17</v>
      </c>
      <c r="F684">
        <v>-2.5999999999999999E-3</v>
      </c>
      <c r="G684">
        <v>-1.4E-3</v>
      </c>
      <c r="H684" s="570">
        <v>0</v>
      </c>
      <c r="I684" s="570">
        <v>0</v>
      </c>
      <c r="J684" s="570">
        <v>0</v>
      </c>
      <c r="K684">
        <v>5.0000000000000002E-5</v>
      </c>
    </row>
    <row r="685" spans="1:11">
      <c r="A685" s="570" t="str">
        <f t="shared" si="10"/>
        <v>13F17</v>
      </c>
      <c r="C685" t="s">
        <v>2365</v>
      </c>
      <c r="D685" t="s">
        <v>1834</v>
      </c>
      <c r="E685">
        <v>17</v>
      </c>
      <c r="F685">
        <v>-2.9999999999999997E-4</v>
      </c>
      <c r="G685">
        <v>-1.1000000000000001E-3</v>
      </c>
      <c r="H685" s="570">
        <v>0</v>
      </c>
      <c r="I685" s="570">
        <v>0</v>
      </c>
      <c r="J685" s="570">
        <v>0</v>
      </c>
      <c r="K685">
        <v>1.0000000000000001E-5</v>
      </c>
    </row>
    <row r="686" spans="1:11">
      <c r="A686" s="570" t="str">
        <f t="shared" si="10"/>
        <v>12F17</v>
      </c>
      <c r="C686" t="s">
        <v>2366</v>
      </c>
      <c r="D686" t="s">
        <v>1834</v>
      </c>
      <c r="E686">
        <v>17</v>
      </c>
      <c r="F686">
        <v>2.0999999999999999E-3</v>
      </c>
      <c r="G686">
        <v>-6.9999999999999999E-4</v>
      </c>
      <c r="H686" s="570">
        <v>0</v>
      </c>
      <c r="I686" s="570">
        <v>0</v>
      </c>
      <c r="J686" s="570">
        <v>0</v>
      </c>
      <c r="K686">
        <v>-4.0000000000000003E-5</v>
      </c>
    </row>
    <row r="687" spans="1:11">
      <c r="A687" s="570" t="str">
        <f t="shared" si="10"/>
        <v>11F17</v>
      </c>
      <c r="C687" t="s">
        <v>2367</v>
      </c>
      <c r="D687" t="s">
        <v>1834</v>
      </c>
      <c r="E687">
        <v>17</v>
      </c>
      <c r="F687">
        <v>3.8999999999999998E-3</v>
      </c>
      <c r="G687">
        <v>-2.9999999999999997E-4</v>
      </c>
      <c r="H687" s="570">
        <v>0</v>
      </c>
      <c r="I687" s="570">
        <v>0</v>
      </c>
      <c r="J687" s="570">
        <v>0</v>
      </c>
      <c r="K687">
        <v>-6.9999999999999994E-5</v>
      </c>
    </row>
    <row r="688" spans="1:11">
      <c r="A688" s="570" t="str">
        <f t="shared" si="10"/>
        <v>10F17</v>
      </c>
      <c r="C688" t="s">
        <v>2368</v>
      </c>
      <c r="D688" t="s">
        <v>1834</v>
      </c>
      <c r="E688">
        <v>17</v>
      </c>
      <c r="F688">
        <v>4.7999999999999996E-3</v>
      </c>
      <c r="G688">
        <v>2.0000000000000001E-4</v>
      </c>
      <c r="H688" s="570">
        <v>0</v>
      </c>
      <c r="I688" s="570">
        <v>0</v>
      </c>
      <c r="J688" s="570">
        <v>0</v>
      </c>
      <c r="K688">
        <v>-8.0000000000000007E-5</v>
      </c>
    </row>
    <row r="689" spans="1:11">
      <c r="A689" s="570" t="str">
        <f t="shared" si="10"/>
        <v>9F17</v>
      </c>
      <c r="C689" t="s">
        <v>2369</v>
      </c>
      <c r="D689" t="s">
        <v>1834</v>
      </c>
      <c r="E689">
        <v>17</v>
      </c>
      <c r="F689">
        <v>4.4999999999999997E-3</v>
      </c>
      <c r="G689">
        <v>5.9999999999999995E-4</v>
      </c>
      <c r="H689" s="570">
        <v>0</v>
      </c>
      <c r="I689" s="570">
        <v>0</v>
      </c>
      <c r="J689" s="570">
        <v>0</v>
      </c>
      <c r="K689">
        <v>-8.0000000000000007E-5</v>
      </c>
    </row>
    <row r="690" spans="1:11">
      <c r="A690" s="570" t="str">
        <f t="shared" si="10"/>
        <v>8F17</v>
      </c>
      <c r="C690" t="s">
        <v>2370</v>
      </c>
      <c r="D690" t="s">
        <v>1834</v>
      </c>
      <c r="E690">
        <v>17</v>
      </c>
      <c r="F690">
        <v>3.2000000000000002E-3</v>
      </c>
      <c r="G690">
        <v>8.9999999999999998E-4</v>
      </c>
      <c r="H690" s="570">
        <v>0</v>
      </c>
      <c r="I690" s="570">
        <v>0</v>
      </c>
      <c r="J690" s="570">
        <v>0</v>
      </c>
      <c r="K690">
        <v>-6.0000000000000002E-5</v>
      </c>
    </row>
    <row r="691" spans="1:11">
      <c r="A691" s="570" t="str">
        <f t="shared" si="10"/>
        <v>7F17</v>
      </c>
      <c r="C691" t="s">
        <v>2371</v>
      </c>
      <c r="D691" t="s">
        <v>1834</v>
      </c>
      <c r="E691">
        <v>17</v>
      </c>
      <c r="F691">
        <v>1.1000000000000001E-3</v>
      </c>
      <c r="G691">
        <v>1.1000000000000001E-3</v>
      </c>
      <c r="H691" s="570">
        <v>0</v>
      </c>
      <c r="I691" s="570">
        <v>0</v>
      </c>
      <c r="J691" s="570">
        <v>0</v>
      </c>
      <c r="K691">
        <v>-2.0000000000000002E-5</v>
      </c>
    </row>
    <row r="692" spans="1:11">
      <c r="A692" s="570" t="str">
        <f t="shared" si="10"/>
        <v>6F17</v>
      </c>
      <c r="C692" t="s">
        <v>2372</v>
      </c>
      <c r="D692" t="s">
        <v>1834</v>
      </c>
      <c r="E692">
        <v>17</v>
      </c>
      <c r="F692">
        <v>-1.1999999999999999E-3</v>
      </c>
      <c r="G692">
        <v>1.1999999999999999E-3</v>
      </c>
      <c r="H692" s="570">
        <v>0</v>
      </c>
      <c r="I692" s="570">
        <v>0</v>
      </c>
      <c r="J692" s="570">
        <v>0</v>
      </c>
      <c r="K692">
        <v>2.0000000000000002E-5</v>
      </c>
    </row>
    <row r="693" spans="1:11">
      <c r="A693" s="570" t="str">
        <f t="shared" si="10"/>
        <v>5F17</v>
      </c>
      <c r="C693" t="s">
        <v>2373</v>
      </c>
      <c r="D693" t="s">
        <v>1834</v>
      </c>
      <c r="E693">
        <v>17</v>
      </c>
      <c r="F693">
        <v>-3.3E-3</v>
      </c>
      <c r="G693">
        <v>1.1000000000000001E-3</v>
      </c>
      <c r="H693" s="570">
        <v>0</v>
      </c>
      <c r="I693" s="570">
        <v>0</v>
      </c>
      <c r="J693" s="570">
        <v>0</v>
      </c>
      <c r="K693">
        <v>6.0000000000000002E-5</v>
      </c>
    </row>
    <row r="694" spans="1:11">
      <c r="A694" s="570" t="str">
        <f t="shared" si="10"/>
        <v>4F17</v>
      </c>
      <c r="C694" t="s">
        <v>2374</v>
      </c>
      <c r="D694" t="s">
        <v>1834</v>
      </c>
      <c r="E694">
        <v>17</v>
      </c>
      <c r="F694">
        <v>-4.7000000000000002E-3</v>
      </c>
      <c r="G694">
        <v>1E-3</v>
      </c>
      <c r="H694" s="570">
        <v>0</v>
      </c>
      <c r="I694" s="570">
        <v>0</v>
      </c>
      <c r="J694" s="570">
        <v>0</v>
      </c>
      <c r="K694">
        <v>8.0000000000000007E-5</v>
      </c>
    </row>
    <row r="695" spans="1:11">
      <c r="A695" s="570" t="str">
        <f t="shared" si="10"/>
        <v>3F17</v>
      </c>
      <c r="C695" t="s">
        <v>2375</v>
      </c>
      <c r="D695" t="s">
        <v>1834</v>
      </c>
      <c r="E695">
        <v>17</v>
      </c>
      <c r="F695">
        <v>-5.1000000000000004E-3</v>
      </c>
      <c r="G695">
        <v>8.0000000000000004E-4</v>
      </c>
      <c r="H695" s="570">
        <v>0</v>
      </c>
      <c r="I695" s="570">
        <v>0</v>
      </c>
      <c r="J695" s="570">
        <v>0</v>
      </c>
      <c r="K695">
        <v>9.0000000000000006E-5</v>
      </c>
    </row>
    <row r="696" spans="1:11">
      <c r="A696" s="570" t="str">
        <f t="shared" si="10"/>
        <v>2F17</v>
      </c>
      <c r="C696" t="s">
        <v>2376</v>
      </c>
      <c r="D696" t="s">
        <v>1834</v>
      </c>
      <c r="E696">
        <v>17</v>
      </c>
      <c r="F696">
        <v>-4.4000000000000003E-3</v>
      </c>
      <c r="G696">
        <v>5.9999999999999995E-4</v>
      </c>
      <c r="H696" s="570">
        <v>0</v>
      </c>
      <c r="I696" s="570">
        <v>0</v>
      </c>
      <c r="J696" s="570">
        <v>0</v>
      </c>
      <c r="K696">
        <v>6.9999999999999994E-5</v>
      </c>
    </row>
    <row r="697" spans="1:11">
      <c r="A697" s="570" t="str">
        <f t="shared" si="10"/>
        <v>1F17</v>
      </c>
      <c r="C697" t="s">
        <v>2377</v>
      </c>
      <c r="D697" t="s">
        <v>1834</v>
      </c>
      <c r="E697">
        <v>17</v>
      </c>
      <c r="F697">
        <v>-2.3E-3</v>
      </c>
      <c r="G697">
        <v>2.9999999999999997E-4</v>
      </c>
      <c r="H697" s="570">
        <v>0</v>
      </c>
      <c r="I697" s="570">
        <v>0</v>
      </c>
      <c r="J697" s="570">
        <v>0</v>
      </c>
      <c r="K697">
        <v>4.0000000000000003E-5</v>
      </c>
    </row>
    <row r="698" spans="1:11">
      <c r="A698" s="570" t="str">
        <f t="shared" si="10"/>
        <v>B117</v>
      </c>
      <c r="C698" t="s">
        <v>2327</v>
      </c>
      <c r="D698" t="s">
        <v>1834</v>
      </c>
      <c r="E698">
        <v>17</v>
      </c>
      <c r="F698">
        <v>0</v>
      </c>
      <c r="G698">
        <v>0</v>
      </c>
      <c r="H698" s="570">
        <v>0</v>
      </c>
      <c r="I698" s="570">
        <v>0</v>
      </c>
      <c r="J698" s="570">
        <v>0</v>
      </c>
      <c r="K698">
        <v>0</v>
      </c>
    </row>
    <row r="699" spans="1:11">
      <c r="A699" s="570" t="str">
        <f t="shared" si="10"/>
        <v>MAI18</v>
      </c>
      <c r="C699" t="s">
        <v>2270</v>
      </c>
      <c r="D699" t="s">
        <v>1834</v>
      </c>
      <c r="E699">
        <v>18</v>
      </c>
      <c r="F699">
        <v>2E-3</v>
      </c>
      <c r="G699">
        <v>9.4000000000000004E-3</v>
      </c>
      <c r="H699" s="570">
        <v>0</v>
      </c>
      <c r="I699" s="570">
        <v>0</v>
      </c>
      <c r="J699" s="570">
        <v>0</v>
      </c>
      <c r="K699">
        <v>-5.0000000000000002E-5</v>
      </c>
    </row>
    <row r="700" spans="1:11">
      <c r="A700" s="570" t="str">
        <f t="shared" si="10"/>
        <v>TUM18</v>
      </c>
      <c r="C700" t="s">
        <v>2271</v>
      </c>
      <c r="D700" t="s">
        <v>1834</v>
      </c>
      <c r="E700">
        <v>18</v>
      </c>
      <c r="F700">
        <v>8.0000000000000004E-4</v>
      </c>
      <c r="G700">
        <v>5.4999999999999997E-3</v>
      </c>
      <c r="H700" s="570">
        <v>0</v>
      </c>
      <c r="I700" s="570">
        <v>0</v>
      </c>
      <c r="J700" s="570">
        <v>0</v>
      </c>
      <c r="K700">
        <v>-2.0000000000000002E-5</v>
      </c>
    </row>
    <row r="701" spans="1:11">
      <c r="A701" s="570" t="str">
        <f t="shared" si="10"/>
        <v>38F18</v>
      </c>
      <c r="C701" t="s">
        <v>2340</v>
      </c>
      <c r="D701" t="s">
        <v>1834</v>
      </c>
      <c r="E701">
        <v>18</v>
      </c>
      <c r="F701">
        <v>1E-4</v>
      </c>
      <c r="G701">
        <v>3.2000000000000002E-3</v>
      </c>
      <c r="H701" s="570">
        <v>0</v>
      </c>
      <c r="I701" s="570">
        <v>0</v>
      </c>
      <c r="J701" s="570">
        <v>0</v>
      </c>
      <c r="K701">
        <v>-1.0000000000000001E-5</v>
      </c>
    </row>
    <row r="702" spans="1:11">
      <c r="A702" s="570" t="str">
        <f t="shared" si="10"/>
        <v>37F18</v>
      </c>
      <c r="C702" t="s">
        <v>2341</v>
      </c>
      <c r="D702" t="s">
        <v>1834</v>
      </c>
      <c r="E702">
        <v>18</v>
      </c>
      <c r="F702">
        <v>-5.0000000000000001E-4</v>
      </c>
      <c r="G702">
        <v>1E-3</v>
      </c>
      <c r="H702" s="570">
        <v>0</v>
      </c>
      <c r="I702" s="570">
        <v>0</v>
      </c>
      <c r="J702" s="570">
        <v>0</v>
      </c>
      <c r="K702">
        <v>0</v>
      </c>
    </row>
    <row r="703" spans="1:11">
      <c r="A703" s="570" t="str">
        <f t="shared" si="10"/>
        <v>36F18</v>
      </c>
      <c r="C703" t="s">
        <v>2342</v>
      </c>
      <c r="D703" t="s">
        <v>1834</v>
      </c>
      <c r="E703">
        <v>18</v>
      </c>
      <c r="F703">
        <v>-8.9999999999999998E-4</v>
      </c>
      <c r="G703">
        <v>-1.1999999999999999E-3</v>
      </c>
      <c r="H703" s="570">
        <v>0</v>
      </c>
      <c r="I703" s="570">
        <v>0</v>
      </c>
      <c r="J703" s="570">
        <v>0</v>
      </c>
      <c r="K703">
        <v>1.0000000000000001E-5</v>
      </c>
    </row>
    <row r="704" spans="1:11">
      <c r="A704" s="570" t="str">
        <f t="shared" si="10"/>
        <v>35F18</v>
      </c>
      <c r="C704" t="s">
        <v>2343</v>
      </c>
      <c r="D704" t="s">
        <v>1834</v>
      </c>
      <c r="E704">
        <v>18</v>
      </c>
      <c r="F704">
        <v>-1E-3</v>
      </c>
      <c r="G704">
        <v>-3.0999999999999999E-3</v>
      </c>
      <c r="H704" s="570">
        <v>0</v>
      </c>
      <c r="I704" s="570">
        <v>0</v>
      </c>
      <c r="J704" s="570">
        <v>0</v>
      </c>
      <c r="K704">
        <v>1.0000000000000001E-5</v>
      </c>
    </row>
    <row r="705" spans="1:11">
      <c r="A705" s="570" t="str">
        <f t="shared" si="10"/>
        <v>34F18</v>
      </c>
      <c r="C705" t="s">
        <v>2344</v>
      </c>
      <c r="D705" t="s">
        <v>1834</v>
      </c>
      <c r="E705">
        <v>18</v>
      </c>
      <c r="F705">
        <v>-8.9999999999999998E-4</v>
      </c>
      <c r="G705">
        <v>-4.4000000000000003E-3</v>
      </c>
      <c r="H705" s="570">
        <v>0</v>
      </c>
      <c r="I705" s="570">
        <v>0</v>
      </c>
      <c r="J705" s="570">
        <v>0</v>
      </c>
      <c r="K705">
        <v>2.0000000000000002E-5</v>
      </c>
    </row>
    <row r="706" spans="1:11">
      <c r="A706" s="570" t="str">
        <f t="shared" ref="A706:A769" si="11">C706&amp;E706</f>
        <v>33F18</v>
      </c>
      <c r="C706" t="s">
        <v>2345</v>
      </c>
      <c r="D706" t="s">
        <v>1834</v>
      </c>
      <c r="E706">
        <v>18</v>
      </c>
      <c r="F706">
        <v>-4.0000000000000002E-4</v>
      </c>
      <c r="G706">
        <v>-5.1000000000000004E-3</v>
      </c>
      <c r="H706" s="570">
        <v>0</v>
      </c>
      <c r="I706" s="570">
        <v>0</v>
      </c>
      <c r="J706" s="570">
        <v>0</v>
      </c>
      <c r="K706">
        <v>1.0000000000000001E-5</v>
      </c>
    </row>
    <row r="707" spans="1:11">
      <c r="A707" s="570" t="str">
        <f t="shared" si="11"/>
        <v>32F18</v>
      </c>
      <c r="C707" t="s">
        <v>2346</v>
      </c>
      <c r="D707" t="s">
        <v>1834</v>
      </c>
      <c r="E707">
        <v>18</v>
      </c>
      <c r="F707">
        <v>1E-4</v>
      </c>
      <c r="G707">
        <v>-5.1999999999999998E-3</v>
      </c>
      <c r="H707" s="570">
        <v>0</v>
      </c>
      <c r="I707" s="570">
        <v>0</v>
      </c>
      <c r="J707" s="570">
        <v>0</v>
      </c>
      <c r="K707">
        <v>1.0000000000000001E-5</v>
      </c>
    </row>
    <row r="708" spans="1:11">
      <c r="A708" s="570" t="str">
        <f t="shared" si="11"/>
        <v>31F18</v>
      </c>
      <c r="C708" t="s">
        <v>2347</v>
      </c>
      <c r="D708" t="s">
        <v>1834</v>
      </c>
      <c r="E708">
        <v>18</v>
      </c>
      <c r="F708">
        <v>6.9999999999999999E-4</v>
      </c>
      <c r="G708">
        <v>-4.4999999999999997E-3</v>
      </c>
      <c r="H708" s="570">
        <v>0</v>
      </c>
      <c r="I708" s="570">
        <v>0</v>
      </c>
      <c r="J708" s="570">
        <v>0</v>
      </c>
      <c r="K708">
        <v>0</v>
      </c>
    </row>
    <row r="709" spans="1:11">
      <c r="A709" s="570" t="str">
        <f t="shared" si="11"/>
        <v>30F18</v>
      </c>
      <c r="C709" t="s">
        <v>2348</v>
      </c>
      <c r="D709" t="s">
        <v>1834</v>
      </c>
      <c r="E709">
        <v>18</v>
      </c>
      <c r="F709">
        <v>1.1000000000000001E-3</v>
      </c>
      <c r="G709">
        <v>-3.3E-3</v>
      </c>
      <c r="H709" s="570">
        <v>0</v>
      </c>
      <c r="I709" s="570">
        <v>0</v>
      </c>
      <c r="J709" s="570">
        <v>0</v>
      </c>
      <c r="K709">
        <v>-1.0000000000000001E-5</v>
      </c>
    </row>
    <row r="710" spans="1:11">
      <c r="A710" s="570" t="str">
        <f t="shared" si="11"/>
        <v>29F18</v>
      </c>
      <c r="C710" t="s">
        <v>2349</v>
      </c>
      <c r="D710" t="s">
        <v>1834</v>
      </c>
      <c r="E710">
        <v>18</v>
      </c>
      <c r="F710">
        <v>1.2999999999999999E-3</v>
      </c>
      <c r="G710">
        <v>-1.6999999999999999E-3</v>
      </c>
      <c r="H710" s="570">
        <v>0</v>
      </c>
      <c r="I710" s="570">
        <v>0</v>
      </c>
      <c r="J710" s="570">
        <v>0</v>
      </c>
      <c r="K710">
        <v>-1.0000000000000001E-5</v>
      </c>
    </row>
    <row r="711" spans="1:11">
      <c r="A711" s="570" t="str">
        <f t="shared" si="11"/>
        <v>28F18</v>
      </c>
      <c r="C711" t="s">
        <v>2350</v>
      </c>
      <c r="D711" t="s">
        <v>1834</v>
      </c>
      <c r="E711">
        <v>18</v>
      </c>
      <c r="F711">
        <v>1.1999999999999999E-3</v>
      </c>
      <c r="G711">
        <v>2.0000000000000001E-4</v>
      </c>
      <c r="H711" s="570">
        <v>0</v>
      </c>
      <c r="I711" s="570">
        <v>0</v>
      </c>
      <c r="J711" s="570">
        <v>0</v>
      </c>
      <c r="K711">
        <v>-1.0000000000000001E-5</v>
      </c>
    </row>
    <row r="712" spans="1:11">
      <c r="A712" s="570" t="str">
        <f t="shared" si="11"/>
        <v>27F18</v>
      </c>
      <c r="C712" t="s">
        <v>2351</v>
      </c>
      <c r="D712" t="s">
        <v>1834</v>
      </c>
      <c r="E712">
        <v>18</v>
      </c>
      <c r="F712">
        <v>6.9999999999999999E-4</v>
      </c>
      <c r="G712">
        <v>2E-3</v>
      </c>
      <c r="H712" s="570">
        <v>0</v>
      </c>
      <c r="I712" s="570">
        <v>0</v>
      </c>
      <c r="J712" s="570">
        <v>0</v>
      </c>
      <c r="K712">
        <v>-1.0000000000000001E-5</v>
      </c>
    </row>
    <row r="713" spans="1:11">
      <c r="A713" s="570" t="str">
        <f t="shared" si="11"/>
        <v>26F18</v>
      </c>
      <c r="C713" t="s">
        <v>2352</v>
      </c>
      <c r="D713" t="s">
        <v>1834</v>
      </c>
      <c r="E713">
        <v>18</v>
      </c>
      <c r="F713">
        <v>1E-4</v>
      </c>
      <c r="G713">
        <v>3.5999999999999999E-3</v>
      </c>
      <c r="H713" s="570">
        <v>0</v>
      </c>
      <c r="I713" s="570">
        <v>0</v>
      </c>
      <c r="J713" s="570">
        <v>0</v>
      </c>
      <c r="K713">
        <v>-1.0000000000000001E-5</v>
      </c>
    </row>
    <row r="714" spans="1:11">
      <c r="A714" s="570" t="str">
        <f t="shared" si="11"/>
        <v>25F18</v>
      </c>
      <c r="C714" t="s">
        <v>2353</v>
      </c>
      <c r="D714" t="s">
        <v>1834</v>
      </c>
      <c r="E714">
        <v>18</v>
      </c>
      <c r="F714">
        <v>-5.9999999999999995E-4</v>
      </c>
      <c r="G714">
        <v>4.7999999999999996E-3</v>
      </c>
      <c r="H714" s="570">
        <v>0</v>
      </c>
      <c r="I714" s="570">
        <v>0</v>
      </c>
      <c r="J714" s="570">
        <v>0</v>
      </c>
      <c r="K714">
        <v>0</v>
      </c>
    </row>
    <row r="715" spans="1:11">
      <c r="A715" s="570" t="str">
        <f t="shared" si="11"/>
        <v>24F18</v>
      </c>
      <c r="C715" t="s">
        <v>2354</v>
      </c>
      <c r="D715" t="s">
        <v>1834</v>
      </c>
      <c r="E715">
        <v>18</v>
      </c>
      <c r="F715">
        <v>-1.1000000000000001E-3</v>
      </c>
      <c r="G715">
        <v>5.4000000000000003E-3</v>
      </c>
      <c r="H715" s="570">
        <v>0</v>
      </c>
      <c r="I715" s="570">
        <v>0</v>
      </c>
      <c r="J715" s="570">
        <v>0</v>
      </c>
      <c r="K715">
        <v>1.0000000000000001E-5</v>
      </c>
    </row>
    <row r="716" spans="1:11">
      <c r="A716" s="570" t="str">
        <f t="shared" si="11"/>
        <v>23F18</v>
      </c>
      <c r="C716" t="s">
        <v>2355</v>
      </c>
      <c r="D716" t="s">
        <v>1834</v>
      </c>
      <c r="E716">
        <v>18</v>
      </c>
      <c r="F716">
        <v>-1.5E-3</v>
      </c>
      <c r="G716">
        <v>5.3E-3</v>
      </c>
      <c r="H716" s="570">
        <v>0</v>
      </c>
      <c r="I716" s="570">
        <v>0</v>
      </c>
      <c r="J716" s="570">
        <v>0</v>
      </c>
      <c r="K716">
        <v>1.0000000000000001E-5</v>
      </c>
    </row>
    <row r="717" spans="1:11">
      <c r="A717" s="570" t="str">
        <f t="shared" si="11"/>
        <v>22F18</v>
      </c>
      <c r="C717" t="s">
        <v>2356</v>
      </c>
      <c r="D717" t="s">
        <v>1834</v>
      </c>
      <c r="E717">
        <v>18</v>
      </c>
      <c r="F717">
        <v>-1.4E-3</v>
      </c>
      <c r="G717">
        <v>4.7000000000000002E-3</v>
      </c>
      <c r="H717" s="570">
        <v>0</v>
      </c>
      <c r="I717" s="570">
        <v>0</v>
      </c>
      <c r="J717" s="570">
        <v>0</v>
      </c>
      <c r="K717">
        <v>1.0000000000000001E-5</v>
      </c>
    </row>
    <row r="718" spans="1:11">
      <c r="A718" s="570" t="str">
        <f t="shared" si="11"/>
        <v>21F18</v>
      </c>
      <c r="C718" t="s">
        <v>2357</v>
      </c>
      <c r="D718" t="s">
        <v>1834</v>
      </c>
      <c r="E718">
        <v>18</v>
      </c>
      <c r="F718">
        <v>-1.1000000000000001E-3</v>
      </c>
      <c r="G718">
        <v>3.3999999999999998E-3</v>
      </c>
      <c r="H718" s="570">
        <v>0</v>
      </c>
      <c r="I718" s="570">
        <v>0</v>
      </c>
      <c r="J718" s="570">
        <v>0</v>
      </c>
      <c r="K718">
        <v>1.0000000000000001E-5</v>
      </c>
    </row>
    <row r="719" spans="1:11">
      <c r="A719" s="570" t="str">
        <f t="shared" si="11"/>
        <v>20F18</v>
      </c>
      <c r="C719" t="s">
        <v>2358</v>
      </c>
      <c r="D719" t="s">
        <v>1834</v>
      </c>
      <c r="E719">
        <v>18</v>
      </c>
      <c r="F719">
        <v>-5.0000000000000001E-4</v>
      </c>
      <c r="G719">
        <v>1.8E-3</v>
      </c>
      <c r="H719" s="570">
        <v>0</v>
      </c>
      <c r="I719" s="570">
        <v>0</v>
      </c>
      <c r="J719" s="570">
        <v>0</v>
      </c>
      <c r="K719">
        <v>1.0000000000000001E-5</v>
      </c>
    </row>
    <row r="720" spans="1:11">
      <c r="A720" s="570" t="str">
        <f t="shared" si="11"/>
        <v>19F18</v>
      </c>
      <c r="C720" t="s">
        <v>2359</v>
      </c>
      <c r="D720" t="s">
        <v>1834</v>
      </c>
      <c r="E720">
        <v>18</v>
      </c>
      <c r="F720">
        <v>2.0000000000000001E-4</v>
      </c>
      <c r="G720">
        <v>0</v>
      </c>
      <c r="H720" s="570">
        <v>0</v>
      </c>
      <c r="I720" s="570">
        <v>0</v>
      </c>
      <c r="J720" s="570">
        <v>0</v>
      </c>
      <c r="K720">
        <v>0</v>
      </c>
    </row>
    <row r="721" spans="1:11">
      <c r="A721" s="570" t="str">
        <f t="shared" si="11"/>
        <v>18F18</v>
      </c>
      <c r="C721" t="s">
        <v>2360</v>
      </c>
      <c r="D721" t="s">
        <v>1834</v>
      </c>
      <c r="E721">
        <v>18</v>
      </c>
      <c r="F721">
        <v>8.0000000000000004E-4</v>
      </c>
      <c r="G721">
        <v>-1.8E-3</v>
      </c>
      <c r="H721" s="570">
        <v>0</v>
      </c>
      <c r="I721" s="570">
        <v>0</v>
      </c>
      <c r="J721" s="570">
        <v>0</v>
      </c>
      <c r="K721">
        <v>-1.0000000000000001E-5</v>
      </c>
    </row>
    <row r="722" spans="1:11">
      <c r="A722" s="570" t="str">
        <f t="shared" si="11"/>
        <v>17F18</v>
      </c>
      <c r="C722" t="s">
        <v>2361</v>
      </c>
      <c r="D722" t="s">
        <v>1834</v>
      </c>
      <c r="E722">
        <v>18</v>
      </c>
      <c r="F722">
        <v>1.2999999999999999E-3</v>
      </c>
      <c r="G722">
        <v>-3.3999999999999998E-3</v>
      </c>
      <c r="H722" s="570">
        <v>0</v>
      </c>
      <c r="I722" s="570">
        <v>0</v>
      </c>
      <c r="J722" s="570">
        <v>0</v>
      </c>
      <c r="K722">
        <v>-1.0000000000000001E-5</v>
      </c>
    </row>
    <row r="723" spans="1:11">
      <c r="A723" s="570" t="str">
        <f t="shared" si="11"/>
        <v>16F18</v>
      </c>
      <c r="C723" t="s">
        <v>2362</v>
      </c>
      <c r="D723" t="s">
        <v>1834</v>
      </c>
      <c r="E723">
        <v>18</v>
      </c>
      <c r="F723">
        <v>1.5E-3</v>
      </c>
      <c r="G723">
        <v>-4.5999999999999999E-3</v>
      </c>
      <c r="H723" s="570">
        <v>0</v>
      </c>
      <c r="I723" s="570">
        <v>0</v>
      </c>
      <c r="J723" s="570">
        <v>0</v>
      </c>
      <c r="K723">
        <v>-1.0000000000000001E-5</v>
      </c>
    </row>
    <row r="724" spans="1:11">
      <c r="A724" s="570" t="str">
        <f t="shared" si="11"/>
        <v>15F18</v>
      </c>
      <c r="C724" t="s">
        <v>2363</v>
      </c>
      <c r="D724" t="s">
        <v>1834</v>
      </c>
      <c r="E724">
        <v>18</v>
      </c>
      <c r="F724">
        <v>1.2999999999999999E-3</v>
      </c>
      <c r="G724">
        <v>-5.1999999999999998E-3</v>
      </c>
      <c r="H724" s="570">
        <v>0</v>
      </c>
      <c r="I724" s="570">
        <v>0</v>
      </c>
      <c r="J724" s="570">
        <v>0</v>
      </c>
      <c r="K724">
        <v>-1.0000000000000001E-5</v>
      </c>
    </row>
    <row r="725" spans="1:11">
      <c r="A725" s="570" t="str">
        <f t="shared" si="11"/>
        <v>14F18</v>
      </c>
      <c r="C725" t="s">
        <v>2364</v>
      </c>
      <c r="D725" t="s">
        <v>1834</v>
      </c>
      <c r="E725">
        <v>18</v>
      </c>
      <c r="F725">
        <v>8.9999999999999998E-4</v>
      </c>
      <c r="G725">
        <v>-5.3E-3</v>
      </c>
      <c r="H725" s="570">
        <v>0</v>
      </c>
      <c r="I725" s="570">
        <v>0</v>
      </c>
      <c r="J725" s="570">
        <v>0</v>
      </c>
      <c r="K725">
        <v>-1.0000000000000001E-5</v>
      </c>
    </row>
    <row r="726" spans="1:11">
      <c r="A726" s="570" t="str">
        <f t="shared" si="11"/>
        <v>13F18</v>
      </c>
      <c r="C726" t="s">
        <v>2365</v>
      </c>
      <c r="D726" t="s">
        <v>1834</v>
      </c>
      <c r="E726">
        <v>18</v>
      </c>
      <c r="F726">
        <v>2.9999999999999997E-4</v>
      </c>
      <c r="G726">
        <v>-4.7000000000000002E-3</v>
      </c>
      <c r="H726" s="570">
        <v>0</v>
      </c>
      <c r="I726" s="570">
        <v>0</v>
      </c>
      <c r="J726" s="570">
        <v>0</v>
      </c>
      <c r="K726">
        <v>0</v>
      </c>
    </row>
    <row r="727" spans="1:11">
      <c r="A727" s="570" t="str">
        <f t="shared" si="11"/>
        <v>12F18</v>
      </c>
      <c r="C727" t="s">
        <v>2366</v>
      </c>
      <c r="D727" t="s">
        <v>1834</v>
      </c>
      <c r="E727">
        <v>18</v>
      </c>
      <c r="F727">
        <v>-4.0000000000000002E-4</v>
      </c>
      <c r="G727">
        <v>-3.5999999999999999E-3</v>
      </c>
      <c r="H727" s="570">
        <v>0</v>
      </c>
      <c r="I727" s="570">
        <v>0</v>
      </c>
      <c r="J727" s="570">
        <v>0</v>
      </c>
      <c r="K727">
        <v>1.0000000000000001E-5</v>
      </c>
    </row>
    <row r="728" spans="1:11">
      <c r="A728" s="570" t="str">
        <f t="shared" si="11"/>
        <v>11F18</v>
      </c>
      <c r="C728" t="s">
        <v>2367</v>
      </c>
      <c r="D728" t="s">
        <v>1834</v>
      </c>
      <c r="E728">
        <v>18</v>
      </c>
      <c r="F728">
        <v>-8.9999999999999998E-4</v>
      </c>
      <c r="G728">
        <v>-2E-3</v>
      </c>
      <c r="H728" s="570">
        <v>0</v>
      </c>
      <c r="I728" s="570">
        <v>0</v>
      </c>
      <c r="J728" s="570">
        <v>0</v>
      </c>
      <c r="K728">
        <v>1.0000000000000001E-5</v>
      </c>
    </row>
    <row r="729" spans="1:11">
      <c r="A729" s="570" t="str">
        <f t="shared" si="11"/>
        <v>10F18</v>
      </c>
      <c r="C729" t="s">
        <v>2368</v>
      </c>
      <c r="D729" t="s">
        <v>1834</v>
      </c>
      <c r="E729">
        <v>18</v>
      </c>
      <c r="F729">
        <v>-1.1999999999999999E-3</v>
      </c>
      <c r="G729">
        <v>-2.0000000000000001E-4</v>
      </c>
      <c r="H729" s="570">
        <v>0</v>
      </c>
      <c r="I729" s="570">
        <v>0</v>
      </c>
      <c r="J729" s="570">
        <v>0</v>
      </c>
      <c r="K729">
        <v>1.0000000000000001E-5</v>
      </c>
    </row>
    <row r="730" spans="1:11">
      <c r="A730" s="570" t="str">
        <f t="shared" si="11"/>
        <v>9F18</v>
      </c>
      <c r="C730" t="s">
        <v>2369</v>
      </c>
      <c r="D730" t="s">
        <v>1834</v>
      </c>
      <c r="E730">
        <v>18</v>
      </c>
      <c r="F730">
        <v>-1.1999999999999999E-3</v>
      </c>
      <c r="G730">
        <v>1.6000000000000001E-3</v>
      </c>
      <c r="H730" s="570">
        <v>0</v>
      </c>
      <c r="I730" s="570">
        <v>0</v>
      </c>
      <c r="J730" s="570">
        <v>0</v>
      </c>
      <c r="K730">
        <v>1.0000000000000001E-5</v>
      </c>
    </row>
    <row r="731" spans="1:11">
      <c r="A731" s="570" t="str">
        <f t="shared" si="11"/>
        <v>8F18</v>
      </c>
      <c r="C731" t="s">
        <v>2370</v>
      </c>
      <c r="D731" t="s">
        <v>1834</v>
      </c>
      <c r="E731">
        <v>18</v>
      </c>
      <c r="F731">
        <v>-8.9999999999999998E-4</v>
      </c>
      <c r="G731">
        <v>3.2000000000000002E-3</v>
      </c>
      <c r="H731" s="570">
        <v>0</v>
      </c>
      <c r="I731" s="570">
        <v>0</v>
      </c>
      <c r="J731" s="570">
        <v>0</v>
      </c>
      <c r="K731">
        <v>1.0000000000000001E-5</v>
      </c>
    </row>
    <row r="732" spans="1:11">
      <c r="A732" s="570" t="str">
        <f t="shared" si="11"/>
        <v>7F18</v>
      </c>
      <c r="C732" t="s">
        <v>2371</v>
      </c>
      <c r="D732" t="s">
        <v>1834</v>
      </c>
      <c r="E732">
        <v>18</v>
      </c>
      <c r="F732">
        <v>-5.0000000000000001E-4</v>
      </c>
      <c r="G732">
        <v>4.4999999999999997E-3</v>
      </c>
      <c r="H732" s="570">
        <v>0</v>
      </c>
      <c r="I732" s="570">
        <v>0</v>
      </c>
      <c r="J732" s="570">
        <v>0</v>
      </c>
      <c r="K732">
        <v>0</v>
      </c>
    </row>
    <row r="733" spans="1:11">
      <c r="A733" s="570" t="str">
        <f t="shared" si="11"/>
        <v>6F18</v>
      </c>
      <c r="C733" t="s">
        <v>2372</v>
      </c>
      <c r="D733" t="s">
        <v>1834</v>
      </c>
      <c r="E733">
        <v>18</v>
      </c>
      <c r="F733">
        <v>0</v>
      </c>
      <c r="G733">
        <v>5.3E-3</v>
      </c>
      <c r="H733" s="570">
        <v>0</v>
      </c>
      <c r="I733" s="570">
        <v>0</v>
      </c>
      <c r="J733" s="570">
        <v>0</v>
      </c>
      <c r="K733">
        <v>-1.0000000000000001E-5</v>
      </c>
    </row>
    <row r="734" spans="1:11">
      <c r="A734" s="570" t="str">
        <f t="shared" si="11"/>
        <v>5F18</v>
      </c>
      <c r="C734" t="s">
        <v>2373</v>
      </c>
      <c r="D734" t="s">
        <v>1834</v>
      </c>
      <c r="E734">
        <v>18</v>
      </c>
      <c r="F734">
        <v>5.0000000000000001E-4</v>
      </c>
      <c r="G734">
        <v>5.5999999999999999E-3</v>
      </c>
      <c r="H734" s="570">
        <v>0</v>
      </c>
      <c r="I734" s="570">
        <v>0</v>
      </c>
      <c r="J734" s="570">
        <v>0</v>
      </c>
      <c r="K734">
        <v>-1.0000000000000001E-5</v>
      </c>
    </row>
    <row r="735" spans="1:11">
      <c r="A735" s="570" t="str">
        <f t="shared" si="11"/>
        <v>4F18</v>
      </c>
      <c r="C735" t="s">
        <v>2374</v>
      </c>
      <c r="D735" t="s">
        <v>1834</v>
      </c>
      <c r="E735">
        <v>18</v>
      </c>
      <c r="F735">
        <v>8.9999999999999998E-4</v>
      </c>
      <c r="G735">
        <v>5.3E-3</v>
      </c>
      <c r="H735" s="570">
        <v>0</v>
      </c>
      <c r="I735" s="570">
        <v>0</v>
      </c>
      <c r="J735" s="570">
        <v>0</v>
      </c>
      <c r="K735">
        <v>-1.0000000000000001E-5</v>
      </c>
    </row>
    <row r="736" spans="1:11">
      <c r="A736" s="570" t="str">
        <f t="shared" si="11"/>
        <v>3F18</v>
      </c>
      <c r="C736" t="s">
        <v>2375</v>
      </c>
      <c r="D736" t="s">
        <v>1834</v>
      </c>
      <c r="E736">
        <v>18</v>
      </c>
      <c r="F736">
        <v>1E-3</v>
      </c>
      <c r="G736">
        <v>4.4999999999999997E-3</v>
      </c>
      <c r="H736" s="570">
        <v>0</v>
      </c>
      <c r="I736" s="570">
        <v>0</v>
      </c>
      <c r="J736" s="570">
        <v>0</v>
      </c>
      <c r="K736">
        <v>-1.0000000000000001E-5</v>
      </c>
    </row>
    <row r="737" spans="1:11">
      <c r="A737" s="570" t="str">
        <f t="shared" si="11"/>
        <v>2F18</v>
      </c>
      <c r="C737" t="s">
        <v>2376</v>
      </c>
      <c r="D737" t="s">
        <v>1834</v>
      </c>
      <c r="E737">
        <v>18</v>
      </c>
      <c r="F737">
        <v>8.9999999999999998E-4</v>
      </c>
      <c r="G737">
        <v>3.2000000000000002E-3</v>
      </c>
      <c r="H737" s="570">
        <v>0</v>
      </c>
      <c r="I737" s="570">
        <v>0</v>
      </c>
      <c r="J737" s="570">
        <v>0</v>
      </c>
      <c r="K737">
        <v>-1.0000000000000001E-5</v>
      </c>
    </row>
    <row r="738" spans="1:11">
      <c r="A738" s="570" t="str">
        <f t="shared" si="11"/>
        <v>1F18</v>
      </c>
      <c r="C738" t="s">
        <v>2377</v>
      </c>
      <c r="D738" t="s">
        <v>1834</v>
      </c>
      <c r="E738">
        <v>18</v>
      </c>
      <c r="F738">
        <v>5.0000000000000001E-4</v>
      </c>
      <c r="G738">
        <v>1.4E-3</v>
      </c>
      <c r="H738" s="570">
        <v>0</v>
      </c>
      <c r="I738" s="570">
        <v>0</v>
      </c>
      <c r="J738" s="570">
        <v>0</v>
      </c>
      <c r="K738">
        <v>0</v>
      </c>
    </row>
    <row r="739" spans="1:11">
      <c r="A739" s="570" t="str">
        <f t="shared" si="11"/>
        <v>B118</v>
      </c>
      <c r="C739" t="s">
        <v>2327</v>
      </c>
      <c r="D739" t="s">
        <v>1834</v>
      </c>
      <c r="E739">
        <v>18</v>
      </c>
      <c r="F739">
        <v>0</v>
      </c>
      <c r="G739">
        <v>0</v>
      </c>
      <c r="H739" s="570">
        <v>0</v>
      </c>
      <c r="I739" s="570">
        <v>0</v>
      </c>
      <c r="J739" s="570">
        <v>0</v>
      </c>
      <c r="K739">
        <v>0</v>
      </c>
    </row>
    <row r="740" spans="1:11">
      <c r="A740" s="570" t="str">
        <f t="shared" si="11"/>
        <v>MAI19</v>
      </c>
      <c r="C740" t="s">
        <v>2270</v>
      </c>
      <c r="D740" t="s">
        <v>1834</v>
      </c>
      <c r="E740">
        <v>19</v>
      </c>
      <c r="F740">
        <v>2.7000000000000001E-3</v>
      </c>
      <c r="G740">
        <v>-6.9999999999999999E-4</v>
      </c>
      <c r="H740" s="570">
        <v>0</v>
      </c>
      <c r="I740" s="570">
        <v>0</v>
      </c>
      <c r="J740" s="570">
        <v>0</v>
      </c>
      <c r="K740">
        <v>4.0999999999999999E-4</v>
      </c>
    </row>
    <row r="741" spans="1:11">
      <c r="A741" s="570" t="str">
        <f t="shared" si="11"/>
        <v>TUM19</v>
      </c>
      <c r="C741" t="s">
        <v>2271</v>
      </c>
      <c r="D741" t="s">
        <v>1834</v>
      </c>
      <c r="E741">
        <v>19</v>
      </c>
      <c r="F741">
        <v>1.4E-3</v>
      </c>
      <c r="G741">
        <v>-2.9999999999999997E-4</v>
      </c>
      <c r="H741" s="570">
        <v>0</v>
      </c>
      <c r="I741" s="570">
        <v>0</v>
      </c>
      <c r="J741" s="570">
        <v>0</v>
      </c>
      <c r="K741">
        <v>2.4000000000000001E-4</v>
      </c>
    </row>
    <row r="742" spans="1:11">
      <c r="A742" s="570" t="str">
        <f t="shared" si="11"/>
        <v>38F19</v>
      </c>
      <c r="C742" t="s">
        <v>2340</v>
      </c>
      <c r="D742" t="s">
        <v>1834</v>
      </c>
      <c r="E742">
        <v>19</v>
      </c>
      <c r="F742">
        <v>5.0000000000000001E-4</v>
      </c>
      <c r="G742">
        <v>-1E-4</v>
      </c>
      <c r="H742" s="570">
        <v>0</v>
      </c>
      <c r="I742" s="570">
        <v>0</v>
      </c>
      <c r="J742" s="570">
        <v>0</v>
      </c>
      <c r="K742">
        <v>1E-4</v>
      </c>
    </row>
    <row r="743" spans="1:11">
      <c r="A743" s="570" t="str">
        <f t="shared" si="11"/>
        <v>37F19</v>
      </c>
      <c r="C743" t="s">
        <v>2341</v>
      </c>
      <c r="D743" t="s">
        <v>1834</v>
      </c>
      <c r="E743">
        <v>19</v>
      </c>
      <c r="F743">
        <v>-2.9999999999999997E-4</v>
      </c>
      <c r="G743">
        <v>0</v>
      </c>
      <c r="H743" s="570">
        <v>0</v>
      </c>
      <c r="I743" s="570">
        <v>0</v>
      </c>
      <c r="J743" s="570">
        <v>0</v>
      </c>
      <c r="K743">
        <v>-4.0000000000000003E-5</v>
      </c>
    </row>
    <row r="744" spans="1:11">
      <c r="A744" s="570" t="str">
        <f t="shared" si="11"/>
        <v>36F19</v>
      </c>
      <c r="C744" t="s">
        <v>2342</v>
      </c>
      <c r="D744" t="s">
        <v>1834</v>
      </c>
      <c r="E744">
        <v>19</v>
      </c>
      <c r="F744">
        <v>-1E-3</v>
      </c>
      <c r="G744">
        <v>1E-4</v>
      </c>
      <c r="H744" s="570">
        <v>0</v>
      </c>
      <c r="I744" s="570">
        <v>0</v>
      </c>
      <c r="J744" s="570">
        <v>0</v>
      </c>
      <c r="K744">
        <v>-1.4999999999999999E-4</v>
      </c>
    </row>
    <row r="745" spans="1:11">
      <c r="A745" s="570" t="str">
        <f t="shared" si="11"/>
        <v>35F19</v>
      </c>
      <c r="C745" t="s">
        <v>2343</v>
      </c>
      <c r="D745" t="s">
        <v>1834</v>
      </c>
      <c r="E745">
        <v>19</v>
      </c>
      <c r="F745">
        <v>-1.5E-3</v>
      </c>
      <c r="G745">
        <v>2.0000000000000001E-4</v>
      </c>
      <c r="H745" s="570">
        <v>0</v>
      </c>
      <c r="I745" s="570">
        <v>0</v>
      </c>
      <c r="J745" s="570">
        <v>0</v>
      </c>
      <c r="K745">
        <v>-2.1000000000000001E-4</v>
      </c>
    </row>
    <row r="746" spans="1:11">
      <c r="A746" s="570" t="str">
        <f t="shared" si="11"/>
        <v>34F19</v>
      </c>
      <c r="C746" t="s">
        <v>2344</v>
      </c>
      <c r="D746" t="s">
        <v>1834</v>
      </c>
      <c r="E746">
        <v>19</v>
      </c>
      <c r="F746">
        <v>-1.6000000000000001E-3</v>
      </c>
      <c r="G746">
        <v>2.0000000000000001E-4</v>
      </c>
      <c r="H746" s="570">
        <v>0</v>
      </c>
      <c r="I746" s="570">
        <v>0</v>
      </c>
      <c r="J746" s="570">
        <v>0</v>
      </c>
      <c r="K746">
        <v>-2.2000000000000001E-4</v>
      </c>
    </row>
    <row r="747" spans="1:11">
      <c r="A747" s="570" t="str">
        <f t="shared" si="11"/>
        <v>33F19</v>
      </c>
      <c r="C747" t="s">
        <v>2345</v>
      </c>
      <c r="D747" t="s">
        <v>1834</v>
      </c>
      <c r="E747">
        <v>19</v>
      </c>
      <c r="F747">
        <v>-1.4E-3</v>
      </c>
      <c r="G747">
        <v>2.0000000000000001E-4</v>
      </c>
      <c r="H747" s="570">
        <v>0</v>
      </c>
      <c r="I747" s="570">
        <v>0</v>
      </c>
      <c r="J747" s="570">
        <v>0</v>
      </c>
      <c r="K747">
        <v>-1.7000000000000001E-4</v>
      </c>
    </row>
    <row r="748" spans="1:11">
      <c r="A748" s="570" t="str">
        <f t="shared" si="11"/>
        <v>32F19</v>
      </c>
      <c r="C748" t="s">
        <v>2346</v>
      </c>
      <c r="D748" t="s">
        <v>1834</v>
      </c>
      <c r="E748">
        <v>19</v>
      </c>
      <c r="F748">
        <v>-8.0000000000000004E-4</v>
      </c>
      <c r="G748">
        <v>2.0000000000000001E-4</v>
      </c>
      <c r="H748" s="570">
        <v>0</v>
      </c>
      <c r="I748" s="570">
        <v>0</v>
      </c>
      <c r="J748" s="570">
        <v>0</v>
      </c>
      <c r="K748">
        <v>-8.0000000000000007E-5</v>
      </c>
    </row>
    <row r="749" spans="1:11">
      <c r="A749" s="570" t="str">
        <f t="shared" si="11"/>
        <v>31F19</v>
      </c>
      <c r="C749" t="s">
        <v>2347</v>
      </c>
      <c r="D749" t="s">
        <v>1834</v>
      </c>
      <c r="E749">
        <v>19</v>
      </c>
      <c r="F749">
        <v>1E-4</v>
      </c>
      <c r="G749">
        <v>1E-4</v>
      </c>
      <c r="H749" s="570">
        <v>0</v>
      </c>
      <c r="I749" s="570">
        <v>0</v>
      </c>
      <c r="J749" s="570">
        <v>0</v>
      </c>
      <c r="K749">
        <v>4.0000000000000003E-5</v>
      </c>
    </row>
    <row r="750" spans="1:11">
      <c r="A750" s="570" t="str">
        <f t="shared" si="11"/>
        <v>30F19</v>
      </c>
      <c r="C750" t="s">
        <v>2348</v>
      </c>
      <c r="D750" t="s">
        <v>1834</v>
      </c>
      <c r="E750">
        <v>19</v>
      </c>
      <c r="F750">
        <v>1E-3</v>
      </c>
      <c r="G750">
        <v>0</v>
      </c>
      <c r="H750" s="570">
        <v>0</v>
      </c>
      <c r="I750" s="570">
        <v>0</v>
      </c>
      <c r="J750" s="570">
        <v>0</v>
      </c>
      <c r="K750">
        <v>1.3999999999999999E-4</v>
      </c>
    </row>
    <row r="751" spans="1:11">
      <c r="A751" s="570" t="str">
        <f t="shared" si="11"/>
        <v>29F19</v>
      </c>
      <c r="C751" t="s">
        <v>2349</v>
      </c>
      <c r="D751" t="s">
        <v>1834</v>
      </c>
      <c r="E751">
        <v>19</v>
      </c>
      <c r="F751">
        <v>1.8E-3</v>
      </c>
      <c r="G751">
        <v>0</v>
      </c>
      <c r="H751" s="570">
        <v>0</v>
      </c>
      <c r="I751" s="570">
        <v>0</v>
      </c>
      <c r="J751" s="570">
        <v>0</v>
      </c>
      <c r="K751">
        <v>2.1000000000000001E-4</v>
      </c>
    </row>
    <row r="752" spans="1:11">
      <c r="A752" s="570" t="str">
        <f t="shared" si="11"/>
        <v>28F19</v>
      </c>
      <c r="C752" t="s">
        <v>2350</v>
      </c>
      <c r="D752" t="s">
        <v>1834</v>
      </c>
      <c r="E752">
        <v>19</v>
      </c>
      <c r="F752">
        <v>2E-3</v>
      </c>
      <c r="G752">
        <v>0</v>
      </c>
      <c r="H752" s="570">
        <v>0</v>
      </c>
      <c r="I752" s="570">
        <v>0</v>
      </c>
      <c r="J752" s="570">
        <v>0</v>
      </c>
      <c r="K752">
        <v>2.3000000000000001E-4</v>
      </c>
    </row>
    <row r="753" spans="1:11">
      <c r="A753" s="570" t="str">
        <f t="shared" si="11"/>
        <v>27F19</v>
      </c>
      <c r="C753" t="s">
        <v>2351</v>
      </c>
      <c r="D753" t="s">
        <v>1834</v>
      </c>
      <c r="E753">
        <v>19</v>
      </c>
      <c r="F753">
        <v>1.8E-3</v>
      </c>
      <c r="G753">
        <v>-1E-4</v>
      </c>
      <c r="H753" s="570">
        <v>0</v>
      </c>
      <c r="I753" s="570">
        <v>0</v>
      </c>
      <c r="J753" s="570">
        <v>0</v>
      </c>
      <c r="K753">
        <v>1.9000000000000001E-4</v>
      </c>
    </row>
    <row r="754" spans="1:11">
      <c r="A754" s="570" t="str">
        <f t="shared" si="11"/>
        <v>26F19</v>
      </c>
      <c r="C754" t="s">
        <v>2352</v>
      </c>
      <c r="D754" t="s">
        <v>1834</v>
      </c>
      <c r="E754">
        <v>19</v>
      </c>
      <c r="F754">
        <v>1E-3</v>
      </c>
      <c r="G754">
        <v>-1E-4</v>
      </c>
      <c r="H754" s="570">
        <v>0</v>
      </c>
      <c r="I754" s="570">
        <v>0</v>
      </c>
      <c r="J754" s="570">
        <v>0</v>
      </c>
      <c r="K754">
        <v>1.1E-4</v>
      </c>
    </row>
    <row r="755" spans="1:11">
      <c r="A755" s="570" t="str">
        <f t="shared" si="11"/>
        <v>25F19</v>
      </c>
      <c r="C755" t="s">
        <v>2353</v>
      </c>
      <c r="D755" t="s">
        <v>1834</v>
      </c>
      <c r="E755">
        <v>19</v>
      </c>
      <c r="F755">
        <v>0</v>
      </c>
      <c r="G755">
        <v>-1E-4</v>
      </c>
      <c r="H755" s="570">
        <v>0</v>
      </c>
      <c r="I755" s="570">
        <v>0</v>
      </c>
      <c r="J755" s="570">
        <v>0</v>
      </c>
      <c r="K755">
        <v>0</v>
      </c>
    </row>
    <row r="756" spans="1:11">
      <c r="A756" s="570" t="str">
        <f t="shared" si="11"/>
        <v>24F19</v>
      </c>
      <c r="C756" t="s">
        <v>2354</v>
      </c>
      <c r="D756" t="s">
        <v>1834</v>
      </c>
      <c r="E756">
        <v>19</v>
      </c>
      <c r="F756">
        <v>-1.1000000000000001E-3</v>
      </c>
      <c r="G756">
        <v>-1E-4</v>
      </c>
      <c r="H756" s="570">
        <v>0</v>
      </c>
      <c r="I756" s="570">
        <v>0</v>
      </c>
      <c r="J756" s="570">
        <v>0</v>
      </c>
      <c r="K756">
        <v>-1.1E-4</v>
      </c>
    </row>
    <row r="757" spans="1:11">
      <c r="A757" s="570" t="str">
        <f t="shared" si="11"/>
        <v>23F19</v>
      </c>
      <c r="C757" t="s">
        <v>2355</v>
      </c>
      <c r="D757" t="s">
        <v>1834</v>
      </c>
      <c r="E757">
        <v>19</v>
      </c>
      <c r="F757">
        <v>-1.8E-3</v>
      </c>
      <c r="G757">
        <v>-1E-4</v>
      </c>
      <c r="H757" s="570">
        <v>0</v>
      </c>
      <c r="I757" s="570">
        <v>0</v>
      </c>
      <c r="J757" s="570">
        <v>0</v>
      </c>
      <c r="K757">
        <v>-1.9000000000000001E-4</v>
      </c>
    </row>
    <row r="758" spans="1:11">
      <c r="A758" s="570" t="str">
        <f t="shared" si="11"/>
        <v>22F19</v>
      </c>
      <c r="C758" t="s">
        <v>2356</v>
      </c>
      <c r="D758" t="s">
        <v>1834</v>
      </c>
      <c r="E758">
        <v>19</v>
      </c>
      <c r="F758">
        <v>-2E-3</v>
      </c>
      <c r="G758">
        <v>-2.0000000000000001E-4</v>
      </c>
      <c r="H758" s="570">
        <v>0</v>
      </c>
      <c r="I758" s="570">
        <v>0</v>
      </c>
      <c r="J758" s="570">
        <v>0</v>
      </c>
      <c r="K758">
        <v>-2.3000000000000001E-4</v>
      </c>
    </row>
    <row r="759" spans="1:11">
      <c r="A759" s="570" t="str">
        <f t="shared" si="11"/>
        <v>21F19</v>
      </c>
      <c r="C759" t="s">
        <v>2357</v>
      </c>
      <c r="D759" t="s">
        <v>1834</v>
      </c>
      <c r="E759">
        <v>19</v>
      </c>
      <c r="F759">
        <v>-1.6999999999999999E-3</v>
      </c>
      <c r="G759">
        <v>-2.0000000000000001E-4</v>
      </c>
      <c r="H759" s="570">
        <v>0</v>
      </c>
      <c r="I759" s="570">
        <v>0</v>
      </c>
      <c r="J759" s="570">
        <v>0</v>
      </c>
      <c r="K759">
        <v>-2.1000000000000001E-4</v>
      </c>
    </row>
    <row r="760" spans="1:11">
      <c r="A760" s="570" t="str">
        <f t="shared" si="11"/>
        <v>20F19</v>
      </c>
      <c r="C760" t="s">
        <v>2358</v>
      </c>
      <c r="D760" t="s">
        <v>1834</v>
      </c>
      <c r="E760">
        <v>19</v>
      </c>
      <c r="F760">
        <v>-8.9999999999999998E-4</v>
      </c>
      <c r="G760">
        <v>-2.0000000000000001E-4</v>
      </c>
      <c r="H760" s="570">
        <v>0</v>
      </c>
      <c r="I760" s="570">
        <v>0</v>
      </c>
      <c r="J760" s="570">
        <v>0</v>
      </c>
      <c r="K760">
        <v>-1.3999999999999999E-4</v>
      </c>
    </row>
    <row r="761" spans="1:11">
      <c r="A761" s="570" t="str">
        <f t="shared" si="11"/>
        <v>19F19</v>
      </c>
      <c r="C761" t="s">
        <v>2359</v>
      </c>
      <c r="D761" t="s">
        <v>1834</v>
      </c>
      <c r="E761">
        <v>19</v>
      </c>
      <c r="F761">
        <v>0</v>
      </c>
      <c r="G761">
        <v>0</v>
      </c>
      <c r="H761" s="570">
        <v>0</v>
      </c>
      <c r="I761" s="570">
        <v>0</v>
      </c>
      <c r="J761" s="570">
        <v>0</v>
      </c>
      <c r="K761">
        <v>-4.0000000000000003E-5</v>
      </c>
    </row>
    <row r="762" spans="1:11">
      <c r="A762" s="570" t="str">
        <f t="shared" si="11"/>
        <v>18F19</v>
      </c>
      <c r="C762" t="s">
        <v>2360</v>
      </c>
      <c r="D762" t="s">
        <v>1834</v>
      </c>
      <c r="E762">
        <v>19</v>
      </c>
      <c r="F762">
        <v>8.0000000000000004E-4</v>
      </c>
      <c r="G762">
        <v>0</v>
      </c>
      <c r="H762" s="570">
        <v>0</v>
      </c>
      <c r="I762" s="570">
        <v>0</v>
      </c>
      <c r="J762" s="570">
        <v>0</v>
      </c>
      <c r="K762">
        <v>8.0000000000000007E-5</v>
      </c>
    </row>
    <row r="763" spans="1:11">
      <c r="A763" s="570" t="str">
        <f t="shared" si="11"/>
        <v>17F19</v>
      </c>
      <c r="C763" t="s">
        <v>2361</v>
      </c>
      <c r="D763" t="s">
        <v>1834</v>
      </c>
      <c r="E763">
        <v>19</v>
      </c>
      <c r="F763">
        <v>1.4E-3</v>
      </c>
      <c r="G763">
        <v>1E-4</v>
      </c>
      <c r="H763" s="570">
        <v>0</v>
      </c>
      <c r="I763" s="570">
        <v>0</v>
      </c>
      <c r="J763" s="570">
        <v>0</v>
      </c>
      <c r="K763">
        <v>1.7000000000000001E-4</v>
      </c>
    </row>
    <row r="764" spans="1:11">
      <c r="A764" s="570" t="str">
        <f t="shared" si="11"/>
        <v>16F19</v>
      </c>
      <c r="C764" t="s">
        <v>2362</v>
      </c>
      <c r="D764" t="s">
        <v>1834</v>
      </c>
      <c r="E764">
        <v>19</v>
      </c>
      <c r="F764">
        <v>1.6999999999999999E-3</v>
      </c>
      <c r="G764">
        <v>2.0000000000000001E-4</v>
      </c>
      <c r="H764" s="570">
        <v>0</v>
      </c>
      <c r="I764" s="570">
        <v>0</v>
      </c>
      <c r="J764" s="570">
        <v>0</v>
      </c>
      <c r="K764">
        <v>2.3000000000000001E-4</v>
      </c>
    </row>
    <row r="765" spans="1:11">
      <c r="A765" s="570" t="str">
        <f t="shared" si="11"/>
        <v>15F19</v>
      </c>
      <c r="C765" t="s">
        <v>2363</v>
      </c>
      <c r="D765" t="s">
        <v>1834</v>
      </c>
      <c r="E765">
        <v>19</v>
      </c>
      <c r="F765">
        <v>1.6000000000000001E-3</v>
      </c>
      <c r="G765">
        <v>2.0000000000000001E-4</v>
      </c>
      <c r="H765" s="570">
        <v>0</v>
      </c>
      <c r="I765" s="570">
        <v>0</v>
      </c>
      <c r="J765" s="570">
        <v>0</v>
      </c>
      <c r="K765">
        <v>2.3000000000000001E-4</v>
      </c>
    </row>
    <row r="766" spans="1:11">
      <c r="A766" s="570" t="str">
        <f t="shared" si="11"/>
        <v>14F19</v>
      </c>
      <c r="C766" t="s">
        <v>2364</v>
      </c>
      <c r="D766" t="s">
        <v>1834</v>
      </c>
      <c r="E766">
        <v>19</v>
      </c>
      <c r="F766">
        <v>1.1999999999999999E-3</v>
      </c>
      <c r="G766">
        <v>2.0000000000000001E-4</v>
      </c>
      <c r="H766" s="570">
        <v>0</v>
      </c>
      <c r="I766" s="570">
        <v>0</v>
      </c>
      <c r="J766" s="570">
        <v>0</v>
      </c>
      <c r="K766">
        <v>1.7000000000000001E-4</v>
      </c>
    </row>
    <row r="767" spans="1:11">
      <c r="A767" s="570" t="str">
        <f t="shared" si="11"/>
        <v>13F19</v>
      </c>
      <c r="C767" t="s">
        <v>2365</v>
      </c>
      <c r="D767" t="s">
        <v>1834</v>
      </c>
      <c r="E767">
        <v>19</v>
      </c>
      <c r="F767">
        <v>5.9999999999999995E-4</v>
      </c>
      <c r="G767">
        <v>2.0000000000000001E-4</v>
      </c>
      <c r="H767" s="570">
        <v>0</v>
      </c>
      <c r="I767" s="570">
        <v>0</v>
      </c>
      <c r="J767" s="570">
        <v>0</v>
      </c>
      <c r="K767">
        <v>8.0000000000000007E-5</v>
      </c>
    </row>
    <row r="768" spans="1:11">
      <c r="A768" s="570" t="str">
        <f t="shared" si="11"/>
        <v>12F19</v>
      </c>
      <c r="C768" t="s">
        <v>2366</v>
      </c>
      <c r="D768" t="s">
        <v>1834</v>
      </c>
      <c r="E768">
        <v>19</v>
      </c>
      <c r="F768">
        <v>-1E-4</v>
      </c>
      <c r="G768">
        <v>1E-4</v>
      </c>
      <c r="H768" s="570">
        <v>0</v>
      </c>
      <c r="I768" s="570">
        <v>0</v>
      </c>
      <c r="J768" s="570">
        <v>0</v>
      </c>
      <c r="K768">
        <v>-3.0000000000000001E-5</v>
      </c>
    </row>
    <row r="769" spans="1:11">
      <c r="A769" s="570" t="str">
        <f t="shared" si="11"/>
        <v>11F19</v>
      </c>
      <c r="C769" t="s">
        <v>2367</v>
      </c>
      <c r="D769" t="s">
        <v>1834</v>
      </c>
      <c r="E769">
        <v>19</v>
      </c>
      <c r="F769">
        <v>-8.9999999999999998E-4</v>
      </c>
      <c r="G769">
        <v>0</v>
      </c>
      <c r="H769" s="570">
        <v>0</v>
      </c>
      <c r="I769" s="570">
        <v>0</v>
      </c>
      <c r="J769" s="570">
        <v>0</v>
      </c>
      <c r="K769">
        <v>-1.2999999999999999E-4</v>
      </c>
    </row>
    <row r="770" spans="1:11">
      <c r="A770" s="570" t="str">
        <f t="shared" ref="A770:A833" si="12">C770&amp;E770</f>
        <v>10F19</v>
      </c>
      <c r="C770" t="s">
        <v>2368</v>
      </c>
      <c r="D770" t="s">
        <v>1834</v>
      </c>
      <c r="E770">
        <v>19</v>
      </c>
      <c r="F770">
        <v>-1.5E-3</v>
      </c>
      <c r="G770">
        <v>-1E-4</v>
      </c>
      <c r="H770" s="570">
        <v>0</v>
      </c>
      <c r="I770" s="570">
        <v>0</v>
      </c>
      <c r="J770" s="570">
        <v>0</v>
      </c>
      <c r="K770">
        <v>-2.0000000000000001E-4</v>
      </c>
    </row>
    <row r="771" spans="1:11">
      <c r="A771" s="570" t="str">
        <f t="shared" si="12"/>
        <v>9F19</v>
      </c>
      <c r="C771" t="s">
        <v>2369</v>
      </c>
      <c r="D771" t="s">
        <v>1834</v>
      </c>
      <c r="E771">
        <v>19</v>
      </c>
      <c r="F771">
        <v>-1.8E-3</v>
      </c>
      <c r="G771">
        <v>-1E-4</v>
      </c>
      <c r="H771" s="570">
        <v>0</v>
      </c>
      <c r="I771" s="570">
        <v>0</v>
      </c>
      <c r="J771" s="570">
        <v>0</v>
      </c>
      <c r="K771">
        <v>-2.2000000000000001E-4</v>
      </c>
    </row>
    <row r="772" spans="1:11">
      <c r="A772" s="570" t="str">
        <f t="shared" si="12"/>
        <v>8F19</v>
      </c>
      <c r="C772" t="s">
        <v>2370</v>
      </c>
      <c r="D772" t="s">
        <v>1834</v>
      </c>
      <c r="E772">
        <v>19</v>
      </c>
      <c r="F772">
        <v>-1.6000000000000001E-3</v>
      </c>
      <c r="G772">
        <v>-1E-4</v>
      </c>
      <c r="H772" s="570">
        <v>0</v>
      </c>
      <c r="I772" s="570">
        <v>0</v>
      </c>
      <c r="J772" s="570">
        <v>0</v>
      </c>
      <c r="K772">
        <v>-1.9000000000000001E-4</v>
      </c>
    </row>
    <row r="773" spans="1:11">
      <c r="A773" s="570" t="str">
        <f t="shared" si="12"/>
        <v>7F19</v>
      </c>
      <c r="C773" t="s">
        <v>2371</v>
      </c>
      <c r="D773" t="s">
        <v>1834</v>
      </c>
      <c r="E773">
        <v>19</v>
      </c>
      <c r="F773">
        <v>-1E-3</v>
      </c>
      <c r="G773">
        <v>-1E-4</v>
      </c>
      <c r="H773" s="570">
        <v>0</v>
      </c>
      <c r="I773" s="570">
        <v>0</v>
      </c>
      <c r="J773" s="570">
        <v>0</v>
      </c>
      <c r="K773">
        <v>-1.2E-4</v>
      </c>
    </row>
    <row r="774" spans="1:11">
      <c r="A774" s="570" t="str">
        <f t="shared" si="12"/>
        <v>6F19</v>
      </c>
      <c r="C774" t="s">
        <v>2372</v>
      </c>
      <c r="D774" t="s">
        <v>1834</v>
      </c>
      <c r="E774">
        <v>19</v>
      </c>
      <c r="F774">
        <v>-1E-4</v>
      </c>
      <c r="G774">
        <v>-2.0000000000000001E-4</v>
      </c>
      <c r="H774" s="570">
        <v>0</v>
      </c>
      <c r="I774" s="570">
        <v>0</v>
      </c>
      <c r="J774" s="570">
        <v>0</v>
      </c>
      <c r="K774">
        <v>-2.0000000000000002E-5</v>
      </c>
    </row>
    <row r="775" spans="1:11">
      <c r="A775" s="570" t="str">
        <f t="shared" si="12"/>
        <v>5F19</v>
      </c>
      <c r="C775" t="s">
        <v>2373</v>
      </c>
      <c r="D775" t="s">
        <v>1834</v>
      </c>
      <c r="E775">
        <v>19</v>
      </c>
      <c r="F775">
        <v>8.0000000000000004E-4</v>
      </c>
      <c r="G775">
        <v>-2.0000000000000001E-4</v>
      </c>
      <c r="H775" s="570">
        <v>0</v>
      </c>
      <c r="I775" s="570">
        <v>0</v>
      </c>
      <c r="J775" s="570">
        <v>0</v>
      </c>
      <c r="K775">
        <v>8.0000000000000007E-5</v>
      </c>
    </row>
    <row r="776" spans="1:11">
      <c r="A776" s="570" t="str">
        <f t="shared" si="12"/>
        <v>4F19</v>
      </c>
      <c r="C776" t="s">
        <v>2374</v>
      </c>
      <c r="D776" t="s">
        <v>1834</v>
      </c>
      <c r="E776">
        <v>19</v>
      </c>
      <c r="F776">
        <v>1.4E-3</v>
      </c>
      <c r="G776">
        <v>-2.0000000000000001E-4</v>
      </c>
      <c r="H776" s="570">
        <v>0</v>
      </c>
      <c r="I776" s="570">
        <v>0</v>
      </c>
      <c r="J776" s="570">
        <v>0</v>
      </c>
      <c r="K776">
        <v>1.6000000000000001E-4</v>
      </c>
    </row>
    <row r="777" spans="1:11">
      <c r="A777" s="570" t="str">
        <f t="shared" si="12"/>
        <v>3F19</v>
      </c>
      <c r="C777" t="s">
        <v>2375</v>
      </c>
      <c r="D777" t="s">
        <v>1834</v>
      </c>
      <c r="E777">
        <v>19</v>
      </c>
      <c r="F777">
        <v>1.6999999999999999E-3</v>
      </c>
      <c r="G777">
        <v>-1E-4</v>
      </c>
      <c r="H777" s="570">
        <v>0</v>
      </c>
      <c r="I777" s="570">
        <v>0</v>
      </c>
      <c r="J777" s="570">
        <v>0</v>
      </c>
      <c r="K777">
        <v>2.1000000000000001E-4</v>
      </c>
    </row>
    <row r="778" spans="1:11">
      <c r="A778" s="570" t="str">
        <f t="shared" si="12"/>
        <v>2F19</v>
      </c>
      <c r="C778" t="s">
        <v>2376</v>
      </c>
      <c r="D778" t="s">
        <v>1834</v>
      </c>
      <c r="E778">
        <v>19</v>
      </c>
      <c r="F778">
        <v>1.6999999999999999E-3</v>
      </c>
      <c r="G778">
        <v>0</v>
      </c>
      <c r="H778" s="570">
        <v>0</v>
      </c>
      <c r="I778" s="570">
        <v>0</v>
      </c>
      <c r="J778" s="570">
        <v>0</v>
      </c>
      <c r="K778">
        <v>2.1000000000000001E-4</v>
      </c>
    </row>
    <row r="779" spans="1:11">
      <c r="A779" s="570" t="str">
        <f t="shared" si="12"/>
        <v>1F19</v>
      </c>
      <c r="C779" t="s">
        <v>2377</v>
      </c>
      <c r="D779" t="s">
        <v>1834</v>
      </c>
      <c r="E779">
        <v>19</v>
      </c>
      <c r="F779">
        <v>1.5E-3</v>
      </c>
      <c r="G779">
        <v>4.0000000000000002E-4</v>
      </c>
      <c r="H779" s="570">
        <v>0</v>
      </c>
      <c r="I779" s="570">
        <v>0</v>
      </c>
      <c r="J779" s="570">
        <v>0</v>
      </c>
      <c r="K779">
        <v>1.2999999999999999E-4</v>
      </c>
    </row>
    <row r="780" spans="1:11">
      <c r="A780" s="570" t="str">
        <f t="shared" si="12"/>
        <v>B119</v>
      </c>
      <c r="C780" t="s">
        <v>2327</v>
      </c>
      <c r="D780" t="s">
        <v>1834</v>
      </c>
      <c r="E780">
        <v>19</v>
      </c>
      <c r="F780">
        <v>0</v>
      </c>
      <c r="G780">
        <v>0</v>
      </c>
      <c r="H780" s="570">
        <v>0</v>
      </c>
      <c r="I780" s="570">
        <v>0</v>
      </c>
      <c r="J780" s="570">
        <v>0</v>
      </c>
      <c r="K780">
        <v>0</v>
      </c>
    </row>
    <row r="781" spans="1:11">
      <c r="A781" s="570" t="str">
        <f t="shared" si="12"/>
        <v>MAI20</v>
      </c>
      <c r="C781" t="s">
        <v>2270</v>
      </c>
      <c r="D781" t="s">
        <v>1834</v>
      </c>
      <c r="E781">
        <v>20</v>
      </c>
      <c r="F781">
        <v>9.1999999999999998E-3</v>
      </c>
      <c r="G781">
        <v>2.0000000000000001E-4</v>
      </c>
      <c r="H781" s="570">
        <v>0</v>
      </c>
      <c r="I781" s="570">
        <v>0</v>
      </c>
      <c r="J781" s="570">
        <v>0</v>
      </c>
      <c r="K781">
        <v>-2.4000000000000001E-4</v>
      </c>
    </row>
    <row r="782" spans="1:11">
      <c r="A782" s="570" t="str">
        <f t="shared" si="12"/>
        <v>TUM20</v>
      </c>
      <c r="C782" t="s">
        <v>2271</v>
      </c>
      <c r="D782" t="s">
        <v>1834</v>
      </c>
      <c r="E782">
        <v>20</v>
      </c>
      <c r="F782">
        <v>3.7000000000000002E-3</v>
      </c>
      <c r="G782">
        <v>-1E-4</v>
      </c>
      <c r="H782" s="570">
        <v>0</v>
      </c>
      <c r="I782" s="570">
        <v>0</v>
      </c>
      <c r="J782" s="570">
        <v>0</v>
      </c>
      <c r="K782">
        <v>-8.0000000000000007E-5</v>
      </c>
    </row>
    <row r="783" spans="1:11">
      <c r="A783" s="570" t="str">
        <f t="shared" si="12"/>
        <v>38F20</v>
      </c>
      <c r="C783" t="s">
        <v>2340</v>
      </c>
      <c r="D783" t="s">
        <v>1834</v>
      </c>
      <c r="E783">
        <v>20</v>
      </c>
      <c r="F783">
        <v>5.9999999999999995E-4</v>
      </c>
      <c r="G783">
        <v>-1E-4</v>
      </c>
      <c r="H783" s="570">
        <v>0</v>
      </c>
      <c r="I783" s="570">
        <v>0</v>
      </c>
      <c r="J783" s="570">
        <v>0</v>
      </c>
      <c r="K783">
        <v>-2.0000000000000002E-5</v>
      </c>
    </row>
    <row r="784" spans="1:11">
      <c r="A784" s="570" t="str">
        <f t="shared" si="12"/>
        <v>37F20</v>
      </c>
      <c r="C784" t="s">
        <v>2341</v>
      </c>
      <c r="D784" t="s">
        <v>1834</v>
      </c>
      <c r="E784">
        <v>20</v>
      </c>
      <c r="F784">
        <v>-2.3E-3</v>
      </c>
      <c r="G784">
        <v>0</v>
      </c>
      <c r="H784" s="570">
        <v>0</v>
      </c>
      <c r="I784" s="570">
        <v>0</v>
      </c>
      <c r="J784" s="570">
        <v>0</v>
      </c>
      <c r="K784">
        <v>3.0000000000000001E-5</v>
      </c>
    </row>
    <row r="785" spans="1:11">
      <c r="A785" s="570" t="str">
        <f t="shared" si="12"/>
        <v>36F20</v>
      </c>
      <c r="C785" t="s">
        <v>2342</v>
      </c>
      <c r="D785" t="s">
        <v>1834</v>
      </c>
      <c r="E785">
        <v>20</v>
      </c>
      <c r="F785">
        <v>-4.1000000000000003E-3</v>
      </c>
      <c r="G785">
        <v>0</v>
      </c>
      <c r="H785" s="570">
        <v>0</v>
      </c>
      <c r="I785" s="570">
        <v>0</v>
      </c>
      <c r="J785" s="570">
        <v>0</v>
      </c>
      <c r="K785">
        <v>6.9999999999999994E-5</v>
      </c>
    </row>
    <row r="786" spans="1:11">
      <c r="A786" s="570" t="str">
        <f t="shared" si="12"/>
        <v>35F20</v>
      </c>
      <c r="C786" t="s">
        <v>2343</v>
      </c>
      <c r="D786" t="s">
        <v>1834</v>
      </c>
      <c r="E786">
        <v>20</v>
      </c>
      <c r="F786">
        <v>-4.4999999999999997E-3</v>
      </c>
      <c r="G786">
        <v>1E-4</v>
      </c>
      <c r="H786" s="570">
        <v>0</v>
      </c>
      <c r="I786" s="570">
        <v>0</v>
      </c>
      <c r="J786" s="570">
        <v>0</v>
      </c>
      <c r="K786">
        <v>8.0000000000000007E-5</v>
      </c>
    </row>
    <row r="787" spans="1:11">
      <c r="A787" s="570" t="str">
        <f t="shared" si="12"/>
        <v>34F20</v>
      </c>
      <c r="C787" t="s">
        <v>2344</v>
      </c>
      <c r="D787" t="s">
        <v>1834</v>
      </c>
      <c r="E787">
        <v>20</v>
      </c>
      <c r="F787">
        <v>-3.3E-3</v>
      </c>
      <c r="G787">
        <v>1E-4</v>
      </c>
      <c r="H787" s="570">
        <v>0</v>
      </c>
      <c r="I787" s="570">
        <v>0</v>
      </c>
      <c r="J787" s="570">
        <v>0</v>
      </c>
      <c r="K787">
        <v>6.0000000000000002E-5</v>
      </c>
    </row>
    <row r="788" spans="1:11">
      <c r="A788" s="570" t="str">
        <f t="shared" si="12"/>
        <v>33F20</v>
      </c>
      <c r="C788" t="s">
        <v>2345</v>
      </c>
      <c r="D788" t="s">
        <v>1834</v>
      </c>
      <c r="E788">
        <v>20</v>
      </c>
      <c r="F788">
        <v>-1E-3</v>
      </c>
      <c r="G788">
        <v>2.0000000000000001E-4</v>
      </c>
      <c r="H788" s="570">
        <v>0</v>
      </c>
      <c r="I788" s="570">
        <v>0</v>
      </c>
      <c r="J788" s="570">
        <v>0</v>
      </c>
      <c r="K788">
        <v>3.0000000000000001E-5</v>
      </c>
    </row>
    <row r="789" spans="1:11">
      <c r="A789" s="570" t="str">
        <f t="shared" si="12"/>
        <v>32F20</v>
      </c>
      <c r="C789" t="s">
        <v>2346</v>
      </c>
      <c r="D789" t="s">
        <v>1834</v>
      </c>
      <c r="E789">
        <v>20</v>
      </c>
      <c r="F789">
        <v>1.6999999999999999E-3</v>
      </c>
      <c r="G789">
        <v>2.0000000000000001E-4</v>
      </c>
      <c r="H789" s="570">
        <v>0</v>
      </c>
      <c r="I789" s="570">
        <v>0</v>
      </c>
      <c r="J789" s="570">
        <v>0</v>
      </c>
      <c r="K789">
        <v>-2.0000000000000002E-5</v>
      </c>
    </row>
    <row r="790" spans="1:11">
      <c r="A790" s="570" t="str">
        <f t="shared" si="12"/>
        <v>31F20</v>
      </c>
      <c r="C790" t="s">
        <v>2347</v>
      </c>
      <c r="D790" t="s">
        <v>1834</v>
      </c>
      <c r="E790">
        <v>20</v>
      </c>
      <c r="F790">
        <v>3.8999999999999998E-3</v>
      </c>
      <c r="G790">
        <v>2.0000000000000001E-4</v>
      </c>
      <c r="H790" s="570">
        <v>0</v>
      </c>
      <c r="I790" s="570">
        <v>0</v>
      </c>
      <c r="J790" s="570">
        <v>0</v>
      </c>
      <c r="K790">
        <v>-6.0000000000000002E-5</v>
      </c>
    </row>
    <row r="791" spans="1:11">
      <c r="A791" s="570" t="str">
        <f t="shared" si="12"/>
        <v>30F20</v>
      </c>
      <c r="C791" t="s">
        <v>2348</v>
      </c>
      <c r="D791" t="s">
        <v>1834</v>
      </c>
      <c r="E791">
        <v>20</v>
      </c>
      <c r="F791">
        <v>4.8999999999999998E-3</v>
      </c>
      <c r="G791">
        <v>1E-4</v>
      </c>
      <c r="H791" s="570">
        <v>0</v>
      </c>
      <c r="I791" s="570">
        <v>0</v>
      </c>
      <c r="J791" s="570">
        <v>0</v>
      </c>
      <c r="K791">
        <v>-8.0000000000000007E-5</v>
      </c>
    </row>
    <row r="792" spans="1:11">
      <c r="A792" s="570" t="str">
        <f t="shared" si="12"/>
        <v>29F20</v>
      </c>
      <c r="C792" t="s">
        <v>2349</v>
      </c>
      <c r="D792" t="s">
        <v>1834</v>
      </c>
      <c r="E792">
        <v>20</v>
      </c>
      <c r="F792">
        <v>4.4000000000000003E-3</v>
      </c>
      <c r="G792">
        <v>0</v>
      </c>
      <c r="H792" s="570">
        <v>0</v>
      </c>
      <c r="I792" s="570">
        <v>0</v>
      </c>
      <c r="J792" s="570">
        <v>0</v>
      </c>
      <c r="K792">
        <v>-8.0000000000000007E-5</v>
      </c>
    </row>
    <row r="793" spans="1:11">
      <c r="A793" s="570" t="str">
        <f t="shared" si="12"/>
        <v>28F20</v>
      </c>
      <c r="C793" t="s">
        <v>2350</v>
      </c>
      <c r="D793" t="s">
        <v>1834</v>
      </c>
      <c r="E793">
        <v>20</v>
      </c>
      <c r="F793">
        <v>2.3999999999999998E-3</v>
      </c>
      <c r="G793">
        <v>-1E-4</v>
      </c>
      <c r="H793" s="570">
        <v>0</v>
      </c>
      <c r="I793" s="570">
        <v>0</v>
      </c>
      <c r="J793" s="570">
        <v>0</v>
      </c>
      <c r="K793">
        <v>-4.0000000000000003E-5</v>
      </c>
    </row>
    <row r="794" spans="1:11">
      <c r="A794" s="570" t="str">
        <f t="shared" si="12"/>
        <v>27F20</v>
      </c>
      <c r="C794" t="s">
        <v>2351</v>
      </c>
      <c r="D794" t="s">
        <v>1834</v>
      </c>
      <c r="E794">
        <v>20</v>
      </c>
      <c r="F794">
        <v>-2.9999999999999997E-4</v>
      </c>
      <c r="G794">
        <v>-2.0000000000000001E-4</v>
      </c>
      <c r="H794" s="570">
        <v>0</v>
      </c>
      <c r="I794" s="570">
        <v>0</v>
      </c>
      <c r="J794" s="570">
        <v>0</v>
      </c>
      <c r="K794">
        <v>0</v>
      </c>
    </row>
    <row r="795" spans="1:11">
      <c r="A795" s="570" t="str">
        <f t="shared" si="12"/>
        <v>26F20</v>
      </c>
      <c r="C795" t="s">
        <v>2352</v>
      </c>
      <c r="D795" t="s">
        <v>1834</v>
      </c>
      <c r="E795">
        <v>20</v>
      </c>
      <c r="F795">
        <v>-3.0000000000000001E-3</v>
      </c>
      <c r="G795">
        <v>-2.0000000000000001E-4</v>
      </c>
      <c r="H795" s="570">
        <v>0</v>
      </c>
      <c r="I795" s="570">
        <v>0</v>
      </c>
      <c r="J795" s="570">
        <v>0</v>
      </c>
      <c r="K795">
        <v>5.0000000000000002E-5</v>
      </c>
    </row>
    <row r="796" spans="1:11">
      <c r="A796" s="570" t="str">
        <f t="shared" si="12"/>
        <v>25F20</v>
      </c>
      <c r="C796" t="s">
        <v>2353</v>
      </c>
      <c r="D796" t="s">
        <v>1834</v>
      </c>
      <c r="E796">
        <v>20</v>
      </c>
      <c r="F796">
        <v>-4.7999999999999996E-3</v>
      </c>
      <c r="G796">
        <v>-2.9999999999999997E-4</v>
      </c>
      <c r="H796" s="570">
        <v>0</v>
      </c>
      <c r="I796" s="570">
        <v>0</v>
      </c>
      <c r="J796" s="570">
        <v>0</v>
      </c>
      <c r="K796">
        <v>8.0000000000000007E-5</v>
      </c>
    </row>
    <row r="797" spans="1:11">
      <c r="A797" s="570" t="str">
        <f t="shared" si="12"/>
        <v>24F20</v>
      </c>
      <c r="C797" t="s">
        <v>2354</v>
      </c>
      <c r="D797" t="s">
        <v>1834</v>
      </c>
      <c r="E797">
        <v>20</v>
      </c>
      <c r="F797">
        <v>-5.0000000000000001E-3</v>
      </c>
      <c r="G797">
        <v>-2.0000000000000001E-4</v>
      </c>
      <c r="H797" s="570">
        <v>0</v>
      </c>
      <c r="I797" s="570">
        <v>0</v>
      </c>
      <c r="J797" s="570">
        <v>0</v>
      </c>
      <c r="K797">
        <v>8.0000000000000007E-5</v>
      </c>
    </row>
    <row r="798" spans="1:11">
      <c r="A798" s="570" t="str">
        <f t="shared" si="12"/>
        <v>23F20</v>
      </c>
      <c r="C798" t="s">
        <v>2355</v>
      </c>
      <c r="D798" t="s">
        <v>1834</v>
      </c>
      <c r="E798">
        <v>20</v>
      </c>
      <c r="F798">
        <v>-3.5000000000000001E-3</v>
      </c>
      <c r="G798">
        <v>-2.0000000000000001E-4</v>
      </c>
      <c r="H798" s="570">
        <v>0</v>
      </c>
      <c r="I798" s="570">
        <v>0</v>
      </c>
      <c r="J798" s="570">
        <v>0</v>
      </c>
      <c r="K798">
        <v>6.0000000000000002E-5</v>
      </c>
    </row>
    <row r="799" spans="1:11">
      <c r="A799" s="570" t="str">
        <f t="shared" si="12"/>
        <v>22F20</v>
      </c>
      <c r="C799" t="s">
        <v>2356</v>
      </c>
      <c r="D799" t="s">
        <v>1834</v>
      </c>
      <c r="E799">
        <v>20</v>
      </c>
      <c r="F799">
        <v>-8.9999999999999998E-4</v>
      </c>
      <c r="G799">
        <v>-1E-4</v>
      </c>
      <c r="H799" s="570">
        <v>0</v>
      </c>
      <c r="I799" s="570">
        <v>0</v>
      </c>
      <c r="J799" s="570">
        <v>0</v>
      </c>
      <c r="K799">
        <v>2.0000000000000002E-5</v>
      </c>
    </row>
    <row r="800" spans="1:11">
      <c r="A800" s="570" t="str">
        <f t="shared" si="12"/>
        <v>21F20</v>
      </c>
      <c r="C800" t="s">
        <v>2357</v>
      </c>
      <c r="D800" t="s">
        <v>1834</v>
      </c>
      <c r="E800">
        <v>20</v>
      </c>
      <c r="F800">
        <v>2.0999999999999999E-3</v>
      </c>
      <c r="G800">
        <v>1E-4</v>
      </c>
      <c r="H800" s="570">
        <v>0</v>
      </c>
      <c r="I800" s="570">
        <v>0</v>
      </c>
      <c r="J800" s="570">
        <v>0</v>
      </c>
      <c r="K800">
        <v>-3.0000000000000001E-5</v>
      </c>
    </row>
    <row r="801" spans="1:11">
      <c r="A801" s="570" t="str">
        <f t="shared" si="12"/>
        <v>20F20</v>
      </c>
      <c r="C801" t="s">
        <v>2358</v>
      </c>
      <c r="D801" t="s">
        <v>1834</v>
      </c>
      <c r="E801">
        <v>20</v>
      </c>
      <c r="F801">
        <v>4.3E-3</v>
      </c>
      <c r="G801">
        <v>2.0000000000000001E-4</v>
      </c>
      <c r="H801" s="570">
        <v>0</v>
      </c>
      <c r="I801" s="570">
        <v>0</v>
      </c>
      <c r="J801" s="570">
        <v>0</v>
      </c>
      <c r="K801">
        <v>-6.9999999999999994E-5</v>
      </c>
    </row>
    <row r="802" spans="1:11">
      <c r="A802" s="570" t="str">
        <f t="shared" si="12"/>
        <v>19F20</v>
      </c>
      <c r="C802" t="s">
        <v>2359</v>
      </c>
      <c r="D802" t="s">
        <v>1834</v>
      </c>
      <c r="E802">
        <v>20</v>
      </c>
      <c r="F802">
        <v>5.1999999999999998E-3</v>
      </c>
      <c r="G802">
        <v>2.9999999999999997E-4</v>
      </c>
      <c r="H802" s="570">
        <v>0</v>
      </c>
      <c r="I802" s="570">
        <v>0</v>
      </c>
      <c r="J802" s="570">
        <v>0</v>
      </c>
      <c r="K802">
        <v>-8.0000000000000007E-5</v>
      </c>
    </row>
    <row r="803" spans="1:11">
      <c r="A803" s="570" t="str">
        <f t="shared" si="12"/>
        <v>18F20</v>
      </c>
      <c r="C803" t="s">
        <v>2360</v>
      </c>
      <c r="D803" t="s">
        <v>1834</v>
      </c>
      <c r="E803">
        <v>20</v>
      </c>
      <c r="F803">
        <v>4.4000000000000003E-3</v>
      </c>
      <c r="G803">
        <v>2.9999999999999997E-4</v>
      </c>
      <c r="H803" s="570">
        <v>0</v>
      </c>
      <c r="I803" s="570">
        <v>0</v>
      </c>
      <c r="J803" s="570">
        <v>0</v>
      </c>
      <c r="K803">
        <v>-6.9999999999999994E-5</v>
      </c>
    </row>
    <row r="804" spans="1:11">
      <c r="A804" s="570" t="str">
        <f t="shared" si="12"/>
        <v>17F20</v>
      </c>
      <c r="C804" t="s">
        <v>2361</v>
      </c>
      <c r="D804" t="s">
        <v>1834</v>
      </c>
      <c r="E804">
        <v>20</v>
      </c>
      <c r="F804">
        <v>2.2000000000000001E-3</v>
      </c>
      <c r="G804">
        <v>2.9999999999999997E-4</v>
      </c>
      <c r="H804" s="570">
        <v>0</v>
      </c>
      <c r="I804" s="570">
        <v>0</v>
      </c>
      <c r="J804" s="570">
        <v>0</v>
      </c>
      <c r="K804">
        <v>-3.0000000000000001E-5</v>
      </c>
    </row>
    <row r="805" spans="1:11">
      <c r="A805" s="570" t="str">
        <f t="shared" si="12"/>
        <v>16F20</v>
      </c>
      <c r="C805" t="s">
        <v>2362</v>
      </c>
      <c r="D805" t="s">
        <v>1834</v>
      </c>
      <c r="E805">
        <v>20</v>
      </c>
      <c r="F805">
        <v>-6.9999999999999999E-4</v>
      </c>
      <c r="G805">
        <v>2.0000000000000001E-4</v>
      </c>
      <c r="H805" s="570">
        <v>0</v>
      </c>
      <c r="I805" s="570">
        <v>0</v>
      </c>
      <c r="J805" s="570">
        <v>0</v>
      </c>
      <c r="K805">
        <v>1.0000000000000001E-5</v>
      </c>
    </row>
    <row r="806" spans="1:11">
      <c r="A806" s="570" t="str">
        <f t="shared" si="12"/>
        <v>15F20</v>
      </c>
      <c r="C806" t="s">
        <v>2363</v>
      </c>
      <c r="D806" t="s">
        <v>1834</v>
      </c>
      <c r="E806">
        <v>20</v>
      </c>
      <c r="F806">
        <v>-3.3999999999999998E-3</v>
      </c>
      <c r="G806">
        <v>0</v>
      </c>
      <c r="H806" s="570">
        <v>0</v>
      </c>
      <c r="I806" s="570">
        <v>0</v>
      </c>
      <c r="J806" s="570">
        <v>0</v>
      </c>
      <c r="K806">
        <v>5.0000000000000002E-5</v>
      </c>
    </row>
    <row r="807" spans="1:11">
      <c r="A807" s="570" t="str">
        <f t="shared" si="12"/>
        <v>14F20</v>
      </c>
      <c r="C807" t="s">
        <v>2364</v>
      </c>
      <c r="D807" t="s">
        <v>1834</v>
      </c>
      <c r="E807">
        <v>20</v>
      </c>
      <c r="F807">
        <v>-4.8999999999999998E-3</v>
      </c>
      <c r="G807">
        <v>-1E-4</v>
      </c>
      <c r="H807" s="570">
        <v>0</v>
      </c>
      <c r="I807" s="570">
        <v>0</v>
      </c>
      <c r="J807" s="570">
        <v>0</v>
      </c>
      <c r="K807">
        <v>8.0000000000000007E-5</v>
      </c>
    </row>
    <row r="808" spans="1:11">
      <c r="A808" s="570" t="str">
        <f t="shared" si="12"/>
        <v>13F20</v>
      </c>
      <c r="C808" t="s">
        <v>2365</v>
      </c>
      <c r="D808" t="s">
        <v>1834</v>
      </c>
      <c r="E808">
        <v>20</v>
      </c>
      <c r="F808">
        <v>-4.8999999999999998E-3</v>
      </c>
      <c r="G808">
        <v>-2.9999999999999997E-4</v>
      </c>
      <c r="H808" s="570">
        <v>0</v>
      </c>
      <c r="I808" s="570">
        <v>0</v>
      </c>
      <c r="J808" s="570">
        <v>0</v>
      </c>
      <c r="K808">
        <v>8.0000000000000007E-5</v>
      </c>
    </row>
    <row r="809" spans="1:11">
      <c r="A809" s="570" t="str">
        <f t="shared" si="12"/>
        <v>12F20</v>
      </c>
      <c r="C809" t="s">
        <v>2366</v>
      </c>
      <c r="D809" t="s">
        <v>1834</v>
      </c>
      <c r="E809">
        <v>20</v>
      </c>
      <c r="F809">
        <v>-3.3999999999999998E-3</v>
      </c>
      <c r="G809">
        <v>-2.9999999999999997E-4</v>
      </c>
      <c r="H809" s="570">
        <v>0</v>
      </c>
      <c r="I809" s="570">
        <v>0</v>
      </c>
      <c r="J809" s="570">
        <v>0</v>
      </c>
      <c r="K809">
        <v>5.0000000000000002E-5</v>
      </c>
    </row>
    <row r="810" spans="1:11">
      <c r="A810" s="570" t="str">
        <f t="shared" si="12"/>
        <v>11F20</v>
      </c>
      <c r="C810" t="s">
        <v>2367</v>
      </c>
      <c r="D810" t="s">
        <v>1834</v>
      </c>
      <c r="E810">
        <v>20</v>
      </c>
      <c r="F810">
        <v>-8.9999999999999998E-4</v>
      </c>
      <c r="G810">
        <v>-2.9999999999999997E-4</v>
      </c>
      <c r="H810" s="570">
        <v>0</v>
      </c>
      <c r="I810" s="570">
        <v>0</v>
      </c>
      <c r="J810" s="570">
        <v>0</v>
      </c>
      <c r="K810">
        <v>1.0000000000000001E-5</v>
      </c>
    </row>
    <row r="811" spans="1:11">
      <c r="A811" s="570" t="str">
        <f t="shared" si="12"/>
        <v>10F20</v>
      </c>
      <c r="C811" t="s">
        <v>2368</v>
      </c>
      <c r="D811" t="s">
        <v>1834</v>
      </c>
      <c r="E811">
        <v>20</v>
      </c>
      <c r="F811">
        <v>1.8E-3</v>
      </c>
      <c r="G811">
        <v>-1E-4</v>
      </c>
      <c r="H811" s="570">
        <v>0</v>
      </c>
      <c r="I811" s="570">
        <v>0</v>
      </c>
      <c r="J811" s="570">
        <v>0</v>
      </c>
      <c r="K811">
        <v>-3.0000000000000001E-5</v>
      </c>
    </row>
    <row r="812" spans="1:11">
      <c r="A812" s="570" t="str">
        <f t="shared" si="12"/>
        <v>9F20</v>
      </c>
      <c r="C812" t="s">
        <v>2369</v>
      </c>
      <c r="D812" t="s">
        <v>1834</v>
      </c>
      <c r="E812">
        <v>20</v>
      </c>
      <c r="F812">
        <v>3.8E-3</v>
      </c>
      <c r="G812">
        <v>0</v>
      </c>
      <c r="H812" s="570">
        <v>0</v>
      </c>
      <c r="I812" s="570">
        <v>0</v>
      </c>
      <c r="J812" s="570">
        <v>0</v>
      </c>
      <c r="K812">
        <v>-6.0000000000000002E-5</v>
      </c>
    </row>
    <row r="813" spans="1:11">
      <c r="A813" s="570" t="str">
        <f t="shared" si="12"/>
        <v>8F20</v>
      </c>
      <c r="C813" t="s">
        <v>2370</v>
      </c>
      <c r="D813" t="s">
        <v>1834</v>
      </c>
      <c r="E813">
        <v>20</v>
      </c>
      <c r="F813">
        <v>4.7000000000000002E-3</v>
      </c>
      <c r="G813">
        <v>2.0000000000000001E-4</v>
      </c>
      <c r="H813" s="570">
        <v>0</v>
      </c>
      <c r="I813" s="570">
        <v>0</v>
      </c>
      <c r="J813" s="570">
        <v>0</v>
      </c>
      <c r="K813">
        <v>-8.0000000000000007E-5</v>
      </c>
    </row>
    <row r="814" spans="1:11">
      <c r="A814" s="570" t="str">
        <f t="shared" si="12"/>
        <v>7F20</v>
      </c>
      <c r="C814" t="s">
        <v>2371</v>
      </c>
      <c r="D814" t="s">
        <v>1834</v>
      </c>
      <c r="E814">
        <v>20</v>
      </c>
      <c r="F814">
        <v>4.3E-3</v>
      </c>
      <c r="G814">
        <v>2.0000000000000001E-4</v>
      </c>
      <c r="H814" s="570">
        <v>0</v>
      </c>
      <c r="I814" s="570">
        <v>0</v>
      </c>
      <c r="J814" s="570">
        <v>0</v>
      </c>
      <c r="K814">
        <v>-6.9999999999999994E-5</v>
      </c>
    </row>
    <row r="815" spans="1:11">
      <c r="A815" s="570" t="str">
        <f t="shared" si="12"/>
        <v>6F20</v>
      </c>
      <c r="C815" t="s">
        <v>2372</v>
      </c>
      <c r="D815" t="s">
        <v>1834</v>
      </c>
      <c r="E815">
        <v>20</v>
      </c>
      <c r="F815">
        <v>2.5000000000000001E-3</v>
      </c>
      <c r="G815">
        <v>2.0000000000000001E-4</v>
      </c>
      <c r="H815" s="570">
        <v>0</v>
      </c>
      <c r="I815" s="570">
        <v>0</v>
      </c>
      <c r="J815" s="570">
        <v>0</v>
      </c>
      <c r="K815">
        <v>-4.0000000000000003E-5</v>
      </c>
    </row>
    <row r="816" spans="1:11">
      <c r="A816" s="570" t="str">
        <f t="shared" si="12"/>
        <v>5F20</v>
      </c>
      <c r="C816" t="s">
        <v>2373</v>
      </c>
      <c r="D816" t="s">
        <v>1834</v>
      </c>
      <c r="E816">
        <v>20</v>
      </c>
      <c r="F816">
        <v>0</v>
      </c>
      <c r="G816">
        <v>0</v>
      </c>
      <c r="H816" s="570">
        <v>0</v>
      </c>
      <c r="I816" s="570">
        <v>0</v>
      </c>
      <c r="J816" s="570">
        <v>0</v>
      </c>
      <c r="K816">
        <v>0</v>
      </c>
    </row>
    <row r="817" spans="1:11">
      <c r="A817" s="570" t="str">
        <f t="shared" si="12"/>
        <v>4F20</v>
      </c>
      <c r="C817" t="s">
        <v>2374</v>
      </c>
      <c r="D817" t="s">
        <v>1834</v>
      </c>
      <c r="E817">
        <v>20</v>
      </c>
      <c r="F817">
        <v>-2.5999999999999999E-3</v>
      </c>
      <c r="G817">
        <v>-1E-4</v>
      </c>
      <c r="H817" s="570">
        <v>0</v>
      </c>
      <c r="I817" s="570">
        <v>0</v>
      </c>
      <c r="J817" s="570">
        <v>0</v>
      </c>
      <c r="K817">
        <v>4.0000000000000003E-5</v>
      </c>
    </row>
    <row r="818" spans="1:11">
      <c r="A818" s="570" t="str">
        <f t="shared" si="12"/>
        <v>3F20</v>
      </c>
      <c r="C818" t="s">
        <v>2375</v>
      </c>
      <c r="D818" t="s">
        <v>1834</v>
      </c>
      <c r="E818">
        <v>20</v>
      </c>
      <c r="F818">
        <v>-4.4999999999999997E-3</v>
      </c>
      <c r="G818">
        <v>-1E-4</v>
      </c>
      <c r="H818" s="570">
        <v>0</v>
      </c>
      <c r="I818" s="570">
        <v>0</v>
      </c>
      <c r="J818" s="570">
        <v>0</v>
      </c>
      <c r="K818">
        <v>6.9999999999999994E-5</v>
      </c>
    </row>
    <row r="819" spans="1:11">
      <c r="A819" s="570" t="str">
        <f t="shared" si="12"/>
        <v>2F20</v>
      </c>
      <c r="C819" t="s">
        <v>2376</v>
      </c>
      <c r="D819" t="s">
        <v>1834</v>
      </c>
      <c r="E819">
        <v>20</v>
      </c>
      <c r="F819">
        <v>-5.0000000000000001E-3</v>
      </c>
      <c r="G819">
        <v>-1E-4</v>
      </c>
      <c r="H819" s="570">
        <v>0</v>
      </c>
      <c r="I819" s="570">
        <v>0</v>
      </c>
      <c r="J819" s="570">
        <v>0</v>
      </c>
      <c r="K819">
        <v>6.9999999999999994E-5</v>
      </c>
    </row>
    <row r="820" spans="1:11">
      <c r="A820" s="570" t="str">
        <f t="shared" si="12"/>
        <v>1F20</v>
      </c>
      <c r="C820" t="s">
        <v>2377</v>
      </c>
      <c r="D820" t="s">
        <v>1834</v>
      </c>
      <c r="E820">
        <v>20</v>
      </c>
      <c r="F820">
        <v>-3.3999999999999998E-3</v>
      </c>
      <c r="G820">
        <v>1E-4</v>
      </c>
      <c r="H820" s="570">
        <v>0</v>
      </c>
      <c r="I820" s="570">
        <v>0</v>
      </c>
      <c r="J820" s="570">
        <v>0</v>
      </c>
      <c r="K820">
        <v>5.0000000000000002E-5</v>
      </c>
    </row>
    <row r="821" spans="1:11">
      <c r="A821" s="570" t="str">
        <f t="shared" si="12"/>
        <v>B120</v>
      </c>
      <c r="C821" t="s">
        <v>2327</v>
      </c>
      <c r="D821" t="s">
        <v>1834</v>
      </c>
      <c r="E821">
        <v>20</v>
      </c>
      <c r="F821">
        <v>0</v>
      </c>
      <c r="G821">
        <v>0</v>
      </c>
      <c r="H821" s="570">
        <v>0</v>
      </c>
      <c r="I821" s="570">
        <v>0</v>
      </c>
      <c r="J821" s="570">
        <v>0</v>
      </c>
      <c r="K821">
        <v>0</v>
      </c>
    </row>
    <row r="822" spans="1:11">
      <c r="A822" s="570" t="str">
        <f t="shared" si="12"/>
        <v>MAI21</v>
      </c>
      <c r="C822" t="s">
        <v>2270</v>
      </c>
      <c r="D822" t="s">
        <v>1834</v>
      </c>
      <c r="E822">
        <v>21</v>
      </c>
      <c r="F822">
        <v>-1.2999999999999999E-3</v>
      </c>
      <c r="G822">
        <v>-5.0000000000000001E-3</v>
      </c>
      <c r="H822" s="570">
        <v>0</v>
      </c>
      <c r="I822" s="570">
        <v>0</v>
      </c>
      <c r="J822" s="570">
        <v>0</v>
      </c>
      <c r="K822">
        <v>-4.2000000000000002E-4</v>
      </c>
    </row>
    <row r="823" spans="1:11">
      <c r="A823" s="570" t="str">
        <f t="shared" si="12"/>
        <v>TUM21</v>
      </c>
      <c r="C823" t="s">
        <v>2271</v>
      </c>
      <c r="D823" t="s">
        <v>1834</v>
      </c>
      <c r="E823">
        <v>21</v>
      </c>
      <c r="F823">
        <v>-6.9999999999999999E-4</v>
      </c>
      <c r="G823">
        <v>-2.7000000000000001E-3</v>
      </c>
      <c r="H823" s="570">
        <v>0</v>
      </c>
      <c r="I823" s="570">
        <v>0</v>
      </c>
      <c r="J823" s="570">
        <v>0</v>
      </c>
      <c r="K823">
        <v>-2.3000000000000001E-4</v>
      </c>
    </row>
    <row r="824" spans="1:11">
      <c r="A824" s="570" t="str">
        <f t="shared" si="12"/>
        <v>38F21</v>
      </c>
      <c r="C824" t="s">
        <v>2340</v>
      </c>
      <c r="D824" t="s">
        <v>1834</v>
      </c>
      <c r="E824">
        <v>21</v>
      </c>
      <c r="F824">
        <v>-2.0000000000000001E-4</v>
      </c>
      <c r="G824">
        <v>-1.1999999999999999E-3</v>
      </c>
      <c r="H824" s="570">
        <v>0</v>
      </c>
      <c r="I824" s="570">
        <v>0</v>
      </c>
      <c r="J824" s="570">
        <v>0</v>
      </c>
      <c r="K824">
        <v>-6.9999999999999994E-5</v>
      </c>
    </row>
    <row r="825" spans="1:11">
      <c r="A825" s="570" t="str">
        <f t="shared" si="12"/>
        <v>37F21</v>
      </c>
      <c r="C825" t="s">
        <v>2341</v>
      </c>
      <c r="D825" t="s">
        <v>1834</v>
      </c>
      <c r="E825">
        <v>21</v>
      </c>
      <c r="F825">
        <v>2.0000000000000001E-4</v>
      </c>
      <c r="G825">
        <v>4.0000000000000002E-4</v>
      </c>
      <c r="H825" s="570">
        <v>0</v>
      </c>
      <c r="I825" s="570">
        <v>0</v>
      </c>
      <c r="J825" s="570">
        <v>0</v>
      </c>
      <c r="K825">
        <v>9.0000000000000006E-5</v>
      </c>
    </row>
    <row r="826" spans="1:11">
      <c r="A826" s="570" t="str">
        <f t="shared" si="12"/>
        <v>36F21</v>
      </c>
      <c r="C826" t="s">
        <v>2342</v>
      </c>
      <c r="D826" t="s">
        <v>1834</v>
      </c>
      <c r="E826">
        <v>21</v>
      </c>
      <c r="F826">
        <v>5.0000000000000001E-4</v>
      </c>
      <c r="G826">
        <v>1.6000000000000001E-3</v>
      </c>
      <c r="H826" s="570">
        <v>0</v>
      </c>
      <c r="I826" s="570">
        <v>0</v>
      </c>
      <c r="J826" s="570">
        <v>0</v>
      </c>
      <c r="K826">
        <v>1.9000000000000001E-4</v>
      </c>
    </row>
    <row r="827" spans="1:11">
      <c r="A827" s="570" t="str">
        <f t="shared" si="12"/>
        <v>35F21</v>
      </c>
      <c r="C827" t="s">
        <v>2343</v>
      </c>
      <c r="D827" t="s">
        <v>1834</v>
      </c>
      <c r="E827">
        <v>21</v>
      </c>
      <c r="F827">
        <v>8.0000000000000004E-4</v>
      </c>
      <c r="G827">
        <v>2.5000000000000001E-3</v>
      </c>
      <c r="H827" s="570">
        <v>0</v>
      </c>
      <c r="I827" s="570">
        <v>0</v>
      </c>
      <c r="J827" s="570">
        <v>0</v>
      </c>
      <c r="K827">
        <v>2.3000000000000001E-4</v>
      </c>
    </row>
    <row r="828" spans="1:11">
      <c r="A828" s="570" t="str">
        <f t="shared" si="12"/>
        <v>34F21</v>
      </c>
      <c r="C828" t="s">
        <v>2344</v>
      </c>
      <c r="D828" t="s">
        <v>1834</v>
      </c>
      <c r="E828">
        <v>21</v>
      </c>
      <c r="F828">
        <v>8.9999999999999998E-4</v>
      </c>
      <c r="G828">
        <v>2.7000000000000001E-3</v>
      </c>
      <c r="H828" s="570">
        <v>0</v>
      </c>
      <c r="I828" s="570">
        <v>0</v>
      </c>
      <c r="J828" s="570">
        <v>0</v>
      </c>
      <c r="K828">
        <v>1.8000000000000001E-4</v>
      </c>
    </row>
    <row r="829" spans="1:11">
      <c r="A829" s="570" t="str">
        <f t="shared" si="12"/>
        <v>33F21</v>
      </c>
      <c r="C829" t="s">
        <v>2345</v>
      </c>
      <c r="D829" t="s">
        <v>1834</v>
      </c>
      <c r="E829">
        <v>21</v>
      </c>
      <c r="F829">
        <v>6.9999999999999999E-4</v>
      </c>
      <c r="G829">
        <v>2.3999999999999998E-3</v>
      </c>
      <c r="H829" s="570">
        <v>0</v>
      </c>
      <c r="I829" s="570">
        <v>0</v>
      </c>
      <c r="J829" s="570">
        <v>0</v>
      </c>
      <c r="K829">
        <v>8.0000000000000007E-5</v>
      </c>
    </row>
    <row r="830" spans="1:11">
      <c r="A830" s="570" t="str">
        <f t="shared" si="12"/>
        <v>32F21</v>
      </c>
      <c r="C830" t="s">
        <v>2346</v>
      </c>
      <c r="D830" t="s">
        <v>1834</v>
      </c>
      <c r="E830">
        <v>21</v>
      </c>
      <c r="F830">
        <v>2.0000000000000001E-4</v>
      </c>
      <c r="G830">
        <v>1.6999999999999999E-3</v>
      </c>
      <c r="H830" s="570">
        <v>0</v>
      </c>
      <c r="I830" s="570">
        <v>0</v>
      </c>
      <c r="J830" s="570">
        <v>0</v>
      </c>
      <c r="K830">
        <v>-5.0000000000000002E-5</v>
      </c>
    </row>
    <row r="831" spans="1:11">
      <c r="A831" s="570" t="str">
        <f t="shared" si="12"/>
        <v>31F21</v>
      </c>
      <c r="C831" t="s">
        <v>2347</v>
      </c>
      <c r="D831" t="s">
        <v>1834</v>
      </c>
      <c r="E831">
        <v>21</v>
      </c>
      <c r="F831">
        <v>-4.0000000000000002E-4</v>
      </c>
      <c r="G831">
        <v>5.9999999999999995E-4</v>
      </c>
      <c r="H831" s="570">
        <v>0</v>
      </c>
      <c r="I831" s="570">
        <v>0</v>
      </c>
      <c r="J831" s="570">
        <v>0</v>
      </c>
      <c r="K831">
        <v>-1.6000000000000001E-4</v>
      </c>
    </row>
    <row r="832" spans="1:11">
      <c r="A832" s="570" t="str">
        <f t="shared" si="12"/>
        <v>30F21</v>
      </c>
      <c r="C832" t="s">
        <v>2348</v>
      </c>
      <c r="D832" t="s">
        <v>1834</v>
      </c>
      <c r="E832">
        <v>21</v>
      </c>
      <c r="F832">
        <v>-1.1000000000000001E-3</v>
      </c>
      <c r="G832">
        <v>-5.9999999999999995E-4</v>
      </c>
      <c r="H832" s="570">
        <v>0</v>
      </c>
      <c r="I832" s="570">
        <v>0</v>
      </c>
      <c r="J832" s="570">
        <v>0</v>
      </c>
      <c r="K832">
        <v>-2.2000000000000001E-4</v>
      </c>
    </row>
    <row r="833" spans="1:11">
      <c r="A833" s="570" t="str">
        <f t="shared" si="12"/>
        <v>29F21</v>
      </c>
      <c r="C833" t="s">
        <v>2349</v>
      </c>
      <c r="D833" t="s">
        <v>1834</v>
      </c>
      <c r="E833">
        <v>21</v>
      </c>
      <c r="F833">
        <v>-1.4E-3</v>
      </c>
      <c r="G833">
        <v>-1.6000000000000001E-3</v>
      </c>
      <c r="H833" s="570">
        <v>0</v>
      </c>
      <c r="I833" s="570">
        <v>0</v>
      </c>
      <c r="J833" s="570">
        <v>0</v>
      </c>
      <c r="K833">
        <v>-2.1000000000000001E-4</v>
      </c>
    </row>
    <row r="834" spans="1:11">
      <c r="A834" s="570" t="str">
        <f t="shared" ref="A834:A897" si="13">C834&amp;E834</f>
        <v>28F21</v>
      </c>
      <c r="C834" t="s">
        <v>2350</v>
      </c>
      <c r="D834" t="s">
        <v>1834</v>
      </c>
      <c r="E834">
        <v>21</v>
      </c>
      <c r="F834">
        <v>-1.2999999999999999E-3</v>
      </c>
      <c r="G834">
        <v>-2.3E-3</v>
      </c>
      <c r="H834" s="570">
        <v>0</v>
      </c>
      <c r="I834" s="570">
        <v>0</v>
      </c>
      <c r="J834" s="570">
        <v>0</v>
      </c>
      <c r="K834">
        <v>-1.3999999999999999E-4</v>
      </c>
    </row>
    <row r="835" spans="1:11">
      <c r="A835" s="570" t="str">
        <f t="shared" si="13"/>
        <v>27F21</v>
      </c>
      <c r="C835" t="s">
        <v>2351</v>
      </c>
      <c r="D835" t="s">
        <v>1834</v>
      </c>
      <c r="E835">
        <v>21</v>
      </c>
      <c r="F835">
        <v>-6.9999999999999999E-4</v>
      </c>
      <c r="G835">
        <v>-2.5000000000000001E-3</v>
      </c>
      <c r="H835" s="570">
        <v>0</v>
      </c>
      <c r="I835" s="570">
        <v>0</v>
      </c>
      <c r="J835" s="570">
        <v>0</v>
      </c>
      <c r="K835">
        <v>-2.0000000000000002E-5</v>
      </c>
    </row>
    <row r="836" spans="1:11">
      <c r="A836" s="570" t="str">
        <f t="shared" si="13"/>
        <v>26F21</v>
      </c>
      <c r="C836" t="s">
        <v>2352</v>
      </c>
      <c r="D836" t="s">
        <v>1834</v>
      </c>
      <c r="E836">
        <v>21</v>
      </c>
      <c r="F836">
        <v>2.0000000000000001E-4</v>
      </c>
      <c r="G836">
        <v>-2.3999999999999998E-3</v>
      </c>
      <c r="H836" s="570">
        <v>0</v>
      </c>
      <c r="I836" s="570">
        <v>0</v>
      </c>
      <c r="J836" s="570">
        <v>0</v>
      </c>
      <c r="K836">
        <v>1E-4</v>
      </c>
    </row>
    <row r="837" spans="1:11">
      <c r="A837" s="570" t="str">
        <f t="shared" si="13"/>
        <v>25F21</v>
      </c>
      <c r="C837" t="s">
        <v>2353</v>
      </c>
      <c r="D837" t="s">
        <v>1834</v>
      </c>
      <c r="E837">
        <v>21</v>
      </c>
      <c r="F837">
        <v>1.1999999999999999E-3</v>
      </c>
      <c r="G837">
        <v>-1.8E-3</v>
      </c>
      <c r="H837" s="570">
        <v>0</v>
      </c>
      <c r="I837" s="570">
        <v>0</v>
      </c>
      <c r="J837" s="570">
        <v>0</v>
      </c>
      <c r="K837">
        <v>1.9000000000000001E-4</v>
      </c>
    </row>
    <row r="838" spans="1:11">
      <c r="A838" s="570" t="str">
        <f t="shared" si="13"/>
        <v>24F21</v>
      </c>
      <c r="C838" t="s">
        <v>2354</v>
      </c>
      <c r="D838" t="s">
        <v>1834</v>
      </c>
      <c r="E838">
        <v>21</v>
      </c>
      <c r="F838">
        <v>1.8E-3</v>
      </c>
      <c r="G838">
        <v>-1E-3</v>
      </c>
      <c r="H838" s="570">
        <v>0</v>
      </c>
      <c r="I838" s="570">
        <v>0</v>
      </c>
      <c r="J838" s="570">
        <v>0</v>
      </c>
      <c r="K838">
        <v>2.1000000000000001E-4</v>
      </c>
    </row>
    <row r="839" spans="1:11">
      <c r="A839" s="570" t="str">
        <f t="shared" si="13"/>
        <v>23F21</v>
      </c>
      <c r="C839" t="s">
        <v>2355</v>
      </c>
      <c r="D839" t="s">
        <v>1834</v>
      </c>
      <c r="E839">
        <v>21</v>
      </c>
      <c r="F839">
        <v>1.9E-3</v>
      </c>
      <c r="G839">
        <v>-1E-4</v>
      </c>
      <c r="H839" s="570">
        <v>0</v>
      </c>
      <c r="I839" s="570">
        <v>0</v>
      </c>
      <c r="J839" s="570">
        <v>0</v>
      </c>
      <c r="K839">
        <v>1.7000000000000001E-4</v>
      </c>
    </row>
    <row r="840" spans="1:11">
      <c r="A840" s="570" t="str">
        <f t="shared" si="13"/>
        <v>22F21</v>
      </c>
      <c r="C840" t="s">
        <v>2356</v>
      </c>
      <c r="D840" t="s">
        <v>1834</v>
      </c>
      <c r="E840">
        <v>21</v>
      </c>
      <c r="F840">
        <v>1.1999999999999999E-3</v>
      </c>
      <c r="G840">
        <v>8.0000000000000004E-4</v>
      </c>
      <c r="H840" s="570">
        <v>0</v>
      </c>
      <c r="I840" s="570">
        <v>0</v>
      </c>
      <c r="J840" s="570">
        <v>0</v>
      </c>
      <c r="K840">
        <v>8.0000000000000007E-5</v>
      </c>
    </row>
    <row r="841" spans="1:11">
      <c r="A841" s="570" t="str">
        <f t="shared" si="13"/>
        <v>21F21</v>
      </c>
      <c r="C841" t="s">
        <v>2357</v>
      </c>
      <c r="D841" t="s">
        <v>1834</v>
      </c>
      <c r="E841">
        <v>21</v>
      </c>
      <c r="F841">
        <v>1E-4</v>
      </c>
      <c r="G841">
        <v>1.5E-3</v>
      </c>
      <c r="H841" s="570">
        <v>0</v>
      </c>
      <c r="I841" s="570">
        <v>0</v>
      </c>
      <c r="J841" s="570">
        <v>0</v>
      </c>
      <c r="K841">
        <v>-4.0000000000000003E-5</v>
      </c>
    </row>
    <row r="842" spans="1:11">
      <c r="A842" s="570" t="str">
        <f t="shared" si="13"/>
        <v>20F21</v>
      </c>
      <c r="C842" t="s">
        <v>2358</v>
      </c>
      <c r="D842" t="s">
        <v>1834</v>
      </c>
      <c r="E842">
        <v>21</v>
      </c>
      <c r="F842">
        <v>-1E-3</v>
      </c>
      <c r="G842">
        <v>2E-3</v>
      </c>
      <c r="H842" s="570">
        <v>0</v>
      </c>
      <c r="I842" s="570">
        <v>0</v>
      </c>
      <c r="J842" s="570">
        <v>0</v>
      </c>
      <c r="K842">
        <v>-1.2999999999999999E-4</v>
      </c>
    </row>
    <row r="843" spans="1:11">
      <c r="A843" s="570" t="str">
        <f t="shared" si="13"/>
        <v>19F21</v>
      </c>
      <c r="C843" t="s">
        <v>2359</v>
      </c>
      <c r="D843" t="s">
        <v>1834</v>
      </c>
      <c r="E843">
        <v>21</v>
      </c>
      <c r="F843">
        <v>-1.9E-3</v>
      </c>
      <c r="G843">
        <v>2.3E-3</v>
      </c>
      <c r="H843" s="570">
        <v>0</v>
      </c>
      <c r="I843" s="570">
        <v>0</v>
      </c>
      <c r="J843" s="570">
        <v>0</v>
      </c>
      <c r="K843">
        <v>-1.9000000000000001E-4</v>
      </c>
    </row>
    <row r="844" spans="1:11">
      <c r="A844" s="570" t="str">
        <f t="shared" si="13"/>
        <v>18F21</v>
      </c>
      <c r="C844" t="s">
        <v>2360</v>
      </c>
      <c r="D844" t="s">
        <v>1834</v>
      </c>
      <c r="E844">
        <v>21</v>
      </c>
      <c r="F844">
        <v>-2.0999999999999999E-3</v>
      </c>
      <c r="G844">
        <v>2.2000000000000001E-3</v>
      </c>
      <c r="H844" s="570">
        <v>0</v>
      </c>
      <c r="I844" s="570">
        <v>0</v>
      </c>
      <c r="J844" s="570">
        <v>0</v>
      </c>
      <c r="K844">
        <v>-1.9000000000000001E-4</v>
      </c>
    </row>
    <row r="845" spans="1:11">
      <c r="A845" s="570" t="str">
        <f t="shared" si="13"/>
        <v>17F21</v>
      </c>
      <c r="C845" t="s">
        <v>2361</v>
      </c>
      <c r="D845" t="s">
        <v>1834</v>
      </c>
      <c r="E845">
        <v>21</v>
      </c>
      <c r="F845">
        <v>-1.6000000000000001E-3</v>
      </c>
      <c r="G845">
        <v>1.6999999999999999E-3</v>
      </c>
      <c r="H845" s="570">
        <v>0</v>
      </c>
      <c r="I845" s="570">
        <v>0</v>
      </c>
      <c r="J845" s="570">
        <v>0</v>
      </c>
      <c r="K845">
        <v>-1.2999999999999999E-4</v>
      </c>
    </row>
    <row r="846" spans="1:11">
      <c r="A846" s="570" t="str">
        <f t="shared" si="13"/>
        <v>16F21</v>
      </c>
      <c r="C846" t="s">
        <v>2362</v>
      </c>
      <c r="D846" t="s">
        <v>1834</v>
      </c>
      <c r="E846">
        <v>21</v>
      </c>
      <c r="F846">
        <v>-5.9999999999999995E-4</v>
      </c>
      <c r="G846">
        <v>1E-3</v>
      </c>
      <c r="H846" s="570">
        <v>0</v>
      </c>
      <c r="I846" s="570">
        <v>0</v>
      </c>
      <c r="J846" s="570">
        <v>0</v>
      </c>
      <c r="K846">
        <v>-4.0000000000000003E-5</v>
      </c>
    </row>
    <row r="847" spans="1:11">
      <c r="A847" s="570" t="str">
        <f t="shared" si="13"/>
        <v>15F21</v>
      </c>
      <c r="C847" t="s">
        <v>2363</v>
      </c>
      <c r="D847" t="s">
        <v>1834</v>
      </c>
      <c r="E847">
        <v>21</v>
      </c>
      <c r="F847">
        <v>5.9999999999999995E-4</v>
      </c>
      <c r="G847">
        <v>0</v>
      </c>
      <c r="H847" s="570">
        <v>0</v>
      </c>
      <c r="I847" s="570">
        <v>0</v>
      </c>
      <c r="J847" s="570">
        <v>0</v>
      </c>
      <c r="K847">
        <v>6.0000000000000002E-5</v>
      </c>
    </row>
    <row r="848" spans="1:11">
      <c r="A848" s="570" t="str">
        <f t="shared" si="13"/>
        <v>14F21</v>
      </c>
      <c r="C848" t="s">
        <v>2364</v>
      </c>
      <c r="D848" t="s">
        <v>1834</v>
      </c>
      <c r="E848">
        <v>21</v>
      </c>
      <c r="F848">
        <v>1.4E-3</v>
      </c>
      <c r="G848">
        <v>-1E-3</v>
      </c>
      <c r="H848" s="570">
        <v>0</v>
      </c>
      <c r="I848" s="570">
        <v>0</v>
      </c>
      <c r="J848" s="570">
        <v>0</v>
      </c>
      <c r="K848">
        <v>1.4999999999999999E-4</v>
      </c>
    </row>
    <row r="849" spans="1:11">
      <c r="A849" s="570" t="str">
        <f t="shared" si="13"/>
        <v>13F21</v>
      </c>
      <c r="C849" t="s">
        <v>2365</v>
      </c>
      <c r="D849" t="s">
        <v>1834</v>
      </c>
      <c r="E849">
        <v>21</v>
      </c>
      <c r="F849">
        <v>1.8E-3</v>
      </c>
      <c r="G849">
        <v>-1.9E-3</v>
      </c>
      <c r="H849" s="570">
        <v>0</v>
      </c>
      <c r="I849" s="570">
        <v>0</v>
      </c>
      <c r="J849" s="570">
        <v>0</v>
      </c>
      <c r="K849">
        <v>1.8000000000000001E-4</v>
      </c>
    </row>
    <row r="850" spans="1:11">
      <c r="A850" s="570" t="str">
        <f t="shared" si="13"/>
        <v>12F21</v>
      </c>
      <c r="C850" t="s">
        <v>2366</v>
      </c>
      <c r="D850" t="s">
        <v>1834</v>
      </c>
      <c r="E850">
        <v>21</v>
      </c>
      <c r="F850">
        <v>1.6999999999999999E-3</v>
      </c>
      <c r="G850">
        <v>-2.5999999999999999E-3</v>
      </c>
      <c r="H850" s="570">
        <v>0</v>
      </c>
      <c r="I850" s="570">
        <v>0</v>
      </c>
      <c r="J850" s="570">
        <v>0</v>
      </c>
      <c r="K850">
        <v>1.7000000000000001E-4</v>
      </c>
    </row>
    <row r="851" spans="1:11">
      <c r="A851" s="570" t="str">
        <f t="shared" si="13"/>
        <v>11F21</v>
      </c>
      <c r="C851" t="s">
        <v>2367</v>
      </c>
      <c r="D851" t="s">
        <v>1834</v>
      </c>
      <c r="E851">
        <v>21</v>
      </c>
      <c r="F851">
        <v>1.1000000000000001E-3</v>
      </c>
      <c r="G851">
        <v>-2.7000000000000001E-3</v>
      </c>
      <c r="H851" s="570">
        <v>0</v>
      </c>
      <c r="I851" s="570">
        <v>0</v>
      </c>
      <c r="J851" s="570">
        <v>0</v>
      </c>
      <c r="K851">
        <v>1.1E-4</v>
      </c>
    </row>
    <row r="852" spans="1:11">
      <c r="A852" s="570" t="str">
        <f t="shared" si="13"/>
        <v>10F21</v>
      </c>
      <c r="C852" t="s">
        <v>2368</v>
      </c>
      <c r="D852" t="s">
        <v>1834</v>
      </c>
      <c r="E852">
        <v>21</v>
      </c>
      <c r="F852">
        <v>2.9999999999999997E-4</v>
      </c>
      <c r="G852">
        <v>-2.2000000000000001E-3</v>
      </c>
      <c r="H852" s="570">
        <v>0</v>
      </c>
      <c r="I852" s="570">
        <v>0</v>
      </c>
      <c r="J852" s="570">
        <v>0</v>
      </c>
      <c r="K852">
        <v>2.0000000000000002E-5</v>
      </c>
    </row>
    <row r="853" spans="1:11">
      <c r="A853" s="570" t="str">
        <f t="shared" si="13"/>
        <v>9F21</v>
      </c>
      <c r="C853" t="s">
        <v>2369</v>
      </c>
      <c r="D853" t="s">
        <v>1834</v>
      </c>
      <c r="E853">
        <v>21</v>
      </c>
      <c r="F853">
        <v>-5.0000000000000001E-4</v>
      </c>
      <c r="G853">
        <v>-1.2999999999999999E-3</v>
      </c>
      <c r="H853" s="570">
        <v>0</v>
      </c>
      <c r="I853" s="570">
        <v>0</v>
      </c>
      <c r="J853" s="570">
        <v>0</v>
      </c>
      <c r="K853">
        <v>-8.0000000000000007E-5</v>
      </c>
    </row>
    <row r="854" spans="1:11">
      <c r="A854" s="570" t="str">
        <f t="shared" si="13"/>
        <v>8F21</v>
      </c>
      <c r="C854" t="s">
        <v>2370</v>
      </c>
      <c r="D854" t="s">
        <v>1834</v>
      </c>
      <c r="E854">
        <v>21</v>
      </c>
      <c r="F854">
        <v>-1.1999999999999999E-3</v>
      </c>
      <c r="G854">
        <v>-2.0000000000000001E-4</v>
      </c>
      <c r="H854" s="570">
        <v>0</v>
      </c>
      <c r="I854" s="570">
        <v>0</v>
      </c>
      <c r="J854" s="570">
        <v>0</v>
      </c>
      <c r="K854">
        <v>-1.3999999999999999E-4</v>
      </c>
    </row>
    <row r="855" spans="1:11">
      <c r="A855" s="570" t="str">
        <f t="shared" si="13"/>
        <v>7F21</v>
      </c>
      <c r="C855" t="s">
        <v>2371</v>
      </c>
      <c r="D855" t="s">
        <v>1834</v>
      </c>
      <c r="E855">
        <v>21</v>
      </c>
      <c r="F855">
        <v>-1.6999999999999999E-3</v>
      </c>
      <c r="G855">
        <v>8.9999999999999998E-4</v>
      </c>
      <c r="H855" s="570">
        <v>0</v>
      </c>
      <c r="I855" s="570">
        <v>0</v>
      </c>
      <c r="J855" s="570">
        <v>0</v>
      </c>
      <c r="K855">
        <v>-1.7000000000000001E-4</v>
      </c>
    </row>
    <row r="856" spans="1:11">
      <c r="A856" s="570" t="str">
        <f t="shared" si="13"/>
        <v>6F21</v>
      </c>
      <c r="C856" t="s">
        <v>2372</v>
      </c>
      <c r="D856" t="s">
        <v>1834</v>
      </c>
      <c r="E856">
        <v>21</v>
      </c>
      <c r="F856">
        <v>-1.6000000000000001E-3</v>
      </c>
      <c r="G856">
        <v>1.6999999999999999E-3</v>
      </c>
      <c r="H856" s="570">
        <v>0</v>
      </c>
      <c r="I856" s="570">
        <v>0</v>
      </c>
      <c r="J856" s="570">
        <v>0</v>
      </c>
      <c r="K856">
        <v>-1.6000000000000001E-4</v>
      </c>
    </row>
    <row r="857" spans="1:11">
      <c r="A857" s="570" t="str">
        <f t="shared" si="13"/>
        <v>5F21</v>
      </c>
      <c r="C857" t="s">
        <v>2373</v>
      </c>
      <c r="D857" t="s">
        <v>1834</v>
      </c>
      <c r="E857">
        <v>21</v>
      </c>
      <c r="F857">
        <v>-1.1000000000000001E-3</v>
      </c>
      <c r="G857">
        <v>2.2000000000000001E-3</v>
      </c>
      <c r="H857" s="570">
        <v>0</v>
      </c>
      <c r="I857" s="570">
        <v>0</v>
      </c>
      <c r="J857" s="570">
        <v>0</v>
      </c>
      <c r="K857">
        <v>-1E-4</v>
      </c>
    </row>
    <row r="858" spans="1:11">
      <c r="A858" s="570" t="str">
        <f t="shared" si="13"/>
        <v>4F21</v>
      </c>
      <c r="C858" t="s">
        <v>2374</v>
      </c>
      <c r="D858" t="s">
        <v>1834</v>
      </c>
      <c r="E858">
        <v>21</v>
      </c>
      <c r="F858">
        <v>-1E-4</v>
      </c>
      <c r="G858">
        <v>2.3999999999999998E-3</v>
      </c>
      <c r="H858" s="570">
        <v>0</v>
      </c>
      <c r="I858" s="570">
        <v>0</v>
      </c>
      <c r="J858" s="570">
        <v>0</v>
      </c>
      <c r="K858">
        <v>-1.0000000000000001E-5</v>
      </c>
    </row>
    <row r="859" spans="1:11">
      <c r="A859" s="570" t="str">
        <f t="shared" si="13"/>
        <v>3F21</v>
      </c>
      <c r="C859" t="s">
        <v>2375</v>
      </c>
      <c r="D859" t="s">
        <v>1834</v>
      </c>
      <c r="E859">
        <v>21</v>
      </c>
      <c r="F859">
        <v>8.9999999999999998E-4</v>
      </c>
      <c r="G859">
        <v>2.3999999999999998E-3</v>
      </c>
      <c r="H859" s="570">
        <v>0</v>
      </c>
      <c r="I859" s="570">
        <v>0</v>
      </c>
      <c r="J859" s="570">
        <v>0</v>
      </c>
      <c r="K859">
        <v>6.9999999999999994E-5</v>
      </c>
    </row>
    <row r="860" spans="1:11">
      <c r="A860" s="570" t="str">
        <f t="shared" si="13"/>
        <v>2F21</v>
      </c>
      <c r="C860" t="s">
        <v>2376</v>
      </c>
      <c r="D860" t="s">
        <v>1834</v>
      </c>
      <c r="E860">
        <v>21</v>
      </c>
      <c r="F860">
        <v>1.5E-3</v>
      </c>
      <c r="G860">
        <v>2.0999999999999999E-3</v>
      </c>
      <c r="H860" s="570">
        <v>0</v>
      </c>
      <c r="I860" s="570">
        <v>0</v>
      </c>
      <c r="J860" s="570">
        <v>0</v>
      </c>
      <c r="K860">
        <v>1.2E-4</v>
      </c>
    </row>
    <row r="861" spans="1:11">
      <c r="A861" s="570" t="str">
        <f t="shared" si="13"/>
        <v>1F21</v>
      </c>
      <c r="C861" t="s">
        <v>2377</v>
      </c>
      <c r="D861" t="s">
        <v>1834</v>
      </c>
      <c r="E861">
        <v>21</v>
      </c>
      <c r="F861">
        <v>1.6000000000000001E-3</v>
      </c>
      <c r="G861">
        <v>1.4E-3</v>
      </c>
      <c r="H861" s="570">
        <v>0</v>
      </c>
      <c r="I861" s="570">
        <v>0</v>
      </c>
      <c r="J861" s="570">
        <v>0</v>
      </c>
      <c r="K861">
        <v>1.1E-4</v>
      </c>
    </row>
    <row r="862" spans="1:11">
      <c r="A862" s="570" t="str">
        <f t="shared" si="13"/>
        <v>B121</v>
      </c>
      <c r="C862" t="s">
        <v>2327</v>
      </c>
      <c r="D862" t="s">
        <v>1834</v>
      </c>
      <c r="E862">
        <v>21</v>
      </c>
      <c r="F862">
        <v>0</v>
      </c>
      <c r="G862">
        <v>0</v>
      </c>
      <c r="H862" s="570">
        <v>0</v>
      </c>
      <c r="I862" s="570">
        <v>0</v>
      </c>
      <c r="J862" s="570">
        <v>0</v>
      </c>
      <c r="K862">
        <v>0</v>
      </c>
    </row>
    <row r="863" spans="1:11">
      <c r="A863" s="570" t="str">
        <f t="shared" si="13"/>
        <v>MAI22</v>
      </c>
      <c r="C863" t="s">
        <v>2270</v>
      </c>
      <c r="D863" t="s">
        <v>1834</v>
      </c>
      <c r="E863">
        <v>22</v>
      </c>
      <c r="F863">
        <v>1E-4</v>
      </c>
      <c r="G863">
        <v>-7.7999999999999996E-3</v>
      </c>
      <c r="H863" s="570">
        <v>0</v>
      </c>
      <c r="I863" s="570">
        <v>0</v>
      </c>
      <c r="J863" s="570">
        <v>0</v>
      </c>
      <c r="K863">
        <v>2.7E-4</v>
      </c>
    </row>
    <row r="864" spans="1:11">
      <c r="A864" s="570" t="str">
        <f t="shared" si="13"/>
        <v>TUM22</v>
      </c>
      <c r="C864" t="s">
        <v>2271</v>
      </c>
      <c r="D864" t="s">
        <v>1834</v>
      </c>
      <c r="E864">
        <v>22</v>
      </c>
      <c r="F864">
        <v>2.9999999999999997E-4</v>
      </c>
      <c r="G864">
        <v>-4.1000000000000003E-3</v>
      </c>
      <c r="H864" s="570">
        <v>0</v>
      </c>
      <c r="I864" s="570">
        <v>0</v>
      </c>
      <c r="J864" s="570">
        <v>0</v>
      </c>
      <c r="K864">
        <v>1.2999999999999999E-4</v>
      </c>
    </row>
    <row r="865" spans="1:11">
      <c r="A865" s="570" t="str">
        <f t="shared" si="13"/>
        <v>38F22</v>
      </c>
      <c r="C865" t="s">
        <v>2340</v>
      </c>
      <c r="D865" t="s">
        <v>1834</v>
      </c>
      <c r="E865">
        <v>22</v>
      </c>
      <c r="F865">
        <v>2.9999999999999997E-4</v>
      </c>
      <c r="G865">
        <v>-2E-3</v>
      </c>
      <c r="H865" s="570">
        <v>0</v>
      </c>
      <c r="I865" s="570">
        <v>0</v>
      </c>
      <c r="J865" s="570">
        <v>0</v>
      </c>
      <c r="K865">
        <v>4.0000000000000003E-5</v>
      </c>
    </row>
    <row r="866" spans="1:11">
      <c r="A866" s="570" t="str">
        <f t="shared" si="13"/>
        <v>37F22</v>
      </c>
      <c r="C866" t="s">
        <v>2341</v>
      </c>
      <c r="D866" t="s">
        <v>1834</v>
      </c>
      <c r="E866">
        <v>22</v>
      </c>
      <c r="F866">
        <v>2.0000000000000001E-4</v>
      </c>
      <c r="G866">
        <v>1E-4</v>
      </c>
      <c r="H866" s="570">
        <v>0</v>
      </c>
      <c r="I866" s="570">
        <v>0</v>
      </c>
      <c r="J866" s="570">
        <v>0</v>
      </c>
      <c r="K866">
        <v>-5.0000000000000002E-5</v>
      </c>
    </row>
    <row r="867" spans="1:11">
      <c r="A867" s="570" t="str">
        <f t="shared" si="13"/>
        <v>36F22</v>
      </c>
      <c r="C867" t="s">
        <v>2342</v>
      </c>
      <c r="D867" t="s">
        <v>1834</v>
      </c>
      <c r="E867">
        <v>22</v>
      </c>
      <c r="F867">
        <v>0</v>
      </c>
      <c r="G867">
        <v>2.0999999999999999E-3</v>
      </c>
      <c r="H867" s="570">
        <v>0</v>
      </c>
      <c r="I867" s="570">
        <v>0</v>
      </c>
      <c r="J867" s="570">
        <v>0</v>
      </c>
      <c r="K867">
        <v>-1.1E-4</v>
      </c>
    </row>
    <row r="868" spans="1:11">
      <c r="A868" s="570" t="str">
        <f t="shared" si="13"/>
        <v>35F22</v>
      </c>
      <c r="C868" t="s">
        <v>2343</v>
      </c>
      <c r="D868" t="s">
        <v>1834</v>
      </c>
      <c r="E868">
        <v>22</v>
      </c>
      <c r="F868">
        <v>-2.9999999999999997E-4</v>
      </c>
      <c r="G868">
        <v>3.5000000000000001E-3</v>
      </c>
      <c r="H868" s="570">
        <v>0</v>
      </c>
      <c r="I868" s="570">
        <v>0</v>
      </c>
      <c r="J868" s="570">
        <v>0</v>
      </c>
      <c r="K868">
        <v>-1.2999999999999999E-4</v>
      </c>
    </row>
    <row r="869" spans="1:11">
      <c r="A869" s="570" t="str">
        <f t="shared" si="13"/>
        <v>34F22</v>
      </c>
      <c r="C869" t="s">
        <v>2344</v>
      </c>
      <c r="D869" t="s">
        <v>1834</v>
      </c>
      <c r="E869">
        <v>22</v>
      </c>
      <c r="F869">
        <v>-5.0000000000000001E-4</v>
      </c>
      <c r="G869">
        <v>4.3E-3</v>
      </c>
      <c r="H869" s="570">
        <v>0</v>
      </c>
      <c r="I869" s="570">
        <v>0</v>
      </c>
      <c r="J869" s="570">
        <v>0</v>
      </c>
      <c r="K869">
        <v>-1E-4</v>
      </c>
    </row>
    <row r="870" spans="1:11">
      <c r="A870" s="570" t="str">
        <f t="shared" si="13"/>
        <v>33F22</v>
      </c>
      <c r="C870" t="s">
        <v>2345</v>
      </c>
      <c r="D870" t="s">
        <v>1834</v>
      </c>
      <c r="E870">
        <v>22</v>
      </c>
      <c r="F870">
        <v>-6.9999999999999999E-4</v>
      </c>
      <c r="G870">
        <v>4.3E-3</v>
      </c>
      <c r="H870" s="570">
        <v>0</v>
      </c>
      <c r="I870" s="570">
        <v>0</v>
      </c>
      <c r="J870" s="570">
        <v>0</v>
      </c>
      <c r="K870">
        <v>-4.0000000000000003E-5</v>
      </c>
    </row>
    <row r="871" spans="1:11">
      <c r="A871" s="570" t="str">
        <f t="shared" si="13"/>
        <v>32F22</v>
      </c>
      <c r="C871" t="s">
        <v>2346</v>
      </c>
      <c r="D871" t="s">
        <v>1834</v>
      </c>
      <c r="E871">
        <v>22</v>
      </c>
      <c r="F871">
        <v>-5.9999999999999995E-4</v>
      </c>
      <c r="G871">
        <v>3.3999999999999998E-3</v>
      </c>
      <c r="H871" s="570">
        <v>0</v>
      </c>
      <c r="I871" s="570">
        <v>0</v>
      </c>
      <c r="J871" s="570">
        <v>0</v>
      </c>
      <c r="K871">
        <v>4.0000000000000003E-5</v>
      </c>
    </row>
    <row r="872" spans="1:11">
      <c r="A872" s="570" t="str">
        <f t="shared" si="13"/>
        <v>31F22</v>
      </c>
      <c r="C872" t="s">
        <v>2347</v>
      </c>
      <c r="D872" t="s">
        <v>1834</v>
      </c>
      <c r="E872">
        <v>22</v>
      </c>
      <c r="F872">
        <v>-2.9999999999999997E-4</v>
      </c>
      <c r="G872">
        <v>2E-3</v>
      </c>
      <c r="H872" s="570">
        <v>0</v>
      </c>
      <c r="I872" s="570">
        <v>0</v>
      </c>
      <c r="J872" s="570">
        <v>0</v>
      </c>
      <c r="K872">
        <v>1E-4</v>
      </c>
    </row>
    <row r="873" spans="1:11">
      <c r="A873" s="570" t="str">
        <f t="shared" si="13"/>
        <v>30F22</v>
      </c>
      <c r="C873" t="s">
        <v>2348</v>
      </c>
      <c r="D873" t="s">
        <v>1834</v>
      </c>
      <c r="E873">
        <v>22</v>
      </c>
      <c r="F873">
        <v>2.0000000000000001E-4</v>
      </c>
      <c r="G873">
        <v>1E-4</v>
      </c>
      <c r="H873" s="570">
        <v>0</v>
      </c>
      <c r="I873" s="570">
        <v>0</v>
      </c>
      <c r="J873" s="570">
        <v>0</v>
      </c>
      <c r="K873">
        <v>1.2999999999999999E-4</v>
      </c>
    </row>
    <row r="874" spans="1:11">
      <c r="A874" s="570" t="str">
        <f t="shared" si="13"/>
        <v>29F22</v>
      </c>
      <c r="C874" t="s">
        <v>2349</v>
      </c>
      <c r="D874" t="s">
        <v>1834</v>
      </c>
      <c r="E874">
        <v>22</v>
      </c>
      <c r="F874">
        <v>6.9999999999999999E-4</v>
      </c>
      <c r="G874">
        <v>-1.9E-3</v>
      </c>
      <c r="H874" s="570">
        <v>0</v>
      </c>
      <c r="I874" s="570">
        <v>0</v>
      </c>
      <c r="J874" s="570">
        <v>0</v>
      </c>
      <c r="K874">
        <v>1.2E-4</v>
      </c>
    </row>
    <row r="875" spans="1:11">
      <c r="A875" s="570" t="str">
        <f t="shared" si="13"/>
        <v>28F22</v>
      </c>
      <c r="C875" t="s">
        <v>2350</v>
      </c>
      <c r="D875" t="s">
        <v>1834</v>
      </c>
      <c r="E875">
        <v>22</v>
      </c>
      <c r="F875">
        <v>1E-3</v>
      </c>
      <c r="G875">
        <v>-3.5999999999999999E-3</v>
      </c>
      <c r="H875" s="570">
        <v>0</v>
      </c>
      <c r="I875" s="570">
        <v>0</v>
      </c>
      <c r="J875" s="570">
        <v>0</v>
      </c>
      <c r="K875">
        <v>6.9999999999999994E-5</v>
      </c>
    </row>
    <row r="876" spans="1:11">
      <c r="A876" s="570" t="str">
        <f t="shared" si="13"/>
        <v>27F22</v>
      </c>
      <c r="C876" t="s">
        <v>2351</v>
      </c>
      <c r="D876" t="s">
        <v>1834</v>
      </c>
      <c r="E876">
        <v>22</v>
      </c>
      <c r="F876">
        <v>1E-3</v>
      </c>
      <c r="G876">
        <v>-4.7000000000000002E-3</v>
      </c>
      <c r="H876" s="570">
        <v>0</v>
      </c>
      <c r="I876" s="570">
        <v>0</v>
      </c>
      <c r="J876" s="570">
        <v>0</v>
      </c>
      <c r="K876">
        <v>-1.0000000000000001E-5</v>
      </c>
    </row>
    <row r="877" spans="1:11">
      <c r="A877" s="570" t="str">
        <f t="shared" si="13"/>
        <v>26F22</v>
      </c>
      <c r="C877" t="s">
        <v>2352</v>
      </c>
      <c r="D877" t="s">
        <v>1834</v>
      </c>
      <c r="E877">
        <v>22</v>
      </c>
      <c r="F877">
        <v>5.9999999999999995E-4</v>
      </c>
      <c r="G877">
        <v>-5.0000000000000001E-3</v>
      </c>
      <c r="H877" s="570">
        <v>0</v>
      </c>
      <c r="I877" s="570">
        <v>0</v>
      </c>
      <c r="J877" s="570">
        <v>0</v>
      </c>
      <c r="K877">
        <v>-8.0000000000000007E-5</v>
      </c>
    </row>
    <row r="878" spans="1:11">
      <c r="A878" s="570" t="str">
        <f t="shared" si="13"/>
        <v>25F22</v>
      </c>
      <c r="C878" t="s">
        <v>2353</v>
      </c>
      <c r="D878" t="s">
        <v>1834</v>
      </c>
      <c r="E878">
        <v>22</v>
      </c>
      <c r="F878">
        <v>0</v>
      </c>
      <c r="G878">
        <v>-4.3E-3</v>
      </c>
      <c r="H878" s="570">
        <v>0</v>
      </c>
      <c r="I878" s="570">
        <v>0</v>
      </c>
      <c r="J878" s="570">
        <v>0</v>
      </c>
      <c r="K878">
        <v>-1.2E-4</v>
      </c>
    </row>
    <row r="879" spans="1:11">
      <c r="A879" s="570" t="str">
        <f t="shared" si="13"/>
        <v>24F22</v>
      </c>
      <c r="C879" t="s">
        <v>2354</v>
      </c>
      <c r="D879" t="s">
        <v>1834</v>
      </c>
      <c r="E879">
        <v>22</v>
      </c>
      <c r="F879">
        <v>-5.9999999999999995E-4</v>
      </c>
      <c r="G879">
        <v>-2.8999999999999998E-3</v>
      </c>
      <c r="H879" s="570">
        <v>0</v>
      </c>
      <c r="I879" s="570">
        <v>0</v>
      </c>
      <c r="J879" s="570">
        <v>0</v>
      </c>
      <c r="K879">
        <v>-1.2E-4</v>
      </c>
    </row>
    <row r="880" spans="1:11">
      <c r="A880" s="570" t="str">
        <f t="shared" si="13"/>
        <v>23F22</v>
      </c>
      <c r="C880" t="s">
        <v>2355</v>
      </c>
      <c r="D880" t="s">
        <v>1834</v>
      </c>
      <c r="E880">
        <v>22</v>
      </c>
      <c r="F880">
        <v>-1E-3</v>
      </c>
      <c r="G880">
        <v>-8.0000000000000004E-4</v>
      </c>
      <c r="H880" s="570">
        <v>0</v>
      </c>
      <c r="I880" s="570">
        <v>0</v>
      </c>
      <c r="J880" s="570">
        <v>0</v>
      </c>
      <c r="K880">
        <v>-9.0000000000000006E-5</v>
      </c>
    </row>
    <row r="881" spans="1:11">
      <c r="A881" s="570" t="str">
        <f t="shared" si="13"/>
        <v>22F22</v>
      </c>
      <c r="C881" t="s">
        <v>2356</v>
      </c>
      <c r="D881" t="s">
        <v>1834</v>
      </c>
      <c r="E881">
        <v>22</v>
      </c>
      <c r="F881">
        <v>-1E-3</v>
      </c>
      <c r="G881">
        <v>1.4E-3</v>
      </c>
      <c r="H881" s="570">
        <v>0</v>
      </c>
      <c r="I881" s="570">
        <v>0</v>
      </c>
      <c r="J881" s="570">
        <v>0</v>
      </c>
      <c r="K881">
        <v>-3.0000000000000001E-5</v>
      </c>
    </row>
    <row r="882" spans="1:11">
      <c r="A882" s="570" t="str">
        <f t="shared" si="13"/>
        <v>21F22</v>
      </c>
      <c r="C882" s="943" t="s">
        <v>2357</v>
      </c>
      <c r="D882" s="943" t="s">
        <v>1834</v>
      </c>
      <c r="E882" s="943">
        <v>22</v>
      </c>
      <c r="F882" s="570">
        <v>-6.9999999999999999E-4</v>
      </c>
      <c r="G882" s="570">
        <v>3.3999999999999998E-3</v>
      </c>
      <c r="H882" s="570">
        <v>0</v>
      </c>
      <c r="I882" s="570">
        <v>0</v>
      </c>
      <c r="J882" s="570">
        <v>0</v>
      </c>
      <c r="K882" s="570">
        <v>4.0000000000000003E-5</v>
      </c>
    </row>
    <row r="883" spans="1:11">
      <c r="A883" s="570" t="str">
        <f t="shared" si="13"/>
        <v>20F22</v>
      </c>
      <c r="C883" s="943" t="s">
        <v>2358</v>
      </c>
      <c r="D883" s="943" t="s">
        <v>1834</v>
      </c>
      <c r="E883" s="943">
        <v>22</v>
      </c>
      <c r="F883" s="570">
        <v>-1E-4</v>
      </c>
      <c r="G883" s="570">
        <v>4.7000000000000002E-3</v>
      </c>
      <c r="H883" s="570">
        <v>0</v>
      </c>
      <c r="I883" s="570">
        <v>0</v>
      </c>
      <c r="J883" s="570">
        <v>0</v>
      </c>
      <c r="K883" s="570">
        <v>1E-4</v>
      </c>
    </row>
    <row r="884" spans="1:11">
      <c r="A884" s="570" t="str">
        <f t="shared" si="13"/>
        <v>19F22</v>
      </c>
      <c r="C884" s="943" t="s">
        <v>2359</v>
      </c>
      <c r="D884" s="943" t="s">
        <v>1834</v>
      </c>
      <c r="E884" s="943">
        <v>22</v>
      </c>
      <c r="F884" s="570">
        <v>5.0000000000000001E-4</v>
      </c>
      <c r="G884" s="570">
        <v>5.1000000000000004E-3</v>
      </c>
      <c r="H884" s="570">
        <v>0</v>
      </c>
      <c r="I884" s="570">
        <v>0</v>
      </c>
      <c r="J884" s="570">
        <v>0</v>
      </c>
      <c r="K884" s="570">
        <v>1.1E-4</v>
      </c>
    </row>
    <row r="885" spans="1:11">
      <c r="A885" s="570" t="str">
        <f t="shared" si="13"/>
        <v>18F22</v>
      </c>
      <c r="C885" s="943" t="s">
        <v>2360</v>
      </c>
      <c r="D885" s="943" t="s">
        <v>1834</v>
      </c>
      <c r="E885" s="943">
        <v>22</v>
      </c>
      <c r="F885" s="570">
        <v>8.0000000000000004E-4</v>
      </c>
      <c r="G885" s="570">
        <v>4.5999999999999999E-3</v>
      </c>
      <c r="H885" s="570">
        <v>0</v>
      </c>
      <c r="I885" s="570">
        <v>0</v>
      </c>
      <c r="J885" s="570">
        <v>0</v>
      </c>
      <c r="K885" s="570">
        <v>1E-4</v>
      </c>
    </row>
    <row r="886" spans="1:11">
      <c r="A886" s="570" t="str">
        <f t="shared" si="13"/>
        <v>17F22</v>
      </c>
      <c r="C886" s="943" t="s">
        <v>2361</v>
      </c>
      <c r="D886" s="943" t="s">
        <v>1834</v>
      </c>
      <c r="E886" s="943">
        <v>22</v>
      </c>
      <c r="F886" s="570">
        <v>8.9999999999999998E-4</v>
      </c>
      <c r="G886" s="570">
        <v>3.3E-3</v>
      </c>
      <c r="H886" s="570">
        <v>0</v>
      </c>
      <c r="I886" s="570">
        <v>0</v>
      </c>
      <c r="J886" s="570">
        <v>0</v>
      </c>
      <c r="K886" s="570">
        <v>5.0000000000000002E-5</v>
      </c>
    </row>
    <row r="887" spans="1:11">
      <c r="A887" s="570" t="str">
        <f t="shared" si="13"/>
        <v>16F22</v>
      </c>
      <c r="C887" s="943" t="s">
        <v>2362</v>
      </c>
      <c r="D887" s="943" t="s">
        <v>1834</v>
      </c>
      <c r="E887" s="943">
        <v>22</v>
      </c>
      <c r="F887" s="570">
        <v>5.9999999999999995E-4</v>
      </c>
      <c r="G887" s="570">
        <v>1.4E-3</v>
      </c>
      <c r="H887" s="570">
        <v>0</v>
      </c>
      <c r="I887" s="570">
        <v>0</v>
      </c>
      <c r="J887" s="570">
        <v>0</v>
      </c>
      <c r="K887" s="570">
        <v>0</v>
      </c>
    </row>
    <row r="888" spans="1:11">
      <c r="A888" s="570" t="str">
        <f t="shared" si="13"/>
        <v>15F22</v>
      </c>
      <c r="C888" s="943" t="s">
        <v>2363</v>
      </c>
      <c r="D888" s="943" t="s">
        <v>1834</v>
      </c>
      <c r="E888" s="943">
        <v>22</v>
      </c>
      <c r="F888" s="570">
        <v>1E-4</v>
      </c>
      <c r="G888" s="570">
        <v>-6.9999999999999999E-4</v>
      </c>
      <c r="H888" s="570">
        <v>0</v>
      </c>
      <c r="I888" s="570">
        <v>0</v>
      </c>
      <c r="J888" s="570">
        <v>0</v>
      </c>
      <c r="K888" s="570">
        <v>-6.0000000000000002E-5</v>
      </c>
    </row>
    <row r="889" spans="1:11">
      <c r="A889" s="570" t="str">
        <f t="shared" si="13"/>
        <v>14F22</v>
      </c>
      <c r="C889" s="943" t="s">
        <v>2364</v>
      </c>
      <c r="D889" s="943" t="s">
        <v>1834</v>
      </c>
      <c r="E889" s="943">
        <v>22</v>
      </c>
      <c r="F889" s="570">
        <v>-4.0000000000000002E-4</v>
      </c>
      <c r="G889" s="570">
        <v>-2.5999999999999999E-3</v>
      </c>
      <c r="H889" s="570">
        <v>0</v>
      </c>
      <c r="I889" s="570">
        <v>0</v>
      </c>
      <c r="J889" s="570">
        <v>0</v>
      </c>
      <c r="K889" s="570">
        <v>-9.0000000000000006E-5</v>
      </c>
    </row>
    <row r="890" spans="1:11">
      <c r="A890" s="570" t="str">
        <f t="shared" si="13"/>
        <v>13F22</v>
      </c>
      <c r="C890" s="943" t="s">
        <v>2365</v>
      </c>
      <c r="D890" s="943" t="s">
        <v>1834</v>
      </c>
      <c r="E890" s="943">
        <v>22</v>
      </c>
      <c r="F890" s="570">
        <v>-6.9999999999999999E-4</v>
      </c>
      <c r="G890" s="570">
        <v>-3.8999999999999998E-3</v>
      </c>
      <c r="H890" s="570">
        <v>0</v>
      </c>
      <c r="I890" s="570">
        <v>0</v>
      </c>
      <c r="J890" s="570">
        <v>0</v>
      </c>
      <c r="K890" s="570">
        <v>-1E-4</v>
      </c>
    </row>
    <row r="891" spans="1:11">
      <c r="A891" s="570" t="str">
        <f t="shared" si="13"/>
        <v>12F22</v>
      </c>
      <c r="C891" s="943" t="s">
        <v>2366</v>
      </c>
      <c r="D891" s="943" t="s">
        <v>1834</v>
      </c>
      <c r="E891" s="943">
        <v>22</v>
      </c>
      <c r="F891" s="570">
        <v>-8.0000000000000004E-4</v>
      </c>
      <c r="G891" s="570">
        <v>-4.5999999999999999E-3</v>
      </c>
      <c r="H891" s="570">
        <v>0</v>
      </c>
      <c r="I891" s="570">
        <v>0</v>
      </c>
      <c r="J891" s="570">
        <v>0</v>
      </c>
      <c r="K891" s="570">
        <v>-8.0000000000000007E-5</v>
      </c>
    </row>
    <row r="892" spans="1:11">
      <c r="A892" s="570" t="str">
        <f t="shared" si="13"/>
        <v>11F22</v>
      </c>
      <c r="C892" s="943" t="s">
        <v>2367</v>
      </c>
      <c r="D892" s="943" t="s">
        <v>1834</v>
      </c>
      <c r="E892" s="943">
        <v>22</v>
      </c>
      <c r="F892" s="570">
        <v>-5.9999999999999995E-4</v>
      </c>
      <c r="G892" s="570">
        <v>-4.4999999999999997E-3</v>
      </c>
      <c r="H892" s="570">
        <v>0</v>
      </c>
      <c r="I892" s="570">
        <v>0</v>
      </c>
      <c r="J892" s="570">
        <v>0</v>
      </c>
      <c r="K892" s="570">
        <v>-4.0000000000000003E-5</v>
      </c>
    </row>
    <row r="893" spans="1:11">
      <c r="A893" s="570" t="str">
        <f t="shared" si="13"/>
        <v>10F22</v>
      </c>
      <c r="C893" s="943" t="s">
        <v>2368</v>
      </c>
      <c r="D893" s="943" t="s">
        <v>1834</v>
      </c>
      <c r="E893" s="943">
        <v>22</v>
      </c>
      <c r="F893" s="570">
        <v>-2.0000000000000001E-4</v>
      </c>
      <c r="G893" s="570">
        <v>-3.7000000000000002E-3</v>
      </c>
      <c r="H893" s="570">
        <v>0</v>
      </c>
      <c r="I893" s="570">
        <v>0</v>
      </c>
      <c r="J893" s="570">
        <v>0</v>
      </c>
      <c r="K893" s="570">
        <v>1.0000000000000001E-5</v>
      </c>
    </row>
    <row r="894" spans="1:11">
      <c r="A894" s="570" t="str">
        <f t="shared" si="13"/>
        <v>9F22</v>
      </c>
      <c r="C894" s="943" t="s">
        <v>2369</v>
      </c>
      <c r="D894" s="943" t="s">
        <v>1834</v>
      </c>
      <c r="E894" s="943">
        <v>22</v>
      </c>
      <c r="F894" s="570">
        <v>2.0000000000000001E-4</v>
      </c>
      <c r="G894" s="570">
        <v>-2.3999999999999998E-3</v>
      </c>
      <c r="H894" s="570">
        <v>0</v>
      </c>
      <c r="I894" s="570">
        <v>0</v>
      </c>
      <c r="J894" s="570">
        <v>0</v>
      </c>
      <c r="K894" s="570">
        <v>5.0000000000000002E-5</v>
      </c>
    </row>
    <row r="895" spans="1:11">
      <c r="A895" s="570" t="str">
        <f t="shared" si="13"/>
        <v>8F22</v>
      </c>
      <c r="C895" s="943" t="s">
        <v>2370</v>
      </c>
      <c r="D895" s="943" t="s">
        <v>1834</v>
      </c>
      <c r="E895" s="943">
        <v>22</v>
      </c>
      <c r="F895" s="570">
        <v>6.9999999999999999E-4</v>
      </c>
      <c r="G895" s="570">
        <v>-5.9999999999999995E-4</v>
      </c>
      <c r="H895" s="570">
        <v>0</v>
      </c>
      <c r="I895" s="570">
        <v>0</v>
      </c>
      <c r="J895" s="570">
        <v>0</v>
      </c>
      <c r="K895" s="570">
        <v>8.0000000000000007E-5</v>
      </c>
    </row>
    <row r="896" spans="1:11">
      <c r="A896" s="570" t="str">
        <f t="shared" si="13"/>
        <v>7F22</v>
      </c>
      <c r="C896" s="943" t="s">
        <v>2371</v>
      </c>
      <c r="D896" s="943" t="s">
        <v>1834</v>
      </c>
      <c r="E896" s="943">
        <v>22</v>
      </c>
      <c r="F896" s="570">
        <v>8.9999999999999998E-4</v>
      </c>
      <c r="G896" s="570">
        <v>1.2999999999999999E-3</v>
      </c>
      <c r="H896" s="570">
        <v>0</v>
      </c>
      <c r="I896" s="570">
        <v>0</v>
      </c>
      <c r="J896" s="570">
        <v>0</v>
      </c>
      <c r="K896" s="570">
        <v>8.0000000000000007E-5</v>
      </c>
    </row>
    <row r="897" spans="1:11">
      <c r="A897" s="570" t="str">
        <f t="shared" si="13"/>
        <v>6F22</v>
      </c>
      <c r="C897" s="943" t="s">
        <v>2372</v>
      </c>
      <c r="D897" s="943" t="s">
        <v>1834</v>
      </c>
      <c r="E897" s="943">
        <v>22</v>
      </c>
      <c r="F897" s="570">
        <v>8.9999999999999998E-4</v>
      </c>
      <c r="G897" s="570">
        <v>3.0999999999999999E-3</v>
      </c>
      <c r="H897" s="570">
        <v>0</v>
      </c>
      <c r="I897" s="570">
        <v>0</v>
      </c>
      <c r="J897" s="570">
        <v>0</v>
      </c>
      <c r="K897" s="570">
        <v>6.9999999999999994E-5</v>
      </c>
    </row>
    <row r="898" spans="1:11">
      <c r="A898" s="570" t="str">
        <f t="shared" ref="A898:A961" si="14">C898&amp;E898</f>
        <v>5F22</v>
      </c>
      <c r="C898" s="943" t="s">
        <v>2373</v>
      </c>
      <c r="D898" s="943" t="s">
        <v>1834</v>
      </c>
      <c r="E898" s="943">
        <v>22</v>
      </c>
      <c r="F898" s="570">
        <v>5.9999999999999995E-4</v>
      </c>
      <c r="G898" s="570">
        <v>4.4999999999999997E-3</v>
      </c>
      <c r="H898" s="570">
        <v>0</v>
      </c>
      <c r="I898" s="570">
        <v>0</v>
      </c>
      <c r="J898" s="570">
        <v>0</v>
      </c>
      <c r="K898" s="570">
        <v>3.0000000000000001E-5</v>
      </c>
    </row>
    <row r="899" spans="1:11">
      <c r="A899" s="570" t="str">
        <f t="shared" si="14"/>
        <v>4F22</v>
      </c>
      <c r="C899" s="943" t="s">
        <v>2374</v>
      </c>
      <c r="D899" s="943" t="s">
        <v>1834</v>
      </c>
      <c r="E899" s="943">
        <v>22</v>
      </c>
      <c r="F899" s="570">
        <v>-1E-4</v>
      </c>
      <c r="G899" s="570">
        <v>5.1000000000000004E-3</v>
      </c>
      <c r="H899" s="570">
        <v>0</v>
      </c>
      <c r="I899" s="570">
        <v>0</v>
      </c>
      <c r="J899" s="570">
        <v>0</v>
      </c>
      <c r="K899" s="570">
        <v>-1.0000000000000001E-5</v>
      </c>
    </row>
    <row r="900" spans="1:11">
      <c r="A900" s="570" t="str">
        <f t="shared" si="14"/>
        <v>3F22</v>
      </c>
      <c r="C900" s="943" t="s">
        <v>2375</v>
      </c>
      <c r="D900" s="943" t="s">
        <v>1834</v>
      </c>
      <c r="E900" s="943">
        <v>22</v>
      </c>
      <c r="F900" s="570">
        <v>-6.9999999999999999E-4</v>
      </c>
      <c r="G900" s="570">
        <v>4.8999999999999998E-3</v>
      </c>
      <c r="H900" s="570">
        <v>0</v>
      </c>
      <c r="I900" s="570">
        <v>0</v>
      </c>
      <c r="J900" s="570">
        <v>0</v>
      </c>
      <c r="K900" s="570">
        <v>-5.0000000000000002E-5</v>
      </c>
    </row>
    <row r="901" spans="1:11">
      <c r="A901" s="570" t="str">
        <f t="shared" si="14"/>
        <v>2F22</v>
      </c>
      <c r="C901" s="943" t="s">
        <v>2376</v>
      </c>
      <c r="D901" s="943" t="s">
        <v>1834</v>
      </c>
      <c r="E901" s="943">
        <v>22</v>
      </c>
      <c r="F901" s="570">
        <v>-1.1000000000000001E-3</v>
      </c>
      <c r="G901" s="570">
        <v>3.8E-3</v>
      </c>
      <c r="H901" s="570">
        <v>0</v>
      </c>
      <c r="I901" s="570">
        <v>0</v>
      </c>
      <c r="J901" s="570">
        <v>0</v>
      </c>
      <c r="K901" s="570">
        <v>-6.0000000000000002E-5</v>
      </c>
    </row>
    <row r="902" spans="1:11">
      <c r="A902" s="570" t="str">
        <f t="shared" si="14"/>
        <v>1F22</v>
      </c>
      <c r="C902" s="943" t="s">
        <v>2377</v>
      </c>
      <c r="D902" s="943" t="s">
        <v>1834</v>
      </c>
      <c r="E902" s="943">
        <v>22</v>
      </c>
      <c r="F902" s="570">
        <v>-1.1000000000000001E-3</v>
      </c>
      <c r="G902" s="570">
        <v>1.8E-3</v>
      </c>
      <c r="H902" s="570">
        <v>0</v>
      </c>
      <c r="I902" s="570">
        <v>0</v>
      </c>
      <c r="J902" s="570">
        <v>0</v>
      </c>
      <c r="K902" s="570">
        <v>-5.0000000000000002E-5</v>
      </c>
    </row>
    <row r="903" spans="1:11">
      <c r="A903" s="570" t="str">
        <f t="shared" si="14"/>
        <v>B122</v>
      </c>
      <c r="C903" s="943" t="s">
        <v>2327</v>
      </c>
      <c r="D903" s="943" t="s">
        <v>1834</v>
      </c>
      <c r="E903" s="943">
        <v>22</v>
      </c>
      <c r="F903" s="570">
        <v>0</v>
      </c>
      <c r="G903" s="570">
        <v>0</v>
      </c>
      <c r="H903" s="570">
        <v>0</v>
      </c>
      <c r="I903" s="570">
        <v>0</v>
      </c>
      <c r="J903" s="570">
        <v>0</v>
      </c>
      <c r="K903" s="570">
        <v>0</v>
      </c>
    </row>
    <row r="904" spans="1:11">
      <c r="A904" s="570" t="str">
        <f t="shared" si="14"/>
        <v>MAI23</v>
      </c>
      <c r="C904" s="943" t="s">
        <v>2270</v>
      </c>
      <c r="D904" s="943" t="s">
        <v>1834</v>
      </c>
      <c r="E904" s="943">
        <v>23</v>
      </c>
      <c r="F904" s="570">
        <v>7.7999999999999996E-3</v>
      </c>
      <c r="G904" s="570">
        <v>5.0000000000000001E-4</v>
      </c>
      <c r="H904" s="570">
        <v>0</v>
      </c>
      <c r="I904" s="570">
        <v>0</v>
      </c>
      <c r="J904" s="570">
        <v>0</v>
      </c>
      <c r="K904" s="570">
        <v>-3.0000000000000001E-5</v>
      </c>
    </row>
    <row r="905" spans="1:11">
      <c r="A905" s="570" t="str">
        <f t="shared" si="14"/>
        <v>TUM23</v>
      </c>
      <c r="C905" s="943" t="s">
        <v>2271</v>
      </c>
      <c r="D905" s="943" t="s">
        <v>1834</v>
      </c>
      <c r="E905" s="943">
        <v>23</v>
      </c>
      <c r="F905" s="570">
        <v>2.8999999999999998E-3</v>
      </c>
      <c r="G905" s="570">
        <v>0</v>
      </c>
      <c r="H905" s="570">
        <v>0</v>
      </c>
      <c r="I905" s="570">
        <v>0</v>
      </c>
      <c r="J905" s="570">
        <v>0</v>
      </c>
      <c r="K905" s="570">
        <v>3.0000000000000001E-5</v>
      </c>
    </row>
    <row r="906" spans="1:11">
      <c r="A906" s="570" t="str">
        <f t="shared" si="14"/>
        <v>38F23</v>
      </c>
      <c r="C906" s="943" t="s">
        <v>2340</v>
      </c>
      <c r="D906" s="943" t="s">
        <v>1834</v>
      </c>
      <c r="E906" s="943">
        <v>23</v>
      </c>
      <c r="F906" s="570">
        <v>1E-4</v>
      </c>
      <c r="G906" s="570">
        <v>-1E-4</v>
      </c>
      <c r="H906" s="570">
        <v>0</v>
      </c>
      <c r="I906" s="570">
        <v>0</v>
      </c>
      <c r="J906" s="570">
        <v>0</v>
      </c>
      <c r="K906" s="570">
        <v>1.0000000000000001E-5</v>
      </c>
    </row>
    <row r="907" spans="1:11">
      <c r="A907" s="570" t="str">
        <f t="shared" si="14"/>
        <v>37F23</v>
      </c>
      <c r="C907" s="943" t="s">
        <v>2341</v>
      </c>
      <c r="D907" s="943" t="s">
        <v>1834</v>
      </c>
      <c r="E907" s="943">
        <v>23</v>
      </c>
      <c r="F907" s="570">
        <v>-2.3E-3</v>
      </c>
      <c r="G907" s="570">
        <v>-2.0000000000000001E-4</v>
      </c>
      <c r="H907" s="570">
        <v>0</v>
      </c>
      <c r="I907" s="570">
        <v>0</v>
      </c>
      <c r="J907" s="570">
        <v>0</v>
      </c>
      <c r="K907" s="570">
        <v>-1.0000000000000001E-5</v>
      </c>
    </row>
    <row r="908" spans="1:11">
      <c r="A908" s="570" t="str">
        <f t="shared" si="14"/>
        <v>36F23</v>
      </c>
      <c r="C908" s="943" t="s">
        <v>2342</v>
      </c>
      <c r="D908" s="943" t="s">
        <v>1834</v>
      </c>
      <c r="E908" s="943">
        <v>23</v>
      </c>
      <c r="F908" s="570">
        <v>-3.5999999999999999E-3</v>
      </c>
      <c r="G908" s="570">
        <v>-2.0000000000000001E-4</v>
      </c>
      <c r="H908" s="570">
        <v>0</v>
      </c>
      <c r="I908" s="570">
        <v>0</v>
      </c>
      <c r="J908" s="570">
        <v>0</v>
      </c>
      <c r="K908" s="570">
        <v>-2.0000000000000002E-5</v>
      </c>
    </row>
    <row r="909" spans="1:11">
      <c r="A909" s="570" t="str">
        <f t="shared" si="14"/>
        <v>35F23</v>
      </c>
      <c r="C909" s="943" t="s">
        <v>2343</v>
      </c>
      <c r="D909" s="943" t="s">
        <v>1834</v>
      </c>
      <c r="E909" s="943">
        <v>23</v>
      </c>
      <c r="F909" s="570">
        <v>-3.5000000000000001E-3</v>
      </c>
      <c r="G909" s="570">
        <v>-1E-4</v>
      </c>
      <c r="H909" s="570">
        <v>0</v>
      </c>
      <c r="I909" s="570">
        <v>0</v>
      </c>
      <c r="J909" s="570">
        <v>0</v>
      </c>
      <c r="K909" s="570">
        <v>-3.0000000000000001E-5</v>
      </c>
    </row>
    <row r="910" spans="1:11">
      <c r="A910" s="570" t="str">
        <f t="shared" si="14"/>
        <v>34F23</v>
      </c>
      <c r="C910" s="943" t="s">
        <v>2344</v>
      </c>
      <c r="D910" s="943" t="s">
        <v>1834</v>
      </c>
      <c r="E910" s="943">
        <v>23</v>
      </c>
      <c r="F910" s="570">
        <v>-2E-3</v>
      </c>
      <c r="G910" s="570">
        <v>0</v>
      </c>
      <c r="H910" s="570">
        <v>0</v>
      </c>
      <c r="I910" s="570">
        <v>0</v>
      </c>
      <c r="J910" s="570">
        <v>0</v>
      </c>
      <c r="K910" s="570">
        <v>-2.0000000000000002E-5</v>
      </c>
    </row>
    <row r="911" spans="1:11">
      <c r="A911" s="570" t="str">
        <f t="shared" si="14"/>
        <v>33F23</v>
      </c>
      <c r="C911" s="943" t="s">
        <v>2345</v>
      </c>
      <c r="D911" s="943" t="s">
        <v>1834</v>
      </c>
      <c r="E911" s="943">
        <v>23</v>
      </c>
      <c r="F911" s="570">
        <v>2.9999999999999997E-4</v>
      </c>
      <c r="G911" s="570">
        <v>2.0000000000000001E-4</v>
      </c>
      <c r="H911" s="570">
        <v>0</v>
      </c>
      <c r="I911" s="570">
        <v>0</v>
      </c>
      <c r="J911" s="570">
        <v>0</v>
      </c>
      <c r="K911" s="570">
        <v>-1.0000000000000001E-5</v>
      </c>
    </row>
    <row r="912" spans="1:11">
      <c r="A912" s="570" t="str">
        <f t="shared" si="14"/>
        <v>32F23</v>
      </c>
      <c r="C912" s="943" t="s">
        <v>2346</v>
      </c>
      <c r="D912" s="943" t="s">
        <v>1834</v>
      </c>
      <c r="E912" s="943">
        <v>23</v>
      </c>
      <c r="F912" s="570">
        <v>2.5999999999999999E-3</v>
      </c>
      <c r="G912" s="570">
        <v>4.0000000000000002E-4</v>
      </c>
      <c r="H912" s="570">
        <v>0</v>
      </c>
      <c r="I912" s="570">
        <v>0</v>
      </c>
      <c r="J912" s="570">
        <v>0</v>
      </c>
      <c r="K912" s="570">
        <v>0</v>
      </c>
    </row>
    <row r="913" spans="1:11">
      <c r="A913" s="570" t="str">
        <f t="shared" si="14"/>
        <v>31F23</v>
      </c>
      <c r="C913" s="943" t="s">
        <v>2347</v>
      </c>
      <c r="D913" s="943" t="s">
        <v>1834</v>
      </c>
      <c r="E913" s="943">
        <v>23</v>
      </c>
      <c r="F913" s="570">
        <v>4.0000000000000001E-3</v>
      </c>
      <c r="G913" s="570">
        <v>5.0000000000000001E-4</v>
      </c>
      <c r="H913" s="570">
        <v>0</v>
      </c>
      <c r="I913" s="570">
        <v>0</v>
      </c>
      <c r="J913" s="570">
        <v>0</v>
      </c>
      <c r="K913" s="570">
        <v>2.0000000000000002E-5</v>
      </c>
    </row>
    <row r="914" spans="1:11">
      <c r="A914" s="570" t="str">
        <f t="shared" si="14"/>
        <v>30F23</v>
      </c>
      <c r="C914" s="943" t="s">
        <v>2348</v>
      </c>
      <c r="D914" s="943" t="s">
        <v>1834</v>
      </c>
      <c r="E914" s="943">
        <v>23</v>
      </c>
      <c r="F914" s="570">
        <v>4.1000000000000003E-3</v>
      </c>
      <c r="G914" s="570">
        <v>4.0000000000000002E-4</v>
      </c>
      <c r="H914" s="570">
        <v>0</v>
      </c>
      <c r="I914" s="570">
        <v>0</v>
      </c>
      <c r="J914" s="570">
        <v>0</v>
      </c>
      <c r="K914" s="570">
        <v>3.0000000000000001E-5</v>
      </c>
    </row>
    <row r="915" spans="1:11">
      <c r="A915" s="570" t="str">
        <f t="shared" si="14"/>
        <v>29F23</v>
      </c>
      <c r="C915" s="943" t="s">
        <v>2349</v>
      </c>
      <c r="D915" s="943" t="s">
        <v>1834</v>
      </c>
      <c r="E915" s="943">
        <v>23</v>
      </c>
      <c r="F915" s="570">
        <v>2.5000000000000001E-3</v>
      </c>
      <c r="G915" s="570">
        <v>2.0000000000000001E-4</v>
      </c>
      <c r="H915" s="570">
        <v>0</v>
      </c>
      <c r="I915" s="570">
        <v>0</v>
      </c>
      <c r="J915" s="570">
        <v>0</v>
      </c>
      <c r="K915" s="570">
        <v>3.0000000000000001E-5</v>
      </c>
    </row>
    <row r="916" spans="1:11">
      <c r="A916" s="570" t="str">
        <f t="shared" si="14"/>
        <v>28F23</v>
      </c>
      <c r="C916" s="943" t="s">
        <v>2350</v>
      </c>
      <c r="D916" s="943" t="s">
        <v>1834</v>
      </c>
      <c r="E916" s="943">
        <v>23</v>
      </c>
      <c r="F916" s="570">
        <v>0</v>
      </c>
      <c r="G916" s="570">
        <v>-1E-4</v>
      </c>
      <c r="H916" s="570">
        <v>0</v>
      </c>
      <c r="I916" s="570">
        <v>0</v>
      </c>
      <c r="J916" s="570">
        <v>0</v>
      </c>
      <c r="K916" s="570">
        <v>2.0000000000000002E-5</v>
      </c>
    </row>
    <row r="917" spans="1:11">
      <c r="A917" s="570" t="str">
        <f t="shared" si="14"/>
        <v>27F23</v>
      </c>
      <c r="C917" s="943" t="s">
        <v>2351</v>
      </c>
      <c r="D917" s="943" t="s">
        <v>1834</v>
      </c>
      <c r="E917" s="943">
        <v>23</v>
      </c>
      <c r="F917" s="570">
        <v>-2.7000000000000001E-3</v>
      </c>
      <c r="G917" s="570">
        <v>-4.0000000000000002E-4</v>
      </c>
      <c r="H917" s="570">
        <v>0</v>
      </c>
      <c r="I917" s="570">
        <v>0</v>
      </c>
      <c r="J917" s="570">
        <v>0</v>
      </c>
      <c r="K917" s="570">
        <v>1.0000000000000001E-5</v>
      </c>
    </row>
    <row r="918" spans="1:11">
      <c r="A918" s="570" t="str">
        <f t="shared" si="14"/>
        <v>26F23</v>
      </c>
      <c r="C918" s="943" t="s">
        <v>2352</v>
      </c>
      <c r="D918" s="943" t="s">
        <v>1834</v>
      </c>
      <c r="E918" s="943">
        <v>23</v>
      </c>
      <c r="F918" s="570">
        <v>-4.4999999999999997E-3</v>
      </c>
      <c r="G918" s="570">
        <v>-5.9999999999999995E-4</v>
      </c>
      <c r="H918" s="570">
        <v>0</v>
      </c>
      <c r="I918" s="570">
        <v>0</v>
      </c>
      <c r="J918" s="570">
        <v>0</v>
      </c>
      <c r="K918" s="570">
        <v>-1.0000000000000001E-5</v>
      </c>
    </row>
    <row r="919" spans="1:11">
      <c r="A919" s="570" t="str">
        <f t="shared" si="14"/>
        <v>25F23</v>
      </c>
      <c r="C919" s="943" t="s">
        <v>2353</v>
      </c>
      <c r="D919" s="943" t="s">
        <v>1834</v>
      </c>
      <c r="E919" s="943">
        <v>23</v>
      </c>
      <c r="F919" s="570">
        <v>-4.4999999999999997E-3</v>
      </c>
      <c r="G919" s="570">
        <v>-5.9999999999999995E-4</v>
      </c>
      <c r="H919" s="570">
        <v>0</v>
      </c>
      <c r="I919" s="570">
        <v>0</v>
      </c>
      <c r="J919" s="570">
        <v>0</v>
      </c>
      <c r="K919" s="570">
        <v>-2.0000000000000002E-5</v>
      </c>
    </row>
    <row r="920" spans="1:11">
      <c r="A920" s="570" t="str">
        <f t="shared" si="14"/>
        <v>24F23</v>
      </c>
      <c r="C920" s="943" t="s">
        <v>2354</v>
      </c>
      <c r="D920" s="943" t="s">
        <v>1834</v>
      </c>
      <c r="E920" s="943">
        <v>23</v>
      </c>
      <c r="F920" s="570">
        <v>-2.8E-3</v>
      </c>
      <c r="G920" s="570">
        <v>-5.0000000000000001E-4</v>
      </c>
      <c r="H920" s="570">
        <v>0</v>
      </c>
      <c r="I920" s="570">
        <v>0</v>
      </c>
      <c r="J920" s="570">
        <v>0</v>
      </c>
      <c r="K920" s="570">
        <v>-3.0000000000000001E-5</v>
      </c>
    </row>
    <row r="921" spans="1:11">
      <c r="A921" s="570" t="str">
        <f t="shared" si="14"/>
        <v>23F23</v>
      </c>
      <c r="C921" s="943" t="s">
        <v>2355</v>
      </c>
      <c r="D921" s="943" t="s">
        <v>1834</v>
      </c>
      <c r="E921" s="943">
        <v>23</v>
      </c>
      <c r="F921" s="570">
        <v>2.0000000000000001E-4</v>
      </c>
      <c r="G921" s="570">
        <v>-2.0000000000000001E-4</v>
      </c>
      <c r="H921" s="570">
        <v>0</v>
      </c>
      <c r="I921" s="570">
        <v>0</v>
      </c>
      <c r="J921" s="570">
        <v>0</v>
      </c>
      <c r="K921" s="570">
        <v>-3.0000000000000001E-5</v>
      </c>
    </row>
    <row r="922" spans="1:11">
      <c r="A922" s="570" t="str">
        <f t="shared" si="14"/>
        <v>22F23</v>
      </c>
      <c r="C922" s="943" t="s">
        <v>2356</v>
      </c>
      <c r="D922" s="943" t="s">
        <v>1834</v>
      </c>
      <c r="E922" s="943">
        <v>23</v>
      </c>
      <c r="F922" s="570">
        <v>3.3E-3</v>
      </c>
      <c r="G922" s="570">
        <v>2.0000000000000001E-4</v>
      </c>
      <c r="H922" s="570">
        <v>0</v>
      </c>
      <c r="I922" s="570">
        <v>0</v>
      </c>
      <c r="J922" s="570">
        <v>0</v>
      </c>
      <c r="K922" s="570">
        <v>-2.0000000000000002E-5</v>
      </c>
    </row>
    <row r="923" spans="1:11">
      <c r="A923" s="570" t="str">
        <f t="shared" si="14"/>
        <v>21F23</v>
      </c>
      <c r="C923" s="943" t="s">
        <v>2357</v>
      </c>
      <c r="D923" s="943" t="s">
        <v>1834</v>
      </c>
      <c r="E923" s="943">
        <v>23</v>
      </c>
      <c r="F923" s="570">
        <v>5.1999999999999998E-3</v>
      </c>
      <c r="G923" s="570">
        <v>5.0000000000000001E-4</v>
      </c>
      <c r="H923" s="570">
        <v>0</v>
      </c>
      <c r="I923" s="570">
        <v>0</v>
      </c>
      <c r="J923" s="570">
        <v>0</v>
      </c>
      <c r="K923" s="570">
        <v>-1.0000000000000001E-5</v>
      </c>
    </row>
    <row r="924" spans="1:11">
      <c r="A924" s="570" t="str">
        <f t="shared" si="14"/>
        <v>20F23</v>
      </c>
      <c r="C924" s="943" t="s">
        <v>2358</v>
      </c>
      <c r="D924" s="943" t="s">
        <v>1834</v>
      </c>
      <c r="E924" s="943">
        <v>23</v>
      </c>
      <c r="F924" s="570">
        <v>5.0000000000000001E-3</v>
      </c>
      <c r="G924" s="570">
        <v>6.9999999999999999E-4</v>
      </c>
      <c r="H924" s="570">
        <v>0</v>
      </c>
      <c r="I924" s="570">
        <v>0</v>
      </c>
      <c r="J924" s="570">
        <v>0</v>
      </c>
      <c r="K924" s="570">
        <v>1.0000000000000001E-5</v>
      </c>
    </row>
    <row r="925" spans="1:11">
      <c r="A925" s="570" t="str">
        <f t="shared" si="14"/>
        <v>19F23</v>
      </c>
      <c r="C925" s="943" t="s">
        <v>2359</v>
      </c>
      <c r="D925" s="943" t="s">
        <v>1834</v>
      </c>
      <c r="E925" s="943">
        <v>23</v>
      </c>
      <c r="F925" s="570">
        <v>2.8E-3</v>
      </c>
      <c r="G925" s="570">
        <v>5.9999999999999995E-4</v>
      </c>
      <c r="H925" s="570">
        <v>0</v>
      </c>
      <c r="I925" s="570">
        <v>0</v>
      </c>
      <c r="J925" s="570">
        <v>0</v>
      </c>
      <c r="K925" s="570">
        <v>2.0000000000000002E-5</v>
      </c>
    </row>
    <row r="926" spans="1:11">
      <c r="A926" s="570" t="str">
        <f t="shared" si="14"/>
        <v>18F23</v>
      </c>
      <c r="C926" s="943" t="s">
        <v>2360</v>
      </c>
      <c r="D926" s="943" t="s">
        <v>1834</v>
      </c>
      <c r="E926" s="943">
        <v>23</v>
      </c>
      <c r="F926" s="570">
        <v>-6.9999999999999999E-4</v>
      </c>
      <c r="G926" s="570">
        <v>4.0000000000000002E-4</v>
      </c>
      <c r="H926" s="570">
        <v>0</v>
      </c>
      <c r="I926" s="570">
        <v>0</v>
      </c>
      <c r="J926" s="570">
        <v>0</v>
      </c>
      <c r="K926" s="570">
        <v>4.0000000000000003E-5</v>
      </c>
    </row>
    <row r="927" spans="1:11">
      <c r="A927" s="570" t="str">
        <f t="shared" si="14"/>
        <v>17F23</v>
      </c>
      <c r="C927" s="943" t="s">
        <v>2361</v>
      </c>
      <c r="D927" s="943" t="s">
        <v>1834</v>
      </c>
      <c r="E927" s="943">
        <v>23</v>
      </c>
      <c r="F927" s="570">
        <v>-4.0000000000000001E-3</v>
      </c>
      <c r="G927" s="570">
        <v>1E-4</v>
      </c>
      <c r="H927" s="570">
        <v>0</v>
      </c>
      <c r="I927" s="570">
        <v>0</v>
      </c>
      <c r="J927" s="570">
        <v>0</v>
      </c>
      <c r="K927" s="570">
        <v>4.0000000000000003E-5</v>
      </c>
    </row>
    <row r="928" spans="1:11">
      <c r="A928" s="570" t="str">
        <f t="shared" si="14"/>
        <v>16F23</v>
      </c>
      <c r="C928" s="943" t="s">
        <v>2362</v>
      </c>
      <c r="D928" s="943" t="s">
        <v>1834</v>
      </c>
      <c r="E928" s="943">
        <v>23</v>
      </c>
      <c r="F928" s="570">
        <v>-5.7999999999999996E-3</v>
      </c>
      <c r="G928" s="570">
        <v>-2.0000000000000001E-4</v>
      </c>
      <c r="H928" s="570">
        <v>0</v>
      </c>
      <c r="I928" s="570">
        <v>0</v>
      </c>
      <c r="J928" s="570">
        <v>0</v>
      </c>
      <c r="K928" s="570">
        <v>3.0000000000000001E-5</v>
      </c>
    </row>
    <row r="929" spans="1:11">
      <c r="A929" s="570" t="str">
        <f t="shared" si="14"/>
        <v>15F23</v>
      </c>
      <c r="C929" s="943" t="s">
        <v>2363</v>
      </c>
      <c r="D929" s="943" t="s">
        <v>1834</v>
      </c>
      <c r="E929" s="943">
        <v>23</v>
      </c>
      <c r="F929" s="570">
        <v>-5.1999999999999998E-3</v>
      </c>
      <c r="G929" s="570">
        <v>-4.0000000000000002E-4</v>
      </c>
      <c r="H929" s="570">
        <v>0</v>
      </c>
      <c r="I929" s="570">
        <v>0</v>
      </c>
      <c r="J929" s="570">
        <v>0</v>
      </c>
      <c r="K929" s="570">
        <v>0</v>
      </c>
    </row>
    <row r="930" spans="1:11">
      <c r="A930" s="570" t="str">
        <f t="shared" si="14"/>
        <v>14F23</v>
      </c>
      <c r="C930" s="943" t="s">
        <v>2364</v>
      </c>
      <c r="D930" s="943" t="s">
        <v>1834</v>
      </c>
      <c r="E930" s="943">
        <v>23</v>
      </c>
      <c r="F930" s="570">
        <v>-2.3E-3</v>
      </c>
      <c r="G930" s="570">
        <v>-4.0000000000000002E-4</v>
      </c>
      <c r="H930" s="570">
        <v>0</v>
      </c>
      <c r="I930" s="570">
        <v>0</v>
      </c>
      <c r="J930" s="570">
        <v>0</v>
      </c>
      <c r="K930" s="570">
        <v>-2.0000000000000002E-5</v>
      </c>
    </row>
    <row r="931" spans="1:11">
      <c r="A931" s="570" t="str">
        <f t="shared" si="14"/>
        <v>13F23</v>
      </c>
      <c r="C931" s="943" t="s">
        <v>2365</v>
      </c>
      <c r="D931" s="943" t="s">
        <v>1834</v>
      </c>
      <c r="E931" s="943">
        <v>23</v>
      </c>
      <c r="F931" s="570">
        <v>1.6000000000000001E-3</v>
      </c>
      <c r="G931" s="570">
        <v>-2.9999999999999997E-4</v>
      </c>
      <c r="H931" s="570">
        <v>0</v>
      </c>
      <c r="I931" s="570">
        <v>0</v>
      </c>
      <c r="J931" s="570">
        <v>0</v>
      </c>
      <c r="K931" s="570">
        <v>-4.0000000000000003E-5</v>
      </c>
    </row>
    <row r="932" spans="1:11">
      <c r="A932" s="570" t="str">
        <f t="shared" si="14"/>
        <v>12F23</v>
      </c>
      <c r="C932" s="943" t="s">
        <v>2366</v>
      </c>
      <c r="D932" s="943" t="s">
        <v>1834</v>
      </c>
      <c r="E932" s="943">
        <v>23</v>
      </c>
      <c r="F932" s="570">
        <v>4.7999999999999996E-3</v>
      </c>
      <c r="G932" s="570">
        <v>-1E-4</v>
      </c>
      <c r="H932" s="570">
        <v>0</v>
      </c>
      <c r="I932" s="570">
        <v>0</v>
      </c>
      <c r="J932" s="570">
        <v>0</v>
      </c>
      <c r="K932" s="570">
        <v>-5.0000000000000002E-5</v>
      </c>
    </row>
    <row r="933" spans="1:11">
      <c r="A933" s="570" t="str">
        <f t="shared" si="14"/>
        <v>11F23</v>
      </c>
      <c r="C933" s="943" t="s">
        <v>2367</v>
      </c>
      <c r="D933" s="943" t="s">
        <v>1834</v>
      </c>
      <c r="E933" s="943">
        <v>23</v>
      </c>
      <c r="F933" s="570">
        <v>5.8999999999999999E-3</v>
      </c>
      <c r="G933" s="570">
        <v>0</v>
      </c>
      <c r="H933" s="570">
        <v>0</v>
      </c>
      <c r="I933" s="570">
        <v>0</v>
      </c>
      <c r="J933" s="570">
        <v>0</v>
      </c>
      <c r="K933" s="570">
        <v>-4.0000000000000003E-5</v>
      </c>
    </row>
    <row r="934" spans="1:11">
      <c r="A934" s="570" t="str">
        <f t="shared" si="14"/>
        <v>10F23</v>
      </c>
      <c r="C934" s="943" t="s">
        <v>2368</v>
      </c>
      <c r="D934" s="943" t="s">
        <v>1834</v>
      </c>
      <c r="E934" s="943">
        <v>23</v>
      </c>
      <c r="F934" s="570">
        <v>4.4999999999999997E-3</v>
      </c>
      <c r="G934" s="570">
        <v>0</v>
      </c>
      <c r="H934" s="570">
        <v>0</v>
      </c>
      <c r="I934" s="570">
        <v>0</v>
      </c>
      <c r="J934" s="570">
        <v>0</v>
      </c>
      <c r="K934" s="570">
        <v>-1.0000000000000001E-5</v>
      </c>
    </row>
    <row r="935" spans="1:11">
      <c r="A935" s="570" t="str">
        <f t="shared" si="14"/>
        <v>9F23</v>
      </c>
      <c r="C935" s="943" t="s">
        <v>2369</v>
      </c>
      <c r="D935" s="943" t="s">
        <v>1834</v>
      </c>
      <c r="E935" s="943">
        <v>23</v>
      </c>
      <c r="F935" s="570">
        <v>1.4E-3</v>
      </c>
      <c r="G935" s="570">
        <v>-1E-4</v>
      </c>
      <c r="H935" s="570">
        <v>0</v>
      </c>
      <c r="I935" s="570">
        <v>0</v>
      </c>
      <c r="J935" s="570">
        <v>0</v>
      </c>
      <c r="K935" s="570">
        <v>2.0000000000000002E-5</v>
      </c>
    </row>
    <row r="936" spans="1:11">
      <c r="A936" s="570" t="str">
        <f t="shared" si="14"/>
        <v>8F23</v>
      </c>
      <c r="C936" s="943" t="s">
        <v>2370</v>
      </c>
      <c r="D936" s="943" t="s">
        <v>1834</v>
      </c>
      <c r="E936" s="943">
        <v>23</v>
      </c>
      <c r="F936" s="570">
        <v>-2.0999999999999999E-3</v>
      </c>
      <c r="G936" s="570">
        <v>-1E-4</v>
      </c>
      <c r="H936" s="570">
        <v>0</v>
      </c>
      <c r="I936" s="570">
        <v>0</v>
      </c>
      <c r="J936" s="570">
        <v>0</v>
      </c>
      <c r="K936" s="570">
        <v>4.0000000000000003E-5</v>
      </c>
    </row>
    <row r="937" spans="1:11">
      <c r="A937" s="570" t="str">
        <f t="shared" si="14"/>
        <v>7F23</v>
      </c>
      <c r="C937" s="943" t="s">
        <v>2371</v>
      </c>
      <c r="D937" s="943" t="s">
        <v>1834</v>
      </c>
      <c r="E937" s="943">
        <v>23</v>
      </c>
      <c r="F937" s="570">
        <v>-4.4999999999999997E-3</v>
      </c>
      <c r="G937" s="570">
        <v>-1E-4</v>
      </c>
      <c r="H937" s="570">
        <v>0</v>
      </c>
      <c r="I937" s="570">
        <v>0</v>
      </c>
      <c r="J937" s="570">
        <v>0</v>
      </c>
      <c r="K937" s="570">
        <v>5.0000000000000002E-5</v>
      </c>
    </row>
    <row r="938" spans="1:11">
      <c r="A938" s="570" t="str">
        <f t="shared" si="14"/>
        <v>6F23</v>
      </c>
      <c r="C938" s="943" t="s">
        <v>2372</v>
      </c>
      <c r="D938" s="943" t="s">
        <v>1834</v>
      </c>
      <c r="E938" s="943">
        <v>23</v>
      </c>
      <c r="F938" s="570">
        <v>-5.1000000000000004E-3</v>
      </c>
      <c r="G938" s="570">
        <v>0</v>
      </c>
      <c r="H938" s="570">
        <v>0</v>
      </c>
      <c r="I938" s="570">
        <v>0</v>
      </c>
      <c r="J938" s="570">
        <v>0</v>
      </c>
      <c r="K938" s="570">
        <v>4.0000000000000003E-5</v>
      </c>
    </row>
    <row r="939" spans="1:11">
      <c r="A939" s="570" t="str">
        <f t="shared" si="14"/>
        <v>5F23</v>
      </c>
      <c r="C939" s="943" t="s">
        <v>2373</v>
      </c>
      <c r="D939" s="943" t="s">
        <v>1834</v>
      </c>
      <c r="E939" s="943">
        <v>23</v>
      </c>
      <c r="F939" s="570">
        <v>-3.8999999999999998E-3</v>
      </c>
      <c r="G939" s="570">
        <v>2.0000000000000001E-4</v>
      </c>
      <c r="H939" s="570">
        <v>0</v>
      </c>
      <c r="I939" s="570">
        <v>0</v>
      </c>
      <c r="J939" s="570">
        <v>0</v>
      </c>
      <c r="K939" s="570">
        <v>2.0000000000000002E-5</v>
      </c>
    </row>
    <row r="940" spans="1:11">
      <c r="A940" s="570" t="str">
        <f t="shared" si="14"/>
        <v>4F23</v>
      </c>
      <c r="C940" s="943" t="s">
        <v>2374</v>
      </c>
      <c r="D940" s="943" t="s">
        <v>1834</v>
      </c>
      <c r="E940" s="943">
        <v>23</v>
      </c>
      <c r="F940" s="570">
        <v>-1.6000000000000001E-3</v>
      </c>
      <c r="G940" s="570">
        <v>4.0000000000000002E-4</v>
      </c>
      <c r="H940" s="570">
        <v>0</v>
      </c>
      <c r="I940" s="570">
        <v>0</v>
      </c>
      <c r="J940" s="570">
        <v>0</v>
      </c>
      <c r="K940" s="570">
        <v>-1.0000000000000001E-5</v>
      </c>
    </row>
    <row r="941" spans="1:11">
      <c r="A941" s="570" t="str">
        <f t="shared" si="14"/>
        <v>3F23</v>
      </c>
      <c r="C941" s="943" t="s">
        <v>2375</v>
      </c>
      <c r="D941" s="943" t="s">
        <v>1834</v>
      </c>
      <c r="E941" s="943">
        <v>23</v>
      </c>
      <c r="F941" s="570">
        <v>1.2999999999999999E-3</v>
      </c>
      <c r="G941" s="570">
        <v>4.0000000000000002E-4</v>
      </c>
      <c r="H941" s="570">
        <v>0</v>
      </c>
      <c r="I941" s="570">
        <v>0</v>
      </c>
      <c r="J941" s="570">
        <v>0</v>
      </c>
      <c r="K941" s="570">
        <v>-4.0000000000000003E-5</v>
      </c>
    </row>
    <row r="942" spans="1:11">
      <c r="A942" s="570" t="str">
        <f t="shared" si="14"/>
        <v>2F23</v>
      </c>
      <c r="C942" s="943" t="s">
        <v>2376</v>
      </c>
      <c r="D942" s="943" t="s">
        <v>1834</v>
      </c>
      <c r="E942" s="943">
        <v>23</v>
      </c>
      <c r="F942" s="570">
        <v>3.7000000000000002E-3</v>
      </c>
      <c r="G942" s="570">
        <v>4.0000000000000002E-4</v>
      </c>
      <c r="H942" s="570">
        <v>0</v>
      </c>
      <c r="I942" s="570">
        <v>0</v>
      </c>
      <c r="J942" s="570">
        <v>0</v>
      </c>
      <c r="K942" s="570">
        <v>-5.0000000000000002E-5</v>
      </c>
    </row>
    <row r="943" spans="1:11">
      <c r="A943" s="570" t="str">
        <f t="shared" si="14"/>
        <v>1F23</v>
      </c>
      <c r="C943" s="943" t="s">
        <v>2377</v>
      </c>
      <c r="D943" s="943" t="s">
        <v>1834</v>
      </c>
      <c r="E943" s="943">
        <v>23</v>
      </c>
      <c r="F943" s="570">
        <v>4.4000000000000003E-3</v>
      </c>
      <c r="G943" s="570">
        <v>1E-4</v>
      </c>
      <c r="H943" s="570">
        <v>0</v>
      </c>
      <c r="I943" s="570">
        <v>0</v>
      </c>
      <c r="J943" s="570">
        <v>0</v>
      </c>
      <c r="K943" s="570">
        <v>-4.0000000000000003E-5</v>
      </c>
    </row>
    <row r="944" spans="1:11">
      <c r="A944" s="570" t="str">
        <f t="shared" si="14"/>
        <v>B123</v>
      </c>
      <c r="C944" s="943" t="s">
        <v>2327</v>
      </c>
      <c r="D944" s="943" t="s">
        <v>1834</v>
      </c>
      <c r="E944" s="943">
        <v>23</v>
      </c>
      <c r="F944" s="570">
        <v>0</v>
      </c>
      <c r="G944" s="570">
        <v>0</v>
      </c>
      <c r="H944" s="570">
        <v>0</v>
      </c>
      <c r="I944" s="570">
        <v>0</v>
      </c>
      <c r="J944" s="570">
        <v>0</v>
      </c>
      <c r="K944" s="570">
        <v>0</v>
      </c>
    </row>
    <row r="945" spans="1:11">
      <c r="A945" s="570" t="str">
        <f t="shared" si="14"/>
        <v>MAI24</v>
      </c>
      <c r="C945" s="943" t="s">
        <v>2270</v>
      </c>
      <c r="D945" s="943" t="s">
        <v>1834</v>
      </c>
      <c r="E945" s="943">
        <v>24</v>
      </c>
      <c r="F945" s="570">
        <v>-5.0000000000000001E-4</v>
      </c>
      <c r="G945" s="570">
        <v>-8.3000000000000001E-3</v>
      </c>
      <c r="H945" s="570">
        <v>0</v>
      </c>
      <c r="I945" s="570">
        <v>0</v>
      </c>
      <c r="J945" s="570">
        <v>0</v>
      </c>
      <c r="K945" s="570">
        <v>3.0000000000000001E-5</v>
      </c>
    </row>
    <row r="946" spans="1:11">
      <c r="A946" s="570" t="str">
        <f t="shared" si="14"/>
        <v>TUM24</v>
      </c>
      <c r="C946" s="943" t="s">
        <v>2271</v>
      </c>
      <c r="D946" s="943" t="s">
        <v>1834</v>
      </c>
      <c r="E946" s="943">
        <v>24</v>
      </c>
      <c r="F946" s="570">
        <v>0</v>
      </c>
      <c r="G946" s="570">
        <v>-4.0000000000000001E-3</v>
      </c>
      <c r="H946" s="570">
        <v>0</v>
      </c>
      <c r="I946" s="570">
        <v>0</v>
      </c>
      <c r="J946" s="570">
        <v>0</v>
      </c>
      <c r="K946" s="570">
        <v>0</v>
      </c>
    </row>
    <row r="947" spans="1:11">
      <c r="A947" s="570" t="str">
        <f t="shared" si="14"/>
        <v>38F24</v>
      </c>
      <c r="C947" s="943" t="s">
        <v>2340</v>
      </c>
      <c r="D947" s="943" t="s">
        <v>1834</v>
      </c>
      <c r="E947" s="943">
        <v>24</v>
      </c>
      <c r="F947" s="570">
        <v>1E-4</v>
      </c>
      <c r="G947" s="570">
        <v>-1.4E-3</v>
      </c>
      <c r="H947" s="570">
        <v>0</v>
      </c>
      <c r="I947" s="570">
        <v>0</v>
      </c>
      <c r="J947" s="570">
        <v>0</v>
      </c>
      <c r="K947" s="570">
        <v>0</v>
      </c>
    </row>
    <row r="948" spans="1:11">
      <c r="A948" s="570" t="str">
        <f t="shared" si="14"/>
        <v>37F24</v>
      </c>
      <c r="C948" s="943" t="s">
        <v>2341</v>
      </c>
      <c r="D948" s="943" t="s">
        <v>1834</v>
      </c>
      <c r="E948" s="943">
        <v>24</v>
      </c>
      <c r="F948" s="570">
        <v>2.0000000000000001E-4</v>
      </c>
      <c r="G948" s="570">
        <v>1.1000000000000001E-3</v>
      </c>
      <c r="H948" s="570">
        <v>0</v>
      </c>
      <c r="I948" s="570">
        <v>0</v>
      </c>
      <c r="J948" s="570">
        <v>0</v>
      </c>
      <c r="K948" s="570">
        <v>0</v>
      </c>
    </row>
    <row r="949" spans="1:11">
      <c r="A949" s="570" t="str">
        <f t="shared" si="14"/>
        <v>36F24</v>
      </c>
      <c r="C949" s="943" t="s">
        <v>2342</v>
      </c>
      <c r="D949" s="943" t="s">
        <v>1834</v>
      </c>
      <c r="E949" s="943">
        <v>24</v>
      </c>
      <c r="F949" s="570">
        <v>2.0000000000000001E-4</v>
      </c>
      <c r="G949" s="570">
        <v>3.2000000000000002E-3</v>
      </c>
      <c r="H949" s="570">
        <v>0</v>
      </c>
      <c r="I949" s="570">
        <v>0</v>
      </c>
      <c r="J949" s="570">
        <v>0</v>
      </c>
      <c r="K949" s="570">
        <v>0</v>
      </c>
    </row>
    <row r="950" spans="1:11">
      <c r="A950" s="570" t="str">
        <f t="shared" si="14"/>
        <v>35F24</v>
      </c>
      <c r="C950" s="943" t="s">
        <v>2343</v>
      </c>
      <c r="D950" s="943" t="s">
        <v>1834</v>
      </c>
      <c r="E950" s="943">
        <v>24</v>
      </c>
      <c r="F950" s="570">
        <v>0</v>
      </c>
      <c r="G950" s="570">
        <v>4.3E-3</v>
      </c>
      <c r="H950" s="570">
        <v>0</v>
      </c>
      <c r="I950" s="570">
        <v>0</v>
      </c>
      <c r="J950" s="570">
        <v>0</v>
      </c>
      <c r="K950" s="570">
        <v>0</v>
      </c>
    </row>
    <row r="951" spans="1:11">
      <c r="A951" s="570" t="str">
        <f t="shared" si="14"/>
        <v>34F24</v>
      </c>
      <c r="C951" s="943" t="s">
        <v>2344</v>
      </c>
      <c r="D951" s="943" t="s">
        <v>1834</v>
      </c>
      <c r="E951" s="943">
        <v>24</v>
      </c>
      <c r="F951" s="570">
        <v>-2.0000000000000001E-4</v>
      </c>
      <c r="G951" s="570">
        <v>4.4000000000000003E-3</v>
      </c>
      <c r="H951" s="570">
        <v>0</v>
      </c>
      <c r="I951" s="570">
        <v>0</v>
      </c>
      <c r="J951" s="570">
        <v>0</v>
      </c>
      <c r="K951" s="570">
        <v>0</v>
      </c>
    </row>
    <row r="952" spans="1:11">
      <c r="A952" s="570" t="str">
        <f t="shared" si="14"/>
        <v>33F24</v>
      </c>
      <c r="C952" s="943" t="s">
        <v>2345</v>
      </c>
      <c r="D952" s="943" t="s">
        <v>1834</v>
      </c>
      <c r="E952" s="943">
        <v>24</v>
      </c>
      <c r="F952" s="570">
        <v>-2.9999999999999997E-4</v>
      </c>
      <c r="G952" s="570">
        <v>3.3999999999999998E-3</v>
      </c>
      <c r="H952" s="570">
        <v>0</v>
      </c>
      <c r="I952" s="570">
        <v>0</v>
      </c>
      <c r="J952" s="570">
        <v>0</v>
      </c>
      <c r="K952" s="570">
        <v>1.0000000000000001E-5</v>
      </c>
    </row>
    <row r="953" spans="1:11">
      <c r="A953" s="570" t="str">
        <f t="shared" si="14"/>
        <v>32F24</v>
      </c>
      <c r="C953" s="943" t="s">
        <v>2346</v>
      </c>
      <c r="D953" s="943" t="s">
        <v>1834</v>
      </c>
      <c r="E953" s="943">
        <v>24</v>
      </c>
      <c r="F953" s="570">
        <v>-4.0000000000000002E-4</v>
      </c>
      <c r="G953" s="570">
        <v>1.5E-3</v>
      </c>
      <c r="H953" s="570">
        <v>0</v>
      </c>
      <c r="I953" s="570">
        <v>0</v>
      </c>
      <c r="J953" s="570">
        <v>0</v>
      </c>
      <c r="K953" s="570">
        <v>1.0000000000000001E-5</v>
      </c>
    </row>
    <row r="954" spans="1:11">
      <c r="A954" s="570" t="str">
        <f t="shared" si="14"/>
        <v>31F24</v>
      </c>
      <c r="C954" s="943" t="s">
        <v>2347</v>
      </c>
      <c r="D954" s="943" t="s">
        <v>1834</v>
      </c>
      <c r="E954" s="943">
        <v>24</v>
      </c>
      <c r="F954" s="570">
        <v>-2.9999999999999997E-4</v>
      </c>
      <c r="G954" s="570">
        <v>-8.0000000000000004E-4</v>
      </c>
      <c r="H954" s="570">
        <v>0</v>
      </c>
      <c r="I954" s="570">
        <v>0</v>
      </c>
      <c r="J954" s="570">
        <v>0</v>
      </c>
      <c r="K954" s="570">
        <v>0</v>
      </c>
    </row>
    <row r="955" spans="1:11">
      <c r="A955" s="570" t="str">
        <f t="shared" si="14"/>
        <v>30F24</v>
      </c>
      <c r="C955" s="943" t="s">
        <v>2348</v>
      </c>
      <c r="D955" s="943" t="s">
        <v>1834</v>
      </c>
      <c r="E955" s="943">
        <v>24</v>
      </c>
      <c r="F955" s="570">
        <v>0</v>
      </c>
      <c r="G955" s="570">
        <v>-3.0000000000000001E-3</v>
      </c>
      <c r="H955" s="570">
        <v>0</v>
      </c>
      <c r="I955" s="570">
        <v>0</v>
      </c>
      <c r="J955" s="570">
        <v>0</v>
      </c>
      <c r="K955" s="570">
        <v>0</v>
      </c>
    </row>
    <row r="956" spans="1:11">
      <c r="A956" s="570" t="str">
        <f t="shared" si="14"/>
        <v>29F24</v>
      </c>
      <c r="C956" s="943" t="s">
        <v>2349</v>
      </c>
      <c r="D956" s="943" t="s">
        <v>1834</v>
      </c>
      <c r="E956" s="943">
        <v>24</v>
      </c>
      <c r="F956" s="570">
        <v>2.9999999999999997E-4</v>
      </c>
      <c r="G956" s="570">
        <v>-4.4999999999999997E-3</v>
      </c>
      <c r="H956" s="570">
        <v>0</v>
      </c>
      <c r="I956" s="570">
        <v>0</v>
      </c>
      <c r="J956" s="570">
        <v>0</v>
      </c>
      <c r="K956" s="570">
        <v>-1.0000000000000001E-5</v>
      </c>
    </row>
    <row r="957" spans="1:11">
      <c r="A957" s="570" t="str">
        <f t="shared" si="14"/>
        <v>28F24</v>
      </c>
      <c r="C957" s="943" t="s">
        <v>2350</v>
      </c>
      <c r="D957" s="943" t="s">
        <v>1834</v>
      </c>
      <c r="E957" s="943">
        <v>24</v>
      </c>
      <c r="F957" s="570">
        <v>5.0000000000000001E-4</v>
      </c>
      <c r="G957" s="570">
        <v>-5.1000000000000004E-3</v>
      </c>
      <c r="H957" s="570">
        <v>0</v>
      </c>
      <c r="I957" s="570">
        <v>0</v>
      </c>
      <c r="J957" s="570">
        <v>0</v>
      </c>
      <c r="K957" s="570">
        <v>-1.0000000000000001E-5</v>
      </c>
    </row>
    <row r="958" spans="1:11">
      <c r="A958" s="570" t="str">
        <f t="shared" si="14"/>
        <v>27F24</v>
      </c>
      <c r="C958" s="943" t="s">
        <v>2351</v>
      </c>
      <c r="D958" s="943" t="s">
        <v>1834</v>
      </c>
      <c r="E958" s="943">
        <v>24</v>
      </c>
      <c r="F958" s="570">
        <v>5.9999999999999995E-4</v>
      </c>
      <c r="G958" s="570">
        <v>-4.4000000000000003E-3</v>
      </c>
      <c r="H958" s="570">
        <v>0</v>
      </c>
      <c r="I958" s="570">
        <v>0</v>
      </c>
      <c r="J958" s="570">
        <v>0</v>
      </c>
      <c r="K958" s="570">
        <v>-1.0000000000000001E-5</v>
      </c>
    </row>
    <row r="959" spans="1:11">
      <c r="A959" s="570" t="str">
        <f t="shared" si="14"/>
        <v>26F24</v>
      </c>
      <c r="C959" s="943" t="s">
        <v>2352</v>
      </c>
      <c r="D959" s="943" t="s">
        <v>1834</v>
      </c>
      <c r="E959" s="943">
        <v>24</v>
      </c>
      <c r="F959" s="570">
        <v>4.0000000000000002E-4</v>
      </c>
      <c r="G959" s="570">
        <v>-2.7000000000000001E-3</v>
      </c>
      <c r="H959" s="570">
        <v>0</v>
      </c>
      <c r="I959" s="570">
        <v>0</v>
      </c>
      <c r="J959" s="570">
        <v>0</v>
      </c>
      <c r="K959" s="570">
        <v>-1.0000000000000001E-5</v>
      </c>
    </row>
    <row r="960" spans="1:11">
      <c r="A960" s="570" t="str">
        <f t="shared" si="14"/>
        <v>25F24</v>
      </c>
      <c r="C960" s="943" t="s">
        <v>2353</v>
      </c>
      <c r="D960" s="943" t="s">
        <v>1834</v>
      </c>
      <c r="E960" s="943">
        <v>24</v>
      </c>
      <c r="F960" s="570">
        <v>1E-4</v>
      </c>
      <c r="G960" s="570">
        <v>-2.9999999999999997E-4</v>
      </c>
      <c r="H960" s="570">
        <v>0</v>
      </c>
      <c r="I960" s="570">
        <v>0</v>
      </c>
      <c r="J960" s="570">
        <v>0</v>
      </c>
      <c r="K960" s="570">
        <v>0</v>
      </c>
    </row>
    <row r="961" spans="1:11">
      <c r="A961" s="570" t="str">
        <f t="shared" si="14"/>
        <v>24F24</v>
      </c>
      <c r="C961" s="943" t="s">
        <v>2354</v>
      </c>
      <c r="D961" s="943" t="s">
        <v>1834</v>
      </c>
      <c r="E961" s="943">
        <v>24</v>
      </c>
      <c r="F961" s="570">
        <v>-2.9999999999999997E-4</v>
      </c>
      <c r="G961" s="570">
        <v>2.3E-3</v>
      </c>
      <c r="H961" s="570">
        <v>0</v>
      </c>
      <c r="I961" s="570">
        <v>0</v>
      </c>
      <c r="J961" s="570">
        <v>0</v>
      </c>
      <c r="K961" s="570">
        <v>1.0000000000000001E-5</v>
      </c>
    </row>
    <row r="962" spans="1:11">
      <c r="A962" s="570" t="str">
        <f t="shared" ref="A962:A1028" si="15">C962&amp;E962</f>
        <v>23F24</v>
      </c>
      <c r="C962" s="943" t="s">
        <v>2355</v>
      </c>
      <c r="D962" s="943" t="s">
        <v>1834</v>
      </c>
      <c r="E962" s="943">
        <v>24</v>
      </c>
      <c r="F962" s="570">
        <v>-5.0000000000000001E-4</v>
      </c>
      <c r="G962" s="570">
        <v>4.4000000000000003E-3</v>
      </c>
      <c r="H962" s="570">
        <v>0</v>
      </c>
      <c r="I962" s="570">
        <v>0</v>
      </c>
      <c r="J962" s="570">
        <v>0</v>
      </c>
      <c r="K962" s="570">
        <v>2.0000000000000002E-5</v>
      </c>
    </row>
    <row r="963" spans="1:11">
      <c r="A963" s="570" t="str">
        <f t="shared" si="15"/>
        <v>22F24</v>
      </c>
      <c r="C963" s="943" t="s">
        <v>2356</v>
      </c>
      <c r="D963" s="943" t="s">
        <v>1834</v>
      </c>
      <c r="E963" s="943">
        <v>24</v>
      </c>
      <c r="F963" s="570">
        <v>-5.9999999999999995E-4</v>
      </c>
      <c r="G963" s="570">
        <v>5.4000000000000003E-3</v>
      </c>
      <c r="H963" s="570">
        <v>0</v>
      </c>
      <c r="I963" s="570">
        <v>0</v>
      </c>
      <c r="J963" s="570">
        <v>0</v>
      </c>
      <c r="K963" s="570">
        <v>1.0000000000000001E-5</v>
      </c>
    </row>
    <row r="964" spans="1:11">
      <c r="A964" s="570" t="str">
        <f t="shared" si="15"/>
        <v>21F24</v>
      </c>
      <c r="C964" s="943" t="s">
        <v>2357</v>
      </c>
      <c r="D964" s="943" t="s">
        <v>1834</v>
      </c>
      <c r="E964" s="943">
        <v>24</v>
      </c>
      <c r="F964" s="570">
        <v>-5.0000000000000001E-4</v>
      </c>
      <c r="G964" s="570">
        <v>5.1000000000000004E-3</v>
      </c>
      <c r="H964" s="570">
        <v>0</v>
      </c>
      <c r="I964" s="570">
        <v>0</v>
      </c>
      <c r="J964" s="570">
        <v>0</v>
      </c>
      <c r="K964" s="570">
        <v>1.0000000000000001E-5</v>
      </c>
    </row>
    <row r="965" spans="1:11">
      <c r="A965" s="570" t="str">
        <f t="shared" si="15"/>
        <v>20F24</v>
      </c>
      <c r="C965" s="943" t="s">
        <v>2358</v>
      </c>
      <c r="D965" s="943" t="s">
        <v>1834</v>
      </c>
      <c r="E965" s="943">
        <v>24</v>
      </c>
      <c r="F965" s="570">
        <v>-1E-4</v>
      </c>
      <c r="G965" s="570">
        <v>3.5999999999999999E-3</v>
      </c>
      <c r="H965" s="570">
        <v>0</v>
      </c>
      <c r="I965" s="570">
        <v>0</v>
      </c>
      <c r="J965" s="570">
        <v>0</v>
      </c>
      <c r="K965" s="570">
        <v>0</v>
      </c>
    </row>
    <row r="966" spans="1:11">
      <c r="A966" s="570" t="str">
        <f t="shared" si="15"/>
        <v>19F24</v>
      </c>
      <c r="C966" s="943" t="s">
        <v>2359</v>
      </c>
      <c r="D966" s="943" t="s">
        <v>1834</v>
      </c>
      <c r="E966" s="943">
        <v>24</v>
      </c>
      <c r="F966" s="570">
        <v>2.0000000000000001E-4</v>
      </c>
      <c r="G966" s="570">
        <v>1.1000000000000001E-3</v>
      </c>
      <c r="H966" s="570">
        <v>0</v>
      </c>
      <c r="I966" s="570">
        <v>0</v>
      </c>
      <c r="J966" s="570">
        <v>0</v>
      </c>
      <c r="K966" s="570">
        <v>-2.0000000000000002E-5</v>
      </c>
    </row>
    <row r="967" spans="1:11">
      <c r="A967" s="570" t="str">
        <f t="shared" si="15"/>
        <v>18F24</v>
      </c>
      <c r="C967" s="943" t="s">
        <v>2360</v>
      </c>
      <c r="D967" s="943" t="s">
        <v>1834</v>
      </c>
      <c r="E967" s="943">
        <v>24</v>
      </c>
      <c r="F967" s="570">
        <v>5.0000000000000001E-4</v>
      </c>
      <c r="G967" s="570">
        <v>-1.6999999999999999E-3</v>
      </c>
      <c r="H967" s="570">
        <v>0</v>
      </c>
      <c r="I967" s="570">
        <v>0</v>
      </c>
      <c r="J967" s="570">
        <v>0</v>
      </c>
      <c r="K967" s="570">
        <v>-2.0000000000000002E-5</v>
      </c>
    </row>
    <row r="968" spans="1:11">
      <c r="A968" s="570" t="str">
        <f t="shared" si="15"/>
        <v>17F24</v>
      </c>
      <c r="C968" s="943" t="s">
        <v>2361</v>
      </c>
      <c r="D968" s="943" t="s">
        <v>1834</v>
      </c>
      <c r="E968" s="943">
        <v>24</v>
      </c>
      <c r="F968" s="570">
        <v>5.0000000000000001E-4</v>
      </c>
      <c r="G968" s="570">
        <v>-4.1999999999999997E-3</v>
      </c>
      <c r="H968" s="570">
        <v>0</v>
      </c>
      <c r="I968" s="570">
        <v>0</v>
      </c>
      <c r="J968" s="570">
        <v>0</v>
      </c>
      <c r="K968" s="570">
        <v>-1.0000000000000001E-5</v>
      </c>
    </row>
    <row r="969" spans="1:11">
      <c r="A969" s="570" t="str">
        <f t="shared" si="15"/>
        <v>16F24</v>
      </c>
      <c r="C969" s="943" t="s">
        <v>2362</v>
      </c>
      <c r="D969" s="943" t="s">
        <v>1834</v>
      </c>
      <c r="E969" s="943">
        <v>24</v>
      </c>
      <c r="F969" s="570">
        <v>4.0000000000000002E-4</v>
      </c>
      <c r="G969" s="570">
        <v>-5.5999999999999999E-3</v>
      </c>
      <c r="H969" s="570">
        <v>0</v>
      </c>
      <c r="I969" s="570">
        <v>0</v>
      </c>
      <c r="J969" s="570">
        <v>0</v>
      </c>
      <c r="K969" s="570">
        <v>0</v>
      </c>
    </row>
    <row r="970" spans="1:11">
      <c r="A970" s="570" t="str">
        <f t="shared" si="15"/>
        <v>15F24</v>
      </c>
      <c r="C970" s="943" t="s">
        <v>2363</v>
      </c>
      <c r="D970" s="943" t="s">
        <v>1834</v>
      </c>
      <c r="E970" s="943">
        <v>24</v>
      </c>
      <c r="F970" s="570">
        <v>1E-4</v>
      </c>
      <c r="G970" s="570">
        <v>-5.7000000000000002E-3</v>
      </c>
      <c r="H970" s="570">
        <v>0</v>
      </c>
      <c r="I970" s="570">
        <v>0</v>
      </c>
      <c r="J970" s="570">
        <v>0</v>
      </c>
      <c r="K970" s="570">
        <v>1.0000000000000001E-5</v>
      </c>
    </row>
    <row r="971" spans="1:11">
      <c r="A971" s="570" t="str">
        <f t="shared" si="15"/>
        <v>14F24</v>
      </c>
      <c r="C971" s="943" t="s">
        <v>2364</v>
      </c>
      <c r="D971" s="943" t="s">
        <v>1834</v>
      </c>
      <c r="E971" s="943">
        <v>24</v>
      </c>
      <c r="F971" s="570">
        <v>-2.0000000000000001E-4</v>
      </c>
      <c r="G971" s="570">
        <v>-4.3E-3</v>
      </c>
      <c r="H971" s="570">
        <v>0</v>
      </c>
      <c r="I971" s="570">
        <v>0</v>
      </c>
      <c r="J971" s="570">
        <v>0</v>
      </c>
      <c r="K971" s="570">
        <v>2.0000000000000002E-5</v>
      </c>
    </row>
    <row r="972" spans="1:11">
      <c r="A972" s="570" t="str">
        <f t="shared" si="15"/>
        <v>13F24</v>
      </c>
      <c r="C972" s="943" t="s">
        <v>2365</v>
      </c>
      <c r="D972" s="943" t="s">
        <v>1834</v>
      </c>
      <c r="E972" s="943">
        <v>24</v>
      </c>
      <c r="F972" s="570">
        <v>-4.0000000000000002E-4</v>
      </c>
      <c r="G972" s="570">
        <v>-1.8E-3</v>
      </c>
      <c r="H972" s="570">
        <v>0</v>
      </c>
      <c r="I972" s="570">
        <v>0</v>
      </c>
      <c r="J972" s="570">
        <v>0</v>
      </c>
      <c r="K972" s="570">
        <v>2.0000000000000002E-5</v>
      </c>
    </row>
    <row r="973" spans="1:11">
      <c r="A973" s="570" t="str">
        <f t="shared" si="15"/>
        <v>12F24</v>
      </c>
      <c r="C973" s="943" t="s">
        <v>2366</v>
      </c>
      <c r="D973" s="943" t="s">
        <v>1834</v>
      </c>
      <c r="E973" s="943">
        <v>24</v>
      </c>
      <c r="F973" s="570">
        <v>-2.9999999999999997E-4</v>
      </c>
      <c r="G973" s="570">
        <v>1E-3</v>
      </c>
      <c r="H973" s="570">
        <v>0</v>
      </c>
      <c r="I973" s="570">
        <v>0</v>
      </c>
      <c r="J973" s="570">
        <v>0</v>
      </c>
      <c r="K973" s="570">
        <v>1.0000000000000001E-5</v>
      </c>
    </row>
    <row r="974" spans="1:11">
      <c r="A974" s="570" t="str">
        <f t="shared" si="15"/>
        <v>11F24</v>
      </c>
      <c r="C974" s="943" t="s">
        <v>2367</v>
      </c>
      <c r="D974" s="943" t="s">
        <v>1834</v>
      </c>
      <c r="E974" s="943">
        <v>24</v>
      </c>
      <c r="F974" s="570">
        <v>-1E-4</v>
      </c>
      <c r="G974" s="570">
        <v>3.5999999999999999E-3</v>
      </c>
      <c r="H974" s="570">
        <v>0</v>
      </c>
      <c r="I974" s="570">
        <v>0</v>
      </c>
      <c r="J974" s="570">
        <v>0</v>
      </c>
      <c r="K974" s="570">
        <v>-1.0000000000000001E-5</v>
      </c>
    </row>
    <row r="975" spans="1:11">
      <c r="A975" s="570" t="str">
        <f t="shared" si="15"/>
        <v>10F24</v>
      </c>
      <c r="C975" s="943" t="s">
        <v>2368</v>
      </c>
      <c r="D975" s="943" t="s">
        <v>1834</v>
      </c>
      <c r="E975" s="943">
        <v>24</v>
      </c>
      <c r="F975" s="570">
        <v>1E-4</v>
      </c>
      <c r="G975" s="570">
        <v>5.1000000000000004E-3</v>
      </c>
      <c r="H975" s="570">
        <v>0</v>
      </c>
      <c r="I975" s="570">
        <v>0</v>
      </c>
      <c r="J975" s="570">
        <v>0</v>
      </c>
      <c r="K975" s="570">
        <v>-2.0000000000000002E-5</v>
      </c>
    </row>
    <row r="976" spans="1:11">
      <c r="A976" s="570" t="str">
        <f t="shared" si="15"/>
        <v>9F24</v>
      </c>
      <c r="C976" s="943" t="s">
        <v>2369</v>
      </c>
      <c r="D976" s="943" t="s">
        <v>1834</v>
      </c>
      <c r="E976" s="943">
        <v>24</v>
      </c>
      <c r="F976" s="570">
        <v>2.0000000000000001E-4</v>
      </c>
      <c r="G976" s="570">
        <v>5.3E-3</v>
      </c>
      <c r="H976" s="570">
        <v>0</v>
      </c>
      <c r="I976" s="570">
        <v>0</v>
      </c>
      <c r="J976" s="570">
        <v>0</v>
      </c>
      <c r="K976" s="570">
        <v>-3.0000000000000001E-5</v>
      </c>
    </row>
    <row r="977" spans="1:11">
      <c r="A977" s="570" t="str">
        <f t="shared" si="15"/>
        <v>8F24</v>
      </c>
      <c r="C977" s="943" t="s">
        <v>2370</v>
      </c>
      <c r="D977" s="943" t="s">
        <v>1834</v>
      </c>
      <c r="E977" s="943">
        <v>24</v>
      </c>
      <c r="F977" s="570">
        <v>2.0000000000000001E-4</v>
      </c>
      <c r="G977" s="570">
        <v>4.3E-3</v>
      </c>
      <c r="H977" s="570">
        <v>0</v>
      </c>
      <c r="I977" s="570">
        <v>0</v>
      </c>
      <c r="J977" s="570">
        <v>0</v>
      </c>
      <c r="K977" s="570">
        <v>-2.0000000000000002E-5</v>
      </c>
    </row>
    <row r="978" spans="1:11">
      <c r="A978" s="570" t="str">
        <f t="shared" si="15"/>
        <v>7F24</v>
      </c>
      <c r="C978" s="943" t="s">
        <v>2371</v>
      </c>
      <c r="D978" s="943" t="s">
        <v>1834</v>
      </c>
      <c r="E978" s="943">
        <v>24</v>
      </c>
      <c r="F978" s="570">
        <v>0</v>
      </c>
      <c r="G978" s="570">
        <v>2.3999999999999998E-3</v>
      </c>
      <c r="H978" s="570">
        <v>0</v>
      </c>
      <c r="I978" s="570">
        <v>0</v>
      </c>
      <c r="J978" s="570">
        <v>0</v>
      </c>
      <c r="K978" s="570">
        <v>0</v>
      </c>
    </row>
    <row r="979" spans="1:11">
      <c r="A979" s="570" t="str">
        <f t="shared" si="15"/>
        <v>6F24</v>
      </c>
      <c r="C979" s="943" t="s">
        <v>2372</v>
      </c>
      <c r="D979" s="943" t="s">
        <v>1834</v>
      </c>
      <c r="E979" s="943">
        <v>24</v>
      </c>
      <c r="F979" s="570">
        <v>-2.9999999999999997E-4</v>
      </c>
      <c r="G979" s="570">
        <v>0</v>
      </c>
      <c r="H979" s="570">
        <v>0</v>
      </c>
      <c r="I979" s="570">
        <v>0</v>
      </c>
      <c r="J979" s="570">
        <v>0</v>
      </c>
      <c r="K979" s="570">
        <v>2.0000000000000002E-5</v>
      </c>
    </row>
    <row r="980" spans="1:11">
      <c r="A980" s="570" t="str">
        <f t="shared" si="15"/>
        <v>5F24</v>
      </c>
      <c r="C980" s="943" t="s">
        <v>2373</v>
      </c>
      <c r="D980" s="943" t="s">
        <v>1834</v>
      </c>
      <c r="E980" s="943">
        <v>24</v>
      </c>
      <c r="F980" s="570">
        <v>-2.9999999999999997E-4</v>
      </c>
      <c r="G980" s="570">
        <v>-2.3E-3</v>
      </c>
      <c r="H980" s="570">
        <v>0</v>
      </c>
      <c r="I980" s="570">
        <v>0</v>
      </c>
      <c r="J980" s="570">
        <v>0</v>
      </c>
      <c r="K980" s="570">
        <v>3.0000000000000001E-5</v>
      </c>
    </row>
    <row r="981" spans="1:11">
      <c r="A981" s="570" t="str">
        <f t="shared" si="15"/>
        <v>4F24</v>
      </c>
      <c r="C981" s="943" t="s">
        <v>2374</v>
      </c>
      <c r="D981" s="943" t="s">
        <v>1834</v>
      </c>
      <c r="E981" s="943">
        <v>24</v>
      </c>
      <c r="F981" s="570">
        <v>-2.0000000000000001E-4</v>
      </c>
      <c r="G981" s="570">
        <v>-4.1999999999999997E-3</v>
      </c>
      <c r="H981" s="570">
        <v>0</v>
      </c>
      <c r="I981" s="570">
        <v>0</v>
      </c>
      <c r="J981" s="570">
        <v>0</v>
      </c>
      <c r="K981" s="570">
        <v>4.0000000000000003E-5</v>
      </c>
    </row>
    <row r="982" spans="1:11">
      <c r="A982" s="570" t="str">
        <f t="shared" si="15"/>
        <v>3F24</v>
      </c>
      <c r="C982" s="943" t="s">
        <v>2375</v>
      </c>
      <c r="D982" s="943" t="s">
        <v>1834</v>
      </c>
      <c r="E982" s="943">
        <v>24</v>
      </c>
      <c r="F982" s="570">
        <v>0</v>
      </c>
      <c r="G982" s="570">
        <v>-5.3E-3</v>
      </c>
      <c r="H982" s="570">
        <v>0</v>
      </c>
      <c r="I982" s="570">
        <v>0</v>
      </c>
      <c r="J982" s="570">
        <v>0</v>
      </c>
      <c r="K982" s="570">
        <v>2.0000000000000002E-5</v>
      </c>
    </row>
    <row r="983" spans="1:11">
      <c r="A983" s="570" t="str">
        <f t="shared" si="15"/>
        <v>2F24</v>
      </c>
      <c r="C983" s="943" t="s">
        <v>2376</v>
      </c>
      <c r="D983" s="943" t="s">
        <v>1834</v>
      </c>
      <c r="E983" s="943">
        <v>24</v>
      </c>
      <c r="F983" s="570">
        <v>2.9999999999999997E-4</v>
      </c>
      <c r="G983" s="570">
        <v>-5.4000000000000003E-3</v>
      </c>
      <c r="H983" s="570">
        <v>0</v>
      </c>
      <c r="I983" s="570">
        <v>0</v>
      </c>
      <c r="J983" s="570">
        <v>0</v>
      </c>
      <c r="K983" s="570">
        <v>1.0000000000000001E-5</v>
      </c>
    </row>
    <row r="984" spans="1:11">
      <c r="A984" s="570" t="str">
        <f t="shared" si="15"/>
        <v>1F24</v>
      </c>
      <c r="C984" s="943" t="s">
        <v>2377</v>
      </c>
      <c r="D984" s="943" t="s">
        <v>1834</v>
      </c>
      <c r="E984" s="943">
        <v>24</v>
      </c>
      <c r="F984" s="570">
        <v>4.0000000000000002E-4</v>
      </c>
      <c r="G984" s="570">
        <v>-3.3E-3</v>
      </c>
      <c r="H984" s="570">
        <v>0</v>
      </c>
      <c r="I984" s="570">
        <v>0</v>
      </c>
      <c r="J984" s="570">
        <v>0</v>
      </c>
      <c r="K984" s="570">
        <v>-1.0000000000000001E-5</v>
      </c>
    </row>
    <row r="985" spans="1:11">
      <c r="A985" s="570" t="str">
        <f t="shared" si="15"/>
        <v>B124</v>
      </c>
      <c r="C985" s="943" t="s">
        <v>2327</v>
      </c>
      <c r="D985" s="943" t="s">
        <v>1834</v>
      </c>
      <c r="E985" s="943">
        <v>24</v>
      </c>
      <c r="F985" s="570">
        <v>0</v>
      </c>
      <c r="G985" s="570">
        <v>0</v>
      </c>
      <c r="H985" s="570">
        <v>0</v>
      </c>
      <c r="I985" s="570">
        <v>0</v>
      </c>
      <c r="J985" s="570">
        <v>0</v>
      </c>
      <c r="K985" s="570">
        <v>0</v>
      </c>
    </row>
    <row r="986" spans="1:11">
      <c r="A986" s="570" t="str">
        <f t="shared" si="15"/>
        <v>MAI25</v>
      </c>
      <c r="C986" s="943" t="s">
        <v>2270</v>
      </c>
      <c r="D986" s="943" t="s">
        <v>1834</v>
      </c>
      <c r="E986" s="943">
        <v>25</v>
      </c>
      <c r="F986" s="570">
        <v>-5.8999999999999999E-3</v>
      </c>
      <c r="G986" s="570">
        <v>0</v>
      </c>
      <c r="H986" s="570">
        <v>0</v>
      </c>
      <c r="I986" s="570">
        <v>0</v>
      </c>
      <c r="J986" s="570">
        <v>0</v>
      </c>
      <c r="K986" s="570">
        <v>1E-4</v>
      </c>
    </row>
    <row r="987" spans="1:11">
      <c r="A987" s="570" t="str">
        <f t="shared" si="15"/>
        <v>TUM25</v>
      </c>
      <c r="C987" s="943" t="s">
        <v>2271</v>
      </c>
      <c r="D987" s="943" t="s">
        <v>1834</v>
      </c>
      <c r="E987" s="943">
        <v>25</v>
      </c>
      <c r="F987" s="570">
        <v>-2E-3</v>
      </c>
      <c r="G987" s="570">
        <v>2.0000000000000001E-4</v>
      </c>
      <c r="H987" s="570">
        <v>0</v>
      </c>
      <c r="I987" s="570">
        <v>0</v>
      </c>
      <c r="J987" s="570">
        <v>0</v>
      </c>
      <c r="K987" s="570">
        <v>1.0000000000000001E-5</v>
      </c>
    </row>
    <row r="988" spans="1:11">
      <c r="A988" s="570" t="str">
        <f t="shared" si="15"/>
        <v>38F25</v>
      </c>
      <c r="C988" s="943" t="s">
        <v>2340</v>
      </c>
      <c r="D988" s="943" t="s">
        <v>1834</v>
      </c>
      <c r="E988" s="943">
        <v>25</v>
      </c>
      <c r="F988" s="570">
        <v>2.0000000000000001E-4</v>
      </c>
      <c r="G988" s="570">
        <v>1E-4</v>
      </c>
      <c r="H988" s="570">
        <v>0</v>
      </c>
      <c r="I988" s="570">
        <v>0</v>
      </c>
      <c r="J988" s="570">
        <v>0</v>
      </c>
      <c r="K988" s="570">
        <v>0</v>
      </c>
    </row>
    <row r="989" spans="1:11">
      <c r="A989" s="570" t="str">
        <f t="shared" si="15"/>
        <v>37F25</v>
      </c>
      <c r="C989" s="943" t="s">
        <v>2341</v>
      </c>
      <c r="D989" s="943" t="s">
        <v>1834</v>
      </c>
      <c r="E989" s="943">
        <v>25</v>
      </c>
      <c r="F989" s="570">
        <v>2E-3</v>
      </c>
      <c r="G989" s="570">
        <v>1E-4</v>
      </c>
      <c r="H989" s="570">
        <v>0</v>
      </c>
      <c r="I989" s="570">
        <v>0</v>
      </c>
      <c r="J989" s="570">
        <v>0</v>
      </c>
      <c r="K989" s="570">
        <v>-1.0000000000000001E-5</v>
      </c>
    </row>
    <row r="990" spans="1:11">
      <c r="A990" s="570" t="str">
        <f t="shared" si="15"/>
        <v>36F25</v>
      </c>
      <c r="C990" s="943" t="s">
        <v>2342</v>
      </c>
      <c r="D990" s="943" t="s">
        <v>1834</v>
      </c>
      <c r="E990" s="943">
        <v>25</v>
      </c>
      <c r="F990" s="570">
        <v>2.8E-3</v>
      </c>
      <c r="G990" s="570">
        <v>0</v>
      </c>
      <c r="H990" s="570">
        <v>0</v>
      </c>
      <c r="I990" s="570">
        <v>0</v>
      </c>
      <c r="J990" s="570">
        <v>0</v>
      </c>
      <c r="K990" s="570">
        <v>-1.0000000000000001E-5</v>
      </c>
    </row>
    <row r="991" spans="1:11">
      <c r="A991" s="570" t="str">
        <f t="shared" si="15"/>
        <v>35F25</v>
      </c>
      <c r="C991" s="943" t="s">
        <v>2343</v>
      </c>
      <c r="D991" s="943" t="s">
        <v>1834</v>
      </c>
      <c r="E991" s="943">
        <v>25</v>
      </c>
      <c r="F991" s="570">
        <v>2.3999999999999998E-3</v>
      </c>
      <c r="G991" s="570">
        <v>-1E-4</v>
      </c>
      <c r="H991" s="570">
        <v>0</v>
      </c>
      <c r="I991" s="570">
        <v>0</v>
      </c>
      <c r="J991" s="570">
        <v>0</v>
      </c>
      <c r="K991" s="570">
        <v>-1.0000000000000001E-5</v>
      </c>
    </row>
    <row r="992" spans="1:11">
      <c r="A992" s="570" t="str">
        <f t="shared" si="15"/>
        <v>34F25</v>
      </c>
      <c r="C992" s="943" t="s">
        <v>2344</v>
      </c>
      <c r="D992" s="943" t="s">
        <v>1834</v>
      </c>
      <c r="E992" s="943">
        <v>25</v>
      </c>
      <c r="F992" s="570">
        <v>8.9999999999999998E-4</v>
      </c>
      <c r="G992" s="570">
        <v>-2.0000000000000001E-4</v>
      </c>
      <c r="H992" s="570">
        <v>0</v>
      </c>
      <c r="I992" s="570">
        <v>0</v>
      </c>
      <c r="J992" s="570">
        <v>0</v>
      </c>
      <c r="K992" s="570">
        <v>0</v>
      </c>
    </row>
    <row r="993" spans="1:11">
      <c r="A993" s="570" t="str">
        <f t="shared" si="15"/>
        <v>33F25</v>
      </c>
      <c r="C993" s="943" t="s">
        <v>2345</v>
      </c>
      <c r="D993" s="943" t="s">
        <v>1834</v>
      </c>
      <c r="E993" s="943">
        <v>25</v>
      </c>
      <c r="F993" s="570">
        <v>-1E-3</v>
      </c>
      <c r="G993" s="570">
        <v>-2.9999999999999997E-4</v>
      </c>
      <c r="H993" s="570">
        <v>0</v>
      </c>
      <c r="I993" s="570">
        <v>0</v>
      </c>
      <c r="J993" s="570">
        <v>0</v>
      </c>
      <c r="K993" s="570">
        <v>1.0000000000000001E-5</v>
      </c>
    </row>
    <row r="994" spans="1:11">
      <c r="A994" s="570" t="str">
        <f t="shared" si="15"/>
        <v>32F25</v>
      </c>
      <c r="C994" s="943" t="s">
        <v>2346</v>
      </c>
      <c r="D994" s="943" t="s">
        <v>1834</v>
      </c>
      <c r="E994" s="943">
        <v>25</v>
      </c>
      <c r="F994" s="570">
        <v>-2.5999999999999999E-3</v>
      </c>
      <c r="G994" s="570">
        <v>-2.9999999999999997E-4</v>
      </c>
      <c r="H994" s="570">
        <v>0</v>
      </c>
      <c r="I994" s="570">
        <v>0</v>
      </c>
      <c r="J994" s="570">
        <v>0</v>
      </c>
      <c r="K994" s="570">
        <v>2.0000000000000002E-5</v>
      </c>
    </row>
    <row r="995" spans="1:11">
      <c r="A995" s="570" t="str">
        <f t="shared" si="15"/>
        <v>31F25</v>
      </c>
      <c r="C995" s="943" t="s">
        <v>2347</v>
      </c>
      <c r="D995" s="943" t="s">
        <v>1834</v>
      </c>
      <c r="E995" s="943">
        <v>25</v>
      </c>
      <c r="F995" s="570">
        <v>-3.2000000000000002E-3</v>
      </c>
      <c r="G995" s="570">
        <v>-2.0000000000000001E-4</v>
      </c>
      <c r="H995" s="570">
        <v>0</v>
      </c>
      <c r="I995" s="570">
        <v>0</v>
      </c>
      <c r="J995" s="570">
        <v>0</v>
      </c>
      <c r="K995" s="570">
        <v>2.0000000000000002E-5</v>
      </c>
    </row>
    <row r="996" spans="1:11">
      <c r="A996" s="570" t="str">
        <f t="shared" si="15"/>
        <v>30F25</v>
      </c>
      <c r="C996" s="943" t="s">
        <v>2348</v>
      </c>
      <c r="D996" s="943" t="s">
        <v>1834</v>
      </c>
      <c r="E996" s="943">
        <v>25</v>
      </c>
      <c r="F996" s="570">
        <v>-2.3999999999999998E-3</v>
      </c>
      <c r="G996" s="570">
        <v>0</v>
      </c>
      <c r="H996" s="570">
        <v>0</v>
      </c>
      <c r="I996" s="570">
        <v>0</v>
      </c>
      <c r="J996" s="570">
        <v>0</v>
      </c>
      <c r="K996" s="570">
        <v>1.0000000000000001E-5</v>
      </c>
    </row>
    <row r="997" spans="1:11">
      <c r="A997" s="570" t="str">
        <f t="shared" si="15"/>
        <v>29F25</v>
      </c>
      <c r="C997" s="943" t="s">
        <v>2349</v>
      </c>
      <c r="D997" s="943" t="s">
        <v>1834</v>
      </c>
      <c r="E997" s="943">
        <v>25</v>
      </c>
      <c r="F997" s="570">
        <v>-5.9999999999999995E-4</v>
      </c>
      <c r="G997" s="570">
        <v>2.0000000000000001E-4</v>
      </c>
      <c r="H997" s="570">
        <v>0</v>
      </c>
      <c r="I997" s="570">
        <v>0</v>
      </c>
      <c r="J997" s="570">
        <v>0</v>
      </c>
      <c r="K997" s="570">
        <v>0</v>
      </c>
    </row>
    <row r="998" spans="1:11">
      <c r="A998" s="570" t="str">
        <f t="shared" si="15"/>
        <v>28F25</v>
      </c>
      <c r="C998" s="943" t="s">
        <v>2350</v>
      </c>
      <c r="D998" s="943" t="s">
        <v>1834</v>
      </c>
      <c r="E998" s="943">
        <v>25</v>
      </c>
      <c r="F998" s="570">
        <v>1.6000000000000001E-3</v>
      </c>
      <c r="G998" s="570">
        <v>4.0000000000000002E-4</v>
      </c>
      <c r="H998" s="570">
        <v>0</v>
      </c>
      <c r="I998" s="570">
        <v>0</v>
      </c>
      <c r="J998" s="570">
        <v>0</v>
      </c>
      <c r="K998" s="570">
        <v>-1.0000000000000001E-5</v>
      </c>
    </row>
    <row r="999" spans="1:11">
      <c r="A999" s="570" t="str">
        <f t="shared" si="15"/>
        <v>27F25</v>
      </c>
      <c r="C999" s="943" t="s">
        <v>2351</v>
      </c>
      <c r="D999" s="943" t="s">
        <v>1834</v>
      </c>
      <c r="E999" s="943">
        <v>25</v>
      </c>
      <c r="F999" s="570">
        <v>3.2000000000000002E-3</v>
      </c>
      <c r="G999" s="570">
        <v>5.0000000000000001E-4</v>
      </c>
      <c r="H999" s="570">
        <v>0</v>
      </c>
      <c r="I999" s="570">
        <v>0</v>
      </c>
      <c r="J999" s="570">
        <v>0</v>
      </c>
      <c r="K999" s="570">
        <v>-2.0000000000000002E-5</v>
      </c>
    </row>
    <row r="1000" spans="1:11">
      <c r="A1000" s="570" t="str">
        <f t="shared" si="15"/>
        <v>26F25</v>
      </c>
      <c r="C1000" s="943" t="s">
        <v>2352</v>
      </c>
      <c r="D1000" s="943" t="s">
        <v>1834</v>
      </c>
      <c r="E1000" s="943">
        <v>25</v>
      </c>
      <c r="F1000" s="570">
        <v>3.5000000000000001E-3</v>
      </c>
      <c r="G1000" s="570">
        <v>5.0000000000000001E-4</v>
      </c>
      <c r="H1000" s="570">
        <v>0</v>
      </c>
      <c r="I1000" s="570">
        <v>0</v>
      </c>
      <c r="J1000" s="570">
        <v>0</v>
      </c>
      <c r="K1000" s="570">
        <v>-3.0000000000000001E-5</v>
      </c>
    </row>
    <row r="1001" spans="1:11">
      <c r="A1001" s="570" t="str">
        <f t="shared" si="15"/>
        <v>25F25</v>
      </c>
      <c r="C1001" s="943" t="s">
        <v>2353</v>
      </c>
      <c r="D1001" s="943" t="s">
        <v>1834</v>
      </c>
      <c r="E1001" s="943">
        <v>25</v>
      </c>
      <c r="F1001" s="570">
        <v>2.0999999999999999E-3</v>
      </c>
      <c r="G1001" s="570">
        <v>2.9999999999999997E-4</v>
      </c>
      <c r="H1001" s="570">
        <v>0</v>
      </c>
      <c r="I1001" s="570">
        <v>0</v>
      </c>
      <c r="J1001" s="570">
        <v>0</v>
      </c>
      <c r="K1001" s="570">
        <v>-2.0000000000000002E-5</v>
      </c>
    </row>
    <row r="1002" spans="1:11">
      <c r="A1002" s="570" t="str">
        <f t="shared" si="15"/>
        <v>24F25</v>
      </c>
      <c r="C1002" s="943" t="s">
        <v>2354</v>
      </c>
      <c r="D1002" s="943" t="s">
        <v>1834</v>
      </c>
      <c r="E1002" s="943">
        <v>25</v>
      </c>
      <c r="F1002" s="570">
        <v>-2.9999999999999997E-4</v>
      </c>
      <c r="G1002" s="570">
        <v>0</v>
      </c>
      <c r="H1002" s="570">
        <v>0</v>
      </c>
      <c r="I1002" s="570">
        <v>0</v>
      </c>
      <c r="J1002" s="570">
        <v>0</v>
      </c>
      <c r="K1002" s="570">
        <v>0</v>
      </c>
    </row>
    <row r="1003" spans="1:11">
      <c r="A1003" s="570" t="str">
        <f t="shared" si="15"/>
        <v>23F25</v>
      </c>
      <c r="C1003" s="943" t="s">
        <v>2355</v>
      </c>
      <c r="D1003" s="943" t="s">
        <v>1834</v>
      </c>
      <c r="E1003" s="943">
        <v>25</v>
      </c>
      <c r="F1003" s="570">
        <v>-2.8E-3</v>
      </c>
      <c r="G1003" s="570">
        <v>-2.9999999999999997E-4</v>
      </c>
      <c r="H1003" s="570">
        <v>0</v>
      </c>
      <c r="I1003" s="570">
        <v>0</v>
      </c>
      <c r="J1003" s="570">
        <v>0</v>
      </c>
      <c r="K1003" s="570">
        <v>2.0000000000000002E-5</v>
      </c>
    </row>
    <row r="1004" spans="1:11">
      <c r="A1004" s="570" t="str">
        <f t="shared" si="15"/>
        <v>22F25</v>
      </c>
      <c r="C1004" s="943" t="s">
        <v>2356</v>
      </c>
      <c r="D1004" s="943" t="s">
        <v>1834</v>
      </c>
      <c r="E1004" s="943">
        <v>25</v>
      </c>
      <c r="F1004" s="570">
        <v>-4.1999999999999997E-3</v>
      </c>
      <c r="G1004" s="570">
        <v>-5.9999999999999995E-4</v>
      </c>
      <c r="H1004" s="570">
        <v>0</v>
      </c>
      <c r="I1004" s="570">
        <v>0</v>
      </c>
      <c r="J1004" s="570">
        <v>0</v>
      </c>
      <c r="K1004" s="570">
        <v>3.0000000000000001E-5</v>
      </c>
    </row>
    <row r="1005" spans="1:11">
      <c r="A1005" s="570" t="str">
        <f t="shared" si="15"/>
        <v>21F25</v>
      </c>
      <c r="C1005" s="943" t="s">
        <v>2357</v>
      </c>
      <c r="D1005" s="943" t="s">
        <v>1834</v>
      </c>
      <c r="E1005" s="943">
        <v>25</v>
      </c>
      <c r="F1005" s="570">
        <v>-3.7000000000000002E-3</v>
      </c>
      <c r="G1005" s="570">
        <v>-6.9999999999999999E-4</v>
      </c>
      <c r="H1005" s="570">
        <v>0</v>
      </c>
      <c r="I1005" s="570">
        <v>0</v>
      </c>
      <c r="J1005" s="570">
        <v>0</v>
      </c>
      <c r="K1005" s="570">
        <v>3.0000000000000001E-5</v>
      </c>
    </row>
    <row r="1006" spans="1:11">
      <c r="A1006" s="570" t="str">
        <f t="shared" si="15"/>
        <v>20F25</v>
      </c>
      <c r="C1006" s="943" t="s">
        <v>2358</v>
      </c>
      <c r="D1006" s="943" t="s">
        <v>1834</v>
      </c>
      <c r="E1006" s="943">
        <v>25</v>
      </c>
      <c r="F1006" s="570">
        <v>-1.2999999999999999E-3</v>
      </c>
      <c r="G1006" s="570">
        <v>-5.0000000000000001E-4</v>
      </c>
      <c r="H1006" s="570">
        <v>0</v>
      </c>
      <c r="I1006" s="570">
        <v>0</v>
      </c>
      <c r="J1006" s="570">
        <v>0</v>
      </c>
      <c r="K1006" s="570">
        <v>2.0000000000000002E-5</v>
      </c>
    </row>
    <row r="1007" spans="1:11">
      <c r="A1007" s="570" t="str">
        <f t="shared" si="15"/>
        <v>19F25</v>
      </c>
      <c r="C1007" s="943" t="s">
        <v>2359</v>
      </c>
      <c r="D1007" s="943" t="s">
        <v>1834</v>
      </c>
      <c r="E1007" s="943">
        <v>25</v>
      </c>
      <c r="F1007" s="570">
        <v>1.9E-3</v>
      </c>
      <c r="G1007" s="570">
        <v>-2.0000000000000001E-4</v>
      </c>
      <c r="H1007" s="570">
        <v>0</v>
      </c>
      <c r="I1007" s="570">
        <v>0</v>
      </c>
      <c r="J1007" s="570">
        <v>0</v>
      </c>
      <c r="K1007" s="570">
        <v>0</v>
      </c>
    </row>
    <row r="1008" spans="1:11">
      <c r="A1008" s="570" t="str">
        <f t="shared" si="15"/>
        <v>18F25</v>
      </c>
      <c r="C1008" s="943" t="s">
        <v>2360</v>
      </c>
      <c r="D1008" s="943" t="s">
        <v>1834</v>
      </c>
      <c r="E1008" s="943">
        <v>25</v>
      </c>
      <c r="F1008" s="570">
        <v>4.4999999999999997E-3</v>
      </c>
      <c r="G1008" s="570">
        <v>1E-4</v>
      </c>
      <c r="H1008" s="570">
        <v>0</v>
      </c>
      <c r="I1008" s="570">
        <v>0</v>
      </c>
      <c r="J1008" s="570">
        <v>0</v>
      </c>
      <c r="K1008" s="570">
        <v>-3.0000000000000001E-5</v>
      </c>
    </row>
    <row r="1009" spans="1:11">
      <c r="A1009" s="570" t="str">
        <f t="shared" si="15"/>
        <v>17F25</v>
      </c>
      <c r="C1009" s="943" t="s">
        <v>2361</v>
      </c>
      <c r="D1009" s="943" t="s">
        <v>1834</v>
      </c>
      <c r="E1009" s="943">
        <v>25</v>
      </c>
      <c r="F1009" s="570">
        <v>5.1000000000000004E-3</v>
      </c>
      <c r="G1009" s="570">
        <v>4.0000000000000002E-4</v>
      </c>
      <c r="H1009" s="570">
        <v>0</v>
      </c>
      <c r="I1009" s="570">
        <v>0</v>
      </c>
      <c r="J1009" s="570">
        <v>0</v>
      </c>
      <c r="K1009" s="570">
        <v>-4.0000000000000003E-5</v>
      </c>
    </row>
    <row r="1010" spans="1:11">
      <c r="A1010" s="570" t="str">
        <f t="shared" si="15"/>
        <v>16F25</v>
      </c>
      <c r="C1010" s="943" t="s">
        <v>2362</v>
      </c>
      <c r="D1010" s="943" t="s">
        <v>1834</v>
      </c>
      <c r="E1010" s="943">
        <v>25</v>
      </c>
      <c r="F1010" s="570">
        <v>3.0999999999999999E-3</v>
      </c>
      <c r="G1010" s="570">
        <v>5.9999999999999995E-4</v>
      </c>
      <c r="H1010" s="570">
        <v>0</v>
      </c>
      <c r="I1010" s="570">
        <v>0</v>
      </c>
      <c r="J1010" s="570">
        <v>0</v>
      </c>
      <c r="K1010" s="570">
        <v>-4.0000000000000003E-5</v>
      </c>
    </row>
    <row r="1011" spans="1:11">
      <c r="A1011" s="570" t="str">
        <f t="shared" si="15"/>
        <v>15F25</v>
      </c>
      <c r="C1011" s="943" t="s">
        <v>2363</v>
      </c>
      <c r="D1011" s="943" t="s">
        <v>1834</v>
      </c>
      <c r="E1011" s="943">
        <v>25</v>
      </c>
      <c r="F1011" s="570">
        <v>-5.9999999999999995E-4</v>
      </c>
      <c r="G1011" s="570">
        <v>5.0000000000000001E-4</v>
      </c>
      <c r="H1011" s="570">
        <v>0</v>
      </c>
      <c r="I1011" s="570">
        <v>0</v>
      </c>
      <c r="J1011" s="570">
        <v>0</v>
      </c>
      <c r="K1011" s="570">
        <v>-2.0000000000000002E-5</v>
      </c>
    </row>
    <row r="1012" spans="1:11">
      <c r="A1012" s="570" t="str">
        <f t="shared" si="15"/>
        <v>14F25</v>
      </c>
      <c r="C1012" s="943" t="s">
        <v>2364</v>
      </c>
      <c r="D1012" s="943" t="s">
        <v>1834</v>
      </c>
      <c r="E1012" s="943">
        <v>25</v>
      </c>
      <c r="F1012" s="570">
        <v>-4.4999999999999997E-3</v>
      </c>
      <c r="G1012" s="570">
        <v>2.9999999999999997E-4</v>
      </c>
      <c r="H1012" s="570">
        <v>0</v>
      </c>
      <c r="I1012" s="570">
        <v>0</v>
      </c>
      <c r="J1012" s="570">
        <v>0</v>
      </c>
      <c r="K1012" s="570">
        <v>1.0000000000000001E-5</v>
      </c>
    </row>
    <row r="1013" spans="1:11">
      <c r="A1013" s="570" t="str">
        <f t="shared" si="15"/>
        <v>13F25</v>
      </c>
      <c r="C1013" s="943" t="s">
        <v>2365</v>
      </c>
      <c r="D1013" s="943" t="s">
        <v>1834</v>
      </c>
      <c r="E1013" s="943">
        <v>25</v>
      </c>
      <c r="F1013" s="570">
        <v>-6.4000000000000003E-3</v>
      </c>
      <c r="G1013" s="570">
        <v>0</v>
      </c>
      <c r="H1013" s="570">
        <v>0</v>
      </c>
      <c r="I1013" s="570">
        <v>0</v>
      </c>
      <c r="J1013" s="570">
        <v>0</v>
      </c>
      <c r="K1013" s="570">
        <v>3.0000000000000001E-5</v>
      </c>
    </row>
    <row r="1014" spans="1:11">
      <c r="A1014" s="570" t="str">
        <f t="shared" si="15"/>
        <v>12F25</v>
      </c>
      <c r="C1014" s="570" t="s">
        <v>2366</v>
      </c>
      <c r="D1014" s="570" t="s">
        <v>1834</v>
      </c>
      <c r="E1014" s="570">
        <v>25</v>
      </c>
      <c r="F1014" s="570">
        <v>-5.0000000000000001E-3</v>
      </c>
      <c r="G1014" s="570">
        <v>-2.0000000000000001E-4</v>
      </c>
      <c r="H1014" s="570">
        <v>0</v>
      </c>
      <c r="I1014" s="570">
        <v>0</v>
      </c>
      <c r="J1014" s="570">
        <v>0</v>
      </c>
      <c r="K1014" s="570">
        <v>4.0000000000000003E-5</v>
      </c>
    </row>
    <row r="1015" spans="1:11">
      <c r="A1015" s="570" t="str">
        <f t="shared" si="15"/>
        <v>11F25</v>
      </c>
      <c r="C1015" s="570" t="s">
        <v>2367</v>
      </c>
      <c r="D1015" s="570" t="s">
        <v>1834</v>
      </c>
      <c r="E1015" s="570">
        <v>25</v>
      </c>
      <c r="F1015" s="570">
        <v>-8.0000000000000004E-4</v>
      </c>
      <c r="G1015" s="570">
        <v>-2.9999999999999997E-4</v>
      </c>
      <c r="H1015" s="570">
        <v>0</v>
      </c>
      <c r="I1015" s="570">
        <v>0</v>
      </c>
      <c r="J1015" s="570">
        <v>0</v>
      </c>
      <c r="K1015" s="570">
        <v>3.0000000000000001E-5</v>
      </c>
    </row>
    <row r="1016" spans="1:11">
      <c r="A1016" s="570" t="str">
        <f t="shared" si="15"/>
        <v>10F25</v>
      </c>
      <c r="C1016" s="570" t="s">
        <v>2368</v>
      </c>
      <c r="D1016" s="570" t="s">
        <v>1834</v>
      </c>
      <c r="E1016" s="570">
        <v>25</v>
      </c>
      <c r="F1016" s="570">
        <v>4.1000000000000003E-3</v>
      </c>
      <c r="G1016" s="570">
        <v>-2.9999999999999997E-4</v>
      </c>
      <c r="H1016" s="570">
        <v>0</v>
      </c>
      <c r="I1016" s="570">
        <v>0</v>
      </c>
      <c r="J1016" s="570">
        <v>0</v>
      </c>
      <c r="K1016" s="570">
        <v>1.0000000000000001E-5</v>
      </c>
    </row>
    <row r="1017" spans="1:11">
      <c r="A1017" s="570" t="str">
        <f t="shared" si="15"/>
        <v>9F25</v>
      </c>
      <c r="C1017" s="570" t="s">
        <v>2369</v>
      </c>
      <c r="D1017" s="570" t="s">
        <v>1834</v>
      </c>
      <c r="E1017" s="570">
        <v>25</v>
      </c>
      <c r="F1017" s="570">
        <v>7.0000000000000001E-3</v>
      </c>
      <c r="G1017" s="570">
        <v>-2.0000000000000001E-4</v>
      </c>
      <c r="H1017" s="570">
        <v>0</v>
      </c>
      <c r="I1017" s="570">
        <v>0</v>
      </c>
      <c r="J1017" s="570">
        <v>0</v>
      </c>
      <c r="K1017" s="570">
        <v>-1.0000000000000001E-5</v>
      </c>
    </row>
    <row r="1018" spans="1:11">
      <c r="A1018" s="570" t="str">
        <f t="shared" si="15"/>
        <v>8F25</v>
      </c>
      <c r="C1018" s="570" t="s">
        <v>2370</v>
      </c>
      <c r="D1018" s="570" t="s">
        <v>1834</v>
      </c>
      <c r="E1018" s="570">
        <v>25</v>
      </c>
      <c r="F1018" s="570">
        <v>6.1999999999999998E-3</v>
      </c>
      <c r="G1018" s="570">
        <v>-1E-4</v>
      </c>
      <c r="H1018" s="570">
        <v>0</v>
      </c>
      <c r="I1018" s="570">
        <v>0</v>
      </c>
      <c r="J1018" s="570">
        <v>0</v>
      </c>
      <c r="K1018" s="570">
        <v>-2.0000000000000002E-5</v>
      </c>
    </row>
    <row r="1019" spans="1:11">
      <c r="A1019" s="570" t="str">
        <f t="shared" si="15"/>
        <v>7F25</v>
      </c>
      <c r="C1019" s="570" t="s">
        <v>2371</v>
      </c>
      <c r="D1019" s="570" t="s">
        <v>1834</v>
      </c>
      <c r="E1019" s="570">
        <v>25</v>
      </c>
      <c r="F1019" s="570">
        <v>1.9E-3</v>
      </c>
      <c r="G1019" s="570">
        <v>-1E-4</v>
      </c>
      <c r="H1019" s="570">
        <v>0</v>
      </c>
      <c r="I1019" s="570">
        <v>0</v>
      </c>
      <c r="J1019" s="570">
        <v>0</v>
      </c>
      <c r="K1019" s="570">
        <v>-2.0000000000000002E-5</v>
      </c>
    </row>
    <row r="1020" spans="1:11">
      <c r="A1020" s="570" t="str">
        <f t="shared" si="15"/>
        <v>6F25</v>
      </c>
      <c r="C1020" s="570" t="s">
        <v>2372</v>
      </c>
      <c r="D1020" s="570" t="s">
        <v>1834</v>
      </c>
      <c r="E1020" s="570">
        <v>25</v>
      </c>
      <c r="F1020" s="570">
        <v>-3.5000000000000001E-3</v>
      </c>
      <c r="G1020" s="570">
        <v>-1E-4</v>
      </c>
      <c r="H1020" s="570">
        <v>0</v>
      </c>
      <c r="I1020" s="570">
        <v>0</v>
      </c>
      <c r="J1020" s="570">
        <v>0</v>
      </c>
      <c r="K1020" s="570">
        <v>-1.0000000000000001E-5</v>
      </c>
    </row>
    <row r="1021" spans="1:11">
      <c r="A1021" s="570" t="str">
        <f t="shared" si="15"/>
        <v>5F25</v>
      </c>
      <c r="C1021" s="570" t="s">
        <v>2373</v>
      </c>
      <c r="D1021" s="570" t="s">
        <v>1834</v>
      </c>
      <c r="E1021" s="570">
        <v>25</v>
      </c>
      <c r="F1021" s="570">
        <v>-7.0000000000000001E-3</v>
      </c>
      <c r="G1021" s="570">
        <v>0</v>
      </c>
      <c r="H1021" s="570">
        <v>0</v>
      </c>
      <c r="I1021" s="570">
        <v>0</v>
      </c>
      <c r="J1021" s="570">
        <v>0</v>
      </c>
      <c r="K1021" s="570">
        <v>0</v>
      </c>
    </row>
    <row r="1022" spans="1:11">
      <c r="A1022" s="570" t="str">
        <f t="shared" si="15"/>
        <v>4F25</v>
      </c>
      <c r="C1022" s="570" t="s">
        <v>2374</v>
      </c>
      <c r="D1022" s="570" t="s">
        <v>1834</v>
      </c>
      <c r="E1022" s="570">
        <v>25</v>
      </c>
      <c r="F1022" s="570">
        <v>-6.7000000000000002E-3</v>
      </c>
      <c r="G1022" s="570">
        <v>1E-4</v>
      </c>
      <c r="H1022" s="570">
        <v>0</v>
      </c>
      <c r="I1022" s="570">
        <v>0</v>
      </c>
      <c r="J1022" s="570">
        <v>0</v>
      </c>
      <c r="K1022" s="570">
        <v>0</v>
      </c>
    </row>
    <row r="1023" spans="1:11">
      <c r="A1023" s="570" t="str">
        <f t="shared" si="15"/>
        <v>3F25</v>
      </c>
      <c r="C1023" s="570" t="s">
        <v>2375</v>
      </c>
      <c r="D1023" s="570" t="s">
        <v>1834</v>
      </c>
      <c r="E1023" s="570">
        <v>25</v>
      </c>
      <c r="F1023" s="570">
        <v>-3.0999999999999999E-3</v>
      </c>
      <c r="G1023" s="570">
        <v>2.9999999999999997E-4</v>
      </c>
      <c r="H1023" s="570">
        <v>0</v>
      </c>
      <c r="I1023" s="570">
        <v>0</v>
      </c>
      <c r="J1023" s="570">
        <v>0</v>
      </c>
      <c r="K1023" s="570">
        <v>-1.0000000000000001E-5</v>
      </c>
    </row>
    <row r="1024" spans="1:11">
      <c r="A1024" s="570" t="str">
        <f t="shared" si="15"/>
        <v>2F25</v>
      </c>
      <c r="C1024" s="570" t="s">
        <v>2376</v>
      </c>
      <c r="D1024" s="570" t="s">
        <v>1834</v>
      </c>
      <c r="E1024" s="570">
        <v>25</v>
      </c>
      <c r="F1024" s="570">
        <v>1.1999999999999999E-3</v>
      </c>
      <c r="G1024" s="570">
        <v>4.0000000000000002E-4</v>
      </c>
      <c r="H1024" s="570">
        <v>0</v>
      </c>
      <c r="I1024" s="570">
        <v>0</v>
      </c>
      <c r="J1024" s="570">
        <v>0</v>
      </c>
      <c r="K1024" s="570">
        <v>-1.0000000000000001E-5</v>
      </c>
    </row>
    <row r="1025" spans="1:11">
      <c r="A1025" s="570" t="str">
        <f t="shared" si="15"/>
        <v>1F25</v>
      </c>
      <c r="C1025" s="570" t="s">
        <v>2377</v>
      </c>
      <c r="D1025" s="570" t="s">
        <v>1834</v>
      </c>
      <c r="E1025" s="570">
        <v>25</v>
      </c>
      <c r="F1025" s="570">
        <v>4.3E-3</v>
      </c>
      <c r="G1025" s="570">
        <v>2.9999999999999997E-4</v>
      </c>
      <c r="H1025" s="570">
        <v>0</v>
      </c>
      <c r="I1025" s="570">
        <v>0</v>
      </c>
      <c r="J1025" s="570">
        <v>0</v>
      </c>
      <c r="K1025" s="570">
        <v>-1.0000000000000001E-5</v>
      </c>
    </row>
    <row r="1026" spans="1:11">
      <c r="A1026" s="570" t="str">
        <f t="shared" si="15"/>
        <v>B125</v>
      </c>
      <c r="C1026" s="570" t="s">
        <v>2327</v>
      </c>
      <c r="D1026" s="570" t="s">
        <v>1834</v>
      </c>
      <c r="E1026" s="570">
        <v>25</v>
      </c>
      <c r="F1026" s="570">
        <v>0</v>
      </c>
      <c r="G1026" s="570">
        <v>0</v>
      </c>
      <c r="H1026" s="570">
        <v>0</v>
      </c>
      <c r="I1026" s="570">
        <v>0</v>
      </c>
      <c r="J1026" s="570">
        <v>0</v>
      </c>
      <c r="K1026" s="570">
        <v>0</v>
      </c>
    </row>
    <row r="1027" spans="1:11">
      <c r="A1027" s="570" t="str">
        <f t="shared" si="15"/>
        <v>MAI26</v>
      </c>
      <c r="C1027" s="570" t="s">
        <v>2270</v>
      </c>
      <c r="D1027" s="570" t="s">
        <v>1834</v>
      </c>
      <c r="E1027" s="570">
        <v>26</v>
      </c>
      <c r="F1027" s="570">
        <v>-2.9999999999999997E-4</v>
      </c>
      <c r="G1027" s="570">
        <v>-5.8999999999999999E-3</v>
      </c>
      <c r="H1027" s="570">
        <v>0</v>
      </c>
      <c r="I1027" s="570">
        <v>0</v>
      </c>
      <c r="J1027" s="570">
        <v>0</v>
      </c>
      <c r="K1027" s="570">
        <v>2.0000000000000002E-5</v>
      </c>
    </row>
    <row r="1028" spans="1:11">
      <c r="A1028" s="570" t="str">
        <f t="shared" si="15"/>
        <v>TUM26</v>
      </c>
      <c r="C1028" s="570" t="s">
        <v>2271</v>
      </c>
      <c r="D1028" s="570" t="s">
        <v>1834</v>
      </c>
      <c r="E1028" s="570">
        <v>26</v>
      </c>
      <c r="F1028" s="570">
        <v>0</v>
      </c>
      <c r="G1028" s="570">
        <v>-2.7000000000000001E-3</v>
      </c>
      <c r="H1028" s="570">
        <v>0</v>
      </c>
      <c r="I1028" s="570">
        <v>0</v>
      </c>
      <c r="J1028" s="570">
        <v>0</v>
      </c>
      <c r="K1028" s="570">
        <v>-1.0000000000000001E-5</v>
      </c>
    </row>
    <row r="1029" spans="1:11">
      <c r="C1029" s="570" t="s">
        <v>2340</v>
      </c>
      <c r="D1029" s="570" t="s">
        <v>1834</v>
      </c>
      <c r="E1029" s="570">
        <v>26</v>
      </c>
      <c r="F1029" s="570">
        <v>1E-4</v>
      </c>
      <c r="G1029" s="570">
        <v>-6.9999999999999999E-4</v>
      </c>
      <c r="H1029" s="570">
        <v>0</v>
      </c>
      <c r="I1029" s="570">
        <v>0</v>
      </c>
      <c r="J1029" s="570">
        <v>0</v>
      </c>
      <c r="K1029" s="570">
        <v>0</v>
      </c>
    </row>
    <row r="1030" spans="1:11">
      <c r="C1030" s="570" t="s">
        <v>2341</v>
      </c>
      <c r="D1030" s="570" t="s">
        <v>1834</v>
      </c>
      <c r="E1030" s="570">
        <v>26</v>
      </c>
      <c r="F1030" s="570">
        <v>1E-4</v>
      </c>
      <c r="G1030" s="570">
        <v>1.1999999999999999E-3</v>
      </c>
      <c r="H1030" s="570">
        <v>0</v>
      </c>
      <c r="I1030" s="570">
        <v>0</v>
      </c>
      <c r="J1030" s="570">
        <v>0</v>
      </c>
      <c r="K1030" s="570">
        <v>0</v>
      </c>
    </row>
    <row r="1031" spans="1:11">
      <c r="C1031" s="570" t="s">
        <v>2342</v>
      </c>
      <c r="D1031" s="570" t="s">
        <v>1834</v>
      </c>
      <c r="E1031" s="570">
        <v>26</v>
      </c>
      <c r="F1031" s="570">
        <v>1E-4</v>
      </c>
      <c r="G1031" s="570">
        <v>2.5999999999999999E-3</v>
      </c>
      <c r="H1031" s="570">
        <v>0</v>
      </c>
      <c r="I1031" s="570">
        <v>0</v>
      </c>
      <c r="J1031" s="570">
        <v>0</v>
      </c>
      <c r="K1031" s="570">
        <v>0</v>
      </c>
    </row>
    <row r="1032" spans="1:11">
      <c r="C1032" s="570" t="s">
        <v>2343</v>
      </c>
      <c r="D1032" s="570" t="s">
        <v>1834</v>
      </c>
      <c r="E1032" s="570">
        <v>26</v>
      </c>
      <c r="F1032" s="570">
        <v>0</v>
      </c>
      <c r="G1032" s="570">
        <v>3.2000000000000002E-3</v>
      </c>
      <c r="H1032" s="570">
        <v>0</v>
      </c>
      <c r="I1032" s="570">
        <v>0</v>
      </c>
      <c r="J1032" s="570">
        <v>0</v>
      </c>
      <c r="K1032" s="570">
        <v>1.0000000000000001E-5</v>
      </c>
    </row>
    <row r="1033" spans="1:11">
      <c r="C1033" s="570" t="s">
        <v>2344</v>
      </c>
      <c r="D1033" s="570" t="s">
        <v>1834</v>
      </c>
      <c r="E1033" s="570">
        <v>26</v>
      </c>
      <c r="F1033" s="570">
        <v>-2.0000000000000001E-4</v>
      </c>
      <c r="G1033" s="570">
        <v>2.8E-3</v>
      </c>
      <c r="H1033" s="570">
        <v>0</v>
      </c>
      <c r="I1033" s="570">
        <v>0</v>
      </c>
      <c r="J1033" s="570">
        <v>0</v>
      </c>
      <c r="K1033" s="570">
        <v>1.0000000000000001E-5</v>
      </c>
    </row>
    <row r="1034" spans="1:11">
      <c r="C1034" s="570" t="s">
        <v>2345</v>
      </c>
      <c r="D1034" s="570" t="s">
        <v>1834</v>
      </c>
      <c r="E1034" s="570">
        <v>26</v>
      </c>
      <c r="F1034" s="570">
        <v>-2.0000000000000001E-4</v>
      </c>
      <c r="G1034" s="570">
        <v>1.6000000000000001E-3</v>
      </c>
      <c r="H1034" s="570">
        <v>0</v>
      </c>
      <c r="I1034" s="570">
        <v>0</v>
      </c>
      <c r="J1034" s="570">
        <v>0</v>
      </c>
      <c r="K1034" s="570">
        <v>0</v>
      </c>
    </row>
    <row r="1035" spans="1:11">
      <c r="C1035" s="570" t="s">
        <v>2346</v>
      </c>
      <c r="D1035" s="570" t="s">
        <v>1834</v>
      </c>
      <c r="E1035" s="570">
        <v>26</v>
      </c>
      <c r="F1035" s="570">
        <v>-2.0000000000000001E-4</v>
      </c>
      <c r="G1035" s="570">
        <v>-1E-4</v>
      </c>
      <c r="H1035" s="570">
        <v>0</v>
      </c>
      <c r="I1035" s="570">
        <v>0</v>
      </c>
      <c r="J1035" s="570">
        <v>0</v>
      </c>
      <c r="K1035" s="570">
        <v>0</v>
      </c>
    </row>
    <row r="1036" spans="1:11">
      <c r="C1036" s="570" t="s">
        <v>2347</v>
      </c>
      <c r="D1036" s="570" t="s">
        <v>1834</v>
      </c>
      <c r="E1036" s="570">
        <v>26</v>
      </c>
      <c r="F1036" s="570">
        <v>-1E-4</v>
      </c>
      <c r="G1036" s="570">
        <v>-1.8E-3</v>
      </c>
      <c r="H1036" s="570">
        <v>0</v>
      </c>
      <c r="I1036" s="570">
        <v>0</v>
      </c>
      <c r="J1036" s="570">
        <v>0</v>
      </c>
      <c r="K1036" s="570">
        <v>0</v>
      </c>
    </row>
    <row r="1037" spans="1:11">
      <c r="C1037" s="570" t="s">
        <v>2348</v>
      </c>
      <c r="D1037" s="570" t="s">
        <v>1834</v>
      </c>
      <c r="E1037" s="570">
        <v>26</v>
      </c>
      <c r="F1037" s="570">
        <v>1E-4</v>
      </c>
      <c r="G1037" s="570">
        <v>-3.2000000000000002E-3</v>
      </c>
      <c r="H1037" s="570">
        <v>0</v>
      </c>
      <c r="I1037" s="570">
        <v>0</v>
      </c>
      <c r="J1037" s="570">
        <v>0</v>
      </c>
      <c r="K1037" s="570">
        <v>-1.0000000000000001E-5</v>
      </c>
    </row>
    <row r="1038" spans="1:11">
      <c r="C1038" s="570" t="s">
        <v>2349</v>
      </c>
      <c r="D1038" s="570" t="s">
        <v>1834</v>
      </c>
      <c r="E1038" s="570">
        <v>26</v>
      </c>
      <c r="F1038" s="570">
        <v>2.9999999999999997E-4</v>
      </c>
      <c r="G1038" s="570">
        <v>-3.7000000000000002E-3</v>
      </c>
      <c r="H1038" s="570">
        <v>0</v>
      </c>
      <c r="I1038" s="570">
        <v>0</v>
      </c>
      <c r="J1038" s="570">
        <v>0</v>
      </c>
      <c r="K1038" s="570">
        <v>-1.0000000000000001E-5</v>
      </c>
    </row>
    <row r="1039" spans="1:11">
      <c r="C1039" s="570" t="s">
        <v>2350</v>
      </c>
      <c r="D1039" s="570" t="s">
        <v>1834</v>
      </c>
      <c r="E1039" s="570">
        <v>26</v>
      </c>
      <c r="F1039" s="570">
        <v>2.9999999999999997E-4</v>
      </c>
      <c r="G1039" s="570">
        <v>-3.0999999999999999E-3</v>
      </c>
      <c r="H1039" s="570">
        <v>0</v>
      </c>
      <c r="I1039" s="570">
        <v>0</v>
      </c>
      <c r="J1039" s="570">
        <v>0</v>
      </c>
      <c r="K1039" s="570">
        <v>-1.0000000000000001E-5</v>
      </c>
    </row>
    <row r="1040" spans="1:11">
      <c r="C1040" s="570" t="s">
        <v>2351</v>
      </c>
      <c r="D1040" s="570" t="s">
        <v>1834</v>
      </c>
      <c r="E1040" s="570">
        <v>26</v>
      </c>
      <c r="F1040" s="570">
        <v>2.9999999999999997E-4</v>
      </c>
      <c r="G1040" s="570">
        <v>-1.6999999999999999E-3</v>
      </c>
      <c r="H1040" s="570">
        <v>0</v>
      </c>
      <c r="I1040" s="570">
        <v>0</v>
      </c>
      <c r="J1040" s="570">
        <v>0</v>
      </c>
      <c r="K1040" s="570">
        <v>0</v>
      </c>
    </row>
    <row r="1041" spans="3:11">
      <c r="C1041" s="570" t="s">
        <v>2352</v>
      </c>
      <c r="D1041" s="570" t="s">
        <v>1834</v>
      </c>
      <c r="E1041" s="570">
        <v>26</v>
      </c>
      <c r="F1041" s="570">
        <v>1E-4</v>
      </c>
      <c r="G1041" s="570">
        <v>2.9999999999999997E-4</v>
      </c>
      <c r="H1041" s="570">
        <v>0</v>
      </c>
      <c r="I1041" s="570">
        <v>0</v>
      </c>
      <c r="J1041" s="570">
        <v>0</v>
      </c>
      <c r="K1041" s="570">
        <v>1.0000000000000001E-5</v>
      </c>
    </row>
    <row r="1042" spans="3:11">
      <c r="C1042" s="570" t="s">
        <v>2353</v>
      </c>
      <c r="D1042" s="570" t="s">
        <v>1834</v>
      </c>
      <c r="E1042" s="570">
        <v>26</v>
      </c>
      <c r="F1042" s="570">
        <v>-2.0000000000000001E-4</v>
      </c>
      <c r="G1042" s="570">
        <v>2.3999999999999998E-3</v>
      </c>
      <c r="H1042" s="570">
        <v>0</v>
      </c>
      <c r="I1042" s="570">
        <v>0</v>
      </c>
      <c r="J1042" s="570">
        <v>0</v>
      </c>
      <c r="K1042" s="570">
        <v>2.0000000000000002E-5</v>
      </c>
    </row>
    <row r="1043" spans="3:11">
      <c r="C1043" s="570" t="s">
        <v>2354</v>
      </c>
      <c r="D1043" s="570" t="s">
        <v>1834</v>
      </c>
      <c r="E1043" s="570">
        <v>26</v>
      </c>
      <c r="F1043" s="570">
        <v>-2.9999999999999997E-4</v>
      </c>
      <c r="G1043" s="570">
        <v>3.8E-3</v>
      </c>
      <c r="H1043" s="570">
        <v>0</v>
      </c>
      <c r="I1043" s="570">
        <v>0</v>
      </c>
      <c r="J1043" s="570">
        <v>0</v>
      </c>
      <c r="K1043" s="570">
        <v>2.0000000000000002E-5</v>
      </c>
    </row>
    <row r="1044" spans="3:11">
      <c r="C1044" s="570" t="s">
        <v>2355</v>
      </c>
      <c r="D1044" s="570" t="s">
        <v>1834</v>
      </c>
      <c r="E1044" s="570">
        <v>26</v>
      </c>
      <c r="F1044" s="570">
        <v>-4.0000000000000002E-4</v>
      </c>
      <c r="G1044" s="570">
        <v>4.1999999999999997E-3</v>
      </c>
      <c r="H1044" s="570">
        <v>0</v>
      </c>
      <c r="I1044" s="570">
        <v>0</v>
      </c>
      <c r="J1044" s="570">
        <v>0</v>
      </c>
      <c r="K1044" s="570">
        <v>1.0000000000000001E-5</v>
      </c>
    </row>
    <row r="1045" spans="3:11">
      <c r="C1045" s="570" t="s">
        <v>2356</v>
      </c>
      <c r="D1045" s="570" t="s">
        <v>1834</v>
      </c>
      <c r="E1045" s="570">
        <v>26</v>
      </c>
      <c r="F1045" s="570">
        <v>-2.9999999999999997E-4</v>
      </c>
      <c r="G1045" s="570">
        <v>3.3E-3</v>
      </c>
      <c r="H1045" s="570">
        <v>0</v>
      </c>
      <c r="I1045" s="570">
        <v>0</v>
      </c>
      <c r="J1045" s="570">
        <v>0</v>
      </c>
      <c r="K1045" s="570">
        <v>0</v>
      </c>
    </row>
    <row r="1046" spans="3:11">
      <c r="C1046" s="570" t="s">
        <v>2357</v>
      </c>
      <c r="D1046" s="570" t="s">
        <v>1834</v>
      </c>
      <c r="E1046" s="570">
        <v>26</v>
      </c>
      <c r="F1046" s="570">
        <v>0</v>
      </c>
      <c r="G1046" s="570">
        <v>1.4E-3</v>
      </c>
      <c r="H1046" s="570">
        <v>0</v>
      </c>
      <c r="I1046" s="570">
        <v>0</v>
      </c>
      <c r="J1046" s="570">
        <v>0</v>
      </c>
      <c r="K1046" s="570">
        <v>-1.0000000000000001E-5</v>
      </c>
    </row>
    <row r="1047" spans="3:11">
      <c r="C1047" s="570" t="s">
        <v>2358</v>
      </c>
      <c r="D1047" s="570" t="s">
        <v>1834</v>
      </c>
      <c r="E1047" s="570">
        <v>26</v>
      </c>
      <c r="F1047" s="570">
        <v>2.0000000000000001E-4</v>
      </c>
      <c r="G1047" s="570">
        <v>-1.1999999999999999E-3</v>
      </c>
      <c r="H1047" s="570">
        <v>0</v>
      </c>
      <c r="I1047" s="570">
        <v>0</v>
      </c>
      <c r="J1047" s="570">
        <v>0</v>
      </c>
      <c r="K1047" s="570">
        <v>-2.0000000000000002E-5</v>
      </c>
    </row>
    <row r="1048" spans="3:11">
      <c r="C1048" s="570" t="s">
        <v>2359</v>
      </c>
      <c r="D1048" s="570" t="s">
        <v>1834</v>
      </c>
      <c r="E1048" s="570">
        <v>26</v>
      </c>
      <c r="F1048" s="570">
        <v>4.0000000000000002E-4</v>
      </c>
      <c r="G1048" s="570">
        <v>-3.5000000000000001E-3</v>
      </c>
      <c r="H1048" s="570">
        <v>0</v>
      </c>
      <c r="I1048" s="570">
        <v>0</v>
      </c>
      <c r="J1048" s="570">
        <v>0</v>
      </c>
      <c r="K1048" s="570">
        <v>-2.0000000000000002E-5</v>
      </c>
    </row>
    <row r="1049" spans="3:11">
      <c r="C1049" s="570" t="s">
        <v>2360</v>
      </c>
      <c r="D1049" s="570" t="s">
        <v>1834</v>
      </c>
      <c r="E1049" s="570">
        <v>26</v>
      </c>
      <c r="F1049" s="570">
        <v>4.0000000000000002E-4</v>
      </c>
      <c r="G1049" s="570">
        <v>-4.8999999999999998E-3</v>
      </c>
      <c r="H1049" s="570">
        <v>0</v>
      </c>
      <c r="I1049" s="570">
        <v>0</v>
      </c>
      <c r="J1049" s="570">
        <v>0</v>
      </c>
      <c r="K1049" s="570">
        <v>-1.0000000000000001E-5</v>
      </c>
    </row>
    <row r="1050" spans="3:11">
      <c r="C1050" s="570" t="s">
        <v>2361</v>
      </c>
      <c r="D1050" s="570" t="s">
        <v>1834</v>
      </c>
      <c r="E1050" s="570">
        <v>26</v>
      </c>
      <c r="F1050" s="570">
        <v>2.0000000000000001E-4</v>
      </c>
      <c r="G1050" s="570">
        <v>-4.7999999999999996E-3</v>
      </c>
      <c r="H1050" s="570">
        <v>0</v>
      </c>
      <c r="I1050" s="570">
        <v>0</v>
      </c>
      <c r="J1050" s="570">
        <v>0</v>
      </c>
      <c r="K1050" s="570">
        <v>1.0000000000000001E-5</v>
      </c>
    </row>
    <row r="1051" spans="3:11">
      <c r="C1051" s="570" t="s">
        <v>2362</v>
      </c>
      <c r="D1051" s="570" t="s">
        <v>1834</v>
      </c>
      <c r="E1051" s="570">
        <v>26</v>
      </c>
      <c r="F1051" s="570">
        <v>0</v>
      </c>
      <c r="G1051" s="570">
        <v>-3.2000000000000002E-3</v>
      </c>
      <c r="H1051" s="570">
        <v>0</v>
      </c>
      <c r="I1051" s="570">
        <v>0</v>
      </c>
      <c r="J1051" s="570">
        <v>0</v>
      </c>
      <c r="K1051" s="570">
        <v>3.0000000000000001E-5</v>
      </c>
    </row>
    <row r="1052" spans="3:11">
      <c r="C1052" s="570" t="s">
        <v>2363</v>
      </c>
      <c r="D1052" s="570" t="s">
        <v>1834</v>
      </c>
      <c r="E1052" s="570">
        <v>26</v>
      </c>
      <c r="F1052" s="570">
        <v>-2.9999999999999997E-4</v>
      </c>
      <c r="G1052" s="570">
        <v>-4.0000000000000002E-4</v>
      </c>
      <c r="H1052" s="570">
        <v>0</v>
      </c>
      <c r="I1052" s="570">
        <v>0</v>
      </c>
      <c r="J1052" s="570">
        <v>0</v>
      </c>
      <c r="K1052" s="570">
        <v>4.0000000000000003E-5</v>
      </c>
    </row>
    <row r="1053" spans="3:11">
      <c r="C1053" s="570" t="s">
        <v>2364</v>
      </c>
      <c r="D1053" s="570" t="s">
        <v>1834</v>
      </c>
      <c r="E1053" s="570">
        <v>26</v>
      </c>
      <c r="F1053" s="570">
        <v>-2.9999999999999997E-4</v>
      </c>
      <c r="G1053" s="570">
        <v>2.8E-3</v>
      </c>
      <c r="H1053" s="570">
        <v>0</v>
      </c>
      <c r="I1053" s="570">
        <v>0</v>
      </c>
      <c r="J1053" s="570">
        <v>0</v>
      </c>
      <c r="K1053" s="570">
        <v>3.0000000000000001E-5</v>
      </c>
    </row>
    <row r="1054" spans="3:11">
      <c r="C1054" s="570" t="s">
        <v>2365</v>
      </c>
      <c r="D1054" s="570" t="s">
        <v>1834</v>
      </c>
      <c r="E1054" s="570">
        <v>26</v>
      </c>
      <c r="F1054" s="570">
        <v>-2.0000000000000001E-4</v>
      </c>
      <c r="G1054" s="570">
        <v>5.3E-3</v>
      </c>
      <c r="H1054" s="570">
        <v>0</v>
      </c>
      <c r="I1054" s="570">
        <v>0</v>
      </c>
      <c r="J1054" s="570">
        <v>0</v>
      </c>
      <c r="K1054" s="570">
        <v>1.0000000000000001E-5</v>
      </c>
    </row>
    <row r="1055" spans="3:11">
      <c r="C1055" s="570" t="s">
        <v>2366</v>
      </c>
      <c r="D1055" s="570" t="s">
        <v>1834</v>
      </c>
      <c r="E1055" s="570">
        <v>26</v>
      </c>
      <c r="F1055" s="570">
        <v>0</v>
      </c>
      <c r="G1055" s="570">
        <v>6.1000000000000004E-3</v>
      </c>
      <c r="H1055" s="570">
        <v>0</v>
      </c>
      <c r="I1055" s="570">
        <v>0</v>
      </c>
      <c r="J1055" s="570">
        <v>0</v>
      </c>
      <c r="K1055" s="570">
        <v>-2.0000000000000002E-5</v>
      </c>
    </row>
    <row r="1056" spans="3:11">
      <c r="C1056" s="570" t="s">
        <v>2367</v>
      </c>
      <c r="D1056" s="570" t="s">
        <v>1834</v>
      </c>
      <c r="E1056" s="570">
        <v>26</v>
      </c>
      <c r="F1056" s="570">
        <v>1E-4</v>
      </c>
      <c r="G1056" s="570">
        <v>4.7999999999999996E-3</v>
      </c>
      <c r="H1056" s="570">
        <v>0</v>
      </c>
      <c r="I1056" s="570">
        <v>0</v>
      </c>
      <c r="J1056" s="570">
        <v>0</v>
      </c>
      <c r="K1056" s="570">
        <v>-4.0000000000000003E-5</v>
      </c>
    </row>
    <row r="1057" spans="3:11">
      <c r="C1057" s="570" t="s">
        <v>2368</v>
      </c>
      <c r="D1057" s="570" t="s">
        <v>1834</v>
      </c>
      <c r="E1057" s="570">
        <v>26</v>
      </c>
      <c r="F1057" s="570">
        <v>2.0000000000000001E-4</v>
      </c>
      <c r="G1057" s="570">
        <v>1.8E-3</v>
      </c>
      <c r="H1057" s="570">
        <v>0</v>
      </c>
      <c r="I1057" s="570">
        <v>0</v>
      </c>
      <c r="J1057" s="570">
        <v>0</v>
      </c>
      <c r="K1057" s="570">
        <v>-4.0000000000000003E-5</v>
      </c>
    </row>
    <row r="1058" spans="3:11">
      <c r="C1058" s="570" t="s">
        <v>2369</v>
      </c>
      <c r="D1058" s="570" t="s">
        <v>1834</v>
      </c>
      <c r="E1058" s="570">
        <v>26</v>
      </c>
      <c r="F1058" s="570">
        <v>1E-4</v>
      </c>
      <c r="G1058" s="570">
        <v>-2E-3</v>
      </c>
      <c r="H1058" s="570">
        <v>0</v>
      </c>
      <c r="I1058" s="570">
        <v>0</v>
      </c>
      <c r="J1058" s="570">
        <v>0</v>
      </c>
      <c r="K1058" s="570">
        <v>-2.0000000000000002E-5</v>
      </c>
    </row>
    <row r="1059" spans="3:11">
      <c r="C1059" s="570" t="s">
        <v>2370</v>
      </c>
      <c r="D1059" s="570" t="s">
        <v>1834</v>
      </c>
      <c r="E1059" s="570">
        <v>26</v>
      </c>
      <c r="F1059" s="570">
        <v>-1E-4</v>
      </c>
      <c r="G1059" s="570">
        <v>-5.1000000000000004E-3</v>
      </c>
      <c r="H1059" s="570">
        <v>0</v>
      </c>
      <c r="I1059" s="570">
        <v>0</v>
      </c>
      <c r="J1059" s="570">
        <v>0</v>
      </c>
      <c r="K1059" s="570">
        <v>1.0000000000000001E-5</v>
      </c>
    </row>
    <row r="1060" spans="3:11">
      <c r="C1060" s="570" t="s">
        <v>2371</v>
      </c>
      <c r="D1060" s="570" t="s">
        <v>1834</v>
      </c>
      <c r="E1060" s="570">
        <v>26</v>
      </c>
      <c r="F1060" s="570">
        <v>-1E-4</v>
      </c>
      <c r="G1060" s="570">
        <v>-6.4999999999999997E-3</v>
      </c>
      <c r="H1060" s="570">
        <v>0</v>
      </c>
      <c r="I1060" s="570">
        <v>0</v>
      </c>
      <c r="J1060" s="570">
        <v>0</v>
      </c>
      <c r="K1060" s="570">
        <v>4.0000000000000003E-5</v>
      </c>
    </row>
    <row r="1061" spans="3:11">
      <c r="C1061" s="570" t="s">
        <v>2372</v>
      </c>
      <c r="D1061" s="570" t="s">
        <v>1834</v>
      </c>
      <c r="E1061" s="570">
        <v>26</v>
      </c>
      <c r="F1061" s="570">
        <v>0</v>
      </c>
      <c r="G1061" s="570">
        <v>-5.4999999999999997E-3</v>
      </c>
      <c r="H1061" s="570">
        <v>0</v>
      </c>
      <c r="I1061" s="570">
        <v>0</v>
      </c>
      <c r="J1061" s="570">
        <v>0</v>
      </c>
      <c r="K1061" s="570">
        <v>5.0000000000000002E-5</v>
      </c>
    </row>
    <row r="1062" spans="3:11">
      <c r="C1062" s="570" t="s">
        <v>2373</v>
      </c>
      <c r="D1062" s="570" t="s">
        <v>1834</v>
      </c>
      <c r="E1062" s="570">
        <v>26</v>
      </c>
      <c r="F1062" s="570">
        <v>2.0000000000000001E-4</v>
      </c>
      <c r="G1062" s="570">
        <v>-2.7000000000000001E-3</v>
      </c>
      <c r="H1062" s="570">
        <v>0</v>
      </c>
      <c r="I1062" s="570">
        <v>0</v>
      </c>
      <c r="J1062" s="570">
        <v>0</v>
      </c>
      <c r="K1062" s="570">
        <v>3.0000000000000001E-5</v>
      </c>
    </row>
    <row r="1063" spans="3:11">
      <c r="C1063" s="570" t="s">
        <v>2374</v>
      </c>
      <c r="D1063" s="570" t="s">
        <v>1834</v>
      </c>
      <c r="E1063" s="570">
        <v>26</v>
      </c>
      <c r="F1063" s="570">
        <v>4.0000000000000002E-4</v>
      </c>
      <c r="G1063" s="570">
        <v>8.9999999999999998E-4</v>
      </c>
      <c r="H1063" s="570">
        <v>0</v>
      </c>
      <c r="I1063" s="570">
        <v>0</v>
      </c>
      <c r="J1063" s="570">
        <v>0</v>
      </c>
      <c r="K1063" s="570">
        <v>1.0000000000000001E-5</v>
      </c>
    </row>
    <row r="1064" spans="3:11">
      <c r="C1064" s="570" t="s">
        <v>2375</v>
      </c>
      <c r="D1064" s="570" t="s">
        <v>1834</v>
      </c>
      <c r="E1064" s="570">
        <v>26</v>
      </c>
      <c r="F1064" s="570">
        <v>2.9999999999999997E-4</v>
      </c>
      <c r="G1064" s="570">
        <v>3.8E-3</v>
      </c>
      <c r="H1064" s="570">
        <v>0</v>
      </c>
      <c r="I1064" s="570">
        <v>0</v>
      </c>
      <c r="J1064" s="570">
        <v>0</v>
      </c>
      <c r="K1064" s="570">
        <v>-2.0000000000000002E-5</v>
      </c>
    </row>
    <row r="1065" spans="3:11">
      <c r="C1065" s="570" t="s">
        <v>2376</v>
      </c>
      <c r="D1065" s="570" t="s">
        <v>1834</v>
      </c>
      <c r="E1065" s="570">
        <v>26</v>
      </c>
      <c r="F1065" s="570">
        <v>1E-4</v>
      </c>
      <c r="G1065" s="570">
        <v>5.3E-3</v>
      </c>
      <c r="H1065" s="570">
        <v>0</v>
      </c>
      <c r="I1065" s="570">
        <v>0</v>
      </c>
      <c r="J1065" s="570">
        <v>0</v>
      </c>
      <c r="K1065" s="570">
        <v>-3.0000000000000001E-5</v>
      </c>
    </row>
    <row r="1066" spans="3:11">
      <c r="C1066" s="570" t="s">
        <v>2377</v>
      </c>
      <c r="D1066" s="570" t="s">
        <v>1834</v>
      </c>
      <c r="E1066" s="570">
        <v>26</v>
      </c>
      <c r="F1066" s="570">
        <v>-2.9999999999999997E-4</v>
      </c>
      <c r="G1066" s="570">
        <v>4.7999999999999996E-3</v>
      </c>
      <c r="H1066" s="570">
        <v>0</v>
      </c>
      <c r="I1066" s="570">
        <v>0</v>
      </c>
      <c r="J1066" s="570">
        <v>0</v>
      </c>
      <c r="K1066" s="570">
        <v>-3.0000000000000001E-5</v>
      </c>
    </row>
    <row r="1067" spans="3:11">
      <c r="C1067" s="570" t="s">
        <v>2327</v>
      </c>
      <c r="D1067" s="570" t="s">
        <v>1834</v>
      </c>
      <c r="E1067" s="570">
        <v>26</v>
      </c>
      <c r="F1067" s="570">
        <v>0</v>
      </c>
      <c r="G1067" s="570">
        <v>0</v>
      </c>
      <c r="H1067" s="570">
        <v>0</v>
      </c>
      <c r="I1067" s="570">
        <v>0</v>
      </c>
      <c r="J1067" s="570">
        <v>0</v>
      </c>
      <c r="K1067" s="570">
        <v>0</v>
      </c>
    </row>
    <row r="1068" spans="3:11">
      <c r="C1068" s="570" t="s">
        <v>2270</v>
      </c>
      <c r="D1068" s="570" t="s">
        <v>1834</v>
      </c>
      <c r="E1068" s="570">
        <v>27</v>
      </c>
      <c r="F1068" s="570">
        <v>-4.4999999999999997E-3</v>
      </c>
      <c r="G1068" s="570">
        <v>-2.9999999999999997E-4</v>
      </c>
      <c r="H1068" s="570">
        <v>0</v>
      </c>
      <c r="I1068" s="570">
        <v>0</v>
      </c>
      <c r="J1068" s="570">
        <v>0</v>
      </c>
      <c r="K1068" s="570">
        <v>9.0000000000000006E-5</v>
      </c>
    </row>
    <row r="1069" spans="3:11">
      <c r="C1069" s="570" t="s">
        <v>2271</v>
      </c>
      <c r="D1069" s="570" t="s">
        <v>1834</v>
      </c>
      <c r="E1069" s="570">
        <v>27</v>
      </c>
      <c r="F1069" s="570">
        <v>-1.5E-3</v>
      </c>
      <c r="G1069" s="570">
        <v>0</v>
      </c>
      <c r="H1069" s="570">
        <v>0</v>
      </c>
      <c r="I1069" s="570">
        <v>0</v>
      </c>
      <c r="J1069" s="570">
        <v>0</v>
      </c>
      <c r="K1069" s="570">
        <v>1.0000000000000001E-5</v>
      </c>
    </row>
    <row r="1070" spans="3:11">
      <c r="C1070" s="570" t="s">
        <v>2340</v>
      </c>
      <c r="D1070" s="570" t="s">
        <v>1834</v>
      </c>
      <c r="E1070" s="570">
        <v>27</v>
      </c>
      <c r="F1070" s="570">
        <v>2.0000000000000001E-4</v>
      </c>
      <c r="G1070" s="570">
        <v>1E-4</v>
      </c>
      <c r="H1070" s="570">
        <v>0</v>
      </c>
      <c r="I1070" s="570">
        <v>0</v>
      </c>
      <c r="J1070" s="570">
        <v>0</v>
      </c>
      <c r="K1070" s="570">
        <v>0</v>
      </c>
    </row>
    <row r="1071" spans="3:11">
      <c r="C1071" s="570" t="s">
        <v>2341</v>
      </c>
      <c r="D1071" s="570" t="s">
        <v>1834</v>
      </c>
      <c r="E1071" s="570">
        <v>27</v>
      </c>
      <c r="F1071" s="570">
        <v>1.5E-3</v>
      </c>
      <c r="G1071" s="570">
        <v>1E-4</v>
      </c>
      <c r="H1071" s="570">
        <v>0</v>
      </c>
      <c r="I1071" s="570">
        <v>0</v>
      </c>
      <c r="J1071" s="570">
        <v>0</v>
      </c>
      <c r="K1071" s="570">
        <v>-1.0000000000000001E-5</v>
      </c>
    </row>
    <row r="1072" spans="3:11">
      <c r="C1072" s="570" t="s">
        <v>2342</v>
      </c>
      <c r="D1072" s="570" t="s">
        <v>1834</v>
      </c>
      <c r="E1072" s="570">
        <v>27</v>
      </c>
      <c r="F1072" s="570">
        <v>2.0999999999999999E-3</v>
      </c>
      <c r="G1072" s="570">
        <v>1E-4</v>
      </c>
      <c r="H1072" s="570">
        <v>0</v>
      </c>
      <c r="I1072" s="570">
        <v>0</v>
      </c>
      <c r="J1072" s="570">
        <v>0</v>
      </c>
      <c r="K1072" s="570">
        <v>-2.0000000000000002E-5</v>
      </c>
    </row>
    <row r="1073" spans="3:11">
      <c r="C1073" s="570" t="s">
        <v>2343</v>
      </c>
      <c r="D1073" s="570" t="s">
        <v>1834</v>
      </c>
      <c r="E1073" s="570">
        <v>27</v>
      </c>
      <c r="F1073" s="570">
        <v>1.6000000000000001E-3</v>
      </c>
      <c r="G1073" s="570">
        <v>0</v>
      </c>
      <c r="H1073" s="570">
        <v>0</v>
      </c>
      <c r="I1073" s="570">
        <v>0</v>
      </c>
      <c r="J1073" s="570">
        <v>0</v>
      </c>
      <c r="K1073" s="570">
        <v>-1.0000000000000001E-5</v>
      </c>
    </row>
    <row r="1074" spans="3:11">
      <c r="C1074" s="570" t="s">
        <v>2344</v>
      </c>
      <c r="D1074" s="570" t="s">
        <v>1834</v>
      </c>
      <c r="E1074" s="570">
        <v>27</v>
      </c>
      <c r="F1074" s="570">
        <v>4.0000000000000002E-4</v>
      </c>
      <c r="G1074" s="570">
        <v>-1E-4</v>
      </c>
      <c r="H1074" s="570">
        <v>0</v>
      </c>
      <c r="I1074" s="570">
        <v>0</v>
      </c>
      <c r="J1074" s="570">
        <v>0</v>
      </c>
      <c r="K1074" s="570">
        <v>0</v>
      </c>
    </row>
    <row r="1075" spans="3:11">
      <c r="C1075" s="570" t="s">
        <v>2345</v>
      </c>
      <c r="D1075" s="570" t="s">
        <v>1834</v>
      </c>
      <c r="E1075" s="570">
        <v>27</v>
      </c>
      <c r="F1075" s="570">
        <v>-1E-3</v>
      </c>
      <c r="G1075" s="570">
        <v>-2.0000000000000001E-4</v>
      </c>
      <c r="H1075" s="570">
        <v>0</v>
      </c>
      <c r="I1075" s="570">
        <v>0</v>
      </c>
      <c r="J1075" s="570">
        <v>0</v>
      </c>
      <c r="K1075" s="570">
        <v>1.0000000000000001E-5</v>
      </c>
    </row>
    <row r="1076" spans="3:11">
      <c r="C1076" s="570" t="s">
        <v>2346</v>
      </c>
      <c r="D1076" s="570" t="s">
        <v>1834</v>
      </c>
      <c r="E1076" s="570">
        <v>27</v>
      </c>
      <c r="F1076" s="570">
        <v>-2.0999999999999999E-3</v>
      </c>
      <c r="G1076" s="570">
        <v>-2.0000000000000001E-4</v>
      </c>
      <c r="H1076" s="570">
        <v>0</v>
      </c>
      <c r="I1076" s="570">
        <v>0</v>
      </c>
      <c r="J1076" s="570">
        <v>0</v>
      </c>
      <c r="K1076" s="570">
        <v>2.0000000000000002E-5</v>
      </c>
    </row>
    <row r="1077" spans="3:11">
      <c r="C1077" s="570" t="s">
        <v>2347</v>
      </c>
      <c r="D1077" s="570" t="s">
        <v>1834</v>
      </c>
      <c r="E1077" s="570">
        <v>27</v>
      </c>
      <c r="F1077" s="570">
        <v>-2.2000000000000001E-3</v>
      </c>
      <c r="G1077" s="570">
        <v>-2.0000000000000001E-4</v>
      </c>
      <c r="H1077" s="570">
        <v>0</v>
      </c>
      <c r="I1077" s="570">
        <v>0</v>
      </c>
      <c r="J1077" s="570">
        <v>0</v>
      </c>
      <c r="K1077" s="570">
        <v>2.0000000000000002E-5</v>
      </c>
    </row>
    <row r="1078" spans="3:11">
      <c r="C1078" s="570" t="s">
        <v>2348</v>
      </c>
      <c r="D1078" s="570" t="s">
        <v>1834</v>
      </c>
      <c r="E1078" s="570">
        <v>27</v>
      </c>
      <c r="F1078" s="570">
        <v>-1.2999999999999999E-3</v>
      </c>
      <c r="G1078" s="570">
        <v>-1E-4</v>
      </c>
      <c r="H1078" s="570">
        <v>0</v>
      </c>
      <c r="I1078" s="570">
        <v>0</v>
      </c>
      <c r="J1078" s="570">
        <v>0</v>
      </c>
      <c r="K1078" s="570">
        <v>1.0000000000000001E-5</v>
      </c>
    </row>
    <row r="1079" spans="3:11">
      <c r="C1079" s="570" t="s">
        <v>2349</v>
      </c>
      <c r="D1079" s="570" t="s">
        <v>1834</v>
      </c>
      <c r="E1079" s="570">
        <v>27</v>
      </c>
      <c r="F1079" s="570">
        <v>2.0000000000000001E-4</v>
      </c>
      <c r="G1079" s="570">
        <v>1E-4</v>
      </c>
      <c r="H1079" s="570">
        <v>0</v>
      </c>
      <c r="I1079" s="570">
        <v>0</v>
      </c>
      <c r="J1079" s="570">
        <v>0</v>
      </c>
      <c r="K1079" s="570">
        <v>0</v>
      </c>
    </row>
    <row r="1080" spans="3:11">
      <c r="C1080" s="570" t="s">
        <v>2350</v>
      </c>
      <c r="D1080" s="570" t="s">
        <v>1834</v>
      </c>
      <c r="E1080" s="570">
        <v>27</v>
      </c>
      <c r="F1080" s="570">
        <v>1.6999999999999999E-3</v>
      </c>
      <c r="G1080" s="570">
        <v>2.0000000000000001E-4</v>
      </c>
      <c r="H1080" s="570">
        <v>0</v>
      </c>
      <c r="I1080" s="570">
        <v>0</v>
      </c>
      <c r="J1080" s="570">
        <v>0</v>
      </c>
      <c r="K1080" s="570">
        <v>-2.0000000000000002E-5</v>
      </c>
    </row>
    <row r="1081" spans="3:11">
      <c r="C1081" s="570" t="s">
        <v>2351</v>
      </c>
      <c r="D1081" s="570" t="s">
        <v>1834</v>
      </c>
      <c r="E1081" s="570">
        <v>27</v>
      </c>
      <c r="F1081" s="570">
        <v>2.5000000000000001E-3</v>
      </c>
      <c r="G1081" s="570">
        <v>2.9999999999999997E-4</v>
      </c>
      <c r="H1081" s="570">
        <v>0</v>
      </c>
      <c r="I1081" s="570">
        <v>0</v>
      </c>
      <c r="J1081" s="570">
        <v>0</v>
      </c>
      <c r="K1081" s="570">
        <v>-3.0000000000000001E-5</v>
      </c>
    </row>
    <row r="1082" spans="3:11">
      <c r="C1082" s="570" t="s">
        <v>2352</v>
      </c>
      <c r="D1082" s="570" t="s">
        <v>1834</v>
      </c>
      <c r="E1082" s="570">
        <v>27</v>
      </c>
      <c r="F1082" s="570">
        <v>2.0999999999999999E-3</v>
      </c>
      <c r="G1082" s="570">
        <v>2.9999999999999997E-4</v>
      </c>
      <c r="H1082" s="570">
        <v>0</v>
      </c>
      <c r="I1082" s="570">
        <v>0</v>
      </c>
      <c r="J1082" s="570">
        <v>0</v>
      </c>
      <c r="K1082" s="570">
        <v>-3.0000000000000001E-5</v>
      </c>
    </row>
    <row r="1083" spans="3:11">
      <c r="C1083" s="570" t="s">
        <v>2353</v>
      </c>
      <c r="D1083" s="570" t="s">
        <v>1834</v>
      </c>
      <c r="E1083" s="570">
        <v>27</v>
      </c>
      <c r="F1083" s="570">
        <v>5.9999999999999995E-4</v>
      </c>
      <c r="G1083" s="570">
        <v>2.0000000000000001E-4</v>
      </c>
      <c r="H1083" s="570">
        <v>0</v>
      </c>
      <c r="I1083" s="570">
        <v>0</v>
      </c>
      <c r="J1083" s="570">
        <v>0</v>
      </c>
      <c r="K1083" s="570">
        <v>-1.0000000000000001E-5</v>
      </c>
    </row>
    <row r="1084" spans="3:11">
      <c r="C1084" s="570" t="s">
        <v>2354</v>
      </c>
      <c r="D1084" s="570" t="s">
        <v>1834</v>
      </c>
      <c r="E1084" s="570">
        <v>27</v>
      </c>
      <c r="F1084" s="570">
        <v>-1.2999999999999999E-3</v>
      </c>
      <c r="G1084" s="570">
        <v>0</v>
      </c>
      <c r="H1084" s="570">
        <v>0</v>
      </c>
      <c r="I1084" s="570">
        <v>0</v>
      </c>
      <c r="J1084" s="570">
        <v>0</v>
      </c>
      <c r="K1084" s="570">
        <v>1.0000000000000001E-5</v>
      </c>
    </row>
    <row r="1085" spans="3:11">
      <c r="C1085" s="570" t="s">
        <v>2355</v>
      </c>
      <c r="D1085" s="570" t="s">
        <v>1834</v>
      </c>
      <c r="E1085" s="570">
        <v>27</v>
      </c>
      <c r="F1085" s="570">
        <v>-2.5999999999999999E-3</v>
      </c>
      <c r="G1085" s="570">
        <v>-2.0000000000000001E-4</v>
      </c>
      <c r="H1085" s="570">
        <v>0</v>
      </c>
      <c r="I1085" s="570">
        <v>0</v>
      </c>
      <c r="J1085" s="570">
        <v>0</v>
      </c>
      <c r="K1085" s="570">
        <v>3.0000000000000001E-5</v>
      </c>
    </row>
    <row r="1086" spans="3:11">
      <c r="C1086" s="570" t="s">
        <v>2356</v>
      </c>
      <c r="D1086" s="570" t="s">
        <v>1834</v>
      </c>
      <c r="E1086" s="570">
        <v>27</v>
      </c>
      <c r="F1086" s="570">
        <v>-2.7000000000000001E-3</v>
      </c>
      <c r="G1086" s="570">
        <v>-2.9999999999999997E-4</v>
      </c>
      <c r="H1086" s="570">
        <v>0</v>
      </c>
      <c r="I1086" s="570">
        <v>0</v>
      </c>
      <c r="J1086" s="570">
        <v>0</v>
      </c>
      <c r="K1086" s="570">
        <v>4.0000000000000003E-5</v>
      </c>
    </row>
    <row r="1087" spans="3:11">
      <c r="C1087" s="570" t="s">
        <v>2357</v>
      </c>
      <c r="D1087" s="570" t="s">
        <v>1834</v>
      </c>
      <c r="E1087" s="570">
        <v>27</v>
      </c>
      <c r="F1087" s="570">
        <v>-1.2999999999999999E-3</v>
      </c>
      <c r="G1087" s="570">
        <v>-2.9999999999999997E-4</v>
      </c>
      <c r="H1087" s="570">
        <v>0</v>
      </c>
      <c r="I1087" s="570">
        <v>0</v>
      </c>
      <c r="J1087" s="570">
        <v>0</v>
      </c>
      <c r="K1087" s="570">
        <v>3.0000000000000001E-5</v>
      </c>
    </row>
    <row r="1088" spans="3:11">
      <c r="C1088" s="570" t="s">
        <v>2358</v>
      </c>
      <c r="D1088" s="570" t="s">
        <v>1834</v>
      </c>
      <c r="E1088" s="570">
        <v>27</v>
      </c>
      <c r="F1088" s="570">
        <v>1E-3</v>
      </c>
      <c r="G1088" s="570">
        <v>-2.0000000000000001E-4</v>
      </c>
      <c r="H1088" s="570">
        <v>0</v>
      </c>
      <c r="I1088" s="570">
        <v>0</v>
      </c>
      <c r="J1088" s="570">
        <v>0</v>
      </c>
      <c r="K1088" s="570">
        <v>1.0000000000000001E-5</v>
      </c>
    </row>
    <row r="1089" spans="3:11">
      <c r="C1089" s="570" t="s">
        <v>2359</v>
      </c>
      <c r="D1089" s="570" t="s">
        <v>1834</v>
      </c>
      <c r="E1089" s="570">
        <v>27</v>
      </c>
      <c r="F1089" s="570">
        <v>2.8999999999999998E-3</v>
      </c>
      <c r="G1089" s="570">
        <v>0</v>
      </c>
      <c r="H1089" s="570">
        <v>0</v>
      </c>
      <c r="I1089" s="570">
        <v>0</v>
      </c>
      <c r="J1089" s="570">
        <v>0</v>
      </c>
      <c r="K1089" s="570">
        <v>-1.0000000000000001E-5</v>
      </c>
    </row>
    <row r="1090" spans="3:11">
      <c r="C1090" s="570" t="s">
        <v>2360</v>
      </c>
      <c r="D1090" s="570" t="s">
        <v>1834</v>
      </c>
      <c r="E1090" s="570">
        <v>27</v>
      </c>
      <c r="F1090" s="570">
        <v>3.5000000000000001E-3</v>
      </c>
      <c r="G1090" s="570">
        <v>2.0000000000000001E-4</v>
      </c>
      <c r="H1090" s="570">
        <v>0</v>
      </c>
      <c r="I1090" s="570">
        <v>0</v>
      </c>
      <c r="J1090" s="570">
        <v>0</v>
      </c>
      <c r="K1090" s="570">
        <v>-3.0000000000000001E-5</v>
      </c>
    </row>
    <row r="1091" spans="3:11">
      <c r="C1091" s="570" t="s">
        <v>2361</v>
      </c>
      <c r="D1091" s="570" t="s">
        <v>1834</v>
      </c>
      <c r="E1091" s="570">
        <v>27</v>
      </c>
      <c r="F1091" s="570">
        <v>2.0999999999999999E-3</v>
      </c>
      <c r="G1091" s="570">
        <v>2.9999999999999997E-4</v>
      </c>
      <c r="H1091" s="570">
        <v>0</v>
      </c>
      <c r="I1091" s="570">
        <v>0</v>
      </c>
      <c r="J1091" s="570">
        <v>0</v>
      </c>
      <c r="K1091" s="570">
        <v>-4.0000000000000003E-5</v>
      </c>
    </row>
    <row r="1092" spans="3:11">
      <c r="C1092" s="570" t="s">
        <v>2362</v>
      </c>
      <c r="D1092" s="570" t="s">
        <v>1834</v>
      </c>
      <c r="E1092" s="570">
        <v>27</v>
      </c>
      <c r="F1092" s="570">
        <v>-8.0000000000000004E-4</v>
      </c>
      <c r="G1092" s="570">
        <v>2.0000000000000001E-4</v>
      </c>
      <c r="H1092" s="570">
        <v>0</v>
      </c>
      <c r="I1092" s="570">
        <v>0</v>
      </c>
      <c r="J1092" s="570">
        <v>0</v>
      </c>
      <c r="K1092" s="570">
        <v>-3.0000000000000001E-5</v>
      </c>
    </row>
    <row r="1093" spans="3:11">
      <c r="C1093" s="570" t="s">
        <v>2363</v>
      </c>
      <c r="D1093" s="570" t="s">
        <v>1834</v>
      </c>
      <c r="E1093" s="570">
        <v>27</v>
      </c>
      <c r="F1093" s="570">
        <v>-3.5999999999999999E-3</v>
      </c>
      <c r="G1093" s="570">
        <v>1E-4</v>
      </c>
      <c r="H1093" s="570">
        <v>0</v>
      </c>
      <c r="I1093" s="570">
        <v>0</v>
      </c>
      <c r="J1093" s="570">
        <v>0</v>
      </c>
      <c r="K1093" s="570">
        <v>0</v>
      </c>
    </row>
    <row r="1094" spans="3:11">
      <c r="C1094" s="570" t="s">
        <v>2364</v>
      </c>
      <c r="D1094" s="570" t="s">
        <v>1834</v>
      </c>
      <c r="E1094" s="570">
        <v>27</v>
      </c>
      <c r="F1094" s="570">
        <v>-4.5999999999999999E-3</v>
      </c>
      <c r="G1094" s="570">
        <v>0</v>
      </c>
      <c r="H1094" s="570">
        <v>0</v>
      </c>
      <c r="I1094" s="570">
        <v>0</v>
      </c>
      <c r="J1094" s="570">
        <v>0</v>
      </c>
      <c r="K1094" s="570">
        <v>2.0000000000000002E-5</v>
      </c>
    </row>
    <row r="1095" spans="3:11">
      <c r="C1095" s="570" t="s">
        <v>2365</v>
      </c>
      <c r="D1095" s="570" t="s">
        <v>1834</v>
      </c>
      <c r="E1095" s="570">
        <v>27</v>
      </c>
      <c r="F1095" s="570">
        <v>-2.8E-3</v>
      </c>
      <c r="G1095" s="570">
        <v>-1E-4</v>
      </c>
      <c r="H1095" s="570">
        <v>0</v>
      </c>
      <c r="I1095" s="570">
        <v>0</v>
      </c>
      <c r="J1095" s="570">
        <v>0</v>
      </c>
      <c r="K1095" s="570">
        <v>3.0000000000000001E-5</v>
      </c>
    </row>
    <row r="1096" spans="3:11">
      <c r="C1096" s="570" t="s">
        <v>2366</v>
      </c>
      <c r="D1096" s="570" t="s">
        <v>1834</v>
      </c>
      <c r="E1096" s="570">
        <v>27</v>
      </c>
      <c r="F1096" s="570">
        <v>1.1999999999999999E-3</v>
      </c>
      <c r="G1096" s="570">
        <v>-2.0000000000000001E-4</v>
      </c>
      <c r="H1096" s="570">
        <v>0</v>
      </c>
      <c r="I1096" s="570">
        <v>0</v>
      </c>
      <c r="J1096" s="570">
        <v>0</v>
      </c>
      <c r="K1096" s="570">
        <v>3.0000000000000001E-5</v>
      </c>
    </row>
    <row r="1097" spans="3:11">
      <c r="C1097" s="570" t="s">
        <v>2367</v>
      </c>
      <c r="D1097" s="570" t="s">
        <v>1834</v>
      </c>
      <c r="E1097" s="570">
        <v>27</v>
      </c>
      <c r="F1097" s="570">
        <v>5.0000000000000001E-3</v>
      </c>
      <c r="G1097" s="570">
        <v>-1E-4</v>
      </c>
      <c r="H1097" s="570">
        <v>0</v>
      </c>
      <c r="I1097" s="570">
        <v>0</v>
      </c>
      <c r="J1097" s="570">
        <v>0</v>
      </c>
      <c r="K1097" s="570">
        <v>1.0000000000000001E-5</v>
      </c>
    </row>
    <row r="1098" spans="3:11">
      <c r="C1098" s="570" t="s">
        <v>2368</v>
      </c>
      <c r="D1098" s="570" t="s">
        <v>1834</v>
      </c>
      <c r="E1098" s="570">
        <v>27</v>
      </c>
      <c r="F1098" s="570">
        <v>6.0000000000000001E-3</v>
      </c>
      <c r="G1098" s="570">
        <v>-1E-4</v>
      </c>
      <c r="H1098" s="570">
        <v>0</v>
      </c>
      <c r="I1098" s="570">
        <v>0</v>
      </c>
      <c r="J1098" s="570">
        <v>0</v>
      </c>
      <c r="K1098" s="570">
        <v>0</v>
      </c>
    </row>
    <row r="1099" spans="3:11">
      <c r="C1099" s="570" t="s">
        <v>2369</v>
      </c>
      <c r="D1099" s="570" t="s">
        <v>1834</v>
      </c>
      <c r="E1099" s="570">
        <v>27</v>
      </c>
      <c r="F1099" s="570">
        <v>3.0000000000000001E-3</v>
      </c>
      <c r="G1099" s="570">
        <v>0</v>
      </c>
      <c r="H1099" s="570">
        <v>0</v>
      </c>
      <c r="I1099" s="570">
        <v>0</v>
      </c>
      <c r="J1099" s="570">
        <v>0</v>
      </c>
      <c r="K1099" s="570">
        <v>-1.0000000000000001E-5</v>
      </c>
    </row>
    <row r="1100" spans="3:11">
      <c r="C1100" s="570" t="s">
        <v>2370</v>
      </c>
      <c r="D1100" s="570" t="s">
        <v>1834</v>
      </c>
      <c r="E1100" s="570">
        <v>27</v>
      </c>
      <c r="F1100" s="570">
        <v>-2.7000000000000001E-3</v>
      </c>
      <c r="G1100" s="570">
        <v>0</v>
      </c>
      <c r="H1100" s="570">
        <v>0</v>
      </c>
      <c r="I1100" s="570">
        <v>0</v>
      </c>
      <c r="J1100" s="570">
        <v>0</v>
      </c>
      <c r="K1100" s="570">
        <v>-1.0000000000000001E-5</v>
      </c>
    </row>
    <row r="1101" spans="3:11">
      <c r="C1101" s="570" t="s">
        <v>2371</v>
      </c>
      <c r="D1101" s="570" t="s">
        <v>1834</v>
      </c>
      <c r="E1101" s="570">
        <v>27</v>
      </c>
      <c r="F1101" s="570">
        <v>-7.4999999999999997E-3</v>
      </c>
      <c r="G1101" s="570">
        <v>1E-4</v>
      </c>
      <c r="H1101" s="570">
        <v>0</v>
      </c>
      <c r="I1101" s="570">
        <v>0</v>
      </c>
      <c r="J1101" s="570">
        <v>0</v>
      </c>
      <c r="K1101" s="570">
        <v>0</v>
      </c>
    </row>
    <row r="1102" spans="3:11">
      <c r="C1102" s="570" t="s">
        <v>2372</v>
      </c>
      <c r="D1102" s="570" t="s">
        <v>1834</v>
      </c>
      <c r="E1102" s="570">
        <v>27</v>
      </c>
      <c r="F1102" s="570">
        <v>-7.4000000000000003E-3</v>
      </c>
      <c r="G1102" s="570">
        <v>1E-4</v>
      </c>
      <c r="H1102" s="570">
        <v>0</v>
      </c>
      <c r="I1102" s="570">
        <v>0</v>
      </c>
      <c r="J1102" s="570">
        <v>0</v>
      </c>
      <c r="K1102" s="570">
        <v>-1.0000000000000001E-5</v>
      </c>
    </row>
    <row r="1103" spans="3:11">
      <c r="C1103" s="570" t="s">
        <v>2373</v>
      </c>
      <c r="D1103" s="570" t="s">
        <v>1834</v>
      </c>
      <c r="E1103" s="570">
        <v>27</v>
      </c>
      <c r="F1103" s="570">
        <v>-1.2999999999999999E-3</v>
      </c>
      <c r="G1103" s="570">
        <v>2.0000000000000001E-4</v>
      </c>
      <c r="H1103" s="570">
        <v>0</v>
      </c>
      <c r="I1103" s="570">
        <v>0</v>
      </c>
      <c r="J1103" s="570">
        <v>0</v>
      </c>
      <c r="K1103" s="570">
        <v>-2.0000000000000002E-5</v>
      </c>
    </row>
    <row r="1104" spans="3:11">
      <c r="C1104" s="570" t="s">
        <v>2374</v>
      </c>
      <c r="D1104" s="570" t="s">
        <v>1834</v>
      </c>
      <c r="E1104" s="570">
        <v>27</v>
      </c>
      <c r="F1104" s="570">
        <v>6.8999999999999999E-3</v>
      </c>
      <c r="G1104" s="570">
        <v>2.0000000000000001E-4</v>
      </c>
      <c r="H1104" s="570">
        <v>0</v>
      </c>
      <c r="I1104" s="570">
        <v>0</v>
      </c>
      <c r="J1104" s="570">
        <v>0</v>
      </c>
      <c r="K1104" s="570">
        <v>-2.0000000000000002E-5</v>
      </c>
    </row>
    <row r="1105" spans="3:11">
      <c r="C1105" s="570" t="s">
        <v>2375</v>
      </c>
      <c r="D1105" s="570" t="s">
        <v>1834</v>
      </c>
      <c r="E1105" s="570">
        <v>27</v>
      </c>
      <c r="F1105" s="570">
        <v>1.0699999999999999E-2</v>
      </c>
      <c r="G1105" s="570">
        <v>1E-4</v>
      </c>
      <c r="H1105" s="570">
        <v>0</v>
      </c>
      <c r="I1105" s="570">
        <v>0</v>
      </c>
      <c r="J1105" s="570">
        <v>0</v>
      </c>
      <c r="K1105" s="570">
        <v>-2.0000000000000002E-5</v>
      </c>
    </row>
    <row r="1106" spans="3:11">
      <c r="C1106" s="570" t="s">
        <v>2376</v>
      </c>
      <c r="D1106" s="570" t="s">
        <v>1834</v>
      </c>
      <c r="E1106" s="570">
        <v>27</v>
      </c>
      <c r="F1106" s="570">
        <v>6.1999999999999998E-3</v>
      </c>
      <c r="G1106" s="570">
        <v>-2.0000000000000001E-4</v>
      </c>
      <c r="H1106" s="570">
        <v>0</v>
      </c>
      <c r="I1106" s="570">
        <v>0</v>
      </c>
      <c r="J1106" s="570">
        <v>0</v>
      </c>
      <c r="K1106" s="570">
        <v>1.0000000000000001E-5</v>
      </c>
    </row>
    <row r="1107" spans="3:11">
      <c r="C1107" s="570" t="s">
        <v>2377</v>
      </c>
      <c r="D1107" s="570" t="s">
        <v>1834</v>
      </c>
      <c r="E1107" s="570">
        <v>27</v>
      </c>
      <c r="F1107" s="570">
        <v>-3.8E-3</v>
      </c>
      <c r="G1107" s="570">
        <v>-2.9999999999999997E-4</v>
      </c>
      <c r="H1107" s="570">
        <v>0</v>
      </c>
      <c r="I1107" s="570">
        <v>0</v>
      </c>
      <c r="J1107" s="570">
        <v>0</v>
      </c>
      <c r="K1107" s="570">
        <v>3.0000000000000001E-5</v>
      </c>
    </row>
    <row r="1108" spans="3:11">
      <c r="C1108" s="570" t="s">
        <v>2327</v>
      </c>
      <c r="D1108" s="570" t="s">
        <v>1834</v>
      </c>
      <c r="E1108" s="570">
        <v>27</v>
      </c>
      <c r="F1108" s="570">
        <v>0</v>
      </c>
      <c r="G1108" s="570">
        <v>0</v>
      </c>
      <c r="H1108" s="570">
        <v>0</v>
      </c>
      <c r="I1108" s="570">
        <v>0</v>
      </c>
      <c r="J1108" s="570">
        <v>0</v>
      </c>
      <c r="K1108" s="570">
        <v>0</v>
      </c>
    </row>
    <row r="1109" spans="3:11">
      <c r="C1109" s="570" t="s">
        <v>2270</v>
      </c>
      <c r="D1109" s="570" t="s">
        <v>1834</v>
      </c>
      <c r="E1109" s="570">
        <v>28</v>
      </c>
      <c r="F1109" s="570">
        <v>2.0000000000000001E-4</v>
      </c>
      <c r="G1109" s="570">
        <v>4.1999999999999997E-3</v>
      </c>
      <c r="H1109" s="570">
        <v>0</v>
      </c>
      <c r="I1109" s="570">
        <v>0</v>
      </c>
      <c r="J1109" s="570">
        <v>0</v>
      </c>
      <c r="K1109" s="570">
        <v>-1.0000000000000001E-5</v>
      </c>
    </row>
    <row r="1110" spans="3:11">
      <c r="C1110" s="570" t="s">
        <v>2271</v>
      </c>
      <c r="D1110" s="570" t="s">
        <v>1834</v>
      </c>
      <c r="E1110" s="570">
        <v>28</v>
      </c>
      <c r="F1110" s="570">
        <v>0</v>
      </c>
      <c r="G1110" s="570">
        <v>1.9E-3</v>
      </c>
      <c r="H1110" s="570">
        <v>0</v>
      </c>
      <c r="I1110" s="570">
        <v>0</v>
      </c>
      <c r="J1110" s="570">
        <v>0</v>
      </c>
      <c r="K1110" s="570">
        <v>1.0000000000000001E-5</v>
      </c>
    </row>
    <row r="1111" spans="3:11">
      <c r="C1111" s="570" t="s">
        <v>2340</v>
      </c>
      <c r="D1111" s="570" t="s">
        <v>1834</v>
      </c>
      <c r="E1111" s="570">
        <v>28</v>
      </c>
      <c r="F1111" s="570">
        <v>-1E-4</v>
      </c>
      <c r="G1111" s="570">
        <v>4.0000000000000002E-4</v>
      </c>
      <c r="H1111" s="570">
        <v>0</v>
      </c>
      <c r="I1111" s="570">
        <v>0</v>
      </c>
      <c r="J1111" s="570">
        <v>0</v>
      </c>
      <c r="K1111" s="570">
        <v>0</v>
      </c>
    </row>
    <row r="1112" spans="3:11">
      <c r="C1112" s="570" t="s">
        <v>2341</v>
      </c>
      <c r="D1112" s="570" t="s">
        <v>1834</v>
      </c>
      <c r="E1112" s="570">
        <v>28</v>
      </c>
      <c r="F1112" s="570">
        <v>-1E-4</v>
      </c>
      <c r="G1112" s="570">
        <v>-1E-3</v>
      </c>
      <c r="H1112" s="570">
        <v>0</v>
      </c>
      <c r="I1112" s="570">
        <v>0</v>
      </c>
      <c r="J1112" s="570">
        <v>0</v>
      </c>
      <c r="K1112" s="570">
        <v>0</v>
      </c>
    </row>
    <row r="1113" spans="3:11">
      <c r="C1113" s="570" t="s">
        <v>2342</v>
      </c>
      <c r="D1113" s="570" t="s">
        <v>1834</v>
      </c>
      <c r="E1113" s="570">
        <v>28</v>
      </c>
      <c r="F1113" s="570">
        <v>0</v>
      </c>
      <c r="G1113" s="570">
        <v>-1.9E-3</v>
      </c>
      <c r="H1113" s="570">
        <v>0</v>
      </c>
      <c r="I1113" s="570">
        <v>0</v>
      </c>
      <c r="J1113" s="570">
        <v>0</v>
      </c>
      <c r="K1113" s="570">
        <v>-1.0000000000000001E-5</v>
      </c>
    </row>
    <row r="1114" spans="3:11">
      <c r="C1114" s="570" t="s">
        <v>2343</v>
      </c>
      <c r="D1114" s="570" t="s">
        <v>1834</v>
      </c>
      <c r="E1114" s="570">
        <v>28</v>
      </c>
      <c r="F1114" s="570">
        <v>1E-4</v>
      </c>
      <c r="G1114" s="570">
        <v>-2.2000000000000001E-3</v>
      </c>
      <c r="H1114" s="570">
        <v>0</v>
      </c>
      <c r="I1114" s="570">
        <v>0</v>
      </c>
      <c r="J1114" s="570">
        <v>0</v>
      </c>
      <c r="K1114" s="570">
        <v>-1.0000000000000001E-5</v>
      </c>
    </row>
    <row r="1115" spans="3:11">
      <c r="C1115" s="570" t="s">
        <v>2344</v>
      </c>
      <c r="D1115" s="570" t="s">
        <v>1834</v>
      </c>
      <c r="E1115" s="570">
        <v>28</v>
      </c>
      <c r="F1115" s="570">
        <v>1E-4</v>
      </c>
      <c r="G1115" s="570">
        <v>-1.8E-3</v>
      </c>
      <c r="H1115" s="570">
        <v>0</v>
      </c>
      <c r="I1115" s="570">
        <v>0</v>
      </c>
      <c r="J1115" s="570">
        <v>0</v>
      </c>
      <c r="K1115" s="570">
        <v>-1.0000000000000001E-5</v>
      </c>
    </row>
    <row r="1116" spans="3:11">
      <c r="C1116" s="570" t="s">
        <v>2345</v>
      </c>
      <c r="D1116" s="570" t="s">
        <v>1834</v>
      </c>
      <c r="E1116" s="570">
        <v>28</v>
      </c>
      <c r="F1116" s="570">
        <v>1E-4</v>
      </c>
      <c r="G1116" s="570">
        <v>-8.0000000000000004E-4</v>
      </c>
      <c r="H1116" s="570">
        <v>0</v>
      </c>
      <c r="I1116" s="570">
        <v>0</v>
      </c>
      <c r="J1116" s="570">
        <v>0</v>
      </c>
      <c r="K1116" s="570">
        <v>0</v>
      </c>
    </row>
    <row r="1117" spans="3:11">
      <c r="C1117" s="570" t="s">
        <v>2346</v>
      </c>
      <c r="D1117" s="570" t="s">
        <v>1834</v>
      </c>
      <c r="E1117" s="570">
        <v>28</v>
      </c>
      <c r="F1117" s="570">
        <v>1E-4</v>
      </c>
      <c r="G1117" s="570">
        <v>5.0000000000000001E-4</v>
      </c>
      <c r="H1117" s="570">
        <v>0</v>
      </c>
      <c r="I1117" s="570">
        <v>0</v>
      </c>
      <c r="J1117" s="570">
        <v>0</v>
      </c>
      <c r="K1117" s="570">
        <v>0</v>
      </c>
    </row>
    <row r="1118" spans="3:11">
      <c r="C1118" s="570" t="s">
        <v>2347</v>
      </c>
      <c r="D1118" s="570" t="s">
        <v>1834</v>
      </c>
      <c r="E1118" s="570">
        <v>28</v>
      </c>
      <c r="F1118" s="570">
        <v>0</v>
      </c>
      <c r="G1118" s="570">
        <v>1.6999999999999999E-3</v>
      </c>
      <c r="H1118" s="570">
        <v>0</v>
      </c>
      <c r="I1118" s="570">
        <v>0</v>
      </c>
      <c r="J1118" s="570">
        <v>0</v>
      </c>
      <c r="K1118" s="570">
        <v>1.0000000000000001E-5</v>
      </c>
    </row>
    <row r="1119" spans="3:11">
      <c r="C1119" s="570" t="s">
        <v>2348</v>
      </c>
      <c r="D1119" s="570" t="s">
        <v>1834</v>
      </c>
      <c r="E1119" s="570">
        <v>28</v>
      </c>
      <c r="F1119" s="570">
        <v>-1E-4</v>
      </c>
      <c r="G1119" s="570">
        <v>2.5000000000000001E-3</v>
      </c>
      <c r="H1119" s="570">
        <v>0</v>
      </c>
      <c r="I1119" s="570">
        <v>0</v>
      </c>
      <c r="J1119" s="570">
        <v>0</v>
      </c>
      <c r="K1119" s="570">
        <v>1.0000000000000001E-5</v>
      </c>
    </row>
    <row r="1120" spans="3:11">
      <c r="C1120" s="570" t="s">
        <v>2349</v>
      </c>
      <c r="D1120" s="570" t="s">
        <v>1834</v>
      </c>
      <c r="E1120" s="570">
        <v>28</v>
      </c>
      <c r="F1120" s="570">
        <v>-2.0000000000000001E-4</v>
      </c>
      <c r="G1120" s="570">
        <v>2.5000000000000001E-3</v>
      </c>
      <c r="H1120" s="570">
        <v>0</v>
      </c>
      <c r="I1120" s="570">
        <v>0</v>
      </c>
      <c r="J1120" s="570">
        <v>0</v>
      </c>
      <c r="K1120" s="570">
        <v>1.0000000000000001E-5</v>
      </c>
    </row>
    <row r="1121" spans="3:11">
      <c r="C1121" s="570" t="s">
        <v>2350</v>
      </c>
      <c r="D1121" s="570" t="s">
        <v>1834</v>
      </c>
      <c r="E1121" s="570">
        <v>28</v>
      </c>
      <c r="F1121" s="570">
        <v>-2.0000000000000001E-4</v>
      </c>
      <c r="G1121" s="570">
        <v>1.6999999999999999E-3</v>
      </c>
      <c r="H1121" s="570">
        <v>0</v>
      </c>
      <c r="I1121" s="570">
        <v>0</v>
      </c>
      <c r="J1121" s="570">
        <v>0</v>
      </c>
      <c r="K1121" s="570">
        <v>0</v>
      </c>
    </row>
    <row r="1122" spans="3:11">
      <c r="C1122" s="570" t="s">
        <v>2351</v>
      </c>
      <c r="D1122" s="570" t="s">
        <v>1834</v>
      </c>
      <c r="E1122" s="570">
        <v>28</v>
      </c>
      <c r="F1122" s="570">
        <v>-1E-4</v>
      </c>
      <c r="G1122" s="570">
        <v>2.9999999999999997E-4</v>
      </c>
      <c r="H1122" s="570">
        <v>0</v>
      </c>
      <c r="I1122" s="570">
        <v>0</v>
      </c>
      <c r="J1122" s="570">
        <v>0</v>
      </c>
      <c r="K1122" s="570">
        <v>-1.0000000000000001E-5</v>
      </c>
    </row>
    <row r="1123" spans="3:11">
      <c r="C1123" s="570" t="s">
        <v>2352</v>
      </c>
      <c r="D1123" s="570" t="s">
        <v>1834</v>
      </c>
      <c r="E1123" s="570">
        <v>28</v>
      </c>
      <c r="F1123" s="570">
        <v>1E-4</v>
      </c>
      <c r="G1123" s="570">
        <v>-1.2999999999999999E-3</v>
      </c>
      <c r="H1123" s="570">
        <v>0</v>
      </c>
      <c r="I1123" s="570">
        <v>0</v>
      </c>
      <c r="J1123" s="570">
        <v>0</v>
      </c>
      <c r="K1123" s="570">
        <v>-1.0000000000000001E-5</v>
      </c>
    </row>
    <row r="1124" spans="3:11">
      <c r="C1124" s="570" t="s">
        <v>2353</v>
      </c>
      <c r="D1124" s="570" t="s">
        <v>1834</v>
      </c>
      <c r="E1124" s="570">
        <v>28</v>
      </c>
      <c r="F1124" s="570">
        <v>2.0000000000000001E-4</v>
      </c>
      <c r="G1124" s="570">
        <v>-2.5000000000000001E-3</v>
      </c>
      <c r="H1124" s="570">
        <v>0</v>
      </c>
      <c r="I1124" s="570">
        <v>0</v>
      </c>
      <c r="J1124" s="570">
        <v>0</v>
      </c>
      <c r="K1124" s="570">
        <v>-2.0000000000000002E-5</v>
      </c>
    </row>
    <row r="1125" spans="3:11">
      <c r="C1125" s="570" t="s">
        <v>2354</v>
      </c>
      <c r="D1125" s="570" t="s">
        <v>1834</v>
      </c>
      <c r="E1125" s="570">
        <v>28</v>
      </c>
      <c r="F1125" s="570">
        <v>2.0000000000000001E-4</v>
      </c>
      <c r="G1125" s="570">
        <v>-3.0000000000000001E-3</v>
      </c>
      <c r="H1125" s="570">
        <v>0</v>
      </c>
      <c r="I1125" s="570">
        <v>0</v>
      </c>
      <c r="J1125" s="570">
        <v>0</v>
      </c>
      <c r="K1125" s="570">
        <v>-1.0000000000000001E-5</v>
      </c>
    </row>
    <row r="1126" spans="3:11">
      <c r="C1126" s="570" t="s">
        <v>2355</v>
      </c>
      <c r="D1126" s="570" t="s">
        <v>1834</v>
      </c>
      <c r="E1126" s="570">
        <v>28</v>
      </c>
      <c r="F1126" s="570">
        <v>2.0000000000000001E-4</v>
      </c>
      <c r="G1126" s="570">
        <v>-2.3999999999999998E-3</v>
      </c>
      <c r="H1126" s="570">
        <v>0</v>
      </c>
      <c r="I1126" s="570">
        <v>0</v>
      </c>
      <c r="J1126" s="570">
        <v>0</v>
      </c>
      <c r="K1126" s="570">
        <v>0</v>
      </c>
    </row>
    <row r="1127" spans="3:11">
      <c r="C1127" s="570" t="s">
        <v>2356</v>
      </c>
      <c r="D1127" s="570" t="s">
        <v>1834</v>
      </c>
      <c r="E1127" s="570">
        <v>28</v>
      </c>
      <c r="F1127" s="570">
        <v>0</v>
      </c>
      <c r="G1127" s="570">
        <v>-1E-3</v>
      </c>
      <c r="H1127" s="570">
        <v>0</v>
      </c>
      <c r="I1127" s="570">
        <v>0</v>
      </c>
      <c r="J1127" s="570">
        <v>0</v>
      </c>
      <c r="K1127" s="570">
        <v>1.0000000000000001E-5</v>
      </c>
    </row>
    <row r="1128" spans="3:11">
      <c r="C1128" s="570" t="s">
        <v>2357</v>
      </c>
      <c r="D1128" s="570" t="s">
        <v>1834</v>
      </c>
      <c r="E1128" s="570">
        <v>28</v>
      </c>
      <c r="F1128" s="570">
        <v>-1E-4</v>
      </c>
      <c r="G1128" s="570">
        <v>8.9999999999999998E-4</v>
      </c>
      <c r="H1128" s="570">
        <v>0</v>
      </c>
      <c r="I1128" s="570">
        <v>0</v>
      </c>
      <c r="J1128" s="570">
        <v>0</v>
      </c>
      <c r="K1128" s="570">
        <v>2.0000000000000002E-5</v>
      </c>
    </row>
    <row r="1129" spans="3:11">
      <c r="C1129" s="570" t="s">
        <v>2358</v>
      </c>
      <c r="D1129" s="570" t="s">
        <v>1834</v>
      </c>
      <c r="E1129" s="570">
        <v>28</v>
      </c>
      <c r="F1129" s="570">
        <v>-2.0000000000000001E-4</v>
      </c>
      <c r="G1129" s="570">
        <v>2.7000000000000001E-3</v>
      </c>
      <c r="H1129" s="570">
        <v>0</v>
      </c>
      <c r="I1129" s="570">
        <v>0</v>
      </c>
      <c r="J1129" s="570">
        <v>0</v>
      </c>
      <c r="K1129" s="570">
        <v>3.0000000000000001E-5</v>
      </c>
    </row>
    <row r="1130" spans="3:11">
      <c r="C1130" s="570" t="s">
        <v>2359</v>
      </c>
      <c r="D1130" s="570" t="s">
        <v>1834</v>
      </c>
      <c r="E1130" s="570">
        <v>28</v>
      </c>
      <c r="F1130" s="570">
        <v>-2.0000000000000001E-4</v>
      </c>
      <c r="G1130" s="570">
        <v>3.5999999999999999E-3</v>
      </c>
      <c r="H1130" s="570">
        <v>0</v>
      </c>
      <c r="I1130" s="570">
        <v>0</v>
      </c>
      <c r="J1130" s="570">
        <v>0</v>
      </c>
      <c r="K1130" s="570">
        <v>2.0000000000000002E-5</v>
      </c>
    </row>
    <row r="1131" spans="3:11">
      <c r="C1131" s="570" t="s">
        <v>2360</v>
      </c>
      <c r="D1131" s="570" t="s">
        <v>1834</v>
      </c>
      <c r="E1131" s="570">
        <v>28</v>
      </c>
      <c r="F1131" s="570">
        <v>-1E-4</v>
      </c>
      <c r="G1131" s="570">
        <v>3.3E-3</v>
      </c>
      <c r="H1131" s="570">
        <v>0</v>
      </c>
      <c r="I1131" s="570">
        <v>0</v>
      </c>
      <c r="J1131" s="570">
        <v>0</v>
      </c>
      <c r="K1131" s="570">
        <v>0</v>
      </c>
    </row>
    <row r="1132" spans="3:11">
      <c r="C1132" s="570" t="s">
        <v>2361</v>
      </c>
      <c r="D1132" s="570" t="s">
        <v>1834</v>
      </c>
      <c r="E1132" s="570">
        <v>28</v>
      </c>
      <c r="F1132" s="570">
        <v>1E-4</v>
      </c>
      <c r="G1132" s="570">
        <v>1.6999999999999999E-3</v>
      </c>
      <c r="H1132" s="570">
        <v>0</v>
      </c>
      <c r="I1132" s="570">
        <v>0</v>
      </c>
      <c r="J1132" s="570">
        <v>0</v>
      </c>
      <c r="K1132" s="570">
        <v>-3.0000000000000001E-5</v>
      </c>
    </row>
    <row r="1133" spans="3:11">
      <c r="C1133" s="570" t="s">
        <v>2362</v>
      </c>
      <c r="D1133" s="570" t="s">
        <v>1834</v>
      </c>
      <c r="E1133" s="570">
        <v>28</v>
      </c>
      <c r="F1133" s="570">
        <v>2.0000000000000001E-4</v>
      </c>
      <c r="G1133" s="570">
        <v>-8.0000000000000004E-4</v>
      </c>
      <c r="H1133" s="570">
        <v>0</v>
      </c>
      <c r="I1133" s="570">
        <v>0</v>
      </c>
      <c r="J1133" s="570">
        <v>0</v>
      </c>
      <c r="K1133" s="570">
        <v>-4.0000000000000003E-5</v>
      </c>
    </row>
    <row r="1134" spans="3:11">
      <c r="C1134" s="570" t="s">
        <v>2363</v>
      </c>
      <c r="D1134" s="570" t="s">
        <v>1834</v>
      </c>
      <c r="E1134" s="570">
        <v>28</v>
      </c>
      <c r="F1134" s="570">
        <v>2.0000000000000001E-4</v>
      </c>
      <c r="G1134" s="570">
        <v>-3.3E-3</v>
      </c>
      <c r="H1134" s="570">
        <v>0</v>
      </c>
      <c r="I1134" s="570">
        <v>0</v>
      </c>
      <c r="J1134" s="570">
        <v>0</v>
      </c>
      <c r="K1134" s="570">
        <v>-3.0000000000000001E-5</v>
      </c>
    </row>
    <row r="1135" spans="3:11">
      <c r="C1135" s="570" t="s">
        <v>2364</v>
      </c>
      <c r="D1135" s="570" t="s">
        <v>1834</v>
      </c>
      <c r="E1135" s="570">
        <v>28</v>
      </c>
      <c r="F1135" s="570">
        <v>1E-4</v>
      </c>
      <c r="G1135" s="570">
        <v>-4.7999999999999996E-3</v>
      </c>
      <c r="H1135" s="570">
        <v>0</v>
      </c>
      <c r="I1135" s="570">
        <v>0</v>
      </c>
      <c r="J1135" s="570">
        <v>0</v>
      </c>
      <c r="K1135" s="570">
        <v>-1.0000000000000001E-5</v>
      </c>
    </row>
    <row r="1136" spans="3:11">
      <c r="C1136" s="570" t="s">
        <v>2365</v>
      </c>
      <c r="D1136" s="570" t="s">
        <v>1834</v>
      </c>
      <c r="E1136" s="570">
        <v>28</v>
      </c>
      <c r="F1136" s="570">
        <v>0</v>
      </c>
      <c r="G1136" s="570">
        <v>-4.5999999999999999E-3</v>
      </c>
      <c r="H1136" s="570">
        <v>0</v>
      </c>
      <c r="I1136" s="570">
        <v>0</v>
      </c>
      <c r="J1136" s="570">
        <v>0</v>
      </c>
      <c r="K1136" s="570">
        <v>2.0000000000000002E-5</v>
      </c>
    </row>
    <row r="1137" spans="3:11">
      <c r="C1137" s="570" t="s">
        <v>2366</v>
      </c>
      <c r="D1137" s="570" t="s">
        <v>1834</v>
      </c>
      <c r="E1137" s="570">
        <v>28</v>
      </c>
      <c r="F1137" s="570">
        <v>-1E-4</v>
      </c>
      <c r="G1137" s="570">
        <v>-2.3E-3</v>
      </c>
      <c r="H1137" s="570">
        <v>0</v>
      </c>
      <c r="I1137" s="570">
        <v>0</v>
      </c>
      <c r="J1137" s="570">
        <v>0</v>
      </c>
      <c r="K1137" s="570">
        <v>4.0000000000000003E-5</v>
      </c>
    </row>
    <row r="1138" spans="3:11">
      <c r="C1138" s="570" t="s">
        <v>2367</v>
      </c>
      <c r="D1138" s="570" t="s">
        <v>1834</v>
      </c>
      <c r="E1138" s="570">
        <v>28</v>
      </c>
      <c r="F1138" s="570">
        <v>-1E-4</v>
      </c>
      <c r="G1138" s="570">
        <v>1.2999999999999999E-3</v>
      </c>
      <c r="H1138" s="570">
        <v>0</v>
      </c>
      <c r="I1138" s="570">
        <v>0</v>
      </c>
      <c r="J1138" s="570">
        <v>0</v>
      </c>
      <c r="K1138" s="570">
        <v>5.0000000000000002E-5</v>
      </c>
    </row>
    <row r="1139" spans="3:11">
      <c r="C1139" s="570" t="s">
        <v>2368</v>
      </c>
      <c r="D1139" s="570" t="s">
        <v>1834</v>
      </c>
      <c r="E1139" s="570">
        <v>28</v>
      </c>
      <c r="F1139" s="570">
        <v>0</v>
      </c>
      <c r="G1139" s="570">
        <v>4.7999999999999996E-3</v>
      </c>
      <c r="H1139" s="570">
        <v>0</v>
      </c>
      <c r="I1139" s="570">
        <v>0</v>
      </c>
      <c r="J1139" s="570">
        <v>0</v>
      </c>
      <c r="K1139" s="570">
        <v>3.0000000000000001E-5</v>
      </c>
    </row>
    <row r="1140" spans="3:11">
      <c r="C1140" s="570" t="s">
        <v>2369</v>
      </c>
      <c r="D1140" s="570" t="s">
        <v>1834</v>
      </c>
      <c r="E1140" s="570">
        <v>28</v>
      </c>
      <c r="F1140" s="570">
        <v>0</v>
      </c>
      <c r="G1140" s="570">
        <v>6.6E-3</v>
      </c>
      <c r="H1140" s="570">
        <v>0</v>
      </c>
      <c r="I1140" s="570">
        <v>0</v>
      </c>
      <c r="J1140" s="570">
        <v>0</v>
      </c>
      <c r="K1140" s="570">
        <v>0</v>
      </c>
    </row>
    <row r="1141" spans="3:11">
      <c r="C1141" s="570" t="s">
        <v>2370</v>
      </c>
      <c r="D1141" s="570" t="s">
        <v>1834</v>
      </c>
      <c r="E1141" s="570">
        <v>28</v>
      </c>
      <c r="F1141" s="570">
        <v>0</v>
      </c>
      <c r="G1141" s="570">
        <v>5.4999999999999997E-3</v>
      </c>
      <c r="H1141" s="570">
        <v>0</v>
      </c>
      <c r="I1141" s="570">
        <v>0</v>
      </c>
      <c r="J1141" s="570">
        <v>0</v>
      </c>
      <c r="K1141" s="570">
        <v>-3.0000000000000001E-5</v>
      </c>
    </row>
    <row r="1142" spans="3:11">
      <c r="C1142" s="570" t="s">
        <v>2371</v>
      </c>
      <c r="D1142" s="570" t="s">
        <v>1834</v>
      </c>
      <c r="E1142" s="570">
        <v>28</v>
      </c>
      <c r="F1142" s="570">
        <v>-2.0000000000000001E-4</v>
      </c>
      <c r="G1142" s="570">
        <v>1.6000000000000001E-3</v>
      </c>
      <c r="H1142" s="570">
        <v>0</v>
      </c>
      <c r="I1142" s="570">
        <v>0</v>
      </c>
      <c r="J1142" s="570">
        <v>0</v>
      </c>
      <c r="K1142" s="570">
        <v>-4.0000000000000003E-5</v>
      </c>
    </row>
    <row r="1143" spans="3:11">
      <c r="C1143" s="570" t="s">
        <v>2372</v>
      </c>
      <c r="D1143" s="570" t="s">
        <v>1834</v>
      </c>
      <c r="E1143" s="570">
        <v>28</v>
      </c>
      <c r="F1143" s="570">
        <v>-2.0000000000000001E-4</v>
      </c>
      <c r="G1143" s="570">
        <v>-3.7000000000000002E-3</v>
      </c>
      <c r="H1143" s="570">
        <v>0</v>
      </c>
      <c r="I1143" s="570">
        <v>0</v>
      </c>
      <c r="J1143" s="570">
        <v>0</v>
      </c>
      <c r="K1143" s="570">
        <v>-3.0000000000000001E-5</v>
      </c>
    </row>
    <row r="1144" spans="3:11">
      <c r="C1144" s="570" t="s">
        <v>2373</v>
      </c>
      <c r="D1144" s="570" t="s">
        <v>1834</v>
      </c>
      <c r="E1144" s="570">
        <v>28</v>
      </c>
      <c r="F1144" s="570">
        <v>0</v>
      </c>
      <c r="G1144" s="570">
        <v>-7.9000000000000008E-3</v>
      </c>
      <c r="H1144" s="570">
        <v>0</v>
      </c>
      <c r="I1144" s="570">
        <v>0</v>
      </c>
      <c r="J1144" s="570">
        <v>0</v>
      </c>
      <c r="K1144" s="570">
        <v>0</v>
      </c>
    </row>
    <row r="1145" spans="3:11">
      <c r="C1145" s="570" t="s">
        <v>2374</v>
      </c>
      <c r="D1145" s="570" t="s">
        <v>1834</v>
      </c>
      <c r="E1145" s="570">
        <v>28</v>
      </c>
      <c r="F1145" s="570">
        <v>2.9999999999999997E-4</v>
      </c>
      <c r="G1145" s="570">
        <v>-8.3000000000000001E-3</v>
      </c>
      <c r="H1145" s="570">
        <v>0</v>
      </c>
      <c r="I1145" s="570">
        <v>0</v>
      </c>
      <c r="J1145" s="570">
        <v>0</v>
      </c>
      <c r="K1145" s="570">
        <v>2.0000000000000002E-5</v>
      </c>
    </row>
    <row r="1146" spans="3:11">
      <c r="C1146" s="570" t="s">
        <v>2375</v>
      </c>
      <c r="D1146" s="570" t="s">
        <v>1834</v>
      </c>
      <c r="E1146" s="570">
        <v>28</v>
      </c>
      <c r="F1146" s="570">
        <v>5.0000000000000001E-4</v>
      </c>
      <c r="G1146" s="570">
        <v>-4.4000000000000003E-3</v>
      </c>
      <c r="H1146" s="570">
        <v>0</v>
      </c>
      <c r="I1146" s="570">
        <v>0</v>
      </c>
      <c r="J1146" s="570">
        <v>0</v>
      </c>
      <c r="K1146" s="570">
        <v>2.0000000000000002E-5</v>
      </c>
    </row>
    <row r="1147" spans="3:11">
      <c r="C1147" s="570" t="s">
        <v>2376</v>
      </c>
      <c r="D1147" s="570" t="s">
        <v>1834</v>
      </c>
      <c r="E1147" s="570">
        <v>28</v>
      </c>
      <c r="F1147" s="570">
        <v>2.9999999999999997E-4</v>
      </c>
      <c r="G1147" s="570">
        <v>1.5E-3</v>
      </c>
      <c r="H1147" s="570">
        <v>0</v>
      </c>
      <c r="I1147" s="570">
        <v>0</v>
      </c>
      <c r="J1147" s="570">
        <v>0</v>
      </c>
      <c r="K1147" s="570">
        <v>0</v>
      </c>
    </row>
    <row r="1148" spans="3:11">
      <c r="C1148" s="570" t="s">
        <v>2377</v>
      </c>
      <c r="D1148" s="570" t="s">
        <v>1834</v>
      </c>
      <c r="E1148" s="570">
        <v>28</v>
      </c>
      <c r="F1148" s="570">
        <v>-2.0000000000000001E-4</v>
      </c>
      <c r="G1148" s="570">
        <v>5.3E-3</v>
      </c>
      <c r="H1148" s="570">
        <v>0</v>
      </c>
      <c r="I1148" s="570">
        <v>0</v>
      </c>
      <c r="J1148" s="570">
        <v>0</v>
      </c>
      <c r="K1148" s="570">
        <v>0</v>
      </c>
    </row>
    <row r="1149" spans="3:11">
      <c r="C1149" s="570" t="s">
        <v>2327</v>
      </c>
      <c r="D1149" s="570" t="s">
        <v>1834</v>
      </c>
      <c r="E1149" s="570">
        <v>28</v>
      </c>
      <c r="F1149" s="570">
        <v>0</v>
      </c>
      <c r="G1149" s="570">
        <v>0</v>
      </c>
      <c r="H1149" s="570">
        <v>0</v>
      </c>
      <c r="I1149" s="570">
        <v>0</v>
      </c>
      <c r="J1149" s="570">
        <v>0</v>
      </c>
      <c r="K1149" s="570">
        <v>0</v>
      </c>
    </row>
    <row r="1150" spans="3:11">
      <c r="C1150" s="570" t="s">
        <v>2270</v>
      </c>
      <c r="D1150" s="570" t="s">
        <v>1834</v>
      </c>
      <c r="E1150" s="570">
        <v>29</v>
      </c>
      <c r="F1150" s="570">
        <v>6.9999999999999999E-4</v>
      </c>
      <c r="G1150" s="570">
        <v>3.7000000000000002E-3</v>
      </c>
      <c r="H1150" s="570">
        <v>0</v>
      </c>
      <c r="I1150" s="570">
        <v>0</v>
      </c>
      <c r="J1150" s="570">
        <v>0</v>
      </c>
      <c r="K1150" s="570">
        <v>-2.0000000000000002E-5</v>
      </c>
    </row>
    <row r="1151" spans="3:11">
      <c r="C1151" s="570" t="s">
        <v>2271</v>
      </c>
      <c r="D1151" s="570" t="s">
        <v>1834</v>
      </c>
      <c r="E1151" s="570">
        <v>29</v>
      </c>
      <c r="F1151" s="570">
        <v>1E-4</v>
      </c>
      <c r="G1151" s="570">
        <v>1.6000000000000001E-3</v>
      </c>
      <c r="H1151" s="570">
        <v>0</v>
      </c>
      <c r="I1151" s="570">
        <v>0</v>
      </c>
      <c r="J1151" s="570">
        <v>0</v>
      </c>
      <c r="K1151" s="570">
        <v>0</v>
      </c>
    </row>
    <row r="1152" spans="3:11">
      <c r="C1152" s="570" t="s">
        <v>2340</v>
      </c>
      <c r="D1152" s="570" t="s">
        <v>1834</v>
      </c>
      <c r="E1152" s="570">
        <v>29</v>
      </c>
      <c r="F1152" s="570">
        <v>-1E-4</v>
      </c>
      <c r="G1152" s="570">
        <v>2.9999999999999997E-4</v>
      </c>
      <c r="H1152" s="570">
        <v>0</v>
      </c>
      <c r="I1152" s="570">
        <v>0</v>
      </c>
      <c r="J1152" s="570">
        <v>0</v>
      </c>
      <c r="K1152" s="570">
        <v>0</v>
      </c>
    </row>
    <row r="1153" spans="3:11">
      <c r="C1153" s="570" t="s">
        <v>2341</v>
      </c>
      <c r="D1153" s="570" t="s">
        <v>1834</v>
      </c>
      <c r="E1153" s="570">
        <v>29</v>
      </c>
      <c r="F1153" s="570">
        <v>-2.0000000000000001E-4</v>
      </c>
      <c r="G1153" s="570">
        <v>-8.9999999999999998E-4</v>
      </c>
      <c r="H1153" s="570">
        <v>0</v>
      </c>
      <c r="I1153" s="570">
        <v>0</v>
      </c>
      <c r="J1153" s="570">
        <v>0</v>
      </c>
      <c r="K1153" s="570">
        <v>0</v>
      </c>
    </row>
    <row r="1154" spans="3:11">
      <c r="C1154" s="570" t="s">
        <v>2342</v>
      </c>
      <c r="D1154" s="570" t="s">
        <v>1834</v>
      </c>
      <c r="E1154" s="570">
        <v>29</v>
      </c>
      <c r="F1154" s="570">
        <v>-2.0000000000000001E-4</v>
      </c>
      <c r="G1154" s="570">
        <v>-1.6999999999999999E-3</v>
      </c>
      <c r="H1154" s="570">
        <v>0</v>
      </c>
      <c r="I1154" s="570">
        <v>0</v>
      </c>
      <c r="J1154" s="570">
        <v>0</v>
      </c>
      <c r="K1154" s="570">
        <v>0</v>
      </c>
    </row>
    <row r="1155" spans="3:11">
      <c r="C1155" s="570" t="s">
        <v>2343</v>
      </c>
      <c r="D1155" s="570" t="s">
        <v>1834</v>
      </c>
      <c r="E1155" s="570">
        <v>29</v>
      </c>
      <c r="F1155" s="570">
        <v>-1E-4</v>
      </c>
      <c r="G1155" s="570">
        <v>-1.9E-3</v>
      </c>
      <c r="H1155" s="570">
        <v>0</v>
      </c>
      <c r="I1155" s="570">
        <v>0</v>
      </c>
      <c r="J1155" s="570">
        <v>0</v>
      </c>
      <c r="K1155" s="570">
        <v>-1.0000000000000001E-5</v>
      </c>
    </row>
    <row r="1156" spans="3:11">
      <c r="C1156" s="570" t="s">
        <v>2344</v>
      </c>
      <c r="D1156" s="570" t="s">
        <v>1834</v>
      </c>
      <c r="E1156" s="570">
        <v>29</v>
      </c>
      <c r="F1156" s="570">
        <v>1E-4</v>
      </c>
      <c r="G1156" s="570">
        <v>-1.5E-3</v>
      </c>
      <c r="H1156" s="570">
        <v>0</v>
      </c>
      <c r="I1156" s="570">
        <v>0</v>
      </c>
      <c r="J1156" s="570">
        <v>0</v>
      </c>
      <c r="K1156" s="570">
        <v>-1.0000000000000001E-5</v>
      </c>
    </row>
    <row r="1157" spans="3:11">
      <c r="C1157" s="570" t="s">
        <v>2345</v>
      </c>
      <c r="D1157" s="570" t="s">
        <v>1834</v>
      </c>
      <c r="E1157" s="570">
        <v>29</v>
      </c>
      <c r="F1157" s="570">
        <v>2.0000000000000001E-4</v>
      </c>
      <c r="G1157" s="570">
        <v>-5.0000000000000001E-4</v>
      </c>
      <c r="H1157" s="570">
        <v>0</v>
      </c>
      <c r="I1157" s="570">
        <v>0</v>
      </c>
      <c r="J1157" s="570">
        <v>0</v>
      </c>
      <c r="K1157" s="570">
        <v>0</v>
      </c>
    </row>
    <row r="1158" spans="3:11">
      <c r="C1158" s="570" t="s">
        <v>2346</v>
      </c>
      <c r="D1158" s="570" t="s">
        <v>1834</v>
      </c>
      <c r="E1158" s="570">
        <v>29</v>
      </c>
      <c r="F1158" s="570">
        <v>2.9999999999999997E-4</v>
      </c>
      <c r="G1158" s="570">
        <v>5.9999999999999995E-4</v>
      </c>
      <c r="H1158" s="570">
        <v>0</v>
      </c>
      <c r="I1158" s="570">
        <v>0</v>
      </c>
      <c r="J1158" s="570">
        <v>0</v>
      </c>
      <c r="K1158" s="570">
        <v>0</v>
      </c>
    </row>
    <row r="1159" spans="3:11">
      <c r="C1159" s="570" t="s">
        <v>2347</v>
      </c>
      <c r="D1159" s="570" t="s">
        <v>1834</v>
      </c>
      <c r="E1159" s="570">
        <v>29</v>
      </c>
      <c r="F1159" s="570">
        <v>2.0000000000000001E-4</v>
      </c>
      <c r="G1159" s="570">
        <v>1.6000000000000001E-3</v>
      </c>
      <c r="H1159" s="570">
        <v>0</v>
      </c>
      <c r="I1159" s="570">
        <v>0</v>
      </c>
      <c r="J1159" s="570">
        <v>0</v>
      </c>
      <c r="K1159" s="570">
        <v>1.0000000000000001E-5</v>
      </c>
    </row>
    <row r="1160" spans="3:11">
      <c r="C1160" s="570" t="s">
        <v>2348</v>
      </c>
      <c r="D1160" s="570" t="s">
        <v>1834</v>
      </c>
      <c r="E1160" s="570">
        <v>29</v>
      </c>
      <c r="F1160" s="570">
        <v>0</v>
      </c>
      <c r="G1160" s="570">
        <v>2.0999999999999999E-3</v>
      </c>
      <c r="H1160" s="570">
        <v>0</v>
      </c>
      <c r="I1160" s="570">
        <v>0</v>
      </c>
      <c r="J1160" s="570">
        <v>0</v>
      </c>
      <c r="K1160" s="570">
        <v>1.0000000000000001E-5</v>
      </c>
    </row>
    <row r="1161" spans="3:11">
      <c r="C1161" s="570" t="s">
        <v>2349</v>
      </c>
      <c r="D1161" s="570" t="s">
        <v>1834</v>
      </c>
      <c r="E1161" s="570">
        <v>29</v>
      </c>
      <c r="F1161" s="570">
        <v>-2.0000000000000001E-4</v>
      </c>
      <c r="G1161" s="570">
        <v>1.9E-3</v>
      </c>
      <c r="H1161" s="570">
        <v>0</v>
      </c>
      <c r="I1161" s="570">
        <v>0</v>
      </c>
      <c r="J1161" s="570">
        <v>0</v>
      </c>
      <c r="K1161" s="570">
        <v>1.0000000000000001E-5</v>
      </c>
    </row>
    <row r="1162" spans="3:11">
      <c r="C1162" s="570" t="s">
        <v>2350</v>
      </c>
      <c r="D1162" s="570" t="s">
        <v>1834</v>
      </c>
      <c r="E1162" s="570">
        <v>29</v>
      </c>
      <c r="F1162" s="570">
        <v>-2.9999999999999997E-4</v>
      </c>
      <c r="G1162" s="570">
        <v>1.1000000000000001E-3</v>
      </c>
      <c r="H1162" s="570">
        <v>0</v>
      </c>
      <c r="I1162" s="570">
        <v>0</v>
      </c>
      <c r="J1162" s="570">
        <v>0</v>
      </c>
      <c r="K1162" s="570">
        <v>0</v>
      </c>
    </row>
    <row r="1163" spans="3:11">
      <c r="C1163" s="570" t="s">
        <v>2351</v>
      </c>
      <c r="D1163" s="570" t="s">
        <v>1834</v>
      </c>
      <c r="E1163" s="570">
        <v>29</v>
      </c>
      <c r="F1163" s="570">
        <v>-2.9999999999999997E-4</v>
      </c>
      <c r="G1163" s="570">
        <v>-1E-4</v>
      </c>
      <c r="H1163" s="570">
        <v>0</v>
      </c>
      <c r="I1163" s="570">
        <v>0</v>
      </c>
      <c r="J1163" s="570">
        <v>0</v>
      </c>
      <c r="K1163" s="570">
        <v>-1.0000000000000001E-5</v>
      </c>
    </row>
    <row r="1164" spans="3:11">
      <c r="C1164" s="570" t="s">
        <v>2352</v>
      </c>
      <c r="D1164" s="570" t="s">
        <v>1834</v>
      </c>
      <c r="E1164" s="570">
        <v>29</v>
      </c>
      <c r="F1164" s="570">
        <v>-1E-4</v>
      </c>
      <c r="G1164" s="570">
        <v>-1.4E-3</v>
      </c>
      <c r="H1164" s="570">
        <v>0</v>
      </c>
      <c r="I1164" s="570">
        <v>0</v>
      </c>
      <c r="J1164" s="570">
        <v>0</v>
      </c>
      <c r="K1164" s="570">
        <v>-1.0000000000000001E-5</v>
      </c>
    </row>
    <row r="1165" spans="3:11">
      <c r="C1165" s="570" t="s">
        <v>2353</v>
      </c>
      <c r="D1165" s="570" t="s">
        <v>1834</v>
      </c>
      <c r="E1165" s="570">
        <v>29</v>
      </c>
      <c r="F1165" s="570">
        <v>2.0000000000000001E-4</v>
      </c>
      <c r="G1165" s="570">
        <v>-2.2000000000000001E-3</v>
      </c>
      <c r="H1165" s="570">
        <v>0</v>
      </c>
      <c r="I1165" s="570">
        <v>0</v>
      </c>
      <c r="J1165" s="570">
        <v>0</v>
      </c>
      <c r="K1165" s="570">
        <v>-2.0000000000000002E-5</v>
      </c>
    </row>
    <row r="1166" spans="3:11">
      <c r="C1166" s="570" t="s">
        <v>2354</v>
      </c>
      <c r="D1166" s="570" t="s">
        <v>1834</v>
      </c>
      <c r="E1166" s="570">
        <v>29</v>
      </c>
      <c r="F1166" s="570">
        <v>4.0000000000000002E-4</v>
      </c>
      <c r="G1166" s="570">
        <v>-2.2000000000000001E-3</v>
      </c>
      <c r="H1166" s="570">
        <v>0</v>
      </c>
      <c r="I1166" s="570">
        <v>0</v>
      </c>
      <c r="J1166" s="570">
        <v>0</v>
      </c>
      <c r="K1166" s="570">
        <v>-1.0000000000000001E-5</v>
      </c>
    </row>
    <row r="1167" spans="3:11">
      <c r="C1167" s="570" t="s">
        <v>2355</v>
      </c>
      <c r="D1167" s="570" t="s">
        <v>1834</v>
      </c>
      <c r="E1167" s="570">
        <v>29</v>
      </c>
      <c r="F1167" s="570">
        <v>4.0000000000000002E-4</v>
      </c>
      <c r="G1167" s="570">
        <v>-1.4E-3</v>
      </c>
      <c r="H1167" s="570">
        <v>0</v>
      </c>
      <c r="I1167" s="570">
        <v>0</v>
      </c>
      <c r="J1167" s="570">
        <v>0</v>
      </c>
      <c r="K1167" s="570">
        <v>0</v>
      </c>
    </row>
    <row r="1168" spans="3:11">
      <c r="C1168" s="570" t="s">
        <v>2356</v>
      </c>
      <c r="D1168" s="570" t="s">
        <v>1834</v>
      </c>
      <c r="E1168" s="570">
        <v>29</v>
      </c>
      <c r="F1168" s="570">
        <v>2.0000000000000001E-4</v>
      </c>
      <c r="G1168" s="570">
        <v>-1E-4</v>
      </c>
      <c r="H1168" s="570">
        <v>0</v>
      </c>
      <c r="I1168" s="570">
        <v>0</v>
      </c>
      <c r="J1168" s="570">
        <v>0</v>
      </c>
      <c r="K1168" s="570">
        <v>1.0000000000000001E-5</v>
      </c>
    </row>
    <row r="1169" spans="3:11">
      <c r="C1169" s="570" t="s">
        <v>2357</v>
      </c>
      <c r="D1169" s="570" t="s">
        <v>1834</v>
      </c>
      <c r="E1169" s="570">
        <v>29</v>
      </c>
      <c r="F1169" s="570">
        <v>-1E-4</v>
      </c>
      <c r="G1169" s="570">
        <v>1.4E-3</v>
      </c>
      <c r="H1169" s="570">
        <v>0</v>
      </c>
      <c r="I1169" s="570">
        <v>0</v>
      </c>
      <c r="J1169" s="570">
        <v>0</v>
      </c>
      <c r="K1169" s="570">
        <v>2.0000000000000002E-5</v>
      </c>
    </row>
    <row r="1170" spans="3:11">
      <c r="C1170" s="570" t="s">
        <v>2358</v>
      </c>
      <c r="D1170" s="570" t="s">
        <v>1834</v>
      </c>
      <c r="E1170" s="570">
        <v>29</v>
      </c>
      <c r="F1170" s="570">
        <v>-2.9999999999999997E-4</v>
      </c>
      <c r="G1170" s="570">
        <v>2.5000000000000001E-3</v>
      </c>
      <c r="H1170" s="570">
        <v>0</v>
      </c>
      <c r="I1170" s="570">
        <v>0</v>
      </c>
      <c r="J1170" s="570">
        <v>0</v>
      </c>
      <c r="K1170" s="570">
        <v>2.0000000000000002E-5</v>
      </c>
    </row>
    <row r="1171" spans="3:11">
      <c r="C1171" s="570" t="s">
        <v>2359</v>
      </c>
      <c r="D1171" s="570" t="s">
        <v>1834</v>
      </c>
      <c r="E1171" s="570">
        <v>29</v>
      </c>
      <c r="F1171" s="570">
        <v>-4.0000000000000002E-4</v>
      </c>
      <c r="G1171" s="570">
        <v>2.5999999999999999E-3</v>
      </c>
      <c r="H1171" s="570">
        <v>0</v>
      </c>
      <c r="I1171" s="570">
        <v>0</v>
      </c>
      <c r="J1171" s="570">
        <v>0</v>
      </c>
      <c r="K1171" s="570">
        <v>1.0000000000000001E-5</v>
      </c>
    </row>
    <row r="1172" spans="3:11">
      <c r="C1172" s="570" t="s">
        <v>2360</v>
      </c>
      <c r="D1172" s="570" t="s">
        <v>1834</v>
      </c>
      <c r="E1172" s="570">
        <v>29</v>
      </c>
      <c r="F1172" s="570">
        <v>-2.9999999999999997E-4</v>
      </c>
      <c r="G1172" s="570">
        <v>1.6000000000000001E-3</v>
      </c>
      <c r="H1172" s="570">
        <v>0</v>
      </c>
      <c r="I1172" s="570">
        <v>0</v>
      </c>
      <c r="J1172" s="570">
        <v>0</v>
      </c>
      <c r="K1172" s="570">
        <v>-1.0000000000000001E-5</v>
      </c>
    </row>
    <row r="1173" spans="3:11">
      <c r="C1173" s="570" t="s">
        <v>2361</v>
      </c>
      <c r="D1173" s="570" t="s">
        <v>1834</v>
      </c>
      <c r="E1173" s="570">
        <v>29</v>
      </c>
      <c r="F1173" s="570">
        <v>0</v>
      </c>
      <c r="G1173" s="570">
        <v>-1E-4</v>
      </c>
      <c r="H1173" s="570">
        <v>0</v>
      </c>
      <c r="I1173" s="570">
        <v>0</v>
      </c>
      <c r="J1173" s="570">
        <v>0</v>
      </c>
      <c r="K1173" s="570">
        <v>-3.0000000000000001E-5</v>
      </c>
    </row>
    <row r="1174" spans="3:11">
      <c r="C1174" s="570" t="s">
        <v>2362</v>
      </c>
      <c r="D1174" s="570" t="s">
        <v>1834</v>
      </c>
      <c r="E1174" s="570">
        <v>29</v>
      </c>
      <c r="F1174" s="570">
        <v>2.9999999999999997E-4</v>
      </c>
      <c r="G1174" s="570">
        <v>-2.0999999999999999E-3</v>
      </c>
      <c r="H1174" s="570">
        <v>0</v>
      </c>
      <c r="I1174" s="570">
        <v>0</v>
      </c>
      <c r="J1174" s="570">
        <v>0</v>
      </c>
      <c r="K1174" s="570">
        <v>-4.0000000000000003E-5</v>
      </c>
    </row>
    <row r="1175" spans="3:11">
      <c r="C1175" s="570" t="s">
        <v>2363</v>
      </c>
      <c r="D1175" s="570" t="s">
        <v>1834</v>
      </c>
      <c r="E1175" s="570">
        <v>29</v>
      </c>
      <c r="F1175" s="570">
        <v>5.0000000000000001E-4</v>
      </c>
      <c r="G1175" s="570">
        <v>-3.3E-3</v>
      </c>
      <c r="H1175" s="570">
        <v>0</v>
      </c>
      <c r="I1175" s="570">
        <v>0</v>
      </c>
      <c r="J1175" s="570">
        <v>0</v>
      </c>
      <c r="K1175" s="570">
        <v>-3.0000000000000001E-5</v>
      </c>
    </row>
    <row r="1176" spans="3:11">
      <c r="C1176" s="570" t="s">
        <v>2364</v>
      </c>
      <c r="D1176" s="570" t="s">
        <v>1834</v>
      </c>
      <c r="E1176" s="570">
        <v>29</v>
      </c>
      <c r="F1176" s="570">
        <v>2.9999999999999997E-4</v>
      </c>
      <c r="G1176" s="570">
        <v>-3.2000000000000002E-3</v>
      </c>
      <c r="H1176" s="570">
        <v>0</v>
      </c>
      <c r="I1176" s="570">
        <v>0</v>
      </c>
      <c r="J1176" s="570">
        <v>0</v>
      </c>
      <c r="K1176" s="570">
        <v>0</v>
      </c>
    </row>
    <row r="1177" spans="3:11">
      <c r="C1177" s="570" t="s">
        <v>2365</v>
      </c>
      <c r="D1177" s="570" t="s">
        <v>1834</v>
      </c>
      <c r="E1177" s="570">
        <v>29</v>
      </c>
      <c r="F1177" s="570">
        <v>-1E-4</v>
      </c>
      <c r="G1177" s="570">
        <v>-1.4E-3</v>
      </c>
      <c r="H1177" s="570">
        <v>0</v>
      </c>
      <c r="I1177" s="570">
        <v>0</v>
      </c>
      <c r="J1177" s="570">
        <v>0</v>
      </c>
      <c r="K1177" s="570">
        <v>3.0000000000000001E-5</v>
      </c>
    </row>
    <row r="1178" spans="3:11">
      <c r="C1178" s="570" t="s">
        <v>2366</v>
      </c>
      <c r="D1178" s="570" t="s">
        <v>1834</v>
      </c>
      <c r="E1178" s="570">
        <v>29</v>
      </c>
      <c r="F1178" s="570">
        <v>-4.0000000000000002E-4</v>
      </c>
      <c r="G1178" s="570">
        <v>1.4E-3</v>
      </c>
      <c r="H1178" s="570">
        <v>0</v>
      </c>
      <c r="I1178" s="570">
        <v>0</v>
      </c>
      <c r="J1178" s="570">
        <v>0</v>
      </c>
      <c r="K1178" s="570">
        <v>4.0000000000000003E-5</v>
      </c>
    </row>
    <row r="1179" spans="3:11">
      <c r="C1179" s="570" t="s">
        <v>2367</v>
      </c>
      <c r="D1179" s="570" t="s">
        <v>1834</v>
      </c>
      <c r="E1179" s="570">
        <v>29</v>
      </c>
      <c r="F1179" s="570">
        <v>-5.0000000000000001E-4</v>
      </c>
      <c r="G1179" s="570">
        <v>4.0000000000000001E-3</v>
      </c>
      <c r="H1179" s="570">
        <v>0</v>
      </c>
      <c r="I1179" s="570">
        <v>0</v>
      </c>
      <c r="J1179" s="570">
        <v>0</v>
      </c>
      <c r="K1179" s="570">
        <v>4.0000000000000003E-5</v>
      </c>
    </row>
    <row r="1180" spans="3:11">
      <c r="C1180" s="570" t="s">
        <v>2368</v>
      </c>
      <c r="D1180" s="570" t="s">
        <v>1834</v>
      </c>
      <c r="E1180" s="570">
        <v>29</v>
      </c>
      <c r="F1180" s="570">
        <v>-2.0000000000000001E-4</v>
      </c>
      <c r="G1180" s="570">
        <v>4.7999999999999996E-3</v>
      </c>
      <c r="H1180" s="570">
        <v>0</v>
      </c>
      <c r="I1180" s="570">
        <v>0</v>
      </c>
      <c r="J1180" s="570">
        <v>0</v>
      </c>
      <c r="K1180" s="570">
        <v>1.0000000000000001E-5</v>
      </c>
    </row>
    <row r="1181" spans="3:11">
      <c r="C1181" s="570" t="s">
        <v>2369</v>
      </c>
      <c r="D1181" s="570" t="s">
        <v>1834</v>
      </c>
      <c r="E1181" s="570">
        <v>29</v>
      </c>
      <c r="F1181" s="570">
        <v>2.9999999999999997E-4</v>
      </c>
      <c r="G1181" s="570">
        <v>3.0000000000000001E-3</v>
      </c>
      <c r="H1181" s="570">
        <v>0</v>
      </c>
      <c r="I1181" s="570">
        <v>0</v>
      </c>
      <c r="J1181" s="570">
        <v>0</v>
      </c>
      <c r="K1181" s="570">
        <v>-2.0000000000000002E-5</v>
      </c>
    </row>
    <row r="1182" spans="3:11">
      <c r="C1182" s="570" t="s">
        <v>2370</v>
      </c>
      <c r="D1182" s="570" t="s">
        <v>1834</v>
      </c>
      <c r="E1182" s="570">
        <v>29</v>
      </c>
      <c r="F1182" s="570">
        <v>5.9999999999999995E-4</v>
      </c>
      <c r="G1182" s="570">
        <v>-1E-3</v>
      </c>
      <c r="H1182" s="570">
        <v>0</v>
      </c>
      <c r="I1182" s="570">
        <v>0</v>
      </c>
      <c r="J1182" s="570">
        <v>0</v>
      </c>
      <c r="K1182" s="570">
        <v>-3.0000000000000001E-5</v>
      </c>
    </row>
    <row r="1183" spans="3:11">
      <c r="C1183" s="570" t="s">
        <v>2371</v>
      </c>
      <c r="D1183" s="570" t="s">
        <v>1834</v>
      </c>
      <c r="E1183" s="570">
        <v>29</v>
      </c>
      <c r="F1183" s="570">
        <v>5.0000000000000001E-4</v>
      </c>
      <c r="G1183" s="570">
        <v>-5.4999999999999997E-3</v>
      </c>
      <c r="H1183" s="570">
        <v>0</v>
      </c>
      <c r="I1183" s="570">
        <v>0</v>
      </c>
      <c r="J1183" s="570">
        <v>0</v>
      </c>
      <c r="K1183" s="570">
        <v>-3.0000000000000001E-5</v>
      </c>
    </row>
    <row r="1184" spans="3:11">
      <c r="C1184" s="570" t="s">
        <v>2372</v>
      </c>
      <c r="D1184" s="570" t="s">
        <v>1834</v>
      </c>
      <c r="E1184" s="570">
        <v>29</v>
      </c>
      <c r="F1184" s="570">
        <v>-1E-4</v>
      </c>
      <c r="G1184" s="570">
        <v>-7.4000000000000003E-3</v>
      </c>
      <c r="H1184" s="570">
        <v>0</v>
      </c>
      <c r="I1184" s="570">
        <v>0</v>
      </c>
      <c r="J1184" s="570">
        <v>0</v>
      </c>
      <c r="K1184" s="570">
        <v>-1.0000000000000001E-5</v>
      </c>
    </row>
    <row r="1185" spans="3:11">
      <c r="C1185" s="570" t="s">
        <v>2373</v>
      </c>
      <c r="D1185" s="570" t="s">
        <v>1834</v>
      </c>
      <c r="E1185" s="570">
        <v>29</v>
      </c>
      <c r="F1185" s="570">
        <v>-6.9999999999999999E-4</v>
      </c>
      <c r="G1185" s="570">
        <v>-4.3E-3</v>
      </c>
      <c r="H1185" s="570">
        <v>0</v>
      </c>
      <c r="I1185" s="570">
        <v>0</v>
      </c>
      <c r="J1185" s="570">
        <v>0</v>
      </c>
      <c r="K1185" s="570">
        <v>0</v>
      </c>
    </row>
    <row r="1186" spans="3:11">
      <c r="C1186" s="570" t="s">
        <v>2374</v>
      </c>
      <c r="D1186" s="570" t="s">
        <v>1834</v>
      </c>
      <c r="E1186" s="570">
        <v>29</v>
      </c>
      <c r="F1186" s="570">
        <v>-5.0000000000000001E-4</v>
      </c>
      <c r="G1186" s="570">
        <v>3.5000000000000001E-3</v>
      </c>
      <c r="H1186" s="570">
        <v>0</v>
      </c>
      <c r="I1186" s="570">
        <v>0</v>
      </c>
      <c r="J1186" s="570">
        <v>0</v>
      </c>
      <c r="K1186" s="570">
        <v>0</v>
      </c>
    </row>
    <row r="1187" spans="3:11">
      <c r="C1187" s="570" t="s">
        <v>2375</v>
      </c>
      <c r="D1187" s="570" t="s">
        <v>1834</v>
      </c>
      <c r="E1187" s="570">
        <v>29</v>
      </c>
      <c r="F1187" s="570">
        <v>2.9999999999999997E-4</v>
      </c>
      <c r="G1187" s="570">
        <v>1.12E-2</v>
      </c>
      <c r="H1187" s="570">
        <v>0</v>
      </c>
      <c r="I1187" s="570">
        <v>0</v>
      </c>
      <c r="J1187" s="570">
        <v>0</v>
      </c>
      <c r="K1187" s="570">
        <v>-2.0000000000000002E-5</v>
      </c>
    </row>
    <row r="1188" spans="3:11">
      <c r="C1188" s="570" t="s">
        <v>2376</v>
      </c>
      <c r="D1188" s="570" t="s">
        <v>1834</v>
      </c>
      <c r="E1188" s="570">
        <v>29</v>
      </c>
      <c r="F1188" s="570">
        <v>8.0000000000000004E-4</v>
      </c>
      <c r="G1188" s="570">
        <v>1.09E-2</v>
      </c>
      <c r="H1188" s="570">
        <v>0</v>
      </c>
      <c r="I1188" s="570">
        <v>0</v>
      </c>
      <c r="J1188" s="570">
        <v>0</v>
      </c>
      <c r="K1188" s="570">
        <v>-1.0000000000000001E-5</v>
      </c>
    </row>
    <row r="1189" spans="3:11">
      <c r="C1189" s="570" t="s">
        <v>2377</v>
      </c>
      <c r="D1189" s="570" t="s">
        <v>1834</v>
      </c>
      <c r="E1189" s="570">
        <v>29</v>
      </c>
      <c r="F1189" s="570">
        <v>-1E-4</v>
      </c>
      <c r="G1189" s="570">
        <v>-3.8E-3</v>
      </c>
      <c r="H1189" s="570">
        <v>0</v>
      </c>
      <c r="I1189" s="570">
        <v>0</v>
      </c>
      <c r="J1189" s="570">
        <v>0</v>
      </c>
      <c r="K1189" s="570">
        <v>3.0000000000000001E-5</v>
      </c>
    </row>
    <row r="1190" spans="3:11">
      <c r="C1190" s="570" t="s">
        <v>2327</v>
      </c>
      <c r="D1190" s="570" t="s">
        <v>1834</v>
      </c>
      <c r="E1190" s="570">
        <v>29</v>
      </c>
      <c r="F1190" s="570">
        <v>0</v>
      </c>
      <c r="G1190" s="570">
        <v>0</v>
      </c>
      <c r="H1190" s="570">
        <v>0</v>
      </c>
      <c r="I1190" s="570">
        <v>0</v>
      </c>
      <c r="J1190" s="570">
        <v>0</v>
      </c>
      <c r="K1190" s="570">
        <v>0</v>
      </c>
    </row>
    <row r="1191" spans="3:11">
      <c r="C1191" s="570" t="s">
        <v>2270</v>
      </c>
      <c r="D1191" s="570" t="s">
        <v>1834</v>
      </c>
      <c r="E1191" s="570">
        <v>30</v>
      </c>
      <c r="F1191" s="570">
        <v>-4.5999999999999999E-3</v>
      </c>
      <c r="G1191" s="570">
        <v>1E-4</v>
      </c>
      <c r="H1191" s="570">
        <v>0</v>
      </c>
      <c r="I1191" s="570">
        <v>0</v>
      </c>
      <c r="J1191" s="570">
        <v>0</v>
      </c>
      <c r="K1191" s="570">
        <v>9.0000000000000006E-5</v>
      </c>
    </row>
    <row r="1192" spans="3:11">
      <c r="C1192" s="570" t="s">
        <v>2271</v>
      </c>
      <c r="D1192" s="570" t="s">
        <v>1834</v>
      </c>
      <c r="E1192" s="570">
        <v>30</v>
      </c>
      <c r="F1192" s="570">
        <v>-1.5E-3</v>
      </c>
      <c r="G1192" s="570">
        <v>2.0000000000000001E-4</v>
      </c>
      <c r="H1192" s="570">
        <v>0</v>
      </c>
      <c r="I1192" s="570">
        <v>0</v>
      </c>
      <c r="J1192" s="570">
        <v>0</v>
      </c>
      <c r="K1192" s="570">
        <v>1.0000000000000001E-5</v>
      </c>
    </row>
    <row r="1193" spans="3:11">
      <c r="C1193" s="570" t="s">
        <v>2340</v>
      </c>
      <c r="D1193" s="570" t="s">
        <v>1834</v>
      </c>
      <c r="E1193" s="570">
        <v>30</v>
      </c>
      <c r="F1193" s="570">
        <v>2.0000000000000001E-4</v>
      </c>
      <c r="G1193" s="570">
        <v>1E-4</v>
      </c>
      <c r="H1193" s="570">
        <v>0</v>
      </c>
      <c r="I1193" s="570">
        <v>0</v>
      </c>
      <c r="J1193" s="570">
        <v>0</v>
      </c>
      <c r="K1193" s="570">
        <v>0</v>
      </c>
    </row>
    <row r="1194" spans="3:11">
      <c r="C1194" s="570" t="s">
        <v>2341</v>
      </c>
      <c r="D1194" s="570" t="s">
        <v>1834</v>
      </c>
      <c r="E1194" s="570">
        <v>30</v>
      </c>
      <c r="F1194" s="570">
        <v>1.6000000000000001E-3</v>
      </c>
      <c r="G1194" s="570">
        <v>0</v>
      </c>
      <c r="H1194" s="570">
        <v>0</v>
      </c>
      <c r="I1194" s="570">
        <v>0</v>
      </c>
      <c r="J1194" s="570">
        <v>0</v>
      </c>
      <c r="K1194" s="570">
        <v>-1.0000000000000001E-5</v>
      </c>
    </row>
    <row r="1195" spans="3:11">
      <c r="C1195" s="570" t="s">
        <v>2342</v>
      </c>
      <c r="D1195" s="570" t="s">
        <v>1834</v>
      </c>
      <c r="E1195" s="570">
        <v>30</v>
      </c>
      <c r="F1195" s="570">
        <v>2.0999999999999999E-3</v>
      </c>
      <c r="G1195" s="570">
        <v>-1E-4</v>
      </c>
      <c r="H1195" s="570">
        <v>0</v>
      </c>
      <c r="I1195" s="570">
        <v>0</v>
      </c>
      <c r="J1195" s="570">
        <v>0</v>
      </c>
      <c r="K1195" s="570">
        <v>-2.0000000000000002E-5</v>
      </c>
    </row>
    <row r="1196" spans="3:11">
      <c r="C1196" s="570" t="s">
        <v>2343</v>
      </c>
      <c r="D1196" s="570" t="s">
        <v>1834</v>
      </c>
      <c r="E1196" s="570">
        <v>30</v>
      </c>
      <c r="F1196" s="570">
        <v>1.6000000000000001E-3</v>
      </c>
      <c r="G1196" s="570">
        <v>-2.0000000000000001E-4</v>
      </c>
      <c r="H1196" s="570">
        <v>0</v>
      </c>
      <c r="I1196" s="570">
        <v>0</v>
      </c>
      <c r="J1196" s="570">
        <v>0</v>
      </c>
      <c r="K1196" s="570">
        <v>-1.0000000000000001E-5</v>
      </c>
    </row>
    <row r="1197" spans="3:11">
      <c r="C1197" s="570" t="s">
        <v>2344</v>
      </c>
      <c r="D1197" s="570" t="s">
        <v>1834</v>
      </c>
      <c r="E1197" s="570">
        <v>30</v>
      </c>
      <c r="F1197" s="570">
        <v>2.9999999999999997E-4</v>
      </c>
      <c r="G1197" s="570">
        <v>-2.0000000000000001E-4</v>
      </c>
      <c r="H1197" s="570">
        <v>0</v>
      </c>
      <c r="I1197" s="570">
        <v>0</v>
      </c>
      <c r="J1197" s="570">
        <v>0</v>
      </c>
      <c r="K1197" s="570">
        <v>0</v>
      </c>
    </row>
    <row r="1198" spans="3:11">
      <c r="C1198" s="570" t="s">
        <v>2345</v>
      </c>
      <c r="D1198" s="570" t="s">
        <v>1834</v>
      </c>
      <c r="E1198" s="570">
        <v>30</v>
      </c>
      <c r="F1198" s="570">
        <v>-1.1000000000000001E-3</v>
      </c>
      <c r="G1198" s="570">
        <v>-2.0000000000000001E-4</v>
      </c>
      <c r="H1198" s="570">
        <v>0</v>
      </c>
      <c r="I1198" s="570">
        <v>0</v>
      </c>
      <c r="J1198" s="570">
        <v>0</v>
      </c>
      <c r="K1198" s="570">
        <v>2.0000000000000002E-5</v>
      </c>
    </row>
    <row r="1199" spans="3:11">
      <c r="C1199" s="570" t="s">
        <v>2346</v>
      </c>
      <c r="D1199" s="570" t="s">
        <v>1834</v>
      </c>
      <c r="E1199" s="570">
        <v>30</v>
      </c>
      <c r="F1199" s="570">
        <v>-2.0999999999999999E-3</v>
      </c>
      <c r="G1199" s="570">
        <v>-1E-4</v>
      </c>
      <c r="H1199" s="570">
        <v>0</v>
      </c>
      <c r="I1199" s="570">
        <v>0</v>
      </c>
      <c r="J1199" s="570">
        <v>0</v>
      </c>
      <c r="K1199" s="570">
        <v>2.0000000000000002E-5</v>
      </c>
    </row>
    <row r="1200" spans="3:11">
      <c r="C1200" s="570" t="s">
        <v>2347</v>
      </c>
      <c r="D1200" s="570" t="s">
        <v>1834</v>
      </c>
      <c r="E1200" s="570">
        <v>30</v>
      </c>
      <c r="F1200" s="570">
        <v>-2.0999999999999999E-3</v>
      </c>
      <c r="G1200" s="570">
        <v>0</v>
      </c>
      <c r="H1200" s="570">
        <v>0</v>
      </c>
      <c r="I1200" s="570">
        <v>0</v>
      </c>
      <c r="J1200" s="570">
        <v>0</v>
      </c>
      <c r="K1200" s="570">
        <v>2.0000000000000002E-5</v>
      </c>
    </row>
    <row r="1201" spans="3:11">
      <c r="C1201" s="570" t="s">
        <v>2348</v>
      </c>
      <c r="D1201" s="570" t="s">
        <v>1834</v>
      </c>
      <c r="E1201" s="570">
        <v>30</v>
      </c>
      <c r="F1201" s="570">
        <v>-1.1999999999999999E-3</v>
      </c>
      <c r="G1201" s="570">
        <v>2.0000000000000001E-4</v>
      </c>
      <c r="H1201" s="570">
        <v>0</v>
      </c>
      <c r="I1201" s="570">
        <v>0</v>
      </c>
      <c r="J1201" s="570">
        <v>0</v>
      </c>
      <c r="K1201" s="570">
        <v>1.0000000000000001E-5</v>
      </c>
    </row>
    <row r="1202" spans="3:11">
      <c r="C1202" s="570" t="s">
        <v>2349</v>
      </c>
      <c r="D1202" s="570" t="s">
        <v>1834</v>
      </c>
      <c r="E1202" s="570">
        <v>30</v>
      </c>
      <c r="F1202" s="570">
        <v>2.9999999999999997E-4</v>
      </c>
      <c r="G1202" s="570">
        <v>2.9999999999999997E-4</v>
      </c>
      <c r="H1202" s="570">
        <v>0</v>
      </c>
      <c r="I1202" s="570">
        <v>0</v>
      </c>
      <c r="J1202" s="570">
        <v>0</v>
      </c>
      <c r="K1202" s="570">
        <v>-1.0000000000000001E-5</v>
      </c>
    </row>
    <row r="1203" spans="3:11">
      <c r="C1203" s="570" t="s">
        <v>2350</v>
      </c>
      <c r="D1203" s="570" t="s">
        <v>1834</v>
      </c>
      <c r="E1203" s="570">
        <v>30</v>
      </c>
      <c r="F1203" s="570">
        <v>1.6999999999999999E-3</v>
      </c>
      <c r="G1203" s="570">
        <v>2.9999999999999997E-4</v>
      </c>
      <c r="H1203" s="570">
        <v>0</v>
      </c>
      <c r="I1203" s="570">
        <v>0</v>
      </c>
      <c r="J1203" s="570">
        <v>0</v>
      </c>
      <c r="K1203" s="570">
        <v>-3.0000000000000001E-5</v>
      </c>
    </row>
    <row r="1204" spans="3:11">
      <c r="C1204" s="570" t="s">
        <v>2351</v>
      </c>
      <c r="D1204" s="570" t="s">
        <v>1834</v>
      </c>
      <c r="E1204" s="570">
        <v>30</v>
      </c>
      <c r="F1204" s="570">
        <v>2.3E-3</v>
      </c>
      <c r="G1204" s="570">
        <v>2.0000000000000001E-4</v>
      </c>
      <c r="H1204" s="570">
        <v>0</v>
      </c>
      <c r="I1204" s="570">
        <v>0</v>
      </c>
      <c r="J1204" s="570">
        <v>0</v>
      </c>
      <c r="K1204" s="570">
        <v>-3.0000000000000001E-5</v>
      </c>
    </row>
    <row r="1205" spans="3:11">
      <c r="C1205" s="570" t="s">
        <v>2352</v>
      </c>
      <c r="D1205" s="570" t="s">
        <v>1834</v>
      </c>
      <c r="E1205" s="570">
        <v>30</v>
      </c>
      <c r="F1205" s="570">
        <v>1.6999999999999999E-3</v>
      </c>
      <c r="G1205" s="570">
        <v>1E-4</v>
      </c>
      <c r="H1205" s="570">
        <v>0</v>
      </c>
      <c r="I1205" s="570">
        <v>0</v>
      </c>
      <c r="J1205" s="570">
        <v>0</v>
      </c>
      <c r="K1205" s="570">
        <v>-3.0000000000000001E-5</v>
      </c>
    </row>
    <row r="1206" spans="3:11">
      <c r="C1206" s="570" t="s">
        <v>2353</v>
      </c>
      <c r="D1206" s="570" t="s">
        <v>1834</v>
      </c>
      <c r="E1206" s="570">
        <v>30</v>
      </c>
      <c r="F1206" s="570">
        <v>2.0000000000000001E-4</v>
      </c>
      <c r="G1206" s="570">
        <v>-1E-4</v>
      </c>
      <c r="H1206" s="570">
        <v>0</v>
      </c>
      <c r="I1206" s="570">
        <v>0</v>
      </c>
      <c r="J1206" s="570">
        <v>0</v>
      </c>
      <c r="K1206" s="570">
        <v>-1.0000000000000001E-5</v>
      </c>
    </row>
    <row r="1207" spans="3:11">
      <c r="C1207" s="570" t="s">
        <v>2354</v>
      </c>
      <c r="D1207" s="570" t="s">
        <v>1834</v>
      </c>
      <c r="E1207" s="570">
        <v>30</v>
      </c>
      <c r="F1207" s="570">
        <v>-1.4E-3</v>
      </c>
      <c r="G1207" s="570">
        <v>-2.9999999999999997E-4</v>
      </c>
      <c r="H1207" s="570">
        <v>0</v>
      </c>
      <c r="I1207" s="570">
        <v>0</v>
      </c>
      <c r="J1207" s="570">
        <v>0</v>
      </c>
      <c r="K1207" s="570">
        <v>1.0000000000000001E-5</v>
      </c>
    </row>
    <row r="1208" spans="3:11">
      <c r="C1208" s="570" t="s">
        <v>2355</v>
      </c>
      <c r="D1208" s="570" t="s">
        <v>1834</v>
      </c>
      <c r="E1208" s="570">
        <v>30</v>
      </c>
      <c r="F1208" s="570">
        <v>-2.3999999999999998E-3</v>
      </c>
      <c r="G1208" s="570">
        <v>-2.9999999999999997E-4</v>
      </c>
      <c r="H1208" s="570">
        <v>0</v>
      </c>
      <c r="I1208" s="570">
        <v>0</v>
      </c>
      <c r="J1208" s="570">
        <v>0</v>
      </c>
      <c r="K1208" s="570">
        <v>3.0000000000000001E-5</v>
      </c>
    </row>
    <row r="1209" spans="3:11">
      <c r="C1209" s="570" t="s">
        <v>2356</v>
      </c>
      <c r="D1209" s="570" t="s">
        <v>1834</v>
      </c>
      <c r="E1209" s="570">
        <v>30</v>
      </c>
      <c r="F1209" s="570">
        <v>-2.0999999999999999E-3</v>
      </c>
      <c r="G1209" s="570">
        <v>-2.0000000000000001E-4</v>
      </c>
      <c r="H1209" s="570">
        <v>0</v>
      </c>
      <c r="I1209" s="570">
        <v>0</v>
      </c>
      <c r="J1209" s="570">
        <v>0</v>
      </c>
      <c r="K1209" s="570">
        <v>4.0000000000000003E-5</v>
      </c>
    </row>
    <row r="1210" spans="3:11">
      <c r="C1210" s="570" t="s">
        <v>2357</v>
      </c>
      <c r="D1210" s="570" t="s">
        <v>1834</v>
      </c>
      <c r="E1210" s="570">
        <v>30</v>
      </c>
      <c r="F1210" s="570">
        <v>-5.9999999999999995E-4</v>
      </c>
      <c r="G1210" s="570">
        <v>-1E-4</v>
      </c>
      <c r="H1210" s="570">
        <v>0</v>
      </c>
      <c r="I1210" s="570">
        <v>0</v>
      </c>
      <c r="J1210" s="570">
        <v>0</v>
      </c>
      <c r="K1210" s="570">
        <v>3.0000000000000001E-5</v>
      </c>
    </row>
    <row r="1211" spans="3:11">
      <c r="C1211" s="570" t="s">
        <v>2358</v>
      </c>
      <c r="D1211" s="570" t="s">
        <v>1834</v>
      </c>
      <c r="E1211" s="570">
        <v>30</v>
      </c>
      <c r="F1211" s="570">
        <v>1.4E-3</v>
      </c>
      <c r="G1211" s="570">
        <v>2.0000000000000001E-4</v>
      </c>
      <c r="H1211" s="570">
        <v>0</v>
      </c>
      <c r="I1211" s="570">
        <v>0</v>
      </c>
      <c r="J1211" s="570">
        <v>0</v>
      </c>
      <c r="K1211" s="570">
        <v>1.0000000000000001E-5</v>
      </c>
    </row>
    <row r="1212" spans="3:11">
      <c r="C1212" s="570" t="s">
        <v>2359</v>
      </c>
      <c r="D1212" s="570" t="s">
        <v>1834</v>
      </c>
      <c r="E1212" s="570">
        <v>30</v>
      </c>
      <c r="F1212" s="570">
        <v>2.7000000000000001E-3</v>
      </c>
      <c r="G1212" s="570">
        <v>2.9999999999999997E-4</v>
      </c>
      <c r="H1212" s="570">
        <v>0</v>
      </c>
      <c r="I1212" s="570">
        <v>0</v>
      </c>
      <c r="J1212" s="570">
        <v>0</v>
      </c>
      <c r="K1212" s="570">
        <v>-2.0000000000000002E-5</v>
      </c>
    </row>
    <row r="1213" spans="3:11">
      <c r="C1213" s="570" t="s">
        <v>2360</v>
      </c>
      <c r="D1213" s="570" t="s">
        <v>1834</v>
      </c>
      <c r="E1213" s="570">
        <v>30</v>
      </c>
      <c r="F1213" s="570">
        <v>2.3999999999999998E-3</v>
      </c>
      <c r="G1213" s="570">
        <v>2.9999999999999997E-4</v>
      </c>
      <c r="H1213" s="570">
        <v>0</v>
      </c>
      <c r="I1213" s="570">
        <v>0</v>
      </c>
      <c r="J1213" s="570">
        <v>0</v>
      </c>
      <c r="K1213" s="570">
        <v>-4.0000000000000003E-5</v>
      </c>
    </row>
    <row r="1214" spans="3:11">
      <c r="C1214" s="570" t="s">
        <v>2361</v>
      </c>
      <c r="D1214" s="570" t="s">
        <v>1834</v>
      </c>
      <c r="E1214" s="570">
        <v>30</v>
      </c>
      <c r="F1214" s="570">
        <v>5.9999999999999995E-4</v>
      </c>
      <c r="G1214" s="570">
        <v>1E-4</v>
      </c>
      <c r="H1214" s="570">
        <v>0</v>
      </c>
      <c r="I1214" s="570">
        <v>0</v>
      </c>
      <c r="J1214" s="570">
        <v>0</v>
      </c>
      <c r="K1214" s="570">
        <v>-4.0000000000000003E-5</v>
      </c>
    </row>
    <row r="1215" spans="3:11">
      <c r="C1215" s="570" t="s">
        <v>2362</v>
      </c>
      <c r="D1215" s="570" t="s">
        <v>1834</v>
      </c>
      <c r="E1215" s="570">
        <v>30</v>
      </c>
      <c r="F1215" s="570">
        <v>-1.8E-3</v>
      </c>
      <c r="G1215" s="570">
        <v>-1E-4</v>
      </c>
      <c r="H1215" s="570">
        <v>0</v>
      </c>
      <c r="I1215" s="570">
        <v>0</v>
      </c>
      <c r="J1215" s="570">
        <v>0</v>
      </c>
      <c r="K1215" s="570">
        <v>-2.0000000000000002E-5</v>
      </c>
    </row>
    <row r="1216" spans="3:11">
      <c r="C1216" s="570" t="s">
        <v>2363</v>
      </c>
      <c r="D1216" s="570" t="s">
        <v>1834</v>
      </c>
      <c r="E1216" s="570">
        <v>30</v>
      </c>
      <c r="F1216" s="570">
        <v>-3.3E-3</v>
      </c>
      <c r="G1216" s="570">
        <v>-2.9999999999999997E-4</v>
      </c>
      <c r="H1216" s="570">
        <v>0</v>
      </c>
      <c r="I1216" s="570">
        <v>0</v>
      </c>
      <c r="J1216" s="570">
        <v>0</v>
      </c>
      <c r="K1216" s="570">
        <v>0</v>
      </c>
    </row>
    <row r="1217" spans="3:11">
      <c r="C1217" s="570" t="s">
        <v>2364</v>
      </c>
      <c r="D1217" s="570" t="s">
        <v>1834</v>
      </c>
      <c r="E1217" s="570">
        <v>30</v>
      </c>
      <c r="F1217" s="570">
        <v>-2.7000000000000001E-3</v>
      </c>
      <c r="G1217" s="570">
        <v>-4.0000000000000002E-4</v>
      </c>
      <c r="H1217" s="570">
        <v>0</v>
      </c>
      <c r="I1217" s="570">
        <v>0</v>
      </c>
      <c r="J1217" s="570">
        <v>0</v>
      </c>
      <c r="K1217" s="570">
        <v>2.0000000000000002E-5</v>
      </c>
    </row>
    <row r="1218" spans="3:11">
      <c r="C1218" s="570" t="s">
        <v>2365</v>
      </c>
      <c r="D1218" s="570" t="s">
        <v>1834</v>
      </c>
      <c r="E1218" s="570">
        <v>30</v>
      </c>
      <c r="F1218" s="570">
        <v>0</v>
      </c>
      <c r="G1218" s="570">
        <v>-2.0000000000000001E-4</v>
      </c>
      <c r="H1218" s="570">
        <v>0</v>
      </c>
      <c r="I1218" s="570">
        <v>0</v>
      </c>
      <c r="J1218" s="570">
        <v>0</v>
      </c>
      <c r="K1218" s="570">
        <v>3.0000000000000001E-5</v>
      </c>
    </row>
    <row r="1219" spans="3:11">
      <c r="C1219" s="570" t="s">
        <v>2366</v>
      </c>
      <c r="D1219" s="570" t="s">
        <v>1834</v>
      </c>
      <c r="E1219" s="570">
        <v>30</v>
      </c>
      <c r="F1219" s="570">
        <v>3.0999999999999999E-3</v>
      </c>
      <c r="G1219" s="570">
        <v>1E-4</v>
      </c>
      <c r="H1219" s="570">
        <v>0</v>
      </c>
      <c r="I1219" s="570">
        <v>0</v>
      </c>
      <c r="J1219" s="570">
        <v>0</v>
      </c>
      <c r="K1219" s="570">
        <v>2.0000000000000002E-5</v>
      </c>
    </row>
    <row r="1220" spans="3:11">
      <c r="C1220" s="570" t="s">
        <v>2367</v>
      </c>
      <c r="D1220" s="570" t="s">
        <v>1834</v>
      </c>
      <c r="E1220" s="570">
        <v>30</v>
      </c>
      <c r="F1220" s="570">
        <v>4.1999999999999997E-3</v>
      </c>
      <c r="G1220" s="570">
        <v>4.0000000000000002E-4</v>
      </c>
      <c r="H1220" s="570">
        <v>0</v>
      </c>
      <c r="I1220" s="570">
        <v>0</v>
      </c>
      <c r="J1220" s="570">
        <v>0</v>
      </c>
      <c r="K1220" s="570">
        <v>1.0000000000000001E-5</v>
      </c>
    </row>
    <row r="1221" spans="3:11">
      <c r="C1221" s="570" t="s">
        <v>2368</v>
      </c>
      <c r="D1221" s="570" t="s">
        <v>1834</v>
      </c>
      <c r="E1221" s="570">
        <v>30</v>
      </c>
      <c r="F1221" s="570">
        <v>1.9E-3</v>
      </c>
      <c r="G1221" s="570">
        <v>5.0000000000000001E-4</v>
      </c>
      <c r="H1221" s="570">
        <v>0</v>
      </c>
      <c r="I1221" s="570">
        <v>0</v>
      </c>
      <c r="J1221" s="570">
        <v>0</v>
      </c>
      <c r="K1221" s="570">
        <v>1.0000000000000001E-5</v>
      </c>
    </row>
    <row r="1222" spans="3:11">
      <c r="C1222" s="570" t="s">
        <v>2369</v>
      </c>
      <c r="D1222" s="570" t="s">
        <v>1834</v>
      </c>
      <c r="E1222" s="570">
        <v>30</v>
      </c>
      <c r="F1222" s="570">
        <v>-2.3E-3</v>
      </c>
      <c r="G1222" s="570">
        <v>2.9999999999999997E-4</v>
      </c>
      <c r="H1222" s="570">
        <v>0</v>
      </c>
      <c r="I1222" s="570">
        <v>0</v>
      </c>
      <c r="J1222" s="570">
        <v>0</v>
      </c>
      <c r="K1222" s="570">
        <v>0</v>
      </c>
    </row>
    <row r="1223" spans="3:11">
      <c r="C1223" s="570" t="s">
        <v>2370</v>
      </c>
      <c r="D1223" s="570" t="s">
        <v>1834</v>
      </c>
      <c r="E1223" s="570">
        <v>30</v>
      </c>
      <c r="F1223" s="570">
        <v>-5.4000000000000003E-3</v>
      </c>
      <c r="G1223" s="570">
        <v>-1E-4</v>
      </c>
      <c r="H1223" s="570">
        <v>0</v>
      </c>
      <c r="I1223" s="570">
        <v>0</v>
      </c>
      <c r="J1223" s="570">
        <v>0</v>
      </c>
      <c r="K1223" s="570">
        <v>0</v>
      </c>
    </row>
    <row r="1224" spans="3:11">
      <c r="C1224" s="570" t="s">
        <v>2371</v>
      </c>
      <c r="D1224" s="570" t="s">
        <v>1834</v>
      </c>
      <c r="E1224" s="570">
        <v>30</v>
      </c>
      <c r="F1224" s="570">
        <v>-3.8999999999999998E-3</v>
      </c>
      <c r="G1224" s="570">
        <v>-5.0000000000000001E-4</v>
      </c>
      <c r="H1224" s="570">
        <v>0</v>
      </c>
      <c r="I1224" s="570">
        <v>0</v>
      </c>
      <c r="J1224" s="570">
        <v>0</v>
      </c>
      <c r="K1224" s="570">
        <v>-1.0000000000000001E-5</v>
      </c>
    </row>
    <row r="1225" spans="3:11">
      <c r="C1225" s="570" t="s">
        <v>2372</v>
      </c>
      <c r="D1225" s="570" t="s">
        <v>1834</v>
      </c>
      <c r="E1225" s="570">
        <v>30</v>
      </c>
      <c r="F1225" s="570">
        <v>2.0999999999999999E-3</v>
      </c>
      <c r="G1225" s="570">
        <v>-5.9999999999999995E-4</v>
      </c>
      <c r="H1225" s="570">
        <v>0</v>
      </c>
      <c r="I1225" s="570">
        <v>0</v>
      </c>
      <c r="J1225" s="570">
        <v>0</v>
      </c>
      <c r="K1225" s="570">
        <v>-2.0000000000000002E-5</v>
      </c>
    </row>
    <row r="1226" spans="3:11">
      <c r="C1226" s="570" t="s">
        <v>2373</v>
      </c>
      <c r="D1226" s="570" t="s">
        <v>1834</v>
      </c>
      <c r="E1226" s="570">
        <v>30</v>
      </c>
      <c r="F1226" s="570">
        <v>7.6E-3</v>
      </c>
      <c r="G1226" s="570">
        <v>-4.0000000000000002E-4</v>
      </c>
      <c r="H1226" s="570">
        <v>0</v>
      </c>
      <c r="I1226" s="570">
        <v>0</v>
      </c>
      <c r="J1226" s="570">
        <v>0</v>
      </c>
      <c r="K1226" s="570">
        <v>-3.0000000000000001E-5</v>
      </c>
    </row>
    <row r="1227" spans="3:11">
      <c r="C1227" s="570" t="s">
        <v>2374</v>
      </c>
      <c r="D1227" s="570" t="s">
        <v>1834</v>
      </c>
      <c r="E1227" s="570">
        <v>30</v>
      </c>
      <c r="F1227" s="570">
        <v>5.4999999999999997E-3</v>
      </c>
      <c r="G1227" s="570">
        <v>2.0000000000000001E-4</v>
      </c>
      <c r="H1227" s="570">
        <v>0</v>
      </c>
      <c r="I1227" s="570">
        <v>0</v>
      </c>
      <c r="J1227" s="570">
        <v>0</v>
      </c>
      <c r="K1227" s="570">
        <v>-1.0000000000000001E-5</v>
      </c>
    </row>
    <row r="1228" spans="3:11">
      <c r="C1228" s="570" t="s">
        <v>2375</v>
      </c>
      <c r="D1228" s="570" t="s">
        <v>1834</v>
      </c>
      <c r="E1228" s="570">
        <v>30</v>
      </c>
      <c r="F1228" s="570">
        <v>-5.1999999999999998E-3</v>
      </c>
      <c r="G1228" s="570">
        <v>6.9999999999999999E-4</v>
      </c>
      <c r="H1228" s="570">
        <v>0</v>
      </c>
      <c r="I1228" s="570">
        <v>0</v>
      </c>
      <c r="J1228" s="570">
        <v>0</v>
      </c>
      <c r="K1228" s="570">
        <v>1.0000000000000001E-5</v>
      </c>
    </row>
    <row r="1229" spans="3:11">
      <c r="C1229" s="570" t="s">
        <v>2376</v>
      </c>
      <c r="D1229" s="570" t="s">
        <v>1834</v>
      </c>
      <c r="E1229" s="570">
        <v>30</v>
      </c>
      <c r="F1229" s="570">
        <v>-1.29E-2</v>
      </c>
      <c r="G1229" s="570">
        <v>6.9999999999999999E-4</v>
      </c>
      <c r="H1229" s="570">
        <v>0</v>
      </c>
      <c r="I1229" s="570">
        <v>0</v>
      </c>
      <c r="J1229" s="570">
        <v>0</v>
      </c>
      <c r="K1229" s="570">
        <v>2.0000000000000002E-5</v>
      </c>
    </row>
    <row r="1230" spans="3:11">
      <c r="C1230" s="570" t="s">
        <v>2377</v>
      </c>
      <c r="D1230" s="570" t="s">
        <v>1834</v>
      </c>
      <c r="E1230" s="570">
        <v>30</v>
      </c>
      <c r="F1230" s="570">
        <v>1.9E-3</v>
      </c>
      <c r="G1230" s="570">
        <v>-2.0000000000000001E-4</v>
      </c>
      <c r="H1230" s="570">
        <v>0</v>
      </c>
      <c r="I1230" s="570">
        <v>0</v>
      </c>
      <c r="J1230" s="570">
        <v>0</v>
      </c>
      <c r="K1230" s="570">
        <v>0</v>
      </c>
    </row>
    <row r="1231" spans="3:11">
      <c r="C1231" s="570" t="s">
        <v>2327</v>
      </c>
      <c r="D1231" s="570" t="s">
        <v>1834</v>
      </c>
      <c r="E1231" s="570">
        <v>30</v>
      </c>
      <c r="F1231" s="570">
        <v>0</v>
      </c>
      <c r="G1231" s="570">
        <v>0</v>
      </c>
      <c r="H1231" s="570">
        <v>0</v>
      </c>
      <c r="I1231" s="570">
        <v>0</v>
      </c>
      <c r="J1231" s="570">
        <v>0</v>
      </c>
      <c r="K1231" s="570"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G45"/>
  <sheetViews>
    <sheetView view="pageBreakPreview" zoomScaleNormal="100" zoomScaleSheetLayoutView="100" workbookViewId="0">
      <selection activeCell="J2" sqref="J2"/>
    </sheetView>
  </sheetViews>
  <sheetFormatPr defaultColWidth="9" defaultRowHeight="15.75"/>
  <cols>
    <col min="1" max="16384" width="9" style="570"/>
  </cols>
  <sheetData>
    <row r="1" spans="1:7">
      <c r="A1" s="210" t="s">
        <v>1820</v>
      </c>
      <c r="B1" s="210" t="s">
        <v>1821</v>
      </c>
      <c r="C1" s="210" t="s">
        <v>1822</v>
      </c>
      <c r="D1" s="210" t="s">
        <v>1823</v>
      </c>
      <c r="G1" s="460" t="s">
        <v>2066</v>
      </c>
    </row>
    <row r="2" spans="1:7">
      <c r="A2" s="944" t="s">
        <v>2270</v>
      </c>
      <c r="B2" s="944">
        <v>5.9</v>
      </c>
      <c r="C2" s="570">
        <v>128.69999999999999</v>
      </c>
      <c r="D2" s="944" t="s">
        <v>1824</v>
      </c>
    </row>
    <row r="3" spans="1:7">
      <c r="A3" s="944" t="s">
        <v>2271</v>
      </c>
      <c r="B3" s="944">
        <v>3.2</v>
      </c>
      <c r="C3" s="570">
        <v>122.8</v>
      </c>
      <c r="D3" s="944" t="s">
        <v>2270</v>
      </c>
      <c r="E3" s="460" t="s">
        <v>2326</v>
      </c>
    </row>
    <row r="4" spans="1:7">
      <c r="A4" s="944" t="s">
        <v>2340</v>
      </c>
      <c r="B4" s="944">
        <v>3.2</v>
      </c>
      <c r="C4" s="570">
        <v>119.6</v>
      </c>
      <c r="D4" s="944" t="s">
        <v>2270</v>
      </c>
    </row>
    <row r="5" spans="1:7">
      <c r="A5" s="944" t="s">
        <v>2341</v>
      </c>
      <c r="B5" s="944">
        <v>3.2</v>
      </c>
      <c r="C5" s="570">
        <v>116.4</v>
      </c>
      <c r="D5" s="944" t="s">
        <v>2270</v>
      </c>
    </row>
    <row r="6" spans="1:7">
      <c r="A6" s="944" t="s">
        <v>2342</v>
      </c>
      <c r="B6" s="944">
        <v>3.2</v>
      </c>
      <c r="C6" s="570">
        <v>113.2</v>
      </c>
      <c r="D6" s="944" t="s">
        <v>2270</v>
      </c>
    </row>
    <row r="7" spans="1:7">
      <c r="A7" s="944" t="s">
        <v>2343</v>
      </c>
      <c r="B7" s="944">
        <v>3.2</v>
      </c>
      <c r="C7" s="570">
        <v>110</v>
      </c>
      <c r="D7" s="944" t="s">
        <v>2270</v>
      </c>
    </row>
    <row r="8" spans="1:7">
      <c r="A8" s="944" t="s">
        <v>2344</v>
      </c>
      <c r="B8" s="944">
        <v>3.2</v>
      </c>
      <c r="C8" s="570">
        <v>106.8</v>
      </c>
      <c r="D8" s="944" t="s">
        <v>2270</v>
      </c>
    </row>
    <row r="9" spans="1:7">
      <c r="A9" s="944" t="s">
        <v>2345</v>
      </c>
      <c r="B9" s="944">
        <v>3.2</v>
      </c>
      <c r="C9" s="570">
        <v>103.6</v>
      </c>
      <c r="D9" s="944" t="s">
        <v>2270</v>
      </c>
    </row>
    <row r="10" spans="1:7">
      <c r="A10" s="944" t="s">
        <v>2346</v>
      </c>
      <c r="B10" s="944">
        <v>3.2</v>
      </c>
      <c r="C10" s="570">
        <v>100.4</v>
      </c>
      <c r="D10" s="944" t="s">
        <v>2270</v>
      </c>
    </row>
    <row r="11" spans="1:7">
      <c r="A11" s="944" t="s">
        <v>2347</v>
      </c>
      <c r="B11" s="944">
        <v>3.2</v>
      </c>
      <c r="C11" s="570">
        <v>97.2</v>
      </c>
      <c r="D11" s="944" t="s">
        <v>2270</v>
      </c>
    </row>
    <row r="12" spans="1:7">
      <c r="A12" s="944" t="s">
        <v>2348</v>
      </c>
      <c r="B12" s="944">
        <v>3.2</v>
      </c>
      <c r="C12" s="570">
        <v>94</v>
      </c>
      <c r="D12" s="944" t="s">
        <v>2270</v>
      </c>
    </row>
    <row r="13" spans="1:7">
      <c r="A13" s="944" t="s">
        <v>2349</v>
      </c>
      <c r="B13" s="944">
        <v>3.2</v>
      </c>
      <c r="C13" s="570">
        <v>90.8</v>
      </c>
      <c r="D13" s="944" t="s">
        <v>2270</v>
      </c>
    </row>
    <row r="14" spans="1:7">
      <c r="A14" s="944" t="s">
        <v>2350</v>
      </c>
      <c r="B14" s="944">
        <v>3.2</v>
      </c>
      <c r="C14" s="570">
        <v>87.6</v>
      </c>
      <c r="D14" s="944" t="s">
        <v>2270</v>
      </c>
    </row>
    <row r="15" spans="1:7">
      <c r="A15" s="944" t="s">
        <v>2351</v>
      </c>
      <c r="B15" s="944">
        <v>3.2</v>
      </c>
      <c r="C15" s="570">
        <v>84.4</v>
      </c>
      <c r="D15" s="944" t="s">
        <v>2270</v>
      </c>
    </row>
    <row r="16" spans="1:7">
      <c r="A16" s="944" t="s">
        <v>2352</v>
      </c>
      <c r="B16" s="944">
        <v>3.2</v>
      </c>
      <c r="C16" s="570">
        <v>81.2</v>
      </c>
      <c r="D16" s="944" t="s">
        <v>2270</v>
      </c>
    </row>
    <row r="17" spans="1:4">
      <c r="A17" s="944" t="s">
        <v>2353</v>
      </c>
      <c r="B17" s="944">
        <v>3.2</v>
      </c>
      <c r="C17" s="570">
        <v>78</v>
      </c>
      <c r="D17" s="944" t="s">
        <v>2270</v>
      </c>
    </row>
    <row r="18" spans="1:4">
      <c r="A18" s="944" t="s">
        <v>2354</v>
      </c>
      <c r="B18" s="944">
        <v>3.2</v>
      </c>
      <c r="C18" s="570">
        <v>74.8</v>
      </c>
      <c r="D18" s="944" t="s">
        <v>2270</v>
      </c>
    </row>
    <row r="19" spans="1:4">
      <c r="A19" s="944" t="s">
        <v>2355</v>
      </c>
      <c r="B19" s="944">
        <v>3.2</v>
      </c>
      <c r="C19" s="570">
        <v>71.599999999999994</v>
      </c>
      <c r="D19" s="944" t="s">
        <v>2270</v>
      </c>
    </row>
    <row r="20" spans="1:4">
      <c r="A20" s="944" t="s">
        <v>2356</v>
      </c>
      <c r="B20" s="944">
        <v>3.2</v>
      </c>
      <c r="C20" s="570">
        <v>68.400000000000006</v>
      </c>
      <c r="D20" s="944" t="s">
        <v>2270</v>
      </c>
    </row>
    <row r="21" spans="1:4">
      <c r="A21" s="944" t="s">
        <v>2357</v>
      </c>
      <c r="B21" s="944">
        <v>3.2</v>
      </c>
      <c r="C21" s="570">
        <v>65.2</v>
      </c>
      <c r="D21" s="944" t="s">
        <v>2270</v>
      </c>
    </row>
    <row r="22" spans="1:4">
      <c r="A22" s="944" t="s">
        <v>2358</v>
      </c>
      <c r="B22" s="944">
        <v>3.2</v>
      </c>
      <c r="C22" s="570">
        <v>62</v>
      </c>
      <c r="D22" s="944" t="s">
        <v>2270</v>
      </c>
    </row>
    <row r="23" spans="1:4">
      <c r="A23" s="944" t="s">
        <v>2359</v>
      </c>
      <c r="B23" s="944">
        <v>3.2</v>
      </c>
      <c r="C23" s="570">
        <v>58.8</v>
      </c>
      <c r="D23" s="944" t="s">
        <v>2270</v>
      </c>
    </row>
    <row r="24" spans="1:4">
      <c r="A24" s="944" t="s">
        <v>2360</v>
      </c>
      <c r="B24" s="944">
        <v>3.2</v>
      </c>
      <c r="C24" s="570">
        <v>55.6</v>
      </c>
      <c r="D24" s="944" t="s">
        <v>2270</v>
      </c>
    </row>
    <row r="25" spans="1:4">
      <c r="A25" s="944" t="s">
        <v>2361</v>
      </c>
      <c r="B25" s="944">
        <v>3.2</v>
      </c>
      <c r="C25" s="570">
        <v>52.4</v>
      </c>
      <c r="D25" s="944" t="s">
        <v>2270</v>
      </c>
    </row>
    <row r="26" spans="1:4">
      <c r="A26" s="944" t="s">
        <v>2362</v>
      </c>
      <c r="B26" s="944">
        <v>3.2</v>
      </c>
      <c r="C26" s="570">
        <v>49.2</v>
      </c>
      <c r="D26" s="944" t="s">
        <v>2270</v>
      </c>
    </row>
    <row r="27" spans="1:4">
      <c r="A27" s="944" t="s">
        <v>2363</v>
      </c>
      <c r="B27" s="944">
        <v>3.2</v>
      </c>
      <c r="C27" s="570">
        <v>46</v>
      </c>
      <c r="D27" s="944" t="s">
        <v>2270</v>
      </c>
    </row>
    <row r="28" spans="1:4">
      <c r="A28" s="944" t="s">
        <v>2364</v>
      </c>
      <c r="B28" s="944">
        <v>3.2</v>
      </c>
      <c r="C28" s="570">
        <v>42.8</v>
      </c>
      <c r="D28" s="944" t="s">
        <v>2270</v>
      </c>
    </row>
    <row r="29" spans="1:4">
      <c r="A29" s="944" t="s">
        <v>2365</v>
      </c>
      <c r="B29" s="944">
        <v>3.2</v>
      </c>
      <c r="C29" s="570">
        <v>39.6</v>
      </c>
      <c r="D29" s="944" t="s">
        <v>2270</v>
      </c>
    </row>
    <row r="30" spans="1:4">
      <c r="A30" s="944" t="s">
        <v>2366</v>
      </c>
      <c r="B30" s="944">
        <v>3.2</v>
      </c>
      <c r="C30" s="570">
        <v>36.4</v>
      </c>
      <c r="D30" s="944" t="s">
        <v>2270</v>
      </c>
    </row>
    <row r="31" spans="1:4">
      <c r="A31" s="944" t="s">
        <v>2367</v>
      </c>
      <c r="B31" s="944">
        <v>3.2</v>
      </c>
      <c r="C31" s="570">
        <v>33.200000000000003</v>
      </c>
      <c r="D31" s="944" t="s">
        <v>2270</v>
      </c>
    </row>
    <row r="32" spans="1:4">
      <c r="A32" s="944" t="s">
        <v>2368</v>
      </c>
      <c r="B32" s="944">
        <v>3.2</v>
      </c>
      <c r="C32" s="570">
        <v>30</v>
      </c>
      <c r="D32" s="944" t="s">
        <v>2270</v>
      </c>
    </row>
    <row r="33" spans="1:4">
      <c r="A33" s="944" t="s">
        <v>2369</v>
      </c>
      <c r="B33" s="944">
        <v>3.2</v>
      </c>
      <c r="C33" s="570">
        <v>26.8</v>
      </c>
      <c r="D33" s="944" t="s">
        <v>2270</v>
      </c>
    </row>
    <row r="34" spans="1:4">
      <c r="A34" s="944" t="s">
        <v>2370</v>
      </c>
      <c r="B34" s="944">
        <v>3.2</v>
      </c>
      <c r="C34" s="570">
        <v>23.6</v>
      </c>
      <c r="D34" s="944" t="s">
        <v>2270</v>
      </c>
    </row>
    <row r="35" spans="1:4">
      <c r="A35" s="944" t="s">
        <v>2371</v>
      </c>
      <c r="B35" s="944">
        <v>3.2</v>
      </c>
      <c r="C35" s="570">
        <v>20.399999999999999</v>
      </c>
      <c r="D35" s="944" t="s">
        <v>2270</v>
      </c>
    </row>
    <row r="36" spans="1:4">
      <c r="A36" s="944" t="s">
        <v>2372</v>
      </c>
      <c r="B36" s="944">
        <v>3.2</v>
      </c>
      <c r="C36" s="570">
        <v>17.2</v>
      </c>
      <c r="D36" s="944" t="s">
        <v>2270</v>
      </c>
    </row>
    <row r="37" spans="1:4">
      <c r="A37" s="944" t="s">
        <v>2373</v>
      </c>
      <c r="B37" s="944">
        <v>3.2</v>
      </c>
      <c r="C37" s="570">
        <v>14</v>
      </c>
      <c r="D37" s="944" t="s">
        <v>2270</v>
      </c>
    </row>
    <row r="38" spans="1:4">
      <c r="A38" s="944" t="s">
        <v>2374</v>
      </c>
      <c r="B38" s="944">
        <v>3.2</v>
      </c>
      <c r="C38" s="570">
        <v>10.8</v>
      </c>
      <c r="D38" s="944" t="s">
        <v>2270</v>
      </c>
    </row>
    <row r="39" spans="1:4">
      <c r="A39" s="944" t="s">
        <v>2375</v>
      </c>
      <c r="B39" s="944">
        <v>3.2</v>
      </c>
      <c r="C39" s="570">
        <v>7.6</v>
      </c>
      <c r="D39" s="944" t="s">
        <v>2270</v>
      </c>
    </row>
    <row r="40" spans="1:4">
      <c r="A40" s="944" t="s">
        <v>2376</v>
      </c>
      <c r="B40" s="944">
        <v>4.4000000000000004</v>
      </c>
      <c r="C40" s="570">
        <v>4.4000000000000004</v>
      </c>
      <c r="D40" s="944" t="s">
        <v>2270</v>
      </c>
    </row>
    <row r="41" spans="1:4">
      <c r="A41" s="944" t="s">
        <v>2377</v>
      </c>
      <c r="B41" s="944">
        <v>4.6500000000000004</v>
      </c>
      <c r="C41" s="570">
        <v>0</v>
      </c>
      <c r="D41" s="944" t="s">
        <v>2270</v>
      </c>
    </row>
    <row r="42" spans="1:4">
      <c r="A42" s="944" t="s">
        <v>2327</v>
      </c>
      <c r="B42" s="944">
        <v>2.5</v>
      </c>
      <c r="C42" s="570">
        <v>-4.6500000000000004</v>
      </c>
      <c r="D42" s="944" t="s">
        <v>2270</v>
      </c>
    </row>
    <row r="43" spans="1:4">
      <c r="A43" s="944" t="s">
        <v>1825</v>
      </c>
      <c r="B43" s="944">
        <v>0</v>
      </c>
      <c r="C43" s="570">
        <v>-7.15</v>
      </c>
      <c r="D43" s="944" t="s">
        <v>1824</v>
      </c>
    </row>
    <row r="44" spans="1:4">
      <c r="A44" s="942"/>
      <c r="B44" s="942"/>
      <c r="D44" s="942"/>
    </row>
    <row r="45" spans="1:4">
      <c r="A45" s="942"/>
      <c r="B45" s="942"/>
      <c r="D45" s="942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00FF"/>
  </sheetPr>
  <dimension ref="A1:Q35"/>
  <sheetViews>
    <sheetView view="pageBreakPreview" zoomScaleNormal="100" zoomScaleSheetLayoutView="100" workbookViewId="0">
      <selection activeCell="K16" sqref="K16"/>
    </sheetView>
  </sheetViews>
  <sheetFormatPr defaultRowHeight="15"/>
  <sheetData>
    <row r="1" spans="1:17" ht="15.75">
      <c r="A1" s="980" t="s">
        <v>2282</v>
      </c>
      <c r="B1" s="981"/>
      <c r="C1" s="981"/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981"/>
      <c r="Q1" s="460" t="s">
        <v>2066</v>
      </c>
    </row>
    <row r="2" spans="1:17" ht="15.75">
      <c r="A2" s="982" t="s">
        <v>2283</v>
      </c>
      <c r="B2" s="982" t="s">
        <v>1827</v>
      </c>
      <c r="C2" s="982" t="s">
        <v>1835</v>
      </c>
      <c r="D2" s="982" t="s">
        <v>1828</v>
      </c>
      <c r="E2" s="982" t="s">
        <v>1829</v>
      </c>
      <c r="F2" s="982" t="s">
        <v>1830</v>
      </c>
      <c r="G2" s="982" t="s">
        <v>2284</v>
      </c>
      <c r="H2" s="982" t="s">
        <v>2285</v>
      </c>
      <c r="I2" s="982" t="s">
        <v>2286</v>
      </c>
      <c r="J2" s="982" t="s">
        <v>1831</v>
      </c>
      <c r="K2" s="982" t="s">
        <v>1832</v>
      </c>
      <c r="L2" s="982" t="s">
        <v>1833</v>
      </c>
      <c r="M2" s="982" t="s">
        <v>2287</v>
      </c>
      <c r="N2" s="982" t="s">
        <v>2288</v>
      </c>
      <c r="O2" s="983" t="s">
        <v>2289</v>
      </c>
    </row>
    <row r="3" spans="1:17" ht="15.75">
      <c r="A3" s="984"/>
      <c r="B3" s="984"/>
      <c r="C3" s="984" t="s">
        <v>2290</v>
      </c>
      <c r="D3" s="984"/>
      <c r="E3" s="984"/>
      <c r="F3" s="984"/>
      <c r="G3" s="984"/>
      <c r="H3" s="984"/>
      <c r="I3" s="984"/>
      <c r="J3" s="984"/>
      <c r="K3" s="984"/>
      <c r="L3" s="984"/>
      <c r="M3" s="984"/>
      <c r="N3" s="984"/>
      <c r="O3" s="985"/>
      <c r="P3" s="460" t="s">
        <v>2325</v>
      </c>
    </row>
    <row r="4" spans="1:17" ht="15.75">
      <c r="A4" s="979" t="s">
        <v>2291</v>
      </c>
      <c r="B4" s="979">
        <v>1</v>
      </c>
      <c r="C4" s="979">
        <v>4.077</v>
      </c>
      <c r="D4" s="979">
        <v>2.12E-2</v>
      </c>
      <c r="E4" s="979">
        <v>0.56940000000000002</v>
      </c>
      <c r="F4" s="979">
        <v>0</v>
      </c>
      <c r="G4" s="979">
        <v>2.12E-2</v>
      </c>
      <c r="H4" s="979">
        <v>0.56940000000000002</v>
      </c>
      <c r="I4" s="979">
        <v>0</v>
      </c>
      <c r="J4" s="979">
        <v>0.36809999999999998</v>
      </c>
      <c r="K4" s="979">
        <v>1.38E-2</v>
      </c>
      <c r="L4" s="979">
        <v>1.37E-2</v>
      </c>
      <c r="M4" s="979">
        <v>0.36809999999999998</v>
      </c>
      <c r="N4" s="979">
        <v>1.38E-2</v>
      </c>
      <c r="O4" s="979">
        <v>1.37E-2</v>
      </c>
    </row>
    <row r="5" spans="1:17" ht="15.75">
      <c r="A5" s="979" t="s">
        <v>2291</v>
      </c>
      <c r="B5" s="979">
        <v>2</v>
      </c>
      <c r="C5" s="979">
        <v>3.9620000000000002</v>
      </c>
      <c r="D5" s="979">
        <v>1.21E-2</v>
      </c>
      <c r="E5" s="979">
        <v>2.3E-2</v>
      </c>
      <c r="F5" s="979">
        <v>0</v>
      </c>
      <c r="G5" s="979">
        <v>3.3300000000000003E-2</v>
      </c>
      <c r="H5" s="979">
        <v>0.59240000000000004</v>
      </c>
      <c r="I5" s="979">
        <v>0</v>
      </c>
      <c r="J5" s="979">
        <v>1.49E-2</v>
      </c>
      <c r="K5" s="979">
        <v>6.4999999999999997E-3</v>
      </c>
      <c r="L5" s="979">
        <v>0.54059999999999997</v>
      </c>
      <c r="M5" s="979">
        <v>0.38300000000000001</v>
      </c>
      <c r="N5" s="979">
        <v>2.0400000000000001E-2</v>
      </c>
      <c r="O5" s="979">
        <v>0.55430000000000001</v>
      </c>
    </row>
    <row r="6" spans="1:17" ht="15.75">
      <c r="A6" s="979" t="s">
        <v>2291</v>
      </c>
      <c r="B6" s="979">
        <v>3</v>
      </c>
      <c r="C6" s="979">
        <v>2.8929999999999998</v>
      </c>
      <c r="D6" s="979">
        <v>0.59670000000000001</v>
      </c>
      <c r="E6" s="979">
        <v>1.6500000000000001E-2</v>
      </c>
      <c r="F6" s="979">
        <v>0</v>
      </c>
      <c r="G6" s="979">
        <v>0.63</v>
      </c>
      <c r="H6" s="979">
        <v>0.60899999999999999</v>
      </c>
      <c r="I6" s="979">
        <v>0</v>
      </c>
      <c r="J6" s="979">
        <v>8.8000000000000005E-3</v>
      </c>
      <c r="K6" s="979">
        <v>0.35149999999999998</v>
      </c>
      <c r="L6" s="979">
        <v>1.34E-2</v>
      </c>
      <c r="M6" s="979">
        <v>0.39179999999999998</v>
      </c>
      <c r="N6" s="979">
        <v>0.37190000000000001</v>
      </c>
      <c r="O6" s="979">
        <v>0.56769999999999998</v>
      </c>
    </row>
    <row r="7" spans="1:17" ht="15.75">
      <c r="A7" s="979" t="s">
        <v>2291</v>
      </c>
      <c r="B7" s="979">
        <v>4</v>
      </c>
      <c r="C7" s="979">
        <v>1.216</v>
      </c>
      <c r="D7" s="979">
        <v>2.7000000000000001E-3</v>
      </c>
      <c r="E7" s="979">
        <v>3.3599999999999997E-5</v>
      </c>
      <c r="F7" s="979">
        <v>0</v>
      </c>
      <c r="G7" s="979">
        <v>0.63270000000000004</v>
      </c>
      <c r="H7" s="979">
        <v>0.60899999999999999</v>
      </c>
      <c r="I7" s="979">
        <v>0</v>
      </c>
      <c r="J7" s="979">
        <v>3.6399999999999997E-5</v>
      </c>
      <c r="K7" s="979">
        <v>3.8E-3</v>
      </c>
      <c r="L7" s="979">
        <v>9.2299999999999993E-2</v>
      </c>
      <c r="M7" s="979">
        <v>0.39179999999999998</v>
      </c>
      <c r="N7" s="979">
        <v>0.37559999999999999</v>
      </c>
      <c r="O7" s="979">
        <v>0.66</v>
      </c>
    </row>
    <row r="8" spans="1:17" ht="15.75">
      <c r="A8" s="979" t="s">
        <v>2291</v>
      </c>
      <c r="B8" s="979">
        <v>5</v>
      </c>
      <c r="C8" s="979">
        <v>1.034</v>
      </c>
      <c r="D8" s="979">
        <v>2.8E-3</v>
      </c>
      <c r="E8" s="979">
        <v>0.14810000000000001</v>
      </c>
      <c r="F8" s="979">
        <v>0</v>
      </c>
      <c r="G8" s="979">
        <v>0.63549999999999995</v>
      </c>
      <c r="H8" s="979">
        <v>0.75700000000000001</v>
      </c>
      <c r="I8" s="979">
        <v>0</v>
      </c>
      <c r="J8" s="979">
        <v>0.18279999999999999</v>
      </c>
      <c r="K8" s="979">
        <v>2.2000000000000001E-3</v>
      </c>
      <c r="L8" s="979">
        <v>2.0000000000000001E-4</v>
      </c>
      <c r="M8" s="979">
        <v>0.57469999999999999</v>
      </c>
      <c r="N8" s="979">
        <v>0.37790000000000001</v>
      </c>
      <c r="O8" s="979">
        <v>0.66020000000000001</v>
      </c>
    </row>
    <row r="9" spans="1:17" ht="15.75">
      <c r="A9" s="979" t="s">
        <v>2291</v>
      </c>
      <c r="B9" s="979">
        <v>6</v>
      </c>
      <c r="C9" s="979">
        <v>0.80700000000000005</v>
      </c>
      <c r="D9" s="979">
        <v>0.12709999999999999</v>
      </c>
      <c r="E9" s="979">
        <v>1.8E-3</v>
      </c>
      <c r="F9" s="979">
        <v>0</v>
      </c>
      <c r="G9" s="979">
        <v>0.76259999999999994</v>
      </c>
      <c r="H9" s="979">
        <v>0.75890000000000002</v>
      </c>
      <c r="I9" s="979">
        <v>0</v>
      </c>
      <c r="J9" s="979">
        <v>3.8E-3</v>
      </c>
      <c r="K9" s="979">
        <v>0.20599999999999999</v>
      </c>
      <c r="L9" s="979">
        <v>2.0999999999999999E-3</v>
      </c>
      <c r="M9" s="979">
        <v>0.57840000000000003</v>
      </c>
      <c r="N9" s="979">
        <v>0.58389999999999997</v>
      </c>
      <c r="O9" s="979">
        <v>0.66239999999999999</v>
      </c>
    </row>
    <row r="10" spans="1:17" ht="15.75">
      <c r="A10" s="979" t="s">
        <v>2291</v>
      </c>
      <c r="B10" s="979">
        <v>7</v>
      </c>
      <c r="C10" s="979">
        <v>0.64200000000000002</v>
      </c>
      <c r="D10" s="979">
        <v>1E-3</v>
      </c>
      <c r="E10" s="979">
        <v>1.522E-6</v>
      </c>
      <c r="F10" s="979">
        <v>0</v>
      </c>
      <c r="G10" s="979">
        <v>0.76359999999999995</v>
      </c>
      <c r="H10" s="979">
        <v>0.75890000000000002</v>
      </c>
      <c r="I10" s="979">
        <v>0</v>
      </c>
      <c r="J10" s="979">
        <v>4.6820000000000002E-6</v>
      </c>
      <c r="K10" s="979">
        <v>1.1999999999999999E-3</v>
      </c>
      <c r="L10" s="979">
        <v>4.0500000000000001E-2</v>
      </c>
      <c r="M10" s="979">
        <v>0.57840000000000003</v>
      </c>
      <c r="N10" s="979">
        <v>0.58499999999999996</v>
      </c>
      <c r="O10" s="979">
        <v>0.70289999999999997</v>
      </c>
    </row>
    <row r="11" spans="1:17" ht="15.75">
      <c r="A11" s="979" t="s">
        <v>2291</v>
      </c>
      <c r="B11" s="979">
        <v>8</v>
      </c>
      <c r="C11" s="979">
        <v>0.47799999999999998</v>
      </c>
      <c r="D11" s="979">
        <v>5.0000000000000001E-4</v>
      </c>
      <c r="E11" s="979">
        <v>5.0999999999999997E-2</v>
      </c>
      <c r="F11" s="979">
        <v>0</v>
      </c>
      <c r="G11" s="979">
        <v>0.7641</v>
      </c>
      <c r="H11" s="979">
        <v>0.80989999999999995</v>
      </c>
      <c r="I11" s="979">
        <v>0</v>
      </c>
      <c r="J11" s="979">
        <v>6.4600000000000005E-2</v>
      </c>
      <c r="K11" s="979">
        <v>8.0000000000000004E-4</v>
      </c>
      <c r="L11" s="979">
        <v>9.7880000000000001E-6</v>
      </c>
      <c r="M11" s="979">
        <v>0.6431</v>
      </c>
      <c r="N11" s="979">
        <v>0.58579999999999999</v>
      </c>
      <c r="O11" s="979">
        <v>0.70289999999999997</v>
      </c>
    </row>
    <row r="12" spans="1:17" ht="15.75">
      <c r="A12" s="979" t="s">
        <v>2291</v>
      </c>
      <c r="B12" s="979">
        <v>9</v>
      </c>
      <c r="C12" s="979">
        <v>0.41399999999999998</v>
      </c>
      <c r="D12" s="979">
        <v>1E-4</v>
      </c>
      <c r="E12" s="979">
        <v>1.965E-5</v>
      </c>
      <c r="F12" s="979">
        <v>0</v>
      </c>
      <c r="G12" s="979">
        <v>0.76419999999999999</v>
      </c>
      <c r="H12" s="979">
        <v>0.80989999999999995</v>
      </c>
      <c r="I12" s="979">
        <v>0</v>
      </c>
      <c r="J12" s="979">
        <v>3.6170000000000001E-5</v>
      </c>
      <c r="K12" s="979">
        <v>3.4310000000000002E-5</v>
      </c>
      <c r="L12" s="979">
        <v>3.15E-2</v>
      </c>
      <c r="M12" s="979">
        <v>0.6431</v>
      </c>
      <c r="N12" s="979">
        <v>0.58589999999999998</v>
      </c>
      <c r="O12" s="979">
        <v>0.73429999999999995</v>
      </c>
    </row>
    <row r="13" spans="1:17" ht="15.75">
      <c r="A13" s="979" t="s">
        <v>2291</v>
      </c>
      <c r="B13" s="979">
        <v>10</v>
      </c>
      <c r="C13" s="979">
        <v>0.39</v>
      </c>
      <c r="D13" s="979">
        <v>5.0299999999999997E-2</v>
      </c>
      <c r="E13" s="979">
        <v>5.0000000000000001E-4</v>
      </c>
      <c r="F13" s="979">
        <v>0</v>
      </c>
      <c r="G13" s="979">
        <v>0.8145</v>
      </c>
      <c r="H13" s="979">
        <v>0.8105</v>
      </c>
      <c r="I13" s="979">
        <v>0</v>
      </c>
      <c r="J13" s="979">
        <v>5.9999999999999995E-4</v>
      </c>
      <c r="K13" s="979">
        <v>6.1600000000000002E-2</v>
      </c>
      <c r="L13" s="979">
        <v>1E-4</v>
      </c>
      <c r="M13" s="979">
        <v>0.64370000000000005</v>
      </c>
      <c r="N13" s="979">
        <v>0.64749999999999996</v>
      </c>
      <c r="O13" s="979">
        <v>0.73440000000000005</v>
      </c>
    </row>
    <row r="14" spans="1:17" ht="15.75">
      <c r="A14" s="979" t="s">
        <v>2291</v>
      </c>
      <c r="B14" s="979">
        <v>11</v>
      </c>
      <c r="C14" s="979">
        <v>0.29199999999999998</v>
      </c>
      <c r="D14" s="979">
        <v>1E-4</v>
      </c>
      <c r="E14" s="979">
        <v>4.4999999999999997E-3</v>
      </c>
      <c r="F14" s="979">
        <v>0</v>
      </c>
      <c r="G14" s="979">
        <v>0.81459999999999999</v>
      </c>
      <c r="H14" s="979">
        <v>0.81499999999999995</v>
      </c>
      <c r="I14" s="979">
        <v>0</v>
      </c>
      <c r="J14" s="979">
        <v>7.7000000000000002E-3</v>
      </c>
      <c r="K14" s="979">
        <v>1E-4</v>
      </c>
      <c r="L14" s="979">
        <v>2.7400000000000001E-2</v>
      </c>
      <c r="M14" s="979">
        <v>0.65139999999999998</v>
      </c>
      <c r="N14" s="979">
        <v>0.64759999999999995</v>
      </c>
      <c r="O14" s="979">
        <v>0.76190000000000002</v>
      </c>
    </row>
    <row r="15" spans="1:17" ht="15.75">
      <c r="A15" s="979" t="s">
        <v>2291</v>
      </c>
      <c r="B15" s="979">
        <v>12</v>
      </c>
      <c r="C15" s="979">
        <v>0.29099999999999998</v>
      </c>
      <c r="D15" s="979">
        <v>2.0000000000000001E-4</v>
      </c>
      <c r="E15" s="979">
        <v>2.7300000000000001E-2</v>
      </c>
      <c r="F15" s="979">
        <v>0</v>
      </c>
      <c r="G15" s="979">
        <v>0.81479999999999997</v>
      </c>
      <c r="H15" s="979">
        <v>0.84230000000000005</v>
      </c>
      <c r="I15" s="979">
        <v>0</v>
      </c>
      <c r="J15" s="979">
        <v>4.5400000000000003E-2</v>
      </c>
      <c r="K15" s="979">
        <v>2.9999999999999997E-4</v>
      </c>
      <c r="L15" s="979">
        <v>3.8E-3</v>
      </c>
      <c r="M15" s="979">
        <v>0.69679999999999997</v>
      </c>
      <c r="N15" s="979">
        <v>0.64790000000000003</v>
      </c>
      <c r="O15" s="979">
        <v>0.76559999999999995</v>
      </c>
    </row>
    <row r="16" spans="1:17" ht="15.75">
      <c r="A16" s="979" t="s">
        <v>2291</v>
      </c>
      <c r="B16" s="979">
        <v>13</v>
      </c>
      <c r="C16" s="979">
        <v>0.24099999999999999</v>
      </c>
      <c r="D16" s="979">
        <v>3.2599999999999997E-2</v>
      </c>
      <c r="E16" s="979">
        <v>4.0000000000000002E-4</v>
      </c>
      <c r="F16" s="979">
        <v>0</v>
      </c>
      <c r="G16" s="979">
        <v>0.84740000000000004</v>
      </c>
      <c r="H16" s="979">
        <v>0.84260000000000002</v>
      </c>
      <c r="I16" s="979">
        <v>0</v>
      </c>
      <c r="J16" s="979">
        <v>6.9999999999999999E-4</v>
      </c>
      <c r="K16" s="979">
        <v>5.7200000000000001E-2</v>
      </c>
      <c r="L16" s="979">
        <v>5.0000000000000001E-4</v>
      </c>
      <c r="M16" s="979">
        <v>0.69750000000000001</v>
      </c>
      <c r="N16" s="979">
        <v>0.70509999999999995</v>
      </c>
      <c r="O16" s="979">
        <v>0.7661</v>
      </c>
    </row>
    <row r="17" spans="1:15" ht="15.75">
      <c r="A17" s="979" t="s">
        <v>2291</v>
      </c>
      <c r="B17" s="979">
        <v>14</v>
      </c>
      <c r="C17" s="979">
        <v>0.22</v>
      </c>
      <c r="D17" s="979">
        <v>1.9809999999999998E-5</v>
      </c>
      <c r="E17" s="979">
        <v>1E-4</v>
      </c>
      <c r="F17" s="979">
        <v>0</v>
      </c>
      <c r="G17" s="979">
        <v>0.84740000000000004</v>
      </c>
      <c r="H17" s="979">
        <v>0.8427</v>
      </c>
      <c r="I17" s="979">
        <v>0</v>
      </c>
      <c r="J17" s="979">
        <v>2.0000000000000001E-4</v>
      </c>
      <c r="K17" s="979">
        <v>2.3879999999999998E-5</v>
      </c>
      <c r="L17" s="979">
        <v>3.9699999999999999E-2</v>
      </c>
      <c r="M17" s="979">
        <v>0.69769999999999999</v>
      </c>
      <c r="N17" s="979">
        <v>0.70520000000000005</v>
      </c>
      <c r="O17" s="979">
        <v>0.80589999999999995</v>
      </c>
    </row>
    <row r="18" spans="1:15" ht="15.75">
      <c r="A18" s="979" t="s">
        <v>2291</v>
      </c>
      <c r="B18" s="979">
        <v>15</v>
      </c>
      <c r="C18" s="979">
        <v>0.2</v>
      </c>
      <c r="D18" s="979">
        <v>2.0000000000000001E-4</v>
      </c>
      <c r="E18" s="979">
        <v>2.46E-2</v>
      </c>
      <c r="F18" s="979">
        <v>0</v>
      </c>
      <c r="G18" s="979">
        <v>0.84760000000000002</v>
      </c>
      <c r="H18" s="979">
        <v>0.86729999999999996</v>
      </c>
      <c r="I18" s="979">
        <v>0</v>
      </c>
      <c r="J18" s="979">
        <v>4.2000000000000003E-2</v>
      </c>
      <c r="K18" s="979">
        <v>4.0000000000000002E-4</v>
      </c>
      <c r="L18" s="979">
        <v>7.9710000000000004E-6</v>
      </c>
      <c r="M18" s="979">
        <v>0.73970000000000002</v>
      </c>
      <c r="N18" s="979">
        <v>0.70550000000000002</v>
      </c>
      <c r="O18" s="979">
        <v>0.80589999999999995</v>
      </c>
    </row>
    <row r="19" spans="1:15" ht="15.75">
      <c r="A19" s="979" t="s">
        <v>2291</v>
      </c>
      <c r="B19" s="979">
        <v>16</v>
      </c>
      <c r="C19" s="979">
        <v>0.17399999999999999</v>
      </c>
      <c r="D19" s="979">
        <v>4.0000000000000002E-4</v>
      </c>
      <c r="E19" s="979">
        <v>2.0000000000000001E-4</v>
      </c>
      <c r="F19" s="979">
        <v>0</v>
      </c>
      <c r="G19" s="979">
        <v>0.84799999999999998</v>
      </c>
      <c r="H19" s="979">
        <v>0.86750000000000005</v>
      </c>
      <c r="I19" s="979">
        <v>0</v>
      </c>
      <c r="J19" s="979">
        <v>4.0000000000000002E-4</v>
      </c>
      <c r="K19" s="979">
        <v>8.0000000000000004E-4</v>
      </c>
      <c r="L19" s="979">
        <v>5.7200000000000001E-2</v>
      </c>
      <c r="M19" s="979">
        <v>0.74019999999999997</v>
      </c>
      <c r="N19" s="979">
        <v>0.70630000000000004</v>
      </c>
      <c r="O19" s="979">
        <v>0.86309999999999998</v>
      </c>
    </row>
    <row r="20" spans="1:15" ht="15.75">
      <c r="A20" s="979" t="s">
        <v>2291</v>
      </c>
      <c r="B20" s="979">
        <v>17</v>
      </c>
      <c r="C20" s="979">
        <v>0.16800000000000001</v>
      </c>
      <c r="D20" s="979">
        <v>2.6200000000000001E-2</v>
      </c>
      <c r="E20" s="979">
        <v>2.9999999999999997E-4</v>
      </c>
      <c r="F20" s="979">
        <v>0</v>
      </c>
      <c r="G20" s="979">
        <v>0.87419999999999998</v>
      </c>
      <c r="H20" s="979">
        <v>0.86780000000000002</v>
      </c>
      <c r="I20" s="979">
        <v>0</v>
      </c>
      <c r="J20" s="979">
        <v>5.0000000000000001E-4</v>
      </c>
      <c r="K20" s="979">
        <v>4.4900000000000002E-2</v>
      </c>
      <c r="L20" s="979">
        <v>3.168E-6</v>
      </c>
      <c r="M20" s="979">
        <v>0.74060000000000004</v>
      </c>
      <c r="N20" s="979">
        <v>0.75119999999999998</v>
      </c>
      <c r="O20" s="979">
        <v>0.86309999999999998</v>
      </c>
    </row>
    <row r="21" spans="1:15" ht="15.75">
      <c r="A21" s="979" t="s">
        <v>2291</v>
      </c>
      <c r="B21" s="979">
        <v>18</v>
      </c>
      <c r="C21" s="979">
        <v>0.14799999999999999</v>
      </c>
      <c r="D21" s="979">
        <v>2.0000000000000001E-4</v>
      </c>
      <c r="E21" s="979">
        <v>2.29E-2</v>
      </c>
      <c r="F21" s="979">
        <v>0</v>
      </c>
      <c r="G21" s="979">
        <v>0.87439999999999996</v>
      </c>
      <c r="H21" s="979">
        <v>0.89070000000000005</v>
      </c>
      <c r="I21" s="979">
        <v>0</v>
      </c>
      <c r="J21" s="979">
        <v>4.2599999999999999E-2</v>
      </c>
      <c r="K21" s="979">
        <v>2.9999999999999997E-4</v>
      </c>
      <c r="L21" s="979">
        <v>2.0999999999999999E-3</v>
      </c>
      <c r="M21" s="979">
        <v>0.7833</v>
      </c>
      <c r="N21" s="979">
        <v>0.75149999999999995</v>
      </c>
      <c r="O21" s="979">
        <v>0.86519999999999997</v>
      </c>
    </row>
    <row r="22" spans="1:15" ht="15.75">
      <c r="A22" s="979" t="s">
        <v>2291</v>
      </c>
      <c r="B22" s="979">
        <v>19</v>
      </c>
      <c r="C22" s="979">
        <v>0.14399999999999999</v>
      </c>
      <c r="D22" s="979">
        <v>2.0000000000000001E-4</v>
      </c>
      <c r="E22" s="979">
        <v>1E-4</v>
      </c>
      <c r="F22" s="979">
        <v>0</v>
      </c>
      <c r="G22" s="979">
        <v>0.87460000000000004</v>
      </c>
      <c r="H22" s="979">
        <v>0.89080000000000004</v>
      </c>
      <c r="I22" s="979">
        <v>0</v>
      </c>
      <c r="J22" s="979">
        <v>2.0000000000000001E-4</v>
      </c>
      <c r="K22" s="979">
        <v>4.0000000000000002E-4</v>
      </c>
      <c r="L22" s="979">
        <v>5.62E-2</v>
      </c>
      <c r="M22" s="979">
        <v>0.78339999999999999</v>
      </c>
      <c r="N22" s="979">
        <v>0.75190000000000001</v>
      </c>
      <c r="O22" s="979">
        <v>0.9214</v>
      </c>
    </row>
    <row r="23" spans="1:15" ht="15.75">
      <c r="A23" s="979" t="s">
        <v>2291</v>
      </c>
      <c r="B23" s="979">
        <v>20</v>
      </c>
      <c r="C23" s="979">
        <v>0.126</v>
      </c>
      <c r="D23" s="979">
        <v>2.5700000000000001E-2</v>
      </c>
      <c r="E23" s="979">
        <v>4.0000000000000002E-4</v>
      </c>
      <c r="F23" s="979">
        <v>0</v>
      </c>
      <c r="G23" s="979">
        <v>0.90029999999999999</v>
      </c>
      <c r="H23" s="979">
        <v>0.89119999999999999</v>
      </c>
      <c r="I23" s="979">
        <v>0</v>
      </c>
      <c r="J23" s="979">
        <v>8.0000000000000004E-4</v>
      </c>
      <c r="K23" s="979">
        <v>4.9000000000000002E-2</v>
      </c>
      <c r="L23" s="979">
        <v>8.9999999999999998E-4</v>
      </c>
      <c r="M23" s="979">
        <v>0.78420000000000001</v>
      </c>
      <c r="N23" s="979">
        <v>0.80089999999999995</v>
      </c>
      <c r="O23" s="979">
        <v>0.92230000000000001</v>
      </c>
    </row>
    <row r="24" spans="1:15" ht="15.75">
      <c r="A24" s="979" t="s">
        <v>2291</v>
      </c>
      <c r="B24" s="979">
        <v>21</v>
      </c>
      <c r="C24" s="979">
        <v>0.11600000000000001</v>
      </c>
      <c r="D24" s="979">
        <v>5.0000000000000001E-4</v>
      </c>
      <c r="E24" s="979">
        <v>2.2700000000000001E-2</v>
      </c>
      <c r="F24" s="979">
        <v>0</v>
      </c>
      <c r="G24" s="979">
        <v>0.90080000000000005</v>
      </c>
      <c r="H24" s="979">
        <v>0.91390000000000005</v>
      </c>
      <c r="I24" s="979">
        <v>0</v>
      </c>
      <c r="J24" s="979">
        <v>4.3099999999999999E-2</v>
      </c>
      <c r="K24" s="979">
        <v>8.9999999999999998E-4</v>
      </c>
      <c r="L24" s="979">
        <v>1.1999999999999999E-3</v>
      </c>
      <c r="M24" s="979">
        <v>0.82730000000000004</v>
      </c>
      <c r="N24" s="979">
        <v>0.80179999999999996</v>
      </c>
      <c r="O24" s="979">
        <v>0.92349999999999999</v>
      </c>
    </row>
    <row r="25" spans="1:15" ht="15.75">
      <c r="A25" s="979" t="s">
        <v>2291</v>
      </c>
      <c r="B25" s="979">
        <v>22</v>
      </c>
      <c r="C25" s="979">
        <v>0.10199999999999999</v>
      </c>
      <c r="D25" s="979">
        <v>1.67E-2</v>
      </c>
      <c r="E25" s="979">
        <v>2.3E-3</v>
      </c>
      <c r="F25" s="979">
        <v>0</v>
      </c>
      <c r="G25" s="979">
        <v>0.91749999999999998</v>
      </c>
      <c r="H25" s="979">
        <v>0.91620000000000001</v>
      </c>
      <c r="I25" s="979">
        <v>0</v>
      </c>
      <c r="J25" s="979">
        <v>4.4000000000000003E-3</v>
      </c>
      <c r="K25" s="979">
        <v>3.1800000000000002E-2</v>
      </c>
      <c r="L25" s="979">
        <v>3.7000000000000002E-3</v>
      </c>
      <c r="M25" s="979">
        <v>0.83160000000000001</v>
      </c>
      <c r="N25" s="979">
        <v>0.83360000000000001</v>
      </c>
      <c r="O25" s="979">
        <v>0.92720000000000002</v>
      </c>
    </row>
    <row r="26" spans="1:15" ht="15.75">
      <c r="A26" s="979" t="s">
        <v>2291</v>
      </c>
      <c r="B26" s="979">
        <v>23</v>
      </c>
      <c r="C26" s="979">
        <v>9.6000000000000002E-2</v>
      </c>
      <c r="D26" s="979">
        <v>1.21E-2</v>
      </c>
      <c r="E26" s="979">
        <v>1.32E-2</v>
      </c>
      <c r="F26" s="979">
        <v>0</v>
      </c>
      <c r="G26" s="979">
        <v>0.92959999999999998</v>
      </c>
      <c r="H26" s="979">
        <v>0.9294</v>
      </c>
      <c r="I26" s="979">
        <v>0</v>
      </c>
      <c r="J26" s="979">
        <v>2.5700000000000001E-2</v>
      </c>
      <c r="K26" s="979">
        <v>2.35E-2</v>
      </c>
      <c r="L26" s="979">
        <v>4.4999999999999997E-3</v>
      </c>
      <c r="M26" s="979">
        <v>0.85740000000000005</v>
      </c>
      <c r="N26" s="979">
        <v>0.85709999999999997</v>
      </c>
      <c r="O26" s="979">
        <v>0.93169999999999997</v>
      </c>
    </row>
    <row r="27" spans="1:15" ht="15.75">
      <c r="A27" s="979" t="s">
        <v>2291</v>
      </c>
      <c r="B27" s="979">
        <v>24</v>
      </c>
      <c r="C27" s="979">
        <v>0.09</v>
      </c>
      <c r="D27" s="979">
        <v>9.1000000000000004E-3</v>
      </c>
      <c r="E27" s="979">
        <v>1.4E-2</v>
      </c>
      <c r="F27" s="979">
        <v>0</v>
      </c>
      <c r="G27" s="979">
        <v>0.93869999999999998</v>
      </c>
      <c r="H27" s="979">
        <v>0.94340000000000002</v>
      </c>
      <c r="I27" s="979">
        <v>0</v>
      </c>
      <c r="J27" s="979">
        <v>2.7699999999999999E-2</v>
      </c>
      <c r="K27" s="979">
        <v>1.7999999999999999E-2</v>
      </c>
      <c r="L27" s="979">
        <v>2.8999999999999998E-3</v>
      </c>
      <c r="M27" s="979">
        <v>0.88500000000000001</v>
      </c>
      <c r="N27" s="979">
        <v>0.87509999999999999</v>
      </c>
      <c r="O27" s="979">
        <v>0.93459999999999999</v>
      </c>
    </row>
    <row r="28" spans="1:15" ht="15.75">
      <c r="A28" s="979" t="s">
        <v>2291</v>
      </c>
      <c r="B28" s="979">
        <v>25</v>
      </c>
      <c r="C28" s="979">
        <v>7.8E-2</v>
      </c>
      <c r="D28" s="979">
        <v>2.4799999999999999E-2</v>
      </c>
      <c r="E28" s="979">
        <v>1.0800000000000001E-2</v>
      </c>
      <c r="F28" s="979">
        <v>0</v>
      </c>
      <c r="G28" s="979">
        <v>0.96350000000000002</v>
      </c>
      <c r="H28" s="979">
        <v>0.95420000000000005</v>
      </c>
      <c r="I28" s="979">
        <v>0</v>
      </c>
      <c r="J28" s="979">
        <v>2.1499999999999998E-2</v>
      </c>
      <c r="K28" s="979">
        <v>4.9700000000000001E-2</v>
      </c>
      <c r="L28" s="979">
        <v>1.8E-3</v>
      </c>
      <c r="M28" s="979">
        <v>0.90649999999999997</v>
      </c>
      <c r="N28" s="979">
        <v>0.92479999999999996</v>
      </c>
      <c r="O28" s="979">
        <v>0.93640000000000001</v>
      </c>
    </row>
    <row r="29" spans="1:15" ht="15.75">
      <c r="A29" s="979" t="s">
        <v>2291</v>
      </c>
      <c r="B29" s="979">
        <v>26</v>
      </c>
      <c r="C29" s="979">
        <v>7.3999999999999996E-2</v>
      </c>
      <c r="D29" s="979">
        <v>1.15E-2</v>
      </c>
      <c r="E29" s="979">
        <v>1.8700000000000001E-2</v>
      </c>
      <c r="F29" s="979">
        <v>0</v>
      </c>
      <c r="G29" s="979">
        <v>0.97499999999999998</v>
      </c>
      <c r="H29" s="979">
        <v>0.97289999999999999</v>
      </c>
      <c r="I29" s="979">
        <v>0</v>
      </c>
      <c r="J29" s="979">
        <v>3.7400000000000003E-2</v>
      </c>
      <c r="K29" s="979">
        <v>2.3099999999999999E-2</v>
      </c>
      <c r="L29" s="979">
        <v>1.9E-3</v>
      </c>
      <c r="M29" s="979">
        <v>0.94389999999999996</v>
      </c>
      <c r="N29" s="979">
        <v>0.94789999999999996</v>
      </c>
      <c r="O29" s="979">
        <v>0.93820000000000003</v>
      </c>
    </row>
    <row r="30" spans="1:15" ht="15.75">
      <c r="A30" s="979" t="s">
        <v>2291</v>
      </c>
      <c r="B30" s="979">
        <v>27</v>
      </c>
      <c r="C30" s="979">
        <v>5.8999999999999997E-2</v>
      </c>
      <c r="D30" s="979">
        <v>1.3299999999999999E-2</v>
      </c>
      <c r="E30" s="979">
        <v>7.1000000000000004E-3</v>
      </c>
      <c r="F30" s="979">
        <v>0</v>
      </c>
      <c r="G30" s="979">
        <v>0.98829999999999996</v>
      </c>
      <c r="H30" s="979">
        <v>0.98</v>
      </c>
      <c r="I30" s="979">
        <v>0</v>
      </c>
      <c r="J30" s="979">
        <v>1.44E-2</v>
      </c>
      <c r="K30" s="979">
        <v>2.7300000000000001E-2</v>
      </c>
      <c r="L30" s="979">
        <v>1.5E-3</v>
      </c>
      <c r="M30" s="979">
        <v>0.95830000000000004</v>
      </c>
      <c r="N30" s="979">
        <v>0.97519999999999996</v>
      </c>
      <c r="O30" s="979">
        <v>0.93969999999999998</v>
      </c>
    </row>
    <row r="31" spans="1:15" ht="15.75">
      <c r="A31" s="979" t="s">
        <v>2291</v>
      </c>
      <c r="B31" s="979">
        <v>28</v>
      </c>
      <c r="C31" s="979">
        <v>5.6000000000000001E-2</v>
      </c>
      <c r="D31" s="979">
        <v>5.0000000000000001E-3</v>
      </c>
      <c r="E31" s="979">
        <v>1.1599999999999999E-2</v>
      </c>
      <c r="F31" s="979">
        <v>0</v>
      </c>
      <c r="G31" s="979">
        <v>0.99329999999999996</v>
      </c>
      <c r="H31" s="979">
        <v>0.99160000000000004</v>
      </c>
      <c r="I31" s="979">
        <v>0</v>
      </c>
      <c r="J31" s="979">
        <v>2.3800000000000002E-2</v>
      </c>
      <c r="K31" s="979">
        <v>1.04E-2</v>
      </c>
      <c r="L31" s="979">
        <v>0</v>
      </c>
      <c r="M31" s="979">
        <v>0.98199999999999998</v>
      </c>
      <c r="N31" s="979">
        <v>0.98560000000000003</v>
      </c>
      <c r="O31" s="979">
        <v>0.93969999999999998</v>
      </c>
    </row>
    <row r="32" spans="1:15" ht="15.75">
      <c r="A32" s="979" t="s">
        <v>2291</v>
      </c>
      <c r="B32" s="979">
        <v>29</v>
      </c>
      <c r="C32" s="979">
        <v>3.6999999999999998E-2</v>
      </c>
      <c r="D32" s="979">
        <v>3.0000000000000001E-3</v>
      </c>
      <c r="E32" s="979">
        <v>1.4E-3</v>
      </c>
      <c r="F32" s="979">
        <v>0</v>
      </c>
      <c r="G32" s="979">
        <v>0.99639999999999995</v>
      </c>
      <c r="H32" s="979">
        <v>0.9929</v>
      </c>
      <c r="I32" s="979">
        <v>0</v>
      </c>
      <c r="J32" s="979">
        <v>2.8E-3</v>
      </c>
      <c r="K32" s="979">
        <v>6.4000000000000003E-3</v>
      </c>
      <c r="L32" s="979">
        <v>1.6000000000000001E-3</v>
      </c>
      <c r="M32" s="979">
        <v>0.9849</v>
      </c>
      <c r="N32" s="979">
        <v>0.99199999999999999</v>
      </c>
      <c r="O32" s="979">
        <v>0.94130000000000003</v>
      </c>
    </row>
    <row r="33" spans="1:15" ht="15.75">
      <c r="A33" s="979" t="s">
        <v>2291</v>
      </c>
      <c r="B33" s="979">
        <v>30</v>
      </c>
      <c r="C33" s="979">
        <v>3.4000000000000002E-2</v>
      </c>
      <c r="D33" s="979">
        <v>5.9999999999999995E-4</v>
      </c>
      <c r="E33" s="979">
        <v>3.8999999999999998E-3</v>
      </c>
      <c r="F33" s="979">
        <v>0</v>
      </c>
      <c r="G33" s="979">
        <v>0.997</v>
      </c>
      <c r="H33" s="979">
        <v>0.99680000000000002</v>
      </c>
      <c r="I33" s="979">
        <v>0</v>
      </c>
      <c r="J33" s="979">
        <v>8.0999999999999996E-3</v>
      </c>
      <c r="K33" s="979">
        <v>1.2999999999999999E-3</v>
      </c>
      <c r="L33" s="979">
        <v>2.0000000000000001E-4</v>
      </c>
      <c r="M33" s="979">
        <v>0.99299999999999999</v>
      </c>
      <c r="N33" s="979">
        <v>0.99329999999999996</v>
      </c>
      <c r="O33" s="979">
        <v>0.9415</v>
      </c>
    </row>
    <row r="34" spans="1:15" ht="15.75">
      <c r="D34" s="570"/>
      <c r="E34" s="570"/>
    </row>
    <row r="35" spans="1:15" ht="15.75">
      <c r="D35" s="570"/>
      <c r="E35" s="570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00FF"/>
  </sheetPr>
  <dimension ref="A1:I45"/>
  <sheetViews>
    <sheetView view="pageBreakPreview" zoomScaleNormal="100" zoomScaleSheetLayoutView="100" workbookViewId="0">
      <selection activeCell="F12" sqref="F12"/>
    </sheetView>
  </sheetViews>
  <sheetFormatPr defaultRowHeight="15"/>
  <cols>
    <col min="5" max="5" width="21.109375" customWidth="1"/>
    <col min="6" max="6" width="12.21875" customWidth="1"/>
    <col min="7" max="7" width="12.88671875" customWidth="1"/>
  </cols>
  <sheetData>
    <row r="1" spans="1:9" ht="15.75">
      <c r="A1" s="987" t="s">
        <v>2312</v>
      </c>
      <c r="B1" s="988"/>
      <c r="C1" s="988"/>
      <c r="D1" s="988"/>
      <c r="E1" s="988"/>
      <c r="F1" s="988"/>
      <c r="G1" s="988"/>
      <c r="I1" s="460" t="s">
        <v>2066</v>
      </c>
    </row>
    <row r="2" spans="1:9" ht="15.75">
      <c r="A2" s="989" t="s">
        <v>1820</v>
      </c>
      <c r="B2" s="989" t="s">
        <v>1826</v>
      </c>
      <c r="C2" s="989" t="s">
        <v>2313</v>
      </c>
      <c r="D2" s="989" t="s">
        <v>2314</v>
      </c>
      <c r="E2" s="989" t="s">
        <v>2315</v>
      </c>
      <c r="F2" s="989" t="s">
        <v>2316</v>
      </c>
      <c r="G2" s="990" t="s">
        <v>2317</v>
      </c>
    </row>
    <row r="3" spans="1:9" ht="15.75">
      <c r="A3" s="991"/>
      <c r="B3" s="991"/>
      <c r="C3" s="991" t="s">
        <v>2318</v>
      </c>
      <c r="D3" s="991" t="s">
        <v>2318</v>
      </c>
      <c r="E3" s="991" t="s">
        <v>2319</v>
      </c>
      <c r="F3" s="991" t="s">
        <v>1884</v>
      </c>
      <c r="G3" s="992" t="s">
        <v>1884</v>
      </c>
      <c r="H3" s="460" t="s">
        <v>2325</v>
      </c>
    </row>
    <row r="4" spans="1:9" ht="15.75">
      <c r="A4" s="986" t="s">
        <v>2398</v>
      </c>
      <c r="B4" s="986" t="s">
        <v>1834</v>
      </c>
      <c r="C4" s="986">
        <v>1186.1731</v>
      </c>
      <c r="D4" s="986">
        <v>1186.1731</v>
      </c>
      <c r="E4" s="986">
        <v>529381.37040000001</v>
      </c>
      <c r="F4" s="986">
        <v>35.383299999999998</v>
      </c>
      <c r="G4" s="986">
        <v>14.280099999999999</v>
      </c>
    </row>
    <row r="5" spans="1:9" ht="15.75">
      <c r="A5" s="986" t="s">
        <v>2399</v>
      </c>
      <c r="B5" s="986" t="s">
        <v>1834</v>
      </c>
      <c r="C5" s="986">
        <v>1258.2292</v>
      </c>
      <c r="D5" s="986">
        <v>1258.2292</v>
      </c>
      <c r="E5" s="986">
        <v>556853.79850000003</v>
      </c>
      <c r="F5" s="986">
        <v>35.402999999999999</v>
      </c>
      <c r="G5" s="986">
        <v>14.2705</v>
      </c>
    </row>
    <row r="6" spans="1:9" ht="15.75">
      <c r="A6" s="986" t="s">
        <v>2401</v>
      </c>
      <c r="B6" s="986" t="s">
        <v>1834</v>
      </c>
      <c r="C6" s="986">
        <v>1258.2292</v>
      </c>
      <c r="D6" s="986">
        <v>1258.2292</v>
      </c>
      <c r="E6" s="986">
        <v>556853.79850000003</v>
      </c>
      <c r="F6" s="986">
        <v>35.402999999999999</v>
      </c>
      <c r="G6" s="986">
        <v>14.2705</v>
      </c>
    </row>
    <row r="7" spans="1:9" ht="15.75">
      <c r="A7" s="986" t="s">
        <v>2402</v>
      </c>
      <c r="B7" s="986" t="s">
        <v>1834</v>
      </c>
      <c r="C7" s="986">
        <v>1258.2292</v>
      </c>
      <c r="D7" s="986">
        <v>1258.2292</v>
      </c>
      <c r="E7" s="986">
        <v>556853.79850000003</v>
      </c>
      <c r="F7" s="986">
        <v>35.402999999999999</v>
      </c>
      <c r="G7" s="986">
        <v>14.2705</v>
      </c>
    </row>
    <row r="8" spans="1:9" ht="15.75">
      <c r="A8" s="986" t="s">
        <v>2403</v>
      </c>
      <c r="B8" s="986" t="s">
        <v>1834</v>
      </c>
      <c r="C8" s="986">
        <v>1258.2292</v>
      </c>
      <c r="D8" s="986">
        <v>1258.2292</v>
      </c>
      <c r="E8" s="986">
        <v>556853.79850000003</v>
      </c>
      <c r="F8" s="986">
        <v>35.402999999999999</v>
      </c>
      <c r="G8" s="986">
        <v>14.2705</v>
      </c>
    </row>
    <row r="9" spans="1:9" ht="15.75">
      <c r="A9" s="986" t="s">
        <v>2404</v>
      </c>
      <c r="B9" s="986" t="s">
        <v>1834</v>
      </c>
      <c r="C9" s="986">
        <v>1258.2292</v>
      </c>
      <c r="D9" s="986">
        <v>1258.2292</v>
      </c>
      <c r="E9" s="986">
        <v>556853.79850000003</v>
      </c>
      <c r="F9" s="986">
        <v>35.402999999999999</v>
      </c>
      <c r="G9" s="986">
        <v>14.2705</v>
      </c>
    </row>
    <row r="10" spans="1:9" ht="15.75">
      <c r="A10" s="986" t="s">
        <v>2405</v>
      </c>
      <c r="B10" s="986" t="s">
        <v>1834</v>
      </c>
      <c r="C10" s="986">
        <v>1258.2292</v>
      </c>
      <c r="D10" s="986">
        <v>1258.2292</v>
      </c>
      <c r="E10" s="986">
        <v>556853.79850000003</v>
      </c>
      <c r="F10" s="986">
        <v>35.402999999999999</v>
      </c>
      <c r="G10" s="986">
        <v>14.2705</v>
      </c>
    </row>
    <row r="11" spans="1:9" ht="15.75">
      <c r="A11" s="986" t="s">
        <v>2406</v>
      </c>
      <c r="B11" s="986" t="s">
        <v>1834</v>
      </c>
      <c r="C11" s="986">
        <v>1258.2292</v>
      </c>
      <c r="D11" s="986">
        <v>1258.2292</v>
      </c>
      <c r="E11" s="986">
        <v>556853.79850000003</v>
      </c>
      <c r="F11" s="986">
        <v>35.402999999999999</v>
      </c>
      <c r="G11" s="986">
        <v>14.2705</v>
      </c>
    </row>
    <row r="12" spans="1:9" ht="15.75">
      <c r="A12" s="986" t="s">
        <v>2407</v>
      </c>
      <c r="B12" s="986" t="s">
        <v>1834</v>
      </c>
      <c r="C12" s="986">
        <v>1258.2292</v>
      </c>
      <c r="D12" s="986">
        <v>1258.2292</v>
      </c>
      <c r="E12" s="986">
        <v>556853.79850000003</v>
      </c>
      <c r="F12" s="986">
        <v>35.402999999999999</v>
      </c>
      <c r="G12" s="986">
        <v>14.2705</v>
      </c>
    </row>
    <row r="13" spans="1:9" ht="15.75">
      <c r="A13" s="986" t="s">
        <v>2408</v>
      </c>
      <c r="B13" s="986" t="s">
        <v>1834</v>
      </c>
      <c r="C13" s="986">
        <v>1258.2292</v>
      </c>
      <c r="D13" s="986">
        <v>1258.2292</v>
      </c>
      <c r="E13" s="986">
        <v>556853.79850000003</v>
      </c>
      <c r="F13" s="986">
        <v>35.402999999999999</v>
      </c>
      <c r="G13" s="986">
        <v>14.2705</v>
      </c>
    </row>
    <row r="14" spans="1:9" ht="15.75">
      <c r="A14" s="986" t="s">
        <v>2409</v>
      </c>
      <c r="B14" s="986" t="s">
        <v>1834</v>
      </c>
      <c r="C14" s="986">
        <v>1258.2292</v>
      </c>
      <c r="D14" s="986">
        <v>1258.2292</v>
      </c>
      <c r="E14" s="986">
        <v>556853.79850000003</v>
      </c>
      <c r="F14" s="986">
        <v>35.402999999999999</v>
      </c>
      <c r="G14" s="986">
        <v>14.2705</v>
      </c>
    </row>
    <row r="15" spans="1:9" ht="15.75">
      <c r="A15" s="986" t="s">
        <v>2410</v>
      </c>
      <c r="B15" s="986" t="s">
        <v>1834</v>
      </c>
      <c r="C15" s="986">
        <v>1258.2292</v>
      </c>
      <c r="D15" s="986">
        <v>1258.2292</v>
      </c>
      <c r="E15" s="986">
        <v>556853.79850000003</v>
      </c>
      <c r="F15" s="986">
        <v>35.402999999999999</v>
      </c>
      <c r="G15" s="986">
        <v>14.2705</v>
      </c>
    </row>
    <row r="16" spans="1:9" ht="15.75">
      <c r="A16" s="986" t="s">
        <v>2411</v>
      </c>
      <c r="B16" s="986" t="s">
        <v>1834</v>
      </c>
      <c r="C16" s="986">
        <v>1258.2292</v>
      </c>
      <c r="D16" s="986">
        <v>1258.2292</v>
      </c>
      <c r="E16" s="986">
        <v>556853.79850000003</v>
      </c>
      <c r="F16" s="986">
        <v>35.402999999999999</v>
      </c>
      <c r="G16" s="986">
        <v>14.2705</v>
      </c>
    </row>
    <row r="17" spans="1:7" ht="15.75">
      <c r="A17" s="986" t="s">
        <v>2412</v>
      </c>
      <c r="B17" s="986" t="s">
        <v>1834</v>
      </c>
      <c r="C17" s="986">
        <v>1258.2292</v>
      </c>
      <c r="D17" s="986">
        <v>1258.2292</v>
      </c>
      <c r="E17" s="986">
        <v>556853.79850000003</v>
      </c>
      <c r="F17" s="986">
        <v>35.402999999999999</v>
      </c>
      <c r="G17" s="986">
        <v>14.2705</v>
      </c>
    </row>
    <row r="18" spans="1:7" ht="15.75">
      <c r="A18" s="986" t="s">
        <v>2413</v>
      </c>
      <c r="B18" s="986" t="s">
        <v>1834</v>
      </c>
      <c r="C18" s="986">
        <v>1258.2292</v>
      </c>
      <c r="D18" s="986">
        <v>1258.2292</v>
      </c>
      <c r="E18" s="986">
        <v>556853.79850000003</v>
      </c>
      <c r="F18" s="986">
        <v>35.402999999999999</v>
      </c>
      <c r="G18" s="986">
        <v>14.2705</v>
      </c>
    </row>
    <row r="19" spans="1:7" ht="15.75">
      <c r="A19" s="986" t="s">
        <v>2414</v>
      </c>
      <c r="B19" s="986" t="s">
        <v>1834</v>
      </c>
      <c r="C19" s="986">
        <v>1258.2292</v>
      </c>
      <c r="D19" s="986">
        <v>1258.2292</v>
      </c>
      <c r="E19" s="986">
        <v>556853.79850000003</v>
      </c>
      <c r="F19" s="986">
        <v>35.402999999999999</v>
      </c>
      <c r="G19" s="986">
        <v>14.2705</v>
      </c>
    </row>
    <row r="20" spans="1:7" ht="15.75">
      <c r="A20" s="986" t="s">
        <v>2415</v>
      </c>
      <c r="B20" s="986" t="s">
        <v>1834</v>
      </c>
      <c r="C20" s="986">
        <v>1258.2292</v>
      </c>
      <c r="D20" s="986">
        <v>1258.2292</v>
      </c>
      <c r="E20" s="986">
        <v>556853.79850000003</v>
      </c>
      <c r="F20" s="986">
        <v>35.402999999999999</v>
      </c>
      <c r="G20" s="986">
        <v>14.2705</v>
      </c>
    </row>
    <row r="21" spans="1:7" ht="15.75">
      <c r="A21" s="986" t="s">
        <v>2416</v>
      </c>
      <c r="B21" s="986" t="s">
        <v>1834</v>
      </c>
      <c r="C21" s="986">
        <v>1258.2292</v>
      </c>
      <c r="D21" s="986">
        <v>1258.2292</v>
      </c>
      <c r="E21" s="986">
        <v>556853.79850000003</v>
      </c>
      <c r="F21" s="986">
        <v>35.402999999999999</v>
      </c>
      <c r="G21" s="986">
        <v>14.2705</v>
      </c>
    </row>
    <row r="22" spans="1:7" ht="15.75">
      <c r="A22" s="986" t="s">
        <v>2417</v>
      </c>
      <c r="B22" s="986" t="s">
        <v>1834</v>
      </c>
      <c r="C22" s="986">
        <v>1258.2292</v>
      </c>
      <c r="D22" s="986">
        <v>1258.2292</v>
      </c>
      <c r="E22" s="986">
        <v>556853.79850000003</v>
      </c>
      <c r="F22" s="986">
        <v>35.402999999999999</v>
      </c>
      <c r="G22" s="986">
        <v>14.2705</v>
      </c>
    </row>
    <row r="23" spans="1:7" ht="15.75">
      <c r="A23" s="986" t="s">
        <v>2418</v>
      </c>
      <c r="B23" s="986" t="s">
        <v>1834</v>
      </c>
      <c r="C23" s="986">
        <v>1258.2292</v>
      </c>
      <c r="D23" s="986">
        <v>1258.2292</v>
      </c>
      <c r="E23" s="986">
        <v>556853.79850000003</v>
      </c>
      <c r="F23" s="986">
        <v>35.402999999999999</v>
      </c>
      <c r="G23" s="986">
        <v>14.2705</v>
      </c>
    </row>
    <row r="24" spans="1:7" ht="15.75">
      <c r="A24" s="986" t="s">
        <v>2419</v>
      </c>
      <c r="B24" s="986" t="s">
        <v>1834</v>
      </c>
      <c r="C24" s="986">
        <v>1258.2292</v>
      </c>
      <c r="D24" s="986">
        <v>1258.2292</v>
      </c>
      <c r="E24" s="986">
        <v>556853.79850000003</v>
      </c>
      <c r="F24" s="986">
        <v>35.402999999999999</v>
      </c>
      <c r="G24" s="986">
        <v>14.2705</v>
      </c>
    </row>
    <row r="25" spans="1:7" ht="15.75">
      <c r="A25" s="986" t="s">
        <v>2420</v>
      </c>
      <c r="B25" s="986" t="s">
        <v>1834</v>
      </c>
      <c r="C25" s="986">
        <v>1258.2292</v>
      </c>
      <c r="D25" s="986">
        <v>1258.2292</v>
      </c>
      <c r="E25" s="986">
        <v>556853.79850000003</v>
      </c>
      <c r="F25" s="986">
        <v>35.402999999999999</v>
      </c>
      <c r="G25" s="986">
        <v>14.2705</v>
      </c>
    </row>
    <row r="26" spans="1:7" ht="15.75">
      <c r="A26" s="986" t="s">
        <v>2421</v>
      </c>
      <c r="B26" s="986" t="s">
        <v>1834</v>
      </c>
      <c r="C26" s="986">
        <v>1258.2292</v>
      </c>
      <c r="D26" s="986">
        <v>1258.2292</v>
      </c>
      <c r="E26" s="986">
        <v>556853.79850000003</v>
      </c>
      <c r="F26" s="986">
        <v>35.402999999999999</v>
      </c>
      <c r="G26" s="986">
        <v>14.2705</v>
      </c>
    </row>
    <row r="27" spans="1:7" ht="15.75">
      <c r="A27" s="986" t="s">
        <v>2422</v>
      </c>
      <c r="B27" s="986" t="s">
        <v>1834</v>
      </c>
      <c r="C27" s="986">
        <v>1258.2292</v>
      </c>
      <c r="D27" s="986">
        <v>1258.2292</v>
      </c>
      <c r="E27" s="986">
        <v>556853.79850000003</v>
      </c>
      <c r="F27" s="986">
        <v>35.402999999999999</v>
      </c>
      <c r="G27" s="986">
        <v>14.2705</v>
      </c>
    </row>
    <row r="28" spans="1:7" ht="15.75">
      <c r="A28" s="986" t="s">
        <v>2423</v>
      </c>
      <c r="B28" s="986" t="s">
        <v>1834</v>
      </c>
      <c r="C28" s="986">
        <v>1258.2292</v>
      </c>
      <c r="D28" s="986">
        <v>1258.2292</v>
      </c>
      <c r="E28" s="986">
        <v>556853.79850000003</v>
      </c>
      <c r="F28" s="986">
        <v>35.402999999999999</v>
      </c>
      <c r="G28" s="986">
        <v>14.2705</v>
      </c>
    </row>
    <row r="29" spans="1:7" ht="15.75">
      <c r="A29" s="986" t="s">
        <v>2424</v>
      </c>
      <c r="B29" s="986" t="s">
        <v>1834</v>
      </c>
      <c r="C29" s="986">
        <v>1258.2292</v>
      </c>
      <c r="D29" s="986">
        <v>1258.2292</v>
      </c>
      <c r="E29" s="986">
        <v>556853.79850000003</v>
      </c>
      <c r="F29" s="986">
        <v>35.402999999999999</v>
      </c>
      <c r="G29" s="986">
        <v>14.2705</v>
      </c>
    </row>
    <row r="30" spans="1:7" ht="15.75">
      <c r="A30" s="986" t="s">
        <v>2425</v>
      </c>
      <c r="B30" s="986" t="s">
        <v>1834</v>
      </c>
      <c r="C30" s="986">
        <v>1258.2292</v>
      </c>
      <c r="D30" s="986">
        <v>1258.2292</v>
      </c>
      <c r="E30" s="986">
        <v>556853.79850000003</v>
      </c>
      <c r="F30" s="986">
        <v>35.402999999999999</v>
      </c>
      <c r="G30" s="986">
        <v>14.2705</v>
      </c>
    </row>
    <row r="31" spans="1:7" ht="15.75">
      <c r="A31" s="986" t="s">
        <v>2426</v>
      </c>
      <c r="B31" s="986" t="s">
        <v>1834</v>
      </c>
      <c r="C31" s="986">
        <v>1258.2292</v>
      </c>
      <c r="D31" s="986">
        <v>1258.2292</v>
      </c>
      <c r="E31" s="986">
        <v>556853.79850000003</v>
      </c>
      <c r="F31" s="986">
        <v>35.402999999999999</v>
      </c>
      <c r="G31" s="986">
        <v>14.2705</v>
      </c>
    </row>
    <row r="32" spans="1:7" ht="15.75">
      <c r="A32" s="986" t="s">
        <v>2427</v>
      </c>
      <c r="B32" s="986" t="s">
        <v>1834</v>
      </c>
      <c r="C32" s="986">
        <v>1258.2292</v>
      </c>
      <c r="D32" s="986">
        <v>1258.2292</v>
      </c>
      <c r="E32" s="986">
        <v>556853.79850000003</v>
      </c>
      <c r="F32" s="986">
        <v>35.402999999999999</v>
      </c>
      <c r="G32" s="986">
        <v>14.2705</v>
      </c>
    </row>
    <row r="33" spans="1:7" ht="15.75">
      <c r="A33" s="986" t="s">
        <v>2428</v>
      </c>
      <c r="B33" s="986" t="s">
        <v>1834</v>
      </c>
      <c r="C33" s="986">
        <v>1258.2292</v>
      </c>
      <c r="D33" s="986">
        <v>1258.2292</v>
      </c>
      <c r="E33" s="986">
        <v>556853.79850000003</v>
      </c>
      <c r="F33" s="986">
        <v>35.402999999999999</v>
      </c>
      <c r="G33" s="986">
        <v>14.2705</v>
      </c>
    </row>
    <row r="34" spans="1:7" ht="15.75">
      <c r="A34" s="986" t="s">
        <v>2429</v>
      </c>
      <c r="B34" s="986" t="s">
        <v>1834</v>
      </c>
      <c r="C34" s="986">
        <v>1258.2292</v>
      </c>
      <c r="D34" s="986">
        <v>1258.2292</v>
      </c>
      <c r="E34" s="986">
        <v>556853.79850000003</v>
      </c>
      <c r="F34" s="986">
        <v>35.402999999999999</v>
      </c>
      <c r="G34" s="986">
        <v>14.2705</v>
      </c>
    </row>
    <row r="35" spans="1:7" ht="15.75">
      <c r="A35" s="986" t="s">
        <v>2430</v>
      </c>
      <c r="B35" s="986" t="s">
        <v>1834</v>
      </c>
      <c r="C35" s="986">
        <v>1258.2292</v>
      </c>
      <c r="D35" s="986">
        <v>1258.2292</v>
      </c>
      <c r="E35" s="986">
        <v>556853.79850000003</v>
      </c>
      <c r="F35" s="986">
        <v>35.402999999999999</v>
      </c>
      <c r="G35" s="986">
        <v>14.2705</v>
      </c>
    </row>
    <row r="36" spans="1:7" ht="15.75">
      <c r="A36" s="986" t="s">
        <v>2431</v>
      </c>
      <c r="B36" s="986" t="s">
        <v>1834</v>
      </c>
      <c r="C36" s="986">
        <v>1258.2292</v>
      </c>
      <c r="D36" s="986">
        <v>1258.2292</v>
      </c>
      <c r="E36" s="986">
        <v>556853.79850000003</v>
      </c>
      <c r="F36" s="986">
        <v>35.402999999999999</v>
      </c>
      <c r="G36" s="986">
        <v>14.2705</v>
      </c>
    </row>
    <row r="37" spans="1:7" ht="15.75">
      <c r="A37" s="986" t="s">
        <v>2432</v>
      </c>
      <c r="B37" s="986" t="s">
        <v>1834</v>
      </c>
      <c r="C37" s="986">
        <v>1258.2292</v>
      </c>
      <c r="D37" s="986">
        <v>1258.2292</v>
      </c>
      <c r="E37" s="986">
        <v>556853.79850000003</v>
      </c>
      <c r="F37" s="986">
        <v>35.402999999999999</v>
      </c>
      <c r="G37" s="986">
        <v>14.2705</v>
      </c>
    </row>
    <row r="38" spans="1:7" ht="15.75">
      <c r="A38" s="986" t="s">
        <v>2433</v>
      </c>
      <c r="B38" s="986" t="s">
        <v>1834</v>
      </c>
      <c r="C38" s="986">
        <v>1258.2292</v>
      </c>
      <c r="D38" s="986">
        <v>1258.2292</v>
      </c>
      <c r="E38" s="986">
        <v>556853.79850000003</v>
      </c>
      <c r="F38" s="986">
        <v>35.402999999999999</v>
      </c>
      <c r="G38" s="986">
        <v>14.2705</v>
      </c>
    </row>
    <row r="39" spans="1:7" ht="15.75">
      <c r="A39" s="986" t="s">
        <v>2434</v>
      </c>
      <c r="B39" s="986" t="s">
        <v>1834</v>
      </c>
      <c r="C39" s="986">
        <v>1258.2292</v>
      </c>
      <c r="D39" s="986">
        <v>1258.2292</v>
      </c>
      <c r="E39" s="986">
        <v>556853.79850000003</v>
      </c>
      <c r="F39" s="986">
        <v>35.402999999999999</v>
      </c>
      <c r="G39" s="986">
        <v>14.2705</v>
      </c>
    </row>
    <row r="40" spans="1:7" ht="15.75">
      <c r="A40" s="986" t="s">
        <v>2435</v>
      </c>
      <c r="B40" s="986" t="s">
        <v>1834</v>
      </c>
      <c r="C40" s="986">
        <v>1258.2292</v>
      </c>
      <c r="D40" s="986">
        <v>1258.2292</v>
      </c>
      <c r="E40" s="986">
        <v>556853.79850000003</v>
      </c>
      <c r="F40" s="986">
        <v>35.402999999999999</v>
      </c>
      <c r="G40" s="986">
        <v>14.2705</v>
      </c>
    </row>
    <row r="41" spans="1:7" ht="15.75">
      <c r="A41" s="986" t="s">
        <v>2400</v>
      </c>
      <c r="B41" s="986" t="s">
        <v>1834</v>
      </c>
      <c r="C41" s="986">
        <v>1279.3911000000001</v>
      </c>
      <c r="D41" s="986">
        <v>1279.3911000000001</v>
      </c>
      <c r="E41" s="986">
        <v>564932.72169999999</v>
      </c>
      <c r="F41" s="986">
        <v>35.4084</v>
      </c>
      <c r="G41" s="986">
        <v>14.267899999999999</v>
      </c>
    </row>
    <row r="42" spans="1:7" ht="15.75">
      <c r="A42" s="986" t="s">
        <v>2436</v>
      </c>
      <c r="B42" s="986" t="s">
        <v>1834</v>
      </c>
      <c r="C42" s="986">
        <v>9405.8924000000006</v>
      </c>
      <c r="D42" s="986">
        <v>9405.8924000000006</v>
      </c>
      <c r="E42" s="986">
        <v>9107571.9182999991</v>
      </c>
      <c r="F42" s="986">
        <v>37.933199999999999</v>
      </c>
      <c r="G42" s="986">
        <v>11.9895</v>
      </c>
    </row>
    <row r="43" spans="1:7" ht="15.75">
      <c r="A43" s="947"/>
      <c r="B43" s="947"/>
      <c r="C43" s="947"/>
      <c r="D43" s="947"/>
      <c r="E43" s="947"/>
      <c r="F43" s="947"/>
      <c r="G43" s="947"/>
    </row>
    <row r="44" spans="1:7" ht="15.75">
      <c r="A44" s="947"/>
      <c r="B44" s="947"/>
      <c r="C44" s="947"/>
      <c r="D44" s="947"/>
      <c r="E44" s="947"/>
      <c r="F44" s="947"/>
      <c r="G44" s="947"/>
    </row>
    <row r="45" spans="1:7" ht="15.75">
      <c r="A45" s="947"/>
      <c r="B45" s="947"/>
      <c r="C45" s="947"/>
      <c r="D45" s="947"/>
      <c r="E45" s="947"/>
      <c r="F45" s="947"/>
      <c r="G45" s="947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>
    <tabColor rgb="FF0000FF"/>
  </sheetPr>
  <dimension ref="A1:L1173"/>
  <sheetViews>
    <sheetView view="pageBreakPreview" topLeftCell="A246" zoomScaleNormal="100" zoomScaleSheetLayoutView="100" workbookViewId="0">
      <selection activeCell="F996" sqref="F996"/>
    </sheetView>
  </sheetViews>
  <sheetFormatPr defaultRowHeight="15"/>
  <cols>
    <col min="1" max="1" width="7.21875" customWidth="1"/>
    <col min="2" max="2" width="8.88671875" customWidth="1"/>
    <col min="3" max="3" width="7.6640625" customWidth="1"/>
    <col min="7" max="7" width="7.21875" customWidth="1"/>
    <col min="10" max="10" width="7.6640625" customWidth="1"/>
  </cols>
  <sheetData>
    <row r="1" spans="1:12" ht="15.75">
      <c r="A1" s="973" t="s">
        <v>2292</v>
      </c>
      <c r="B1" s="974"/>
      <c r="C1" s="974"/>
      <c r="D1" s="974"/>
      <c r="E1" s="974"/>
      <c r="F1" s="974"/>
      <c r="G1" s="974"/>
      <c r="H1" s="974"/>
      <c r="I1" s="974"/>
      <c r="J1" s="974"/>
      <c r="L1" s="460" t="s">
        <v>2066</v>
      </c>
    </row>
    <row r="2" spans="1:12" ht="15.75">
      <c r="A2" s="975" t="s">
        <v>1820</v>
      </c>
      <c r="B2" s="975" t="s">
        <v>1826</v>
      </c>
      <c r="C2" s="975" t="s">
        <v>2293</v>
      </c>
      <c r="D2" s="975" t="s">
        <v>1828</v>
      </c>
      <c r="E2" s="975" t="s">
        <v>1829</v>
      </c>
      <c r="F2" s="975" t="s">
        <v>1833</v>
      </c>
      <c r="G2" s="975" t="s">
        <v>2294</v>
      </c>
      <c r="H2" s="975" t="s">
        <v>1802</v>
      </c>
      <c r="I2" s="975" t="s">
        <v>1803</v>
      </c>
      <c r="J2" s="976" t="s">
        <v>2295</v>
      </c>
    </row>
    <row r="3" spans="1:12" ht="15.75">
      <c r="A3" s="977"/>
      <c r="B3" s="977"/>
      <c r="C3" s="977"/>
      <c r="D3" s="977" t="s">
        <v>1884</v>
      </c>
      <c r="E3" s="977" t="s">
        <v>1884</v>
      </c>
      <c r="F3" s="977" t="s">
        <v>2296</v>
      </c>
      <c r="G3" s="977"/>
      <c r="H3" s="977" t="s">
        <v>1884</v>
      </c>
      <c r="I3" s="977" t="s">
        <v>1884</v>
      </c>
      <c r="J3" s="978" t="s">
        <v>1884</v>
      </c>
      <c r="K3" s="460" t="s">
        <v>2325</v>
      </c>
    </row>
    <row r="4" spans="1:12" ht="15.75" hidden="1">
      <c r="A4" s="972" t="s">
        <v>2398</v>
      </c>
      <c r="B4" s="972" t="s">
        <v>1834</v>
      </c>
      <c r="C4" s="972" t="s">
        <v>2297</v>
      </c>
      <c r="D4" s="972">
        <v>-1.358E-3</v>
      </c>
      <c r="E4" s="972">
        <v>6.9579999999999998E-3</v>
      </c>
      <c r="F4" s="972">
        <v>5.1999999999999997E-5</v>
      </c>
      <c r="G4" s="972">
        <v>16738</v>
      </c>
      <c r="H4" s="972">
        <v>35.383299999999998</v>
      </c>
      <c r="I4" s="972">
        <v>14.280099999999999</v>
      </c>
      <c r="J4" s="972">
        <v>130.19999999999999</v>
      </c>
    </row>
    <row r="5" spans="1:12" ht="15.75" hidden="1">
      <c r="A5" s="972" t="s">
        <v>2398</v>
      </c>
      <c r="B5" s="972" t="s">
        <v>1834</v>
      </c>
      <c r="C5" s="972" t="s">
        <v>2298</v>
      </c>
      <c r="D5" s="972">
        <v>-9.0799999999999995E-4</v>
      </c>
      <c r="E5" s="972">
        <v>-1.433E-3</v>
      </c>
      <c r="F5" s="972">
        <v>2.99E-4</v>
      </c>
      <c r="G5" s="972">
        <v>16738</v>
      </c>
      <c r="H5" s="972">
        <v>35.383299999999998</v>
      </c>
      <c r="I5" s="972">
        <v>14.280099999999999</v>
      </c>
      <c r="J5" s="972">
        <v>130.19999999999999</v>
      </c>
    </row>
    <row r="6" spans="1:12" ht="15.75">
      <c r="A6" s="972" t="s">
        <v>2398</v>
      </c>
      <c r="B6" s="972" t="s">
        <v>1834</v>
      </c>
      <c r="C6" s="972" t="s">
        <v>2299</v>
      </c>
      <c r="D6" s="972">
        <v>6.6689999999999996E-3</v>
      </c>
      <c r="E6" s="972">
        <v>1.0269999999999999E-3</v>
      </c>
      <c r="F6" s="972">
        <v>5.1E-5</v>
      </c>
      <c r="G6" s="972">
        <v>16738</v>
      </c>
      <c r="H6" s="972">
        <v>35.383299999999998</v>
      </c>
      <c r="I6" s="972">
        <v>14.280099999999999</v>
      </c>
      <c r="J6" s="972">
        <v>130.19999999999999</v>
      </c>
    </row>
    <row r="7" spans="1:12" ht="15.75" hidden="1">
      <c r="A7" s="972" t="s">
        <v>2398</v>
      </c>
      <c r="B7" s="972" t="s">
        <v>1834</v>
      </c>
      <c r="C7" s="972" t="s">
        <v>2300</v>
      </c>
      <c r="D7" s="972">
        <v>9.3099999999999997E-4</v>
      </c>
      <c r="E7" s="972">
        <v>-3.1999999999999999E-5</v>
      </c>
      <c r="F7" s="972">
        <v>-3.2000000000000003E-4</v>
      </c>
      <c r="G7" s="972">
        <v>16738</v>
      </c>
      <c r="H7" s="972">
        <v>35.383299999999998</v>
      </c>
      <c r="I7" s="972">
        <v>14.280099999999999</v>
      </c>
      <c r="J7" s="972">
        <v>130.19999999999999</v>
      </c>
    </row>
    <row r="8" spans="1:12" ht="15.75" hidden="1">
      <c r="A8" s="972" t="s">
        <v>2398</v>
      </c>
      <c r="B8" s="972" t="s">
        <v>1834</v>
      </c>
      <c r="C8" s="972" t="s">
        <v>2301</v>
      </c>
      <c r="D8" s="972">
        <v>-8.2100000000000001E-4</v>
      </c>
      <c r="E8" s="972">
        <v>6.9699999999999996E-3</v>
      </c>
      <c r="F8" s="972">
        <v>-9.0000000000000002E-6</v>
      </c>
      <c r="G8" s="972">
        <v>16738</v>
      </c>
      <c r="H8" s="972">
        <v>35.383299999999998</v>
      </c>
      <c r="I8" s="972">
        <v>14.280099999999999</v>
      </c>
      <c r="J8" s="972">
        <v>130.19999999999999</v>
      </c>
    </row>
    <row r="9" spans="1:12" ht="15.75" hidden="1">
      <c r="A9" s="972" t="s">
        <v>2398</v>
      </c>
      <c r="B9" s="972" t="s">
        <v>1834</v>
      </c>
      <c r="C9" s="972" t="s">
        <v>2302</v>
      </c>
      <c r="D9" s="972">
        <v>6.9280000000000001E-3</v>
      </c>
      <c r="E9" s="972">
        <v>8.4599999999999996E-4</v>
      </c>
      <c r="F9" s="972">
        <v>3.4999999999999997E-5</v>
      </c>
      <c r="G9" s="972">
        <v>16738</v>
      </c>
      <c r="H9" s="972">
        <v>35.383299999999998</v>
      </c>
      <c r="I9" s="972">
        <v>14.280099999999999</v>
      </c>
      <c r="J9" s="972">
        <v>130.19999999999999</v>
      </c>
    </row>
    <row r="10" spans="1:12" ht="15.75" hidden="1">
      <c r="A10" s="972" t="s">
        <v>2398</v>
      </c>
      <c r="B10" s="972" t="s">
        <v>1834</v>
      </c>
      <c r="C10" s="972" t="s">
        <v>2303</v>
      </c>
      <c r="D10" s="972">
        <v>6.7199999999999996E-4</v>
      </c>
      <c r="E10" s="972">
        <v>7.9999999999999996E-6</v>
      </c>
      <c r="F10" s="972">
        <v>-3.3100000000000002E-4</v>
      </c>
      <c r="G10" s="972">
        <v>16738</v>
      </c>
      <c r="H10" s="972">
        <v>35.383299999999998</v>
      </c>
      <c r="I10" s="972">
        <v>14.280099999999999</v>
      </c>
      <c r="J10" s="972">
        <v>130.19999999999999</v>
      </c>
    </row>
    <row r="11" spans="1:12" ht="15.75" hidden="1">
      <c r="A11" s="972" t="s">
        <v>2398</v>
      </c>
      <c r="B11" s="972" t="s">
        <v>1834</v>
      </c>
      <c r="C11" s="972" t="s">
        <v>2304</v>
      </c>
      <c r="D11" s="972">
        <v>6.4900000000000005E-4</v>
      </c>
      <c r="E11" s="972">
        <v>-6.9430000000000004E-3</v>
      </c>
      <c r="F11" s="972">
        <v>6.0000000000000002E-6</v>
      </c>
      <c r="G11" s="972">
        <v>16738</v>
      </c>
      <c r="H11" s="972">
        <v>35.383299999999998</v>
      </c>
      <c r="I11" s="972">
        <v>14.280099999999999</v>
      </c>
      <c r="J11" s="972">
        <v>130.19999999999999</v>
      </c>
    </row>
    <row r="12" spans="1:12" ht="15.75" hidden="1">
      <c r="A12" s="972" t="s">
        <v>2398</v>
      </c>
      <c r="B12" s="972" t="s">
        <v>1834</v>
      </c>
      <c r="C12" s="972" t="s">
        <v>2305</v>
      </c>
      <c r="D12" s="972">
        <v>1.4170000000000001E-3</v>
      </c>
      <c r="E12" s="972">
        <v>6.2000000000000003E-5</v>
      </c>
      <c r="F12" s="972">
        <v>-3.2899999999999997E-4</v>
      </c>
      <c r="G12" s="972">
        <v>16738</v>
      </c>
      <c r="H12" s="972">
        <v>35.383299999999998</v>
      </c>
      <c r="I12" s="972">
        <v>14.280099999999999</v>
      </c>
      <c r="J12" s="972">
        <v>130.19999999999999</v>
      </c>
    </row>
    <row r="13" spans="1:12" ht="15.75" hidden="1">
      <c r="A13" s="972" t="s">
        <v>2398</v>
      </c>
      <c r="B13" s="972" t="s">
        <v>1834</v>
      </c>
      <c r="C13" s="972" t="s">
        <v>2306</v>
      </c>
      <c r="D13" s="972">
        <v>-6.7949999999999998E-3</v>
      </c>
      <c r="E13" s="972">
        <v>-6.8499999999999995E-4</v>
      </c>
      <c r="F13" s="972">
        <v>-6.7000000000000002E-5</v>
      </c>
      <c r="G13" s="972">
        <v>16738</v>
      </c>
      <c r="H13" s="972">
        <v>35.383299999999998</v>
      </c>
      <c r="I13" s="972">
        <v>14.280099999999999</v>
      </c>
      <c r="J13" s="972">
        <v>130.19999999999999</v>
      </c>
    </row>
    <row r="14" spans="1:12" ht="15.75" hidden="1">
      <c r="A14" s="972" t="s">
        <v>2398</v>
      </c>
      <c r="B14" s="972" t="s">
        <v>1834</v>
      </c>
      <c r="C14" s="972" t="s">
        <v>2307</v>
      </c>
      <c r="D14" s="972">
        <v>-5.9400000000000002E-4</v>
      </c>
      <c r="E14" s="972">
        <v>-2.4069999999999999E-3</v>
      </c>
      <c r="F14" s="972">
        <v>3.0899999999999998E-4</v>
      </c>
      <c r="G14" s="972">
        <v>16738</v>
      </c>
      <c r="H14" s="972">
        <v>35.383299999999998</v>
      </c>
      <c r="I14" s="972">
        <v>14.280099999999999</v>
      </c>
      <c r="J14" s="972">
        <v>130.19999999999999</v>
      </c>
    </row>
    <row r="15" spans="1:12" ht="15.75" hidden="1">
      <c r="A15" s="972" t="s">
        <v>2398</v>
      </c>
      <c r="B15" s="972" t="s">
        <v>1834</v>
      </c>
      <c r="C15" s="972" t="s">
        <v>2308</v>
      </c>
      <c r="D15" s="972">
        <v>-8.9599999999999999E-4</v>
      </c>
      <c r="E15" s="972">
        <v>6.3699999999999998E-3</v>
      </c>
      <c r="F15" s="972">
        <v>1.12E-4</v>
      </c>
      <c r="G15" s="972">
        <v>16738</v>
      </c>
      <c r="H15" s="972">
        <v>35.383299999999998</v>
      </c>
      <c r="I15" s="972">
        <v>14.280099999999999</v>
      </c>
      <c r="J15" s="972">
        <v>130.19999999999999</v>
      </c>
    </row>
    <row r="16" spans="1:12" ht="15.75" hidden="1">
      <c r="A16" s="972" t="s">
        <v>2398</v>
      </c>
      <c r="B16" s="972" t="s">
        <v>1834</v>
      </c>
      <c r="C16" s="972" t="s">
        <v>2309</v>
      </c>
      <c r="D16" s="972">
        <v>-6.7190000000000001E-3</v>
      </c>
      <c r="E16" s="972">
        <v>-6.4199999999999999E-4</v>
      </c>
      <c r="F16" s="972">
        <v>-4.3000000000000002E-5</v>
      </c>
      <c r="G16" s="972">
        <v>16738</v>
      </c>
      <c r="H16" s="972">
        <v>35.383299999999998</v>
      </c>
      <c r="I16" s="972">
        <v>14.280099999999999</v>
      </c>
      <c r="J16" s="972">
        <v>130.19999999999999</v>
      </c>
    </row>
    <row r="17" spans="1:10" ht="15.75" hidden="1">
      <c r="A17" s="972" t="s">
        <v>2398</v>
      </c>
      <c r="B17" s="972" t="s">
        <v>1834</v>
      </c>
      <c r="C17" s="972" t="s">
        <v>2310</v>
      </c>
      <c r="D17" s="972">
        <v>7.7099999999999998E-4</v>
      </c>
      <c r="E17" s="972">
        <v>1.8200000000000001E-4</v>
      </c>
      <c r="F17" s="972">
        <v>-3.1700000000000001E-4</v>
      </c>
      <c r="G17" s="972">
        <v>16738</v>
      </c>
      <c r="H17" s="972">
        <v>35.383299999999998</v>
      </c>
      <c r="I17" s="972">
        <v>14.280099999999999</v>
      </c>
      <c r="J17" s="972">
        <v>130.19999999999999</v>
      </c>
    </row>
    <row r="18" spans="1:10" ht="15.75" hidden="1">
      <c r="A18" s="972" t="s">
        <v>2398</v>
      </c>
      <c r="B18" s="972" t="s">
        <v>1834</v>
      </c>
      <c r="C18" s="972" t="s">
        <v>2311</v>
      </c>
      <c r="D18" s="972">
        <v>6.2299999999999996E-4</v>
      </c>
      <c r="E18" s="972">
        <v>-6.6360000000000004E-3</v>
      </c>
      <c r="F18" s="972">
        <v>-6.9999999999999999E-6</v>
      </c>
      <c r="G18" s="972">
        <v>16738</v>
      </c>
      <c r="H18" s="972">
        <v>35.383299999999998</v>
      </c>
      <c r="I18" s="972">
        <v>14.280099999999999</v>
      </c>
      <c r="J18" s="972">
        <v>130.19999999999999</v>
      </c>
    </row>
    <row r="19" spans="1:10" ht="15.75" hidden="1">
      <c r="A19" s="972" t="s">
        <v>2398</v>
      </c>
      <c r="B19" s="972" t="s">
        <v>1834</v>
      </c>
      <c r="C19" s="972" t="s">
        <v>2328</v>
      </c>
      <c r="D19" s="972">
        <v>2.3800000000000001E-4</v>
      </c>
      <c r="E19" s="972">
        <v>-1.8699999999999999E-4</v>
      </c>
      <c r="F19" s="972">
        <v>2.9799999999999998E-4</v>
      </c>
      <c r="G19" s="972">
        <v>16738</v>
      </c>
      <c r="H19" s="972">
        <v>35.383299999999998</v>
      </c>
      <c r="I19" s="972">
        <v>14.280099999999999</v>
      </c>
      <c r="J19" s="972">
        <v>130.19999999999999</v>
      </c>
    </row>
    <row r="20" spans="1:10" ht="15.75" hidden="1">
      <c r="A20" s="972" t="s">
        <v>2398</v>
      </c>
      <c r="B20" s="972" t="s">
        <v>1834</v>
      </c>
      <c r="C20" s="972" t="s">
        <v>2329</v>
      </c>
      <c r="D20" s="972">
        <v>6.5659999999999998E-3</v>
      </c>
      <c r="E20" s="972">
        <v>6.0499999999999996E-4</v>
      </c>
      <c r="F20" s="972">
        <v>-1.2E-5</v>
      </c>
      <c r="G20" s="972">
        <v>16738</v>
      </c>
      <c r="H20" s="972">
        <v>35.383299999999998</v>
      </c>
      <c r="I20" s="972">
        <v>14.280099999999999</v>
      </c>
      <c r="J20" s="972">
        <v>130.19999999999999</v>
      </c>
    </row>
    <row r="21" spans="1:10" ht="15.75" hidden="1">
      <c r="A21" s="972" t="s">
        <v>2398</v>
      </c>
      <c r="B21" s="972" t="s">
        <v>1834</v>
      </c>
      <c r="C21" s="972" t="s">
        <v>2330</v>
      </c>
      <c r="D21" s="972">
        <v>5.13E-4</v>
      </c>
      <c r="E21" s="972">
        <v>-6.2890000000000003E-3</v>
      </c>
      <c r="F21" s="972">
        <v>-5.1999999999999997E-5</v>
      </c>
      <c r="G21" s="972">
        <v>16738</v>
      </c>
      <c r="H21" s="972">
        <v>35.383299999999998</v>
      </c>
      <c r="I21" s="972">
        <v>14.280099999999999</v>
      </c>
      <c r="J21" s="972">
        <v>130.19999999999999</v>
      </c>
    </row>
    <row r="22" spans="1:10" ht="15.75" hidden="1">
      <c r="A22" s="972" t="s">
        <v>2398</v>
      </c>
      <c r="B22" s="972" t="s">
        <v>1834</v>
      </c>
      <c r="C22" s="972" t="s">
        <v>2331</v>
      </c>
      <c r="D22" s="972">
        <v>4.3800000000000002E-4</v>
      </c>
      <c r="E22" s="972">
        <v>-1.1310000000000001E-3</v>
      </c>
      <c r="F22" s="972">
        <v>2.8899999999999998E-4</v>
      </c>
      <c r="G22" s="972">
        <v>16738</v>
      </c>
      <c r="H22" s="972">
        <v>35.383299999999998</v>
      </c>
      <c r="I22" s="972">
        <v>14.280099999999999</v>
      </c>
      <c r="J22" s="972">
        <v>130.19999999999999</v>
      </c>
    </row>
    <row r="23" spans="1:10" ht="15.75" hidden="1">
      <c r="A23" s="972" t="s">
        <v>2398</v>
      </c>
      <c r="B23" s="972" t="s">
        <v>1834</v>
      </c>
      <c r="C23" s="972" t="s">
        <v>2332</v>
      </c>
      <c r="D23" s="972">
        <v>-6.2750000000000002E-3</v>
      </c>
      <c r="E23" s="972">
        <v>-3.97E-4</v>
      </c>
      <c r="F23" s="972">
        <v>3.4E-5</v>
      </c>
      <c r="G23" s="972">
        <v>16738</v>
      </c>
      <c r="H23" s="972">
        <v>35.383299999999998</v>
      </c>
      <c r="I23" s="972">
        <v>14.280099999999999</v>
      </c>
      <c r="J23" s="972">
        <v>130.19999999999999</v>
      </c>
    </row>
    <row r="24" spans="1:10" ht="15.75" hidden="1">
      <c r="A24" s="972" t="s">
        <v>2398</v>
      </c>
      <c r="B24" s="972" t="s">
        <v>1834</v>
      </c>
      <c r="C24" s="972" t="s">
        <v>2387</v>
      </c>
      <c r="D24" s="972">
        <v>-4.44E-4</v>
      </c>
      <c r="E24" s="972">
        <v>5.9810000000000002E-3</v>
      </c>
      <c r="F24" s="972">
        <v>5.0000000000000002E-5</v>
      </c>
      <c r="G24" s="972">
        <v>16738</v>
      </c>
      <c r="H24" s="972">
        <v>35.383299999999998</v>
      </c>
      <c r="I24" s="972">
        <v>14.280099999999999</v>
      </c>
      <c r="J24" s="972">
        <v>130.19999999999999</v>
      </c>
    </row>
    <row r="25" spans="1:10" ht="15.75" hidden="1">
      <c r="A25" s="972" t="s">
        <v>2398</v>
      </c>
      <c r="B25" s="972" t="s">
        <v>1834</v>
      </c>
      <c r="C25" s="972" t="s">
        <v>2388</v>
      </c>
      <c r="D25" s="972">
        <v>-5.6039999999999996E-3</v>
      </c>
      <c r="E25" s="972">
        <v>9.8999999999999994E-5</v>
      </c>
      <c r="F25" s="972">
        <v>1.7200000000000001E-4</v>
      </c>
      <c r="G25" s="972">
        <v>16738</v>
      </c>
      <c r="H25" s="972">
        <v>35.383299999999998</v>
      </c>
      <c r="I25" s="972">
        <v>14.280099999999999</v>
      </c>
      <c r="J25" s="972">
        <v>130.19999999999999</v>
      </c>
    </row>
    <row r="26" spans="1:10" ht="15.75" hidden="1">
      <c r="A26" s="972" t="s">
        <v>2398</v>
      </c>
      <c r="B26" s="972" t="s">
        <v>1834</v>
      </c>
      <c r="C26" s="972" t="s">
        <v>2389</v>
      </c>
      <c r="D26" s="972">
        <v>1.036E-3</v>
      </c>
      <c r="E26" s="972">
        <v>3.6540000000000001E-3</v>
      </c>
      <c r="F26" s="972">
        <v>1.36E-4</v>
      </c>
      <c r="G26" s="972">
        <v>16738</v>
      </c>
      <c r="H26" s="972">
        <v>35.383299999999998</v>
      </c>
      <c r="I26" s="972">
        <v>14.280099999999999</v>
      </c>
      <c r="J26" s="972">
        <v>130.19999999999999</v>
      </c>
    </row>
    <row r="27" spans="1:10" ht="15.75" hidden="1">
      <c r="A27" s="972" t="s">
        <v>2398</v>
      </c>
      <c r="B27" s="972" t="s">
        <v>1834</v>
      </c>
      <c r="C27" s="972" t="s">
        <v>2390</v>
      </c>
      <c r="D27" s="972">
        <v>1.4809999999999999E-3</v>
      </c>
      <c r="E27" s="972">
        <v>2.977E-3</v>
      </c>
      <c r="F27" s="972">
        <v>-1.7799999999999999E-4</v>
      </c>
      <c r="G27" s="972">
        <v>16738</v>
      </c>
      <c r="H27" s="972">
        <v>35.383299999999998</v>
      </c>
      <c r="I27" s="972">
        <v>14.280099999999999</v>
      </c>
      <c r="J27" s="972">
        <v>130.19999999999999</v>
      </c>
    </row>
    <row r="28" spans="1:10" ht="15.75" hidden="1">
      <c r="A28" s="972" t="s">
        <v>2398</v>
      </c>
      <c r="B28" s="972" t="s">
        <v>1834</v>
      </c>
      <c r="C28" s="972" t="s">
        <v>2391</v>
      </c>
      <c r="D28" s="972">
        <v>2.176E-3</v>
      </c>
      <c r="E28" s="972">
        <v>1.6509999999999999E-3</v>
      </c>
      <c r="F28" s="972">
        <v>7.2000000000000002E-5</v>
      </c>
      <c r="G28" s="972">
        <v>16738</v>
      </c>
      <c r="H28" s="972">
        <v>35.383299999999998</v>
      </c>
      <c r="I28" s="972">
        <v>14.280099999999999</v>
      </c>
      <c r="J28" s="972">
        <v>130.19999999999999</v>
      </c>
    </row>
    <row r="29" spans="1:10" ht="15.75" hidden="1">
      <c r="A29" s="972" t="s">
        <v>2398</v>
      </c>
      <c r="B29" s="972" t="s">
        <v>1834</v>
      </c>
      <c r="C29" s="972" t="s">
        <v>2392</v>
      </c>
      <c r="D29" s="972">
        <v>1.7699999999999999E-4</v>
      </c>
      <c r="E29" s="972">
        <v>-2.8080000000000002E-3</v>
      </c>
      <c r="F29" s="972">
        <v>8.5000000000000006E-5</v>
      </c>
      <c r="G29" s="972">
        <v>16738</v>
      </c>
      <c r="H29" s="972">
        <v>35.383299999999998</v>
      </c>
      <c r="I29" s="972">
        <v>14.280099999999999</v>
      </c>
      <c r="J29" s="972">
        <v>130.19999999999999</v>
      </c>
    </row>
    <row r="30" spans="1:10" ht="15.75" hidden="1">
      <c r="A30" s="972" t="s">
        <v>2398</v>
      </c>
      <c r="B30" s="972" t="s">
        <v>1834</v>
      </c>
      <c r="C30" s="972" t="s">
        <v>2393</v>
      </c>
      <c r="D30" s="972">
        <v>1.74E-3</v>
      </c>
      <c r="E30" s="972">
        <v>7.2499999999999995E-4</v>
      </c>
      <c r="F30" s="972">
        <v>6.3E-5</v>
      </c>
      <c r="G30" s="972">
        <v>16738</v>
      </c>
      <c r="H30" s="972">
        <v>35.383299999999998</v>
      </c>
      <c r="I30" s="972">
        <v>14.280099999999999</v>
      </c>
      <c r="J30" s="972">
        <v>130.19999999999999</v>
      </c>
    </row>
    <row r="31" spans="1:10" ht="15.75" hidden="1">
      <c r="A31" s="972" t="s">
        <v>2398</v>
      </c>
      <c r="B31" s="972" t="s">
        <v>1834</v>
      </c>
      <c r="C31" s="972" t="s">
        <v>2394</v>
      </c>
      <c r="D31" s="972">
        <v>2.7399999999999999E-4</v>
      </c>
      <c r="E31" s="972">
        <v>-2.1610000000000002E-3</v>
      </c>
      <c r="F31" s="972">
        <v>5.7000000000000003E-5</v>
      </c>
      <c r="G31" s="972">
        <v>16738</v>
      </c>
      <c r="H31" s="972">
        <v>35.383299999999998</v>
      </c>
      <c r="I31" s="972">
        <v>14.280099999999999</v>
      </c>
      <c r="J31" s="972">
        <v>130.19999999999999</v>
      </c>
    </row>
    <row r="32" spans="1:10" ht="15.75" hidden="1">
      <c r="A32" s="972" t="s">
        <v>2398</v>
      </c>
      <c r="B32" s="972" t="s">
        <v>1834</v>
      </c>
      <c r="C32" s="972" t="s">
        <v>2395</v>
      </c>
      <c r="D32" s="972">
        <v>-1.4959999999999999E-3</v>
      </c>
      <c r="E32" s="972">
        <v>-1.37E-4</v>
      </c>
      <c r="F32" s="972">
        <v>-6.7000000000000002E-5</v>
      </c>
      <c r="G32" s="972">
        <v>16738</v>
      </c>
      <c r="H32" s="972">
        <v>35.383299999999998</v>
      </c>
      <c r="I32" s="972">
        <v>14.280099999999999</v>
      </c>
      <c r="J32" s="972">
        <v>130.19999999999999</v>
      </c>
    </row>
    <row r="33" spans="1:10" ht="15.75" hidden="1">
      <c r="A33" s="972" t="s">
        <v>2398</v>
      </c>
      <c r="B33" s="972" t="s">
        <v>1834</v>
      </c>
      <c r="C33" s="972" t="s">
        <v>2396</v>
      </c>
      <c r="D33" s="972">
        <v>-3.4E-5</v>
      </c>
      <c r="E33" s="972">
        <v>1.8550000000000001E-3</v>
      </c>
      <c r="F33" s="972">
        <v>-3.8000000000000002E-5</v>
      </c>
      <c r="G33" s="972">
        <v>16738</v>
      </c>
      <c r="H33" s="972">
        <v>35.383299999999998</v>
      </c>
      <c r="I33" s="972">
        <v>14.280099999999999</v>
      </c>
      <c r="J33" s="972">
        <v>130.19999999999999</v>
      </c>
    </row>
    <row r="34" spans="1:10" ht="15.75" hidden="1">
      <c r="A34" s="972" t="s">
        <v>2399</v>
      </c>
      <c r="B34" s="972" t="s">
        <v>1834</v>
      </c>
      <c r="C34" s="972" t="s">
        <v>2297</v>
      </c>
      <c r="D34" s="972">
        <v>-1.322E-3</v>
      </c>
      <c r="E34" s="972">
        <v>6.783E-3</v>
      </c>
      <c r="F34" s="972">
        <v>5.1E-5</v>
      </c>
      <c r="G34" s="972">
        <v>16739</v>
      </c>
      <c r="H34" s="972">
        <v>35.402999999999999</v>
      </c>
      <c r="I34" s="972">
        <v>14.2705</v>
      </c>
      <c r="J34" s="972">
        <v>126.8</v>
      </c>
    </row>
    <row r="35" spans="1:10" ht="15.75" hidden="1">
      <c r="A35" s="972" t="s">
        <v>2399</v>
      </c>
      <c r="B35" s="972" t="s">
        <v>1834</v>
      </c>
      <c r="C35" s="972" t="s">
        <v>2298</v>
      </c>
      <c r="D35" s="972">
        <v>-8.9300000000000002E-4</v>
      </c>
      <c r="E35" s="972">
        <v>-1.3929999999999999E-3</v>
      </c>
      <c r="F35" s="972">
        <v>2.9599999999999998E-4</v>
      </c>
      <c r="G35" s="972">
        <v>16739</v>
      </c>
      <c r="H35" s="972">
        <v>35.402999999999999</v>
      </c>
      <c r="I35" s="972">
        <v>14.2705</v>
      </c>
      <c r="J35" s="972">
        <v>126.8</v>
      </c>
    </row>
    <row r="36" spans="1:10" ht="15.75">
      <c r="A36" s="972" t="s">
        <v>2399</v>
      </c>
      <c r="B36" s="972" t="s">
        <v>1834</v>
      </c>
      <c r="C36" s="972" t="s">
        <v>2299</v>
      </c>
      <c r="D36" s="972">
        <v>6.5339999999999999E-3</v>
      </c>
      <c r="E36" s="972">
        <v>1.013E-3</v>
      </c>
      <c r="F36" s="972">
        <v>5.0000000000000002E-5</v>
      </c>
      <c r="G36" s="972">
        <v>16739</v>
      </c>
      <c r="H36" s="972">
        <v>35.402999999999999</v>
      </c>
      <c r="I36" s="972">
        <v>14.2705</v>
      </c>
      <c r="J36" s="972">
        <v>126.8</v>
      </c>
    </row>
    <row r="37" spans="1:10" ht="15.75" hidden="1">
      <c r="A37" s="972" t="s">
        <v>2399</v>
      </c>
      <c r="B37" s="972" t="s">
        <v>1834</v>
      </c>
      <c r="C37" s="972" t="s">
        <v>2300</v>
      </c>
      <c r="D37" s="972">
        <v>8.5400000000000005E-4</v>
      </c>
      <c r="E37" s="972">
        <v>-3.3000000000000003E-5</v>
      </c>
      <c r="F37" s="972">
        <v>-2.99E-4</v>
      </c>
      <c r="G37" s="972">
        <v>16739</v>
      </c>
      <c r="H37" s="972">
        <v>35.402999999999999</v>
      </c>
      <c r="I37" s="972">
        <v>14.2705</v>
      </c>
      <c r="J37" s="972">
        <v>126.8</v>
      </c>
    </row>
    <row r="38" spans="1:10" ht="15.75" hidden="1">
      <c r="A38" s="972" t="s">
        <v>2399</v>
      </c>
      <c r="B38" s="972" t="s">
        <v>1834</v>
      </c>
      <c r="C38" s="972" t="s">
        <v>2301</v>
      </c>
      <c r="D38" s="972">
        <v>-7.36E-4</v>
      </c>
      <c r="E38" s="972">
        <v>6.3150000000000003E-3</v>
      </c>
      <c r="F38" s="972">
        <v>-7.9999999999999996E-6</v>
      </c>
      <c r="G38" s="972">
        <v>16739</v>
      </c>
      <c r="H38" s="972">
        <v>35.402999999999999</v>
      </c>
      <c r="I38" s="972">
        <v>14.2705</v>
      </c>
      <c r="J38" s="972">
        <v>126.8</v>
      </c>
    </row>
    <row r="39" spans="1:10" ht="15.75" hidden="1">
      <c r="A39" s="972" t="s">
        <v>2399</v>
      </c>
      <c r="B39" s="972" t="s">
        <v>1834</v>
      </c>
      <c r="C39" s="972" t="s">
        <v>2302</v>
      </c>
      <c r="D39" s="972">
        <v>6.3369999999999998E-3</v>
      </c>
      <c r="E39" s="972">
        <v>7.8399999999999997E-4</v>
      </c>
      <c r="F39" s="972">
        <v>3.4E-5</v>
      </c>
      <c r="G39" s="972">
        <v>16739</v>
      </c>
      <c r="H39" s="972">
        <v>35.402999999999999</v>
      </c>
      <c r="I39" s="972">
        <v>14.2705</v>
      </c>
      <c r="J39" s="972">
        <v>126.8</v>
      </c>
    </row>
    <row r="40" spans="1:10" ht="15.75" hidden="1">
      <c r="A40" s="972" t="s">
        <v>2399</v>
      </c>
      <c r="B40" s="972" t="s">
        <v>1834</v>
      </c>
      <c r="C40" s="972" t="s">
        <v>2303</v>
      </c>
      <c r="D40" s="972">
        <v>5.5900000000000004E-4</v>
      </c>
      <c r="E40" s="972">
        <v>9.9999999999999995E-7</v>
      </c>
      <c r="F40" s="972">
        <v>-2.8800000000000001E-4</v>
      </c>
      <c r="G40" s="972">
        <v>16739</v>
      </c>
      <c r="H40" s="972">
        <v>35.402999999999999</v>
      </c>
      <c r="I40" s="972">
        <v>14.2705</v>
      </c>
      <c r="J40" s="972">
        <v>126.8</v>
      </c>
    </row>
    <row r="41" spans="1:10" ht="15.75" hidden="1">
      <c r="A41" s="972" t="s">
        <v>2399</v>
      </c>
      <c r="B41" s="972" t="s">
        <v>1834</v>
      </c>
      <c r="C41" s="972" t="s">
        <v>2304</v>
      </c>
      <c r="D41" s="972">
        <v>5.4000000000000001E-4</v>
      </c>
      <c r="E41" s="972">
        <v>-5.8320000000000004E-3</v>
      </c>
      <c r="F41" s="972">
        <v>5.0000000000000004E-6</v>
      </c>
      <c r="G41" s="972">
        <v>16739</v>
      </c>
      <c r="H41" s="972">
        <v>35.402999999999999</v>
      </c>
      <c r="I41" s="972">
        <v>14.2705</v>
      </c>
      <c r="J41" s="972">
        <v>126.8</v>
      </c>
    </row>
    <row r="42" spans="1:10" ht="15.75" hidden="1">
      <c r="A42" s="972" t="s">
        <v>2399</v>
      </c>
      <c r="B42" s="972" t="s">
        <v>1834</v>
      </c>
      <c r="C42" s="972" t="s">
        <v>2305</v>
      </c>
      <c r="D42" s="972">
        <v>1.134E-3</v>
      </c>
      <c r="E42" s="972">
        <v>4.6999999999999997E-5</v>
      </c>
      <c r="F42" s="972">
        <v>-2.5900000000000001E-4</v>
      </c>
      <c r="G42" s="972">
        <v>16739</v>
      </c>
      <c r="H42" s="972">
        <v>35.402999999999999</v>
      </c>
      <c r="I42" s="972">
        <v>14.2705</v>
      </c>
      <c r="J42" s="972">
        <v>126.8</v>
      </c>
    </row>
    <row r="43" spans="1:10" ht="15.75" hidden="1">
      <c r="A43" s="972" t="s">
        <v>2399</v>
      </c>
      <c r="B43" s="972" t="s">
        <v>1834</v>
      </c>
      <c r="C43" s="972" t="s">
        <v>2306</v>
      </c>
      <c r="D43" s="972">
        <v>-5.7679999999999997E-3</v>
      </c>
      <c r="E43" s="972">
        <v>-5.8799999999999998E-4</v>
      </c>
      <c r="F43" s="972">
        <v>-5.7000000000000003E-5</v>
      </c>
      <c r="G43" s="972">
        <v>16739</v>
      </c>
      <c r="H43" s="972">
        <v>35.402999999999999</v>
      </c>
      <c r="I43" s="972">
        <v>14.2705</v>
      </c>
      <c r="J43" s="972">
        <v>126.8</v>
      </c>
    </row>
    <row r="44" spans="1:10" ht="15.75" hidden="1">
      <c r="A44" s="972" t="s">
        <v>2399</v>
      </c>
      <c r="B44" s="972" t="s">
        <v>1834</v>
      </c>
      <c r="C44" s="972" t="s">
        <v>2307</v>
      </c>
      <c r="D44" s="972">
        <v>-3.9599999999999998E-4</v>
      </c>
      <c r="E44" s="972">
        <v>-1.8259999999999999E-3</v>
      </c>
      <c r="F44" s="972">
        <v>2.1599999999999999E-4</v>
      </c>
      <c r="G44" s="972">
        <v>16739</v>
      </c>
      <c r="H44" s="972">
        <v>35.402999999999999</v>
      </c>
      <c r="I44" s="972">
        <v>14.2705</v>
      </c>
      <c r="J44" s="972">
        <v>126.8</v>
      </c>
    </row>
    <row r="45" spans="1:10" ht="15.75" hidden="1">
      <c r="A45" s="972" t="s">
        <v>2399</v>
      </c>
      <c r="B45" s="972" t="s">
        <v>1834</v>
      </c>
      <c r="C45" s="972" t="s">
        <v>2308</v>
      </c>
      <c r="D45" s="972">
        <v>-6.5499999999999998E-4</v>
      </c>
      <c r="E45" s="972">
        <v>4.8430000000000001E-3</v>
      </c>
      <c r="F45" s="972">
        <v>7.7999999999999999E-5</v>
      </c>
      <c r="G45" s="972">
        <v>16739</v>
      </c>
      <c r="H45" s="972">
        <v>35.402999999999999</v>
      </c>
      <c r="I45" s="972">
        <v>14.2705</v>
      </c>
      <c r="J45" s="972">
        <v>126.8</v>
      </c>
    </row>
    <row r="46" spans="1:10" ht="15.75" hidden="1">
      <c r="A46" s="972" t="s">
        <v>2399</v>
      </c>
      <c r="B46" s="972" t="s">
        <v>1834</v>
      </c>
      <c r="C46" s="972" t="s">
        <v>2309</v>
      </c>
      <c r="D46" s="972">
        <v>-5.1770000000000002E-3</v>
      </c>
      <c r="E46" s="972">
        <v>-5.0199999999999995E-4</v>
      </c>
      <c r="F46" s="972">
        <v>-3.4999999999999997E-5</v>
      </c>
      <c r="G46" s="972">
        <v>16739</v>
      </c>
      <c r="H46" s="972">
        <v>35.402999999999999</v>
      </c>
      <c r="I46" s="972">
        <v>14.2705</v>
      </c>
      <c r="J46" s="972">
        <v>126.8</v>
      </c>
    </row>
    <row r="47" spans="1:10" ht="15.75" hidden="1">
      <c r="A47" s="972" t="s">
        <v>2399</v>
      </c>
      <c r="B47" s="972" t="s">
        <v>1834</v>
      </c>
      <c r="C47" s="972" t="s">
        <v>2310</v>
      </c>
      <c r="D47" s="972">
        <v>4.6799999999999999E-4</v>
      </c>
      <c r="E47" s="972">
        <v>1.22E-4</v>
      </c>
      <c r="F47" s="972">
        <v>-1.9100000000000001E-4</v>
      </c>
      <c r="G47" s="972">
        <v>16739</v>
      </c>
      <c r="H47" s="972">
        <v>35.402999999999999</v>
      </c>
      <c r="I47" s="972">
        <v>14.2705</v>
      </c>
      <c r="J47" s="972">
        <v>126.8</v>
      </c>
    </row>
    <row r="48" spans="1:10" ht="15.75" hidden="1">
      <c r="A48" s="972" t="s">
        <v>2399</v>
      </c>
      <c r="B48" s="972" t="s">
        <v>1834</v>
      </c>
      <c r="C48" s="972" t="s">
        <v>2311</v>
      </c>
      <c r="D48" s="972">
        <v>4.1399999999999998E-4</v>
      </c>
      <c r="E48" s="972">
        <v>-4.496E-3</v>
      </c>
      <c r="F48" s="972">
        <v>-3.9999999999999998E-6</v>
      </c>
      <c r="G48" s="972">
        <v>16739</v>
      </c>
      <c r="H48" s="972">
        <v>35.402999999999999</v>
      </c>
      <c r="I48" s="972">
        <v>14.2705</v>
      </c>
      <c r="J48" s="972">
        <v>126.8</v>
      </c>
    </row>
    <row r="49" spans="1:10" ht="15.75" hidden="1">
      <c r="A49" s="972" t="s">
        <v>2399</v>
      </c>
      <c r="B49" s="972" t="s">
        <v>1834</v>
      </c>
      <c r="C49" s="972" t="s">
        <v>2328</v>
      </c>
      <c r="D49" s="972">
        <v>2.8200000000000002E-4</v>
      </c>
      <c r="E49" s="972">
        <v>-1.06E-4</v>
      </c>
      <c r="F49" s="972">
        <v>1.5200000000000001E-4</v>
      </c>
      <c r="G49" s="972">
        <v>16739</v>
      </c>
      <c r="H49" s="972">
        <v>35.402999999999999</v>
      </c>
      <c r="I49" s="972">
        <v>14.2705</v>
      </c>
      <c r="J49" s="972">
        <v>126.8</v>
      </c>
    </row>
    <row r="50" spans="1:10" ht="15.75" hidden="1">
      <c r="A50" s="972" t="s">
        <v>2399</v>
      </c>
      <c r="B50" s="972" t="s">
        <v>1834</v>
      </c>
      <c r="C50" s="972" t="s">
        <v>2329</v>
      </c>
      <c r="D50" s="972">
        <v>4.5100000000000001E-3</v>
      </c>
      <c r="E50" s="972">
        <v>4.2400000000000001E-4</v>
      </c>
      <c r="F50" s="972">
        <v>3.0000000000000001E-6</v>
      </c>
      <c r="G50" s="972">
        <v>16739</v>
      </c>
      <c r="H50" s="972">
        <v>35.402999999999999</v>
      </c>
      <c r="I50" s="972">
        <v>14.2705</v>
      </c>
      <c r="J50" s="972">
        <v>126.8</v>
      </c>
    </row>
    <row r="51" spans="1:10" ht="15.75" hidden="1">
      <c r="A51" s="972" t="s">
        <v>2399</v>
      </c>
      <c r="B51" s="972" t="s">
        <v>1834</v>
      </c>
      <c r="C51" s="972" t="s">
        <v>2330</v>
      </c>
      <c r="D51" s="972">
        <v>2.7099999999999997E-4</v>
      </c>
      <c r="E51" s="972">
        <v>-3.7009999999999999E-3</v>
      </c>
      <c r="F51" s="972">
        <v>-2.1999999999999999E-5</v>
      </c>
      <c r="G51" s="972">
        <v>16739</v>
      </c>
      <c r="H51" s="972">
        <v>35.402999999999999</v>
      </c>
      <c r="I51" s="972">
        <v>14.2705</v>
      </c>
      <c r="J51" s="972">
        <v>126.8</v>
      </c>
    </row>
    <row r="52" spans="1:10" ht="15.75" hidden="1">
      <c r="A52" s="972" t="s">
        <v>2399</v>
      </c>
      <c r="B52" s="972" t="s">
        <v>1834</v>
      </c>
      <c r="C52" s="972" t="s">
        <v>2331</v>
      </c>
      <c r="D52" s="972">
        <v>3.6600000000000001E-4</v>
      </c>
      <c r="E52" s="972">
        <v>-6.7400000000000001E-4</v>
      </c>
      <c r="F52" s="972">
        <v>1.1900000000000001E-4</v>
      </c>
      <c r="G52" s="972">
        <v>16739</v>
      </c>
      <c r="H52" s="972">
        <v>35.402999999999999</v>
      </c>
      <c r="I52" s="972">
        <v>14.2705</v>
      </c>
      <c r="J52" s="972">
        <v>126.8</v>
      </c>
    </row>
    <row r="53" spans="1:10" ht="15.75" hidden="1">
      <c r="A53" s="972" t="s">
        <v>2399</v>
      </c>
      <c r="B53" s="972" t="s">
        <v>1834</v>
      </c>
      <c r="C53" s="972" t="s">
        <v>2332</v>
      </c>
      <c r="D53" s="972">
        <v>-3.7599999999999999E-3</v>
      </c>
      <c r="E53" s="972">
        <v>-2.6600000000000001E-4</v>
      </c>
      <c r="F53" s="972">
        <v>3.0000000000000001E-6</v>
      </c>
      <c r="G53" s="972">
        <v>16739</v>
      </c>
      <c r="H53" s="972">
        <v>35.402999999999999</v>
      </c>
      <c r="I53" s="972">
        <v>14.2705</v>
      </c>
      <c r="J53" s="972">
        <v>126.8</v>
      </c>
    </row>
    <row r="54" spans="1:10" ht="15.75" hidden="1">
      <c r="A54" s="972" t="s">
        <v>2399</v>
      </c>
      <c r="B54" s="972" t="s">
        <v>1834</v>
      </c>
      <c r="C54" s="972" t="s">
        <v>2387</v>
      </c>
      <c r="D54" s="972">
        <v>-1.56E-4</v>
      </c>
      <c r="E54" s="972">
        <v>2.99E-3</v>
      </c>
      <c r="F54" s="972">
        <v>1.5999999999999999E-5</v>
      </c>
      <c r="G54" s="972">
        <v>16739</v>
      </c>
      <c r="H54" s="972">
        <v>35.402999999999999</v>
      </c>
      <c r="I54" s="972">
        <v>14.2705</v>
      </c>
      <c r="J54" s="972">
        <v>126.8</v>
      </c>
    </row>
    <row r="55" spans="1:10" ht="15.75" hidden="1">
      <c r="A55" s="972" t="s">
        <v>2399</v>
      </c>
      <c r="B55" s="972" t="s">
        <v>1834</v>
      </c>
      <c r="C55" s="972" t="s">
        <v>2388</v>
      </c>
      <c r="D55" s="972">
        <v>-2.699E-3</v>
      </c>
      <c r="E55" s="972">
        <v>-5.3000000000000001E-5</v>
      </c>
      <c r="F55" s="972">
        <v>4.1999999999999998E-5</v>
      </c>
      <c r="G55" s="972">
        <v>16739</v>
      </c>
      <c r="H55" s="972">
        <v>35.402999999999999</v>
      </c>
      <c r="I55" s="972">
        <v>14.2705</v>
      </c>
      <c r="J55" s="972">
        <v>126.8</v>
      </c>
    </row>
    <row r="56" spans="1:10" ht="15.75" hidden="1">
      <c r="A56" s="972" t="s">
        <v>2399</v>
      </c>
      <c r="B56" s="972" t="s">
        <v>1834</v>
      </c>
      <c r="C56" s="972" t="s">
        <v>2389</v>
      </c>
      <c r="D56" s="972">
        <v>8.0699999999999999E-4</v>
      </c>
      <c r="E56" s="972">
        <v>1.529E-3</v>
      </c>
      <c r="F56" s="972">
        <v>4.1E-5</v>
      </c>
      <c r="G56" s="972">
        <v>16739</v>
      </c>
      <c r="H56" s="972">
        <v>35.402999999999999</v>
      </c>
      <c r="I56" s="972">
        <v>14.2705</v>
      </c>
      <c r="J56" s="972">
        <v>126.8</v>
      </c>
    </row>
    <row r="57" spans="1:10" ht="15.75" hidden="1">
      <c r="A57" s="972" t="s">
        <v>2399</v>
      </c>
      <c r="B57" s="972" t="s">
        <v>1834</v>
      </c>
      <c r="C57" s="972" t="s">
        <v>2390</v>
      </c>
      <c r="D57" s="972">
        <v>3.8099999999999999E-4</v>
      </c>
      <c r="E57" s="972">
        <v>1.304E-3</v>
      </c>
      <c r="F57" s="972">
        <v>-4.6E-5</v>
      </c>
      <c r="G57" s="972">
        <v>16739</v>
      </c>
      <c r="H57" s="972">
        <v>35.402999999999999</v>
      </c>
      <c r="I57" s="972">
        <v>14.2705</v>
      </c>
      <c r="J57" s="972">
        <v>126.8</v>
      </c>
    </row>
    <row r="58" spans="1:10" ht="15.75" hidden="1">
      <c r="A58" s="972" t="s">
        <v>2399</v>
      </c>
      <c r="B58" s="972" t="s">
        <v>1834</v>
      </c>
      <c r="C58" s="972" t="s">
        <v>2391</v>
      </c>
      <c r="D58" s="972">
        <v>1.165E-3</v>
      </c>
      <c r="E58" s="972">
        <v>5.8699999999999996E-4</v>
      </c>
      <c r="F58" s="972">
        <v>2.4000000000000001E-5</v>
      </c>
      <c r="G58" s="972">
        <v>16739</v>
      </c>
      <c r="H58" s="972">
        <v>35.402999999999999</v>
      </c>
      <c r="I58" s="972">
        <v>14.2705</v>
      </c>
      <c r="J58" s="972">
        <v>126.8</v>
      </c>
    </row>
    <row r="59" spans="1:10" ht="15.75" hidden="1">
      <c r="A59" s="972" t="s">
        <v>2399</v>
      </c>
      <c r="B59" s="972" t="s">
        <v>1834</v>
      </c>
      <c r="C59" s="972" t="s">
        <v>2392</v>
      </c>
      <c r="D59" s="972">
        <v>2.6200000000000003E-4</v>
      </c>
      <c r="E59" s="972">
        <v>-1.0560000000000001E-3</v>
      </c>
      <c r="F59" s="972">
        <v>2.0999999999999999E-5</v>
      </c>
      <c r="G59" s="972">
        <v>16739</v>
      </c>
      <c r="H59" s="972">
        <v>35.402999999999999</v>
      </c>
      <c r="I59" s="972">
        <v>14.2705</v>
      </c>
      <c r="J59" s="972">
        <v>126.8</v>
      </c>
    </row>
    <row r="60" spans="1:10" ht="15.75" hidden="1">
      <c r="A60" s="972" t="s">
        <v>2399</v>
      </c>
      <c r="B60" s="972" t="s">
        <v>1834</v>
      </c>
      <c r="C60" s="972" t="s">
        <v>2393</v>
      </c>
      <c r="D60" s="972">
        <v>8.8099999999999995E-4</v>
      </c>
      <c r="E60" s="972">
        <v>2.1000000000000001E-4</v>
      </c>
      <c r="F60" s="972">
        <v>2.0000000000000002E-5</v>
      </c>
      <c r="G60" s="972">
        <v>16739</v>
      </c>
      <c r="H60" s="972">
        <v>35.402999999999999</v>
      </c>
      <c r="I60" s="972">
        <v>14.2705</v>
      </c>
      <c r="J60" s="972">
        <v>126.8</v>
      </c>
    </row>
    <row r="61" spans="1:10" ht="15.75" hidden="1">
      <c r="A61" s="972" t="s">
        <v>2399</v>
      </c>
      <c r="B61" s="972" t="s">
        <v>1834</v>
      </c>
      <c r="C61" s="972" t="s">
        <v>2394</v>
      </c>
      <c r="D61" s="972">
        <v>2.2699999999999999E-4</v>
      </c>
      <c r="E61" s="972">
        <v>-7.4799999999999997E-4</v>
      </c>
      <c r="F61" s="972">
        <v>1.4E-5</v>
      </c>
      <c r="G61" s="972">
        <v>16739</v>
      </c>
      <c r="H61" s="972">
        <v>35.402999999999999</v>
      </c>
      <c r="I61" s="972">
        <v>14.2705</v>
      </c>
      <c r="J61" s="972">
        <v>126.8</v>
      </c>
    </row>
    <row r="62" spans="1:10" ht="15.75" hidden="1">
      <c r="A62" s="972" t="s">
        <v>2399</v>
      </c>
      <c r="B62" s="972" t="s">
        <v>1834</v>
      </c>
      <c r="C62" s="972" t="s">
        <v>2395</v>
      </c>
      <c r="D62" s="972">
        <v>-7.4899999999999999E-4</v>
      </c>
      <c r="E62" s="972">
        <v>-6.9999999999999999E-6</v>
      </c>
      <c r="F62" s="972">
        <v>-2.0999999999999999E-5</v>
      </c>
      <c r="G62" s="972">
        <v>16739</v>
      </c>
      <c r="H62" s="972">
        <v>35.402999999999999</v>
      </c>
      <c r="I62" s="972">
        <v>14.2705</v>
      </c>
      <c r="J62" s="972">
        <v>126.8</v>
      </c>
    </row>
    <row r="63" spans="1:10" ht="15.75" hidden="1">
      <c r="A63" s="972" t="s">
        <v>2399</v>
      </c>
      <c r="B63" s="972" t="s">
        <v>1834</v>
      </c>
      <c r="C63" s="972" t="s">
        <v>2396</v>
      </c>
      <c r="D63" s="972">
        <v>-7.4999999999999993E-5</v>
      </c>
      <c r="E63" s="972">
        <v>6.1600000000000001E-4</v>
      </c>
      <c r="F63" s="972">
        <v>-7.9999999999999996E-6</v>
      </c>
      <c r="G63" s="972">
        <v>16739</v>
      </c>
      <c r="H63" s="972">
        <v>35.402999999999999</v>
      </c>
      <c r="I63" s="972">
        <v>14.2705</v>
      </c>
      <c r="J63" s="972">
        <v>126.8</v>
      </c>
    </row>
    <row r="64" spans="1:10" ht="15.75" hidden="1">
      <c r="A64" s="972" t="s">
        <v>2401</v>
      </c>
      <c r="B64" s="972" t="s">
        <v>1834</v>
      </c>
      <c r="C64" s="972" t="s">
        <v>2297</v>
      </c>
      <c r="D64" s="972">
        <v>-1.286E-3</v>
      </c>
      <c r="E64" s="972">
        <v>6.6049999999999998E-3</v>
      </c>
      <c r="F64" s="972">
        <v>5.0000000000000002E-5</v>
      </c>
      <c r="G64" s="972">
        <v>16740</v>
      </c>
      <c r="H64" s="972">
        <v>35.402999999999999</v>
      </c>
      <c r="I64" s="972">
        <v>14.2705</v>
      </c>
      <c r="J64" s="972">
        <v>123.4</v>
      </c>
    </row>
    <row r="65" spans="1:10" ht="15.75" hidden="1">
      <c r="A65" s="972" t="s">
        <v>2401</v>
      </c>
      <c r="B65" s="972" t="s">
        <v>1834</v>
      </c>
      <c r="C65" s="972" t="s">
        <v>2298</v>
      </c>
      <c r="D65" s="972">
        <v>-8.7900000000000001E-4</v>
      </c>
      <c r="E65" s="972">
        <v>-1.358E-3</v>
      </c>
      <c r="F65" s="972">
        <v>2.92E-4</v>
      </c>
      <c r="G65" s="972">
        <v>16740</v>
      </c>
      <c r="H65" s="972">
        <v>35.402999999999999</v>
      </c>
      <c r="I65" s="972">
        <v>14.2705</v>
      </c>
      <c r="J65" s="972">
        <v>123.4</v>
      </c>
    </row>
    <row r="66" spans="1:10" ht="15.75">
      <c r="A66" s="972" t="s">
        <v>2401</v>
      </c>
      <c r="B66" s="972" t="s">
        <v>1834</v>
      </c>
      <c r="C66" s="972" t="s">
        <v>2299</v>
      </c>
      <c r="D66" s="972">
        <v>6.3959999999999998E-3</v>
      </c>
      <c r="E66" s="972">
        <v>9.9700000000000006E-4</v>
      </c>
      <c r="F66" s="972">
        <v>5.0000000000000002E-5</v>
      </c>
      <c r="G66" s="972">
        <v>16740</v>
      </c>
      <c r="H66" s="972">
        <v>35.402999999999999</v>
      </c>
      <c r="I66" s="972">
        <v>14.2705</v>
      </c>
      <c r="J66" s="972">
        <v>123.4</v>
      </c>
    </row>
    <row r="67" spans="1:10" ht="15.75" hidden="1">
      <c r="A67" s="972" t="s">
        <v>2401</v>
      </c>
      <c r="B67" s="972" t="s">
        <v>1834</v>
      </c>
      <c r="C67" s="972" t="s">
        <v>2300</v>
      </c>
      <c r="D67" s="972">
        <v>7.7700000000000002E-4</v>
      </c>
      <c r="E67" s="972">
        <v>-2.6999999999999999E-5</v>
      </c>
      <c r="F67" s="972">
        <v>-2.7799999999999998E-4</v>
      </c>
      <c r="G67" s="972">
        <v>16740</v>
      </c>
      <c r="H67" s="972">
        <v>35.402999999999999</v>
      </c>
      <c r="I67" s="972">
        <v>14.2705</v>
      </c>
      <c r="J67" s="972">
        <v>123.4</v>
      </c>
    </row>
    <row r="68" spans="1:10" ht="15.75" hidden="1">
      <c r="A68" s="972" t="s">
        <v>2401</v>
      </c>
      <c r="B68" s="972" t="s">
        <v>1834</v>
      </c>
      <c r="C68" s="972" t="s">
        <v>2301</v>
      </c>
      <c r="D68" s="972">
        <v>-6.4900000000000005E-4</v>
      </c>
      <c r="E68" s="972">
        <v>5.6420000000000003E-3</v>
      </c>
      <c r="F68" s="972">
        <v>-7.9999999999999996E-6</v>
      </c>
      <c r="G68" s="972">
        <v>16740</v>
      </c>
      <c r="H68" s="972">
        <v>35.402999999999999</v>
      </c>
      <c r="I68" s="972">
        <v>14.2705</v>
      </c>
      <c r="J68" s="972">
        <v>123.4</v>
      </c>
    </row>
    <row r="69" spans="1:10" ht="15.75" hidden="1">
      <c r="A69" s="972" t="s">
        <v>2401</v>
      </c>
      <c r="B69" s="972" t="s">
        <v>1834</v>
      </c>
      <c r="C69" s="972" t="s">
        <v>2302</v>
      </c>
      <c r="D69" s="972">
        <v>5.7210000000000004E-3</v>
      </c>
      <c r="E69" s="972">
        <v>7.18E-4</v>
      </c>
      <c r="F69" s="972">
        <v>3.1999999999999999E-5</v>
      </c>
      <c r="G69" s="972">
        <v>16740</v>
      </c>
      <c r="H69" s="972">
        <v>35.402999999999999</v>
      </c>
      <c r="I69" s="972">
        <v>14.2705</v>
      </c>
      <c r="J69" s="972">
        <v>123.4</v>
      </c>
    </row>
    <row r="70" spans="1:10" ht="15.75" hidden="1">
      <c r="A70" s="972" t="s">
        <v>2401</v>
      </c>
      <c r="B70" s="972" t="s">
        <v>1834</v>
      </c>
      <c r="C70" s="972" t="s">
        <v>2303</v>
      </c>
      <c r="D70" s="972">
        <v>4.44E-4</v>
      </c>
      <c r="E70" s="972">
        <v>-9.9999999999999995E-7</v>
      </c>
      <c r="F70" s="972">
        <v>-2.41E-4</v>
      </c>
      <c r="G70" s="972">
        <v>16740</v>
      </c>
      <c r="H70" s="972">
        <v>35.402999999999999</v>
      </c>
      <c r="I70" s="972">
        <v>14.2705</v>
      </c>
      <c r="J70" s="972">
        <v>123.4</v>
      </c>
    </row>
    <row r="71" spans="1:10" ht="15.75" hidden="1">
      <c r="A71" s="972" t="s">
        <v>2401</v>
      </c>
      <c r="B71" s="972" t="s">
        <v>1834</v>
      </c>
      <c r="C71" s="972" t="s">
        <v>2304</v>
      </c>
      <c r="D71" s="972">
        <v>4.26E-4</v>
      </c>
      <c r="E71" s="972">
        <v>-4.6639999999999997E-3</v>
      </c>
      <c r="F71" s="972">
        <v>3.9999999999999998E-6</v>
      </c>
      <c r="G71" s="972">
        <v>16740</v>
      </c>
      <c r="H71" s="972">
        <v>35.402999999999999</v>
      </c>
      <c r="I71" s="972">
        <v>14.2705</v>
      </c>
      <c r="J71" s="972">
        <v>123.4</v>
      </c>
    </row>
    <row r="72" spans="1:10" ht="15.75" hidden="1">
      <c r="A72" s="972" t="s">
        <v>2401</v>
      </c>
      <c r="B72" s="972" t="s">
        <v>1834</v>
      </c>
      <c r="C72" s="972" t="s">
        <v>2305</v>
      </c>
      <c r="D72" s="972">
        <v>8.4099999999999995E-4</v>
      </c>
      <c r="E72" s="972">
        <v>3.8000000000000002E-5</v>
      </c>
      <c r="F72" s="972">
        <v>-1.83E-4</v>
      </c>
      <c r="G72" s="972">
        <v>16740</v>
      </c>
      <c r="H72" s="972">
        <v>35.402999999999999</v>
      </c>
      <c r="I72" s="972">
        <v>14.2705</v>
      </c>
      <c r="J72" s="972">
        <v>123.4</v>
      </c>
    </row>
    <row r="73" spans="1:10" ht="15.75" hidden="1">
      <c r="A73" s="972" t="s">
        <v>2401</v>
      </c>
      <c r="B73" s="972" t="s">
        <v>1834</v>
      </c>
      <c r="C73" s="972" t="s">
        <v>2306</v>
      </c>
      <c r="D73" s="972">
        <v>-4.6740000000000002E-3</v>
      </c>
      <c r="E73" s="972">
        <v>-4.8200000000000001E-4</v>
      </c>
      <c r="F73" s="972">
        <v>-4.5000000000000003E-5</v>
      </c>
      <c r="G73" s="972">
        <v>16740</v>
      </c>
      <c r="H73" s="972">
        <v>35.402999999999999</v>
      </c>
      <c r="I73" s="972">
        <v>14.2705</v>
      </c>
      <c r="J73" s="972">
        <v>123.4</v>
      </c>
    </row>
    <row r="74" spans="1:10" ht="15.75" hidden="1">
      <c r="A74" s="972" t="s">
        <v>2401</v>
      </c>
      <c r="B74" s="972" t="s">
        <v>1834</v>
      </c>
      <c r="C74" s="972" t="s">
        <v>2307</v>
      </c>
      <c r="D74" s="972">
        <v>-1.94E-4</v>
      </c>
      <c r="E74" s="972">
        <v>-1.2160000000000001E-3</v>
      </c>
      <c r="F74" s="972">
        <v>1.17E-4</v>
      </c>
      <c r="G74" s="972">
        <v>16740</v>
      </c>
      <c r="H74" s="972">
        <v>35.402999999999999</v>
      </c>
      <c r="I74" s="972">
        <v>14.2705</v>
      </c>
      <c r="J74" s="972">
        <v>123.4</v>
      </c>
    </row>
    <row r="75" spans="1:10" ht="15.75" hidden="1">
      <c r="A75" s="972" t="s">
        <v>2401</v>
      </c>
      <c r="B75" s="972" t="s">
        <v>1834</v>
      </c>
      <c r="C75" s="972" t="s">
        <v>2308</v>
      </c>
      <c r="D75" s="972">
        <v>-4.0299999999999998E-4</v>
      </c>
      <c r="E75" s="972">
        <v>3.225E-3</v>
      </c>
      <c r="F75" s="972">
        <v>4.1E-5</v>
      </c>
      <c r="G75" s="972">
        <v>16740</v>
      </c>
      <c r="H75" s="972">
        <v>35.402999999999999</v>
      </c>
      <c r="I75" s="972">
        <v>14.2705</v>
      </c>
      <c r="J75" s="972">
        <v>123.4</v>
      </c>
    </row>
    <row r="76" spans="1:10" ht="15.75" hidden="1">
      <c r="A76" s="972" t="s">
        <v>2401</v>
      </c>
      <c r="B76" s="972" t="s">
        <v>1834</v>
      </c>
      <c r="C76" s="972" t="s">
        <v>2309</v>
      </c>
      <c r="D76" s="972">
        <v>-3.522E-3</v>
      </c>
      <c r="E76" s="972">
        <v>-3.48E-4</v>
      </c>
      <c r="F76" s="972">
        <v>-2.4000000000000001E-5</v>
      </c>
      <c r="G76" s="972">
        <v>16740</v>
      </c>
      <c r="H76" s="972">
        <v>35.402999999999999</v>
      </c>
      <c r="I76" s="972">
        <v>14.2705</v>
      </c>
      <c r="J76" s="972">
        <v>123.4</v>
      </c>
    </row>
    <row r="77" spans="1:10" ht="15.75" hidden="1">
      <c r="A77" s="972" t="s">
        <v>2401</v>
      </c>
      <c r="B77" s="972" t="s">
        <v>1834</v>
      </c>
      <c r="C77" s="972" t="s">
        <v>2310</v>
      </c>
      <c r="D77" s="972">
        <v>1.6200000000000001E-4</v>
      </c>
      <c r="E77" s="972">
        <v>6.3999999999999997E-5</v>
      </c>
      <c r="F77" s="972">
        <v>-5.8999999999999998E-5</v>
      </c>
      <c r="G77" s="972">
        <v>16740</v>
      </c>
      <c r="H77" s="972">
        <v>35.402999999999999</v>
      </c>
      <c r="I77" s="972">
        <v>14.2705</v>
      </c>
      <c r="J77" s="972">
        <v>123.4</v>
      </c>
    </row>
    <row r="78" spans="1:10" ht="15.75" hidden="1">
      <c r="A78" s="972" t="s">
        <v>2401</v>
      </c>
      <c r="B78" s="972" t="s">
        <v>1834</v>
      </c>
      <c r="C78" s="972" t="s">
        <v>2311</v>
      </c>
      <c r="D78" s="972">
        <v>1.94E-4</v>
      </c>
      <c r="E78" s="972">
        <v>-2.2309999999999999E-3</v>
      </c>
      <c r="F78" s="972">
        <v>-1.187E-8</v>
      </c>
      <c r="G78" s="972">
        <v>16740</v>
      </c>
      <c r="H78" s="972">
        <v>35.402999999999999</v>
      </c>
      <c r="I78" s="972">
        <v>14.2705</v>
      </c>
      <c r="J78" s="972">
        <v>123.4</v>
      </c>
    </row>
    <row r="79" spans="1:10" ht="15.75" hidden="1">
      <c r="A79" s="972" t="s">
        <v>2401</v>
      </c>
      <c r="B79" s="972" t="s">
        <v>1834</v>
      </c>
      <c r="C79" s="972" t="s">
        <v>2328</v>
      </c>
      <c r="D79" s="972">
        <v>3.0299999999999999E-4</v>
      </c>
      <c r="E79" s="972">
        <v>-2.5000000000000001E-5</v>
      </c>
      <c r="F79" s="972">
        <v>3.9999999999999998E-6</v>
      </c>
      <c r="G79" s="972">
        <v>16740</v>
      </c>
      <c r="H79" s="972">
        <v>35.402999999999999</v>
      </c>
      <c r="I79" s="972">
        <v>14.2705</v>
      </c>
      <c r="J79" s="972">
        <v>123.4</v>
      </c>
    </row>
    <row r="80" spans="1:10" ht="15.75" hidden="1">
      <c r="A80" s="972" t="s">
        <v>2401</v>
      </c>
      <c r="B80" s="972" t="s">
        <v>1834</v>
      </c>
      <c r="C80" s="972" t="s">
        <v>2329</v>
      </c>
      <c r="D80" s="972">
        <v>2.3040000000000001E-3</v>
      </c>
      <c r="E80" s="972">
        <v>2.2599999999999999E-4</v>
      </c>
      <c r="F80" s="972">
        <v>1.5999999999999999E-5</v>
      </c>
      <c r="G80" s="972">
        <v>16740</v>
      </c>
      <c r="H80" s="972">
        <v>35.402999999999999</v>
      </c>
      <c r="I80" s="972">
        <v>14.2705</v>
      </c>
      <c r="J80" s="972">
        <v>123.4</v>
      </c>
    </row>
    <row r="81" spans="1:10" ht="15.75" hidden="1">
      <c r="A81" s="972" t="s">
        <v>2401</v>
      </c>
      <c r="B81" s="972" t="s">
        <v>1834</v>
      </c>
      <c r="C81" s="972" t="s">
        <v>2330</v>
      </c>
      <c r="D81" s="972">
        <v>2.3E-5</v>
      </c>
      <c r="E81" s="972">
        <v>-9.9299999999999996E-4</v>
      </c>
      <c r="F81" s="972">
        <v>6.9999999999999999E-6</v>
      </c>
      <c r="G81" s="972">
        <v>16740</v>
      </c>
      <c r="H81" s="972">
        <v>35.402999999999999</v>
      </c>
      <c r="I81" s="972">
        <v>14.2705</v>
      </c>
      <c r="J81" s="972">
        <v>123.4</v>
      </c>
    </row>
    <row r="82" spans="1:10" ht="15.75" hidden="1">
      <c r="A82" s="972" t="s">
        <v>2401</v>
      </c>
      <c r="B82" s="972" t="s">
        <v>1834</v>
      </c>
      <c r="C82" s="972" t="s">
        <v>2331</v>
      </c>
      <c r="D82" s="972">
        <v>2.61E-4</v>
      </c>
      <c r="E82" s="972">
        <v>-1.9599999999999999E-4</v>
      </c>
      <c r="F82" s="972">
        <v>-4.6E-5</v>
      </c>
      <c r="G82" s="972">
        <v>16740</v>
      </c>
      <c r="H82" s="972">
        <v>35.402999999999999</v>
      </c>
      <c r="I82" s="972">
        <v>14.2705</v>
      </c>
      <c r="J82" s="972">
        <v>123.4</v>
      </c>
    </row>
    <row r="83" spans="1:10" ht="15.75" hidden="1">
      <c r="A83" s="972" t="s">
        <v>2401</v>
      </c>
      <c r="B83" s="972" t="s">
        <v>1834</v>
      </c>
      <c r="C83" s="972" t="s">
        <v>2332</v>
      </c>
      <c r="D83" s="972">
        <v>-1.0889999999999999E-3</v>
      </c>
      <c r="E83" s="972">
        <v>-1.1900000000000001E-4</v>
      </c>
      <c r="F83" s="972">
        <v>-2.4000000000000001E-5</v>
      </c>
      <c r="G83" s="972">
        <v>16740</v>
      </c>
      <c r="H83" s="972">
        <v>35.402999999999999</v>
      </c>
      <c r="I83" s="972">
        <v>14.2705</v>
      </c>
      <c r="J83" s="972">
        <v>123.4</v>
      </c>
    </row>
    <row r="84" spans="1:10" ht="15.75" hidden="1">
      <c r="A84" s="972" t="s">
        <v>2401</v>
      </c>
      <c r="B84" s="972" t="s">
        <v>1834</v>
      </c>
      <c r="C84" s="972" t="s">
        <v>2387</v>
      </c>
      <c r="D84" s="972">
        <v>1.27E-4</v>
      </c>
      <c r="E84" s="972">
        <v>-7.7999999999999999E-5</v>
      </c>
      <c r="F84" s="972">
        <v>-1.5E-5</v>
      </c>
      <c r="G84" s="972">
        <v>16740</v>
      </c>
      <c r="H84" s="972">
        <v>35.402999999999999</v>
      </c>
      <c r="I84" s="972">
        <v>14.2705</v>
      </c>
      <c r="J84" s="972">
        <v>123.4</v>
      </c>
    </row>
    <row r="85" spans="1:10" ht="15.75" hidden="1">
      <c r="A85" s="972" t="s">
        <v>2401</v>
      </c>
      <c r="B85" s="972" t="s">
        <v>1834</v>
      </c>
      <c r="C85" s="972" t="s">
        <v>2388</v>
      </c>
      <c r="D85" s="972">
        <v>2.9399999999999999E-4</v>
      </c>
      <c r="E85" s="972">
        <v>-1.83E-4</v>
      </c>
      <c r="F85" s="972">
        <v>-7.2999999999999999E-5</v>
      </c>
      <c r="G85" s="972">
        <v>16740</v>
      </c>
      <c r="H85" s="972">
        <v>35.402999999999999</v>
      </c>
      <c r="I85" s="972">
        <v>14.2705</v>
      </c>
      <c r="J85" s="972">
        <v>123.4</v>
      </c>
    </row>
    <row r="86" spans="1:10" ht="15.75" hidden="1">
      <c r="A86" s="972" t="s">
        <v>2401</v>
      </c>
      <c r="B86" s="972" t="s">
        <v>1834</v>
      </c>
      <c r="C86" s="972" t="s">
        <v>2389</v>
      </c>
      <c r="D86" s="972">
        <v>5.0900000000000001E-4</v>
      </c>
      <c r="E86" s="972">
        <v>-5.9900000000000003E-4</v>
      </c>
      <c r="F86" s="972">
        <v>-4.6E-5</v>
      </c>
      <c r="G86" s="972">
        <v>16740</v>
      </c>
      <c r="H86" s="972">
        <v>35.402999999999999</v>
      </c>
      <c r="I86" s="972">
        <v>14.2705</v>
      </c>
      <c r="J86" s="972">
        <v>123.4</v>
      </c>
    </row>
    <row r="87" spans="1:10" ht="15.75" hidden="1">
      <c r="A87" s="972" t="s">
        <v>2401</v>
      </c>
      <c r="B87" s="972" t="s">
        <v>1834</v>
      </c>
      <c r="C87" s="972" t="s">
        <v>2390</v>
      </c>
      <c r="D87" s="972">
        <v>-6.9399999999999996E-4</v>
      </c>
      <c r="E87" s="972">
        <v>-3.86E-4</v>
      </c>
      <c r="F87" s="972">
        <v>7.2000000000000002E-5</v>
      </c>
      <c r="G87" s="972">
        <v>16740</v>
      </c>
      <c r="H87" s="972">
        <v>35.402999999999999</v>
      </c>
      <c r="I87" s="972">
        <v>14.2705</v>
      </c>
      <c r="J87" s="972">
        <v>123.4</v>
      </c>
    </row>
    <row r="88" spans="1:10" ht="15.75" hidden="1">
      <c r="A88" s="972" t="s">
        <v>2401</v>
      </c>
      <c r="B88" s="972" t="s">
        <v>1834</v>
      </c>
      <c r="C88" s="972" t="s">
        <v>2391</v>
      </c>
      <c r="D88" s="972">
        <v>8.7000000000000001E-5</v>
      </c>
      <c r="E88" s="972">
        <v>-4.5800000000000002E-4</v>
      </c>
      <c r="F88" s="972">
        <v>-2.1999999999999999E-5</v>
      </c>
      <c r="G88" s="972">
        <v>16740</v>
      </c>
      <c r="H88" s="972">
        <v>35.402999999999999</v>
      </c>
      <c r="I88" s="972">
        <v>14.2705</v>
      </c>
      <c r="J88" s="972">
        <v>123.4</v>
      </c>
    </row>
    <row r="89" spans="1:10" ht="15.75" hidden="1">
      <c r="A89" s="972" t="s">
        <v>2401</v>
      </c>
      <c r="B89" s="972" t="s">
        <v>1834</v>
      </c>
      <c r="C89" s="972" t="s">
        <v>2392</v>
      </c>
      <c r="D89" s="972">
        <v>3.1199999999999999E-4</v>
      </c>
      <c r="E89" s="972">
        <v>6.7000000000000002E-4</v>
      </c>
      <c r="F89" s="972">
        <v>-3.4999999999999997E-5</v>
      </c>
      <c r="G89" s="972">
        <v>16740</v>
      </c>
      <c r="H89" s="972">
        <v>35.402999999999999</v>
      </c>
      <c r="I89" s="972">
        <v>14.2705</v>
      </c>
      <c r="J89" s="972">
        <v>123.4</v>
      </c>
    </row>
    <row r="90" spans="1:10" ht="15.75" hidden="1">
      <c r="A90" s="972" t="s">
        <v>2401</v>
      </c>
      <c r="B90" s="972" t="s">
        <v>1834</v>
      </c>
      <c r="C90" s="972" t="s">
        <v>2393</v>
      </c>
      <c r="D90" s="972">
        <v>-2.4000000000000001E-5</v>
      </c>
      <c r="E90" s="972">
        <v>-2.8400000000000002E-4</v>
      </c>
      <c r="F90" s="972">
        <v>-2.0000000000000002E-5</v>
      </c>
      <c r="G90" s="972">
        <v>16740</v>
      </c>
      <c r="H90" s="972">
        <v>35.402999999999999</v>
      </c>
      <c r="I90" s="972">
        <v>14.2705</v>
      </c>
      <c r="J90" s="972">
        <v>123.4</v>
      </c>
    </row>
    <row r="91" spans="1:10" ht="15.75" hidden="1">
      <c r="A91" s="972" t="s">
        <v>2401</v>
      </c>
      <c r="B91" s="972" t="s">
        <v>1834</v>
      </c>
      <c r="C91" s="972" t="s">
        <v>2394</v>
      </c>
      <c r="D91" s="972">
        <v>1.55E-4</v>
      </c>
      <c r="E91" s="972">
        <v>6.2500000000000001E-4</v>
      </c>
      <c r="F91" s="972">
        <v>-2.4000000000000001E-5</v>
      </c>
      <c r="G91" s="972">
        <v>16740</v>
      </c>
      <c r="H91" s="972">
        <v>35.402999999999999</v>
      </c>
      <c r="I91" s="972">
        <v>14.2705</v>
      </c>
      <c r="J91" s="972">
        <v>123.4</v>
      </c>
    </row>
    <row r="92" spans="1:10" ht="15.75" hidden="1">
      <c r="A92" s="972" t="s">
        <v>2401</v>
      </c>
      <c r="B92" s="972" t="s">
        <v>1834</v>
      </c>
      <c r="C92" s="972" t="s">
        <v>2395</v>
      </c>
      <c r="D92" s="972">
        <v>3.4999999999999997E-5</v>
      </c>
      <c r="E92" s="972">
        <v>1.12E-4</v>
      </c>
      <c r="F92" s="972">
        <v>2.1999999999999999E-5</v>
      </c>
      <c r="G92" s="972">
        <v>16740</v>
      </c>
      <c r="H92" s="972">
        <v>35.402999999999999</v>
      </c>
      <c r="I92" s="972">
        <v>14.2705</v>
      </c>
      <c r="J92" s="972">
        <v>123.4</v>
      </c>
    </row>
    <row r="93" spans="1:10" ht="15.75" hidden="1">
      <c r="A93" s="972" t="s">
        <v>2401</v>
      </c>
      <c r="B93" s="972" t="s">
        <v>1834</v>
      </c>
      <c r="C93" s="972" t="s">
        <v>2396</v>
      </c>
      <c r="D93" s="972">
        <v>-1.0399999999999999E-4</v>
      </c>
      <c r="E93" s="972">
        <v>-5.8E-4</v>
      </c>
      <c r="F93" s="972">
        <v>1.7E-5</v>
      </c>
      <c r="G93" s="972">
        <v>16740</v>
      </c>
      <c r="H93" s="972">
        <v>35.402999999999999</v>
      </c>
      <c r="I93" s="972">
        <v>14.2705</v>
      </c>
      <c r="J93" s="972">
        <v>123.4</v>
      </c>
    </row>
    <row r="94" spans="1:10" ht="15.75" hidden="1">
      <c r="A94" s="972" t="s">
        <v>2402</v>
      </c>
      <c r="B94" s="972" t="s">
        <v>1834</v>
      </c>
      <c r="C94" s="972" t="s">
        <v>2297</v>
      </c>
      <c r="D94" s="972">
        <v>-1.2509999999999999E-3</v>
      </c>
      <c r="E94" s="972">
        <v>6.424E-3</v>
      </c>
      <c r="F94" s="972">
        <v>5.0000000000000002E-5</v>
      </c>
      <c r="G94" s="972">
        <v>16741</v>
      </c>
      <c r="H94" s="972">
        <v>35.402999999999999</v>
      </c>
      <c r="I94" s="972">
        <v>14.2705</v>
      </c>
      <c r="J94" s="972">
        <v>120</v>
      </c>
    </row>
    <row r="95" spans="1:10" ht="15.75" hidden="1">
      <c r="A95" s="972" t="s">
        <v>2402</v>
      </c>
      <c r="B95" s="972" t="s">
        <v>1834</v>
      </c>
      <c r="C95" s="972" t="s">
        <v>2298</v>
      </c>
      <c r="D95" s="972">
        <v>-8.6499999999999999E-4</v>
      </c>
      <c r="E95" s="972">
        <v>-1.322E-3</v>
      </c>
      <c r="F95" s="972">
        <v>2.8800000000000001E-4</v>
      </c>
      <c r="G95" s="972">
        <v>16741</v>
      </c>
      <c r="H95" s="972">
        <v>35.402999999999999</v>
      </c>
      <c r="I95" s="972">
        <v>14.2705</v>
      </c>
      <c r="J95" s="972">
        <v>120</v>
      </c>
    </row>
    <row r="96" spans="1:10" ht="15.75">
      <c r="A96" s="972" t="s">
        <v>2402</v>
      </c>
      <c r="B96" s="972" t="s">
        <v>1834</v>
      </c>
      <c r="C96" s="972" t="s">
        <v>2299</v>
      </c>
      <c r="D96" s="972">
        <v>6.254E-3</v>
      </c>
      <c r="E96" s="972">
        <v>9.810000000000001E-4</v>
      </c>
      <c r="F96" s="972">
        <v>4.8999999999999998E-5</v>
      </c>
      <c r="G96" s="972">
        <v>16741</v>
      </c>
      <c r="H96" s="972">
        <v>35.402999999999999</v>
      </c>
      <c r="I96" s="972">
        <v>14.2705</v>
      </c>
      <c r="J96" s="972">
        <v>120</v>
      </c>
    </row>
    <row r="97" spans="1:10" ht="15.75" hidden="1">
      <c r="A97" s="972" t="s">
        <v>2402</v>
      </c>
      <c r="B97" s="972" t="s">
        <v>1834</v>
      </c>
      <c r="C97" s="972" t="s">
        <v>2300</v>
      </c>
      <c r="D97" s="972">
        <v>6.9700000000000003E-4</v>
      </c>
      <c r="E97" s="972">
        <v>-2.1999999999999999E-5</v>
      </c>
      <c r="F97" s="972">
        <v>-2.5399999999999999E-4</v>
      </c>
      <c r="G97" s="972">
        <v>16741</v>
      </c>
      <c r="H97" s="972">
        <v>35.402999999999999</v>
      </c>
      <c r="I97" s="972">
        <v>14.2705</v>
      </c>
      <c r="J97" s="972">
        <v>120</v>
      </c>
    </row>
    <row r="98" spans="1:10" ht="15.75" hidden="1">
      <c r="A98" s="972" t="s">
        <v>2402</v>
      </c>
      <c r="B98" s="972" t="s">
        <v>1834</v>
      </c>
      <c r="C98" s="972" t="s">
        <v>2301</v>
      </c>
      <c r="D98" s="972">
        <v>-5.5999999999999995E-4</v>
      </c>
      <c r="E98" s="972">
        <v>4.9480000000000001E-3</v>
      </c>
      <c r="F98" s="972">
        <v>-6.9999999999999999E-6</v>
      </c>
      <c r="G98" s="972">
        <v>16741</v>
      </c>
      <c r="H98" s="972">
        <v>35.402999999999999</v>
      </c>
      <c r="I98" s="972">
        <v>14.2705</v>
      </c>
      <c r="J98" s="972">
        <v>120</v>
      </c>
    </row>
    <row r="99" spans="1:10" ht="15.75" hidden="1">
      <c r="A99" s="972" t="s">
        <v>2402</v>
      </c>
      <c r="B99" s="972" t="s">
        <v>1834</v>
      </c>
      <c r="C99" s="972" t="s">
        <v>2302</v>
      </c>
      <c r="D99" s="972">
        <v>5.0790000000000002E-3</v>
      </c>
      <c r="E99" s="972">
        <v>6.4700000000000001E-4</v>
      </c>
      <c r="F99" s="972">
        <v>3.0000000000000001E-5</v>
      </c>
      <c r="G99" s="972">
        <v>16741</v>
      </c>
      <c r="H99" s="972">
        <v>35.402999999999999</v>
      </c>
      <c r="I99" s="972">
        <v>14.2705</v>
      </c>
      <c r="J99" s="972">
        <v>120</v>
      </c>
    </row>
    <row r="100" spans="1:10" ht="15.75" hidden="1">
      <c r="A100" s="972" t="s">
        <v>2402</v>
      </c>
      <c r="B100" s="972" t="s">
        <v>1834</v>
      </c>
      <c r="C100" s="972" t="s">
        <v>2303</v>
      </c>
      <c r="D100" s="972">
        <v>3.2200000000000002E-4</v>
      </c>
      <c r="E100" s="972">
        <v>-1.9999999999999999E-6</v>
      </c>
      <c r="F100" s="972">
        <v>-1.9000000000000001E-4</v>
      </c>
      <c r="G100" s="972">
        <v>16741</v>
      </c>
      <c r="H100" s="972">
        <v>35.402999999999999</v>
      </c>
      <c r="I100" s="972">
        <v>14.2705</v>
      </c>
      <c r="J100" s="972">
        <v>120</v>
      </c>
    </row>
    <row r="101" spans="1:10" ht="15.75" hidden="1">
      <c r="A101" s="972" t="s">
        <v>2402</v>
      </c>
      <c r="B101" s="972" t="s">
        <v>1834</v>
      </c>
      <c r="C101" s="972" t="s">
        <v>2304</v>
      </c>
      <c r="D101" s="972">
        <v>3.0699999999999998E-4</v>
      </c>
      <c r="E101" s="972">
        <v>-3.4450000000000001E-3</v>
      </c>
      <c r="F101" s="972">
        <v>3.0000000000000001E-6</v>
      </c>
      <c r="G101" s="972">
        <v>16741</v>
      </c>
      <c r="H101" s="972">
        <v>35.402999999999999</v>
      </c>
      <c r="I101" s="972">
        <v>14.2705</v>
      </c>
      <c r="J101" s="972">
        <v>120</v>
      </c>
    </row>
    <row r="102" spans="1:10" ht="15.75" hidden="1">
      <c r="A102" s="972" t="s">
        <v>2402</v>
      </c>
      <c r="B102" s="972" t="s">
        <v>1834</v>
      </c>
      <c r="C102" s="972" t="s">
        <v>2305</v>
      </c>
      <c r="D102" s="972">
        <v>5.3899999999999998E-4</v>
      </c>
      <c r="E102" s="972">
        <v>2.6999999999999999E-5</v>
      </c>
      <c r="F102" s="972">
        <v>-1.02E-4</v>
      </c>
      <c r="G102" s="972">
        <v>16741</v>
      </c>
      <c r="H102" s="972">
        <v>35.402999999999999</v>
      </c>
      <c r="I102" s="972">
        <v>14.2705</v>
      </c>
      <c r="J102" s="972">
        <v>120</v>
      </c>
    </row>
    <row r="103" spans="1:10" ht="15.75" hidden="1">
      <c r="A103" s="972" t="s">
        <v>2402</v>
      </c>
      <c r="B103" s="972" t="s">
        <v>1834</v>
      </c>
      <c r="C103" s="972" t="s">
        <v>2306</v>
      </c>
      <c r="D103" s="972">
        <v>-3.5200000000000001E-3</v>
      </c>
      <c r="E103" s="972">
        <v>-3.6999999999999999E-4</v>
      </c>
      <c r="F103" s="972">
        <v>-3.1999999999999999E-5</v>
      </c>
      <c r="G103" s="972">
        <v>16741</v>
      </c>
      <c r="H103" s="972">
        <v>35.402999999999999</v>
      </c>
      <c r="I103" s="972">
        <v>14.2705</v>
      </c>
      <c r="J103" s="972">
        <v>120</v>
      </c>
    </row>
    <row r="104" spans="1:10" ht="15.75" hidden="1">
      <c r="A104" s="972" t="s">
        <v>2402</v>
      </c>
      <c r="B104" s="972" t="s">
        <v>1834</v>
      </c>
      <c r="C104" s="972" t="s">
        <v>2307</v>
      </c>
      <c r="D104" s="972">
        <v>1.55E-7</v>
      </c>
      <c r="E104" s="972">
        <v>-5.8600000000000004E-4</v>
      </c>
      <c r="F104" s="972">
        <v>1.5E-5</v>
      </c>
      <c r="G104" s="972">
        <v>16741</v>
      </c>
      <c r="H104" s="972">
        <v>35.402999999999999</v>
      </c>
      <c r="I104" s="972">
        <v>14.2705</v>
      </c>
      <c r="J104" s="972">
        <v>120</v>
      </c>
    </row>
    <row r="105" spans="1:10" ht="15.75" hidden="1">
      <c r="A105" s="972" t="s">
        <v>2402</v>
      </c>
      <c r="B105" s="972" t="s">
        <v>1834</v>
      </c>
      <c r="C105" s="972" t="s">
        <v>2308</v>
      </c>
      <c r="D105" s="972">
        <v>-1.4899999999999999E-4</v>
      </c>
      <c r="E105" s="972">
        <v>1.5590000000000001E-3</v>
      </c>
      <c r="F105" s="972">
        <v>3.9999999999999998E-6</v>
      </c>
      <c r="G105" s="972">
        <v>16741</v>
      </c>
      <c r="H105" s="972">
        <v>35.402999999999999</v>
      </c>
      <c r="I105" s="972">
        <v>14.2705</v>
      </c>
      <c r="J105" s="972">
        <v>120</v>
      </c>
    </row>
    <row r="106" spans="1:10" ht="15.75" hidden="1">
      <c r="A106" s="972" t="s">
        <v>2402</v>
      </c>
      <c r="B106" s="972" t="s">
        <v>1834</v>
      </c>
      <c r="C106" s="972" t="s">
        <v>2309</v>
      </c>
      <c r="D106" s="972">
        <v>-1.797E-3</v>
      </c>
      <c r="E106" s="972">
        <v>-1.8599999999999999E-4</v>
      </c>
      <c r="F106" s="972">
        <v>-1.2E-5</v>
      </c>
      <c r="G106" s="972">
        <v>16741</v>
      </c>
      <c r="H106" s="972">
        <v>35.402999999999999</v>
      </c>
      <c r="I106" s="972">
        <v>14.2705</v>
      </c>
      <c r="J106" s="972">
        <v>120</v>
      </c>
    </row>
    <row r="107" spans="1:10" ht="15.75" hidden="1">
      <c r="A107" s="972" t="s">
        <v>2402</v>
      </c>
      <c r="B107" s="972" t="s">
        <v>1834</v>
      </c>
      <c r="C107" s="972" t="s">
        <v>2310</v>
      </c>
      <c r="D107" s="972">
        <v>-1.1900000000000001E-4</v>
      </c>
      <c r="E107" s="972">
        <v>3.9999999999999998E-6</v>
      </c>
      <c r="F107" s="972">
        <v>6.7000000000000002E-5</v>
      </c>
      <c r="G107" s="972">
        <v>16741</v>
      </c>
      <c r="H107" s="972">
        <v>35.402999999999999</v>
      </c>
      <c r="I107" s="972">
        <v>14.2705</v>
      </c>
      <c r="J107" s="972">
        <v>120</v>
      </c>
    </row>
    <row r="108" spans="1:10" ht="15.75" hidden="1">
      <c r="A108" s="972" t="s">
        <v>2402</v>
      </c>
      <c r="B108" s="972" t="s">
        <v>1834</v>
      </c>
      <c r="C108" s="972" t="s">
        <v>2311</v>
      </c>
      <c r="D108" s="972">
        <v>-2.4000000000000001E-5</v>
      </c>
      <c r="E108" s="972">
        <v>3.1000000000000001E-5</v>
      </c>
      <c r="F108" s="972">
        <v>3.0000000000000001E-6</v>
      </c>
      <c r="G108" s="972">
        <v>16741</v>
      </c>
      <c r="H108" s="972">
        <v>35.402999999999999</v>
      </c>
      <c r="I108" s="972">
        <v>14.2705</v>
      </c>
      <c r="J108" s="972">
        <v>120</v>
      </c>
    </row>
    <row r="109" spans="1:10" ht="15.75" hidden="1">
      <c r="A109" s="972" t="s">
        <v>2402</v>
      </c>
      <c r="B109" s="972" t="s">
        <v>1834</v>
      </c>
      <c r="C109" s="972" t="s">
        <v>2328</v>
      </c>
      <c r="D109" s="972">
        <v>2.7500000000000002E-4</v>
      </c>
      <c r="E109" s="972">
        <v>5.1E-5</v>
      </c>
      <c r="F109" s="972">
        <v>-1.25E-4</v>
      </c>
      <c r="G109" s="972">
        <v>16741</v>
      </c>
      <c r="H109" s="972">
        <v>35.402999999999999</v>
      </c>
      <c r="I109" s="972">
        <v>14.2705</v>
      </c>
      <c r="J109" s="972">
        <v>120</v>
      </c>
    </row>
    <row r="110" spans="1:10" ht="15.75" hidden="1">
      <c r="A110" s="972" t="s">
        <v>2402</v>
      </c>
      <c r="B110" s="972" t="s">
        <v>1834</v>
      </c>
      <c r="C110" s="972" t="s">
        <v>2329</v>
      </c>
      <c r="D110" s="972">
        <v>8.1000000000000004E-5</v>
      </c>
      <c r="E110" s="972">
        <v>2.3E-5</v>
      </c>
      <c r="F110" s="972">
        <v>2.3E-5</v>
      </c>
      <c r="G110" s="972">
        <v>16741</v>
      </c>
      <c r="H110" s="972">
        <v>35.402999999999999</v>
      </c>
      <c r="I110" s="972">
        <v>14.2705</v>
      </c>
      <c r="J110" s="972">
        <v>120</v>
      </c>
    </row>
    <row r="111" spans="1:10" ht="15.75" hidden="1">
      <c r="A111" s="972" t="s">
        <v>2402</v>
      </c>
      <c r="B111" s="972" t="s">
        <v>1834</v>
      </c>
      <c r="C111" s="972" t="s">
        <v>2330</v>
      </c>
      <c r="D111" s="972">
        <v>-1.9699999999999999E-4</v>
      </c>
      <c r="E111" s="972">
        <v>1.565E-3</v>
      </c>
      <c r="F111" s="972">
        <v>3.0000000000000001E-5</v>
      </c>
      <c r="G111" s="972">
        <v>16741</v>
      </c>
      <c r="H111" s="972">
        <v>35.402999999999999</v>
      </c>
      <c r="I111" s="972">
        <v>14.2705</v>
      </c>
      <c r="J111" s="972">
        <v>120</v>
      </c>
    </row>
    <row r="112" spans="1:10" ht="15.75" hidden="1">
      <c r="A112" s="972" t="s">
        <v>2402</v>
      </c>
      <c r="B112" s="972" t="s">
        <v>1834</v>
      </c>
      <c r="C112" s="972" t="s">
        <v>2331</v>
      </c>
      <c r="D112" s="972">
        <v>1.0900000000000001E-4</v>
      </c>
      <c r="E112" s="972">
        <v>2.72E-4</v>
      </c>
      <c r="F112" s="972">
        <v>-1.76E-4</v>
      </c>
      <c r="G112" s="972">
        <v>16741</v>
      </c>
      <c r="H112" s="972">
        <v>35.402999999999999</v>
      </c>
      <c r="I112" s="972">
        <v>14.2705</v>
      </c>
      <c r="J112" s="972">
        <v>120</v>
      </c>
    </row>
    <row r="113" spans="1:10" ht="15.75" hidden="1">
      <c r="A113" s="972" t="s">
        <v>2402</v>
      </c>
      <c r="B113" s="972" t="s">
        <v>1834</v>
      </c>
      <c r="C113" s="972" t="s">
        <v>2332</v>
      </c>
      <c r="D113" s="972">
        <v>1.459E-3</v>
      </c>
      <c r="E113" s="972">
        <v>3.6999999999999998E-5</v>
      </c>
      <c r="F113" s="972">
        <v>-3.8000000000000002E-5</v>
      </c>
      <c r="G113" s="972">
        <v>16741</v>
      </c>
      <c r="H113" s="972">
        <v>35.402999999999999</v>
      </c>
      <c r="I113" s="972">
        <v>14.2705</v>
      </c>
      <c r="J113" s="972">
        <v>120</v>
      </c>
    </row>
    <row r="114" spans="1:10" ht="15.75" hidden="1">
      <c r="A114" s="972" t="s">
        <v>2402</v>
      </c>
      <c r="B114" s="972" t="s">
        <v>1834</v>
      </c>
      <c r="C114" s="972" t="s">
        <v>2387</v>
      </c>
      <c r="D114" s="972">
        <v>3.4299999999999999E-4</v>
      </c>
      <c r="E114" s="972">
        <v>-2.7650000000000001E-3</v>
      </c>
      <c r="F114" s="972">
        <v>-3.6000000000000001E-5</v>
      </c>
      <c r="G114" s="972">
        <v>16741</v>
      </c>
      <c r="H114" s="972">
        <v>35.402999999999999</v>
      </c>
      <c r="I114" s="972">
        <v>14.2705</v>
      </c>
      <c r="J114" s="972">
        <v>120</v>
      </c>
    </row>
    <row r="115" spans="1:10" ht="15.75" hidden="1">
      <c r="A115" s="972" t="s">
        <v>2402</v>
      </c>
      <c r="B115" s="972" t="s">
        <v>1834</v>
      </c>
      <c r="C115" s="972" t="s">
        <v>2388</v>
      </c>
      <c r="D115" s="972">
        <v>2.8530000000000001E-3</v>
      </c>
      <c r="E115" s="972">
        <v>-2.33E-4</v>
      </c>
      <c r="F115" s="972">
        <v>-1.4100000000000001E-4</v>
      </c>
      <c r="G115" s="972">
        <v>16741</v>
      </c>
      <c r="H115" s="972">
        <v>35.402999999999999</v>
      </c>
      <c r="I115" s="972">
        <v>14.2705</v>
      </c>
      <c r="J115" s="972">
        <v>120</v>
      </c>
    </row>
    <row r="116" spans="1:10" ht="15.75" hidden="1">
      <c r="A116" s="972" t="s">
        <v>2402</v>
      </c>
      <c r="B116" s="972" t="s">
        <v>1834</v>
      </c>
      <c r="C116" s="972" t="s">
        <v>2389</v>
      </c>
      <c r="D116" s="972">
        <v>9.1000000000000003E-5</v>
      </c>
      <c r="E116" s="972">
        <v>-2.3010000000000001E-3</v>
      </c>
      <c r="F116" s="972">
        <v>-1.03E-4</v>
      </c>
      <c r="G116" s="972">
        <v>16741</v>
      </c>
      <c r="H116" s="972">
        <v>35.402999999999999</v>
      </c>
      <c r="I116" s="972">
        <v>14.2705</v>
      </c>
      <c r="J116" s="972">
        <v>120</v>
      </c>
    </row>
    <row r="117" spans="1:10" ht="15.75" hidden="1">
      <c r="A117" s="972" t="s">
        <v>2402</v>
      </c>
      <c r="B117" s="972" t="s">
        <v>1834</v>
      </c>
      <c r="C117" s="972" t="s">
        <v>2390</v>
      </c>
      <c r="D117" s="972">
        <v>-1.439E-3</v>
      </c>
      <c r="E117" s="972">
        <v>-1.7830000000000001E-3</v>
      </c>
      <c r="F117" s="972">
        <v>1.4200000000000001E-4</v>
      </c>
      <c r="G117" s="972">
        <v>16741</v>
      </c>
      <c r="H117" s="972">
        <v>35.402999999999999</v>
      </c>
      <c r="I117" s="972">
        <v>14.2705</v>
      </c>
      <c r="J117" s="972">
        <v>120</v>
      </c>
    </row>
    <row r="118" spans="1:10" ht="15.75" hidden="1">
      <c r="A118" s="972" t="s">
        <v>2402</v>
      </c>
      <c r="B118" s="972" t="s">
        <v>1834</v>
      </c>
      <c r="C118" s="972" t="s">
        <v>2391</v>
      </c>
      <c r="D118" s="972">
        <v>-9.1699999999999995E-4</v>
      </c>
      <c r="E118" s="972">
        <v>-1.2290000000000001E-3</v>
      </c>
      <c r="F118" s="972">
        <v>-5.3000000000000001E-5</v>
      </c>
      <c r="G118" s="972">
        <v>16741</v>
      </c>
      <c r="H118" s="972">
        <v>35.402999999999999</v>
      </c>
      <c r="I118" s="972">
        <v>14.2705</v>
      </c>
      <c r="J118" s="972">
        <v>120</v>
      </c>
    </row>
    <row r="119" spans="1:10" ht="15.75" hidden="1">
      <c r="A119" s="972" t="s">
        <v>2402</v>
      </c>
      <c r="B119" s="972" t="s">
        <v>1834</v>
      </c>
      <c r="C119" s="972" t="s">
        <v>2392</v>
      </c>
      <c r="D119" s="972">
        <v>2.4800000000000001E-4</v>
      </c>
      <c r="E119" s="972">
        <v>1.983E-3</v>
      </c>
      <c r="F119" s="972">
        <v>-6.7999999999999999E-5</v>
      </c>
      <c r="G119" s="972">
        <v>16741</v>
      </c>
      <c r="H119" s="972">
        <v>35.402999999999999</v>
      </c>
      <c r="I119" s="972">
        <v>14.2705</v>
      </c>
      <c r="J119" s="972">
        <v>120</v>
      </c>
    </row>
    <row r="120" spans="1:10" ht="15.75" hidden="1">
      <c r="A120" s="972" t="s">
        <v>2402</v>
      </c>
      <c r="B120" s="972" t="s">
        <v>1834</v>
      </c>
      <c r="C120" s="972" t="s">
        <v>2393</v>
      </c>
      <c r="D120" s="972">
        <v>-8.3900000000000001E-4</v>
      </c>
      <c r="E120" s="972">
        <v>-6.1399999999999996E-4</v>
      </c>
      <c r="F120" s="972">
        <v>-4.6999999999999997E-5</v>
      </c>
      <c r="G120" s="972">
        <v>16741</v>
      </c>
      <c r="H120" s="972">
        <v>35.402999999999999</v>
      </c>
      <c r="I120" s="972">
        <v>14.2705</v>
      </c>
      <c r="J120" s="972">
        <v>120</v>
      </c>
    </row>
    <row r="121" spans="1:10" ht="15.75" hidden="1">
      <c r="A121" s="972" t="s">
        <v>2402</v>
      </c>
      <c r="B121" s="972" t="s">
        <v>1834</v>
      </c>
      <c r="C121" s="972" t="s">
        <v>2394</v>
      </c>
      <c r="D121" s="972">
        <v>2.9E-5</v>
      </c>
      <c r="E121" s="972">
        <v>1.621E-3</v>
      </c>
      <c r="F121" s="972">
        <v>-4.6E-5</v>
      </c>
      <c r="G121" s="972">
        <v>16741</v>
      </c>
      <c r="H121" s="972">
        <v>35.402999999999999</v>
      </c>
      <c r="I121" s="972">
        <v>14.2705</v>
      </c>
      <c r="J121" s="972">
        <v>120</v>
      </c>
    </row>
    <row r="122" spans="1:10" ht="15.75" hidden="1">
      <c r="A122" s="972" t="s">
        <v>2402</v>
      </c>
      <c r="B122" s="972" t="s">
        <v>1834</v>
      </c>
      <c r="C122" s="972" t="s">
        <v>2395</v>
      </c>
      <c r="D122" s="972">
        <v>7.3399999999999995E-4</v>
      </c>
      <c r="E122" s="972">
        <v>1.6899999999999999E-4</v>
      </c>
      <c r="F122" s="972">
        <v>5.0000000000000002E-5</v>
      </c>
      <c r="G122" s="972">
        <v>16741</v>
      </c>
      <c r="H122" s="972">
        <v>35.402999999999999</v>
      </c>
      <c r="I122" s="972">
        <v>14.2705</v>
      </c>
      <c r="J122" s="972">
        <v>120</v>
      </c>
    </row>
    <row r="123" spans="1:10" ht="15.75" hidden="1">
      <c r="A123" s="972" t="s">
        <v>2402</v>
      </c>
      <c r="B123" s="972" t="s">
        <v>1834</v>
      </c>
      <c r="C123" s="972" t="s">
        <v>2396</v>
      </c>
      <c r="D123" s="972">
        <v>-8.7999999999999998E-5</v>
      </c>
      <c r="E123" s="972">
        <v>-1.4250000000000001E-3</v>
      </c>
      <c r="F123" s="972">
        <v>3.1000000000000001E-5</v>
      </c>
      <c r="G123" s="972">
        <v>16741</v>
      </c>
      <c r="H123" s="972">
        <v>35.402999999999999</v>
      </c>
      <c r="I123" s="972">
        <v>14.2705</v>
      </c>
      <c r="J123" s="972">
        <v>120</v>
      </c>
    </row>
    <row r="124" spans="1:10" ht="15.75" hidden="1">
      <c r="A124" s="972" t="s">
        <v>2403</v>
      </c>
      <c r="B124" s="972" t="s">
        <v>1834</v>
      </c>
      <c r="C124" s="972" t="s">
        <v>2297</v>
      </c>
      <c r="D124" s="972">
        <v>-1.214E-3</v>
      </c>
      <c r="E124" s="972">
        <v>6.241E-3</v>
      </c>
      <c r="F124" s="972">
        <v>4.8999999999999998E-5</v>
      </c>
      <c r="G124" s="972">
        <v>16742</v>
      </c>
      <c r="H124" s="972">
        <v>35.402999999999999</v>
      </c>
      <c r="I124" s="972">
        <v>14.2705</v>
      </c>
      <c r="J124" s="972">
        <v>116.6</v>
      </c>
    </row>
    <row r="125" spans="1:10" ht="15.75" hidden="1">
      <c r="A125" s="972" t="s">
        <v>2403</v>
      </c>
      <c r="B125" s="972" t="s">
        <v>1834</v>
      </c>
      <c r="C125" s="972" t="s">
        <v>2298</v>
      </c>
      <c r="D125" s="972">
        <v>-8.4999999999999995E-4</v>
      </c>
      <c r="E125" s="972">
        <v>-1.286E-3</v>
      </c>
      <c r="F125" s="972">
        <v>2.8299999999999999E-4</v>
      </c>
      <c r="G125" s="972">
        <v>16742</v>
      </c>
      <c r="H125" s="972">
        <v>35.402999999999999</v>
      </c>
      <c r="I125" s="972">
        <v>14.2705</v>
      </c>
      <c r="J125" s="972">
        <v>116.6</v>
      </c>
    </row>
    <row r="126" spans="1:10" ht="15.75">
      <c r="A126" s="972" t="s">
        <v>2403</v>
      </c>
      <c r="B126" s="972" t="s">
        <v>1834</v>
      </c>
      <c r="C126" s="972" t="s">
        <v>2299</v>
      </c>
      <c r="D126" s="972">
        <v>6.1089999999999998E-3</v>
      </c>
      <c r="E126" s="972">
        <v>9.6299999999999999E-4</v>
      </c>
      <c r="F126" s="972">
        <v>4.8999999999999998E-5</v>
      </c>
      <c r="G126" s="972">
        <v>16742</v>
      </c>
      <c r="H126" s="972">
        <v>35.402999999999999</v>
      </c>
      <c r="I126" s="972">
        <v>14.2705</v>
      </c>
      <c r="J126" s="972">
        <v>116.6</v>
      </c>
    </row>
    <row r="127" spans="1:10" ht="15.75" hidden="1">
      <c r="A127" s="972" t="s">
        <v>2403</v>
      </c>
      <c r="B127" s="972" t="s">
        <v>1834</v>
      </c>
      <c r="C127" s="972" t="s">
        <v>2300</v>
      </c>
      <c r="D127" s="972">
        <v>6.1200000000000002E-4</v>
      </c>
      <c r="E127" s="972">
        <v>-1.7E-5</v>
      </c>
      <c r="F127" s="972">
        <v>-2.2800000000000001E-4</v>
      </c>
      <c r="G127" s="972">
        <v>16742</v>
      </c>
      <c r="H127" s="972">
        <v>35.402999999999999</v>
      </c>
      <c r="I127" s="972">
        <v>14.2705</v>
      </c>
      <c r="J127" s="972">
        <v>116.6</v>
      </c>
    </row>
    <row r="128" spans="1:10" ht="15.75" hidden="1">
      <c r="A128" s="972" t="s">
        <v>2403</v>
      </c>
      <c r="B128" s="972" t="s">
        <v>1834</v>
      </c>
      <c r="C128" s="972" t="s">
        <v>2301</v>
      </c>
      <c r="D128" s="972">
        <v>-4.6900000000000002E-4</v>
      </c>
      <c r="E128" s="972">
        <v>4.2339999999999999E-3</v>
      </c>
      <c r="F128" s="972">
        <v>-6.0000000000000002E-6</v>
      </c>
      <c r="G128" s="972">
        <v>16742</v>
      </c>
      <c r="H128" s="972">
        <v>35.402999999999999</v>
      </c>
      <c r="I128" s="972">
        <v>14.2705</v>
      </c>
      <c r="J128" s="972">
        <v>116.6</v>
      </c>
    </row>
    <row r="129" spans="1:10" ht="15.75" hidden="1">
      <c r="A129" s="972" t="s">
        <v>2403</v>
      </c>
      <c r="B129" s="972" t="s">
        <v>1834</v>
      </c>
      <c r="C129" s="972" t="s">
        <v>2302</v>
      </c>
      <c r="D129" s="972">
        <v>4.411E-3</v>
      </c>
      <c r="E129" s="972">
        <v>5.7300000000000005E-4</v>
      </c>
      <c r="F129" s="972">
        <v>2.8E-5</v>
      </c>
      <c r="G129" s="972">
        <v>16742</v>
      </c>
      <c r="H129" s="972">
        <v>35.402999999999999</v>
      </c>
      <c r="I129" s="972">
        <v>14.2705</v>
      </c>
      <c r="J129" s="972">
        <v>116.6</v>
      </c>
    </row>
    <row r="130" spans="1:10" ht="15.75" hidden="1">
      <c r="A130" s="972" t="s">
        <v>2403</v>
      </c>
      <c r="B130" s="972" t="s">
        <v>1834</v>
      </c>
      <c r="C130" s="972" t="s">
        <v>2303</v>
      </c>
      <c r="D130" s="972">
        <v>1.9699999999999999E-4</v>
      </c>
      <c r="E130" s="972">
        <v>-3.9999999999999998E-6</v>
      </c>
      <c r="F130" s="972">
        <v>-1.36E-4</v>
      </c>
      <c r="G130" s="972">
        <v>16742</v>
      </c>
      <c r="H130" s="972">
        <v>35.402999999999999</v>
      </c>
      <c r="I130" s="972">
        <v>14.2705</v>
      </c>
      <c r="J130" s="972">
        <v>116.6</v>
      </c>
    </row>
    <row r="131" spans="1:10" ht="15.75" hidden="1">
      <c r="A131" s="972" t="s">
        <v>2403</v>
      </c>
      <c r="B131" s="972" t="s">
        <v>1834</v>
      </c>
      <c r="C131" s="972" t="s">
        <v>2304</v>
      </c>
      <c r="D131" s="972">
        <v>1.8599999999999999E-4</v>
      </c>
      <c r="E131" s="972">
        <v>-2.1930000000000001E-3</v>
      </c>
      <c r="F131" s="972">
        <v>1.9999999999999999E-6</v>
      </c>
      <c r="G131" s="972">
        <v>16742</v>
      </c>
      <c r="H131" s="972">
        <v>35.402999999999999</v>
      </c>
      <c r="I131" s="972">
        <v>14.2705</v>
      </c>
      <c r="J131" s="972">
        <v>116.6</v>
      </c>
    </row>
    <row r="132" spans="1:10" ht="15.75" hidden="1">
      <c r="A132" s="972" t="s">
        <v>2403</v>
      </c>
      <c r="B132" s="972" t="s">
        <v>1834</v>
      </c>
      <c r="C132" s="972" t="s">
        <v>2305</v>
      </c>
      <c r="D132" s="972">
        <v>2.3599999999999999E-4</v>
      </c>
      <c r="E132" s="972">
        <v>1.5E-5</v>
      </c>
      <c r="F132" s="972">
        <v>-2.0000000000000002E-5</v>
      </c>
      <c r="G132" s="972">
        <v>16742</v>
      </c>
      <c r="H132" s="972">
        <v>35.402999999999999</v>
      </c>
      <c r="I132" s="972">
        <v>14.2705</v>
      </c>
      <c r="J132" s="972">
        <v>116.6</v>
      </c>
    </row>
    <row r="133" spans="1:10" ht="15.75" hidden="1">
      <c r="A133" s="972" t="s">
        <v>2403</v>
      </c>
      <c r="B133" s="972" t="s">
        <v>1834</v>
      </c>
      <c r="C133" s="972" t="s">
        <v>2306</v>
      </c>
      <c r="D133" s="972">
        <v>-2.3240000000000001E-3</v>
      </c>
      <c r="E133" s="972">
        <v>-2.5099999999999998E-4</v>
      </c>
      <c r="F133" s="972">
        <v>-1.8E-5</v>
      </c>
      <c r="G133" s="972">
        <v>16742</v>
      </c>
      <c r="H133" s="972">
        <v>35.402999999999999</v>
      </c>
      <c r="I133" s="972">
        <v>14.2705</v>
      </c>
      <c r="J133" s="972">
        <v>116.6</v>
      </c>
    </row>
    <row r="134" spans="1:10" ht="15.75" hidden="1">
      <c r="A134" s="972" t="s">
        <v>2403</v>
      </c>
      <c r="B134" s="972" t="s">
        <v>1834</v>
      </c>
      <c r="C134" s="972" t="s">
        <v>2307</v>
      </c>
      <c r="D134" s="972">
        <v>1.73E-4</v>
      </c>
      <c r="E134" s="972">
        <v>3.6000000000000001E-5</v>
      </c>
      <c r="F134" s="972">
        <v>-8.1000000000000004E-5</v>
      </c>
      <c r="G134" s="972">
        <v>16742</v>
      </c>
      <c r="H134" s="972">
        <v>35.402999999999999</v>
      </c>
      <c r="I134" s="972">
        <v>14.2705</v>
      </c>
      <c r="J134" s="972">
        <v>116.6</v>
      </c>
    </row>
    <row r="135" spans="1:10" ht="15.75" hidden="1">
      <c r="A135" s="972" t="s">
        <v>2403</v>
      </c>
      <c r="B135" s="972" t="s">
        <v>1834</v>
      </c>
      <c r="C135" s="972" t="s">
        <v>2308</v>
      </c>
      <c r="D135" s="972">
        <v>9.2999999999999997E-5</v>
      </c>
      <c r="E135" s="972">
        <v>-8.5000000000000006E-5</v>
      </c>
      <c r="F135" s="972">
        <v>-3.0000000000000001E-5</v>
      </c>
      <c r="G135" s="972">
        <v>16742</v>
      </c>
      <c r="H135" s="972">
        <v>35.402999999999999</v>
      </c>
      <c r="I135" s="972">
        <v>14.2705</v>
      </c>
      <c r="J135" s="972">
        <v>116.6</v>
      </c>
    </row>
    <row r="136" spans="1:10" ht="15.75" hidden="1">
      <c r="A136" s="972" t="s">
        <v>2403</v>
      </c>
      <c r="B136" s="972" t="s">
        <v>1834</v>
      </c>
      <c r="C136" s="972" t="s">
        <v>2309</v>
      </c>
      <c r="D136" s="972">
        <v>-7.7999999999999999E-5</v>
      </c>
      <c r="E136" s="972">
        <v>-2.3E-5</v>
      </c>
      <c r="F136" s="972">
        <v>9.9999999999999995E-7</v>
      </c>
      <c r="G136" s="972">
        <v>16742</v>
      </c>
      <c r="H136" s="972">
        <v>35.402999999999999</v>
      </c>
      <c r="I136" s="972">
        <v>14.2705</v>
      </c>
      <c r="J136" s="972">
        <v>116.6</v>
      </c>
    </row>
    <row r="137" spans="1:10" ht="15.75" hidden="1">
      <c r="A137" s="972" t="s">
        <v>2403</v>
      </c>
      <c r="B137" s="972" t="s">
        <v>1834</v>
      </c>
      <c r="C137" s="972" t="s">
        <v>2310</v>
      </c>
      <c r="D137" s="972">
        <v>-3.48E-4</v>
      </c>
      <c r="E137" s="972">
        <v>-5.1999999999999997E-5</v>
      </c>
      <c r="F137" s="972">
        <v>1.7000000000000001E-4</v>
      </c>
      <c r="G137" s="972">
        <v>16742</v>
      </c>
      <c r="H137" s="972">
        <v>35.402999999999999</v>
      </c>
      <c r="I137" s="972">
        <v>14.2705</v>
      </c>
      <c r="J137" s="972">
        <v>116.6</v>
      </c>
    </row>
    <row r="138" spans="1:10" ht="15.75" hidden="1">
      <c r="A138" s="972" t="s">
        <v>2403</v>
      </c>
      <c r="B138" s="972" t="s">
        <v>1834</v>
      </c>
      <c r="C138" s="972" t="s">
        <v>2311</v>
      </c>
      <c r="D138" s="972">
        <v>-2.1900000000000001E-4</v>
      </c>
      <c r="E138" s="972">
        <v>2.098E-3</v>
      </c>
      <c r="F138" s="972">
        <v>5.0000000000000004E-6</v>
      </c>
      <c r="G138" s="972">
        <v>16742</v>
      </c>
      <c r="H138" s="972">
        <v>35.402999999999999</v>
      </c>
      <c r="I138" s="972">
        <v>14.2705</v>
      </c>
      <c r="J138" s="972">
        <v>116.6</v>
      </c>
    </row>
    <row r="139" spans="1:10" ht="15.75" hidden="1">
      <c r="A139" s="972" t="s">
        <v>2403</v>
      </c>
      <c r="B139" s="972" t="s">
        <v>1834</v>
      </c>
      <c r="C139" s="972" t="s">
        <v>2328</v>
      </c>
      <c r="D139" s="972">
        <v>1.83E-4</v>
      </c>
      <c r="E139" s="972">
        <v>1.11E-4</v>
      </c>
      <c r="F139" s="972">
        <v>-2.14E-4</v>
      </c>
      <c r="G139" s="972">
        <v>16742</v>
      </c>
      <c r="H139" s="972">
        <v>35.402999999999999</v>
      </c>
      <c r="I139" s="972">
        <v>14.2705</v>
      </c>
      <c r="J139" s="972">
        <v>116.6</v>
      </c>
    </row>
    <row r="140" spans="1:10" ht="15.75" hidden="1">
      <c r="A140" s="972" t="s">
        <v>2403</v>
      </c>
      <c r="B140" s="972" t="s">
        <v>1834</v>
      </c>
      <c r="C140" s="972" t="s">
        <v>2329</v>
      </c>
      <c r="D140" s="972">
        <v>-1.97E-3</v>
      </c>
      <c r="E140" s="972">
        <v>-1.6699999999999999E-4</v>
      </c>
      <c r="F140" s="972">
        <v>2.3E-5</v>
      </c>
      <c r="G140" s="972">
        <v>16742</v>
      </c>
      <c r="H140" s="972">
        <v>35.402999999999999</v>
      </c>
      <c r="I140" s="972">
        <v>14.2705</v>
      </c>
      <c r="J140" s="972">
        <v>116.6</v>
      </c>
    </row>
    <row r="141" spans="1:10" ht="15.75" hidden="1">
      <c r="A141" s="972" t="s">
        <v>2403</v>
      </c>
      <c r="B141" s="972" t="s">
        <v>1834</v>
      </c>
      <c r="C141" s="972" t="s">
        <v>2330</v>
      </c>
      <c r="D141" s="972">
        <v>-3.5500000000000001E-4</v>
      </c>
      <c r="E141" s="972">
        <v>3.6250000000000002E-3</v>
      </c>
      <c r="F141" s="972">
        <v>4.1999999999999998E-5</v>
      </c>
      <c r="G141" s="972">
        <v>16742</v>
      </c>
      <c r="H141" s="972">
        <v>35.402999999999999</v>
      </c>
      <c r="I141" s="972">
        <v>14.2705</v>
      </c>
      <c r="J141" s="972">
        <v>116.6</v>
      </c>
    </row>
    <row r="142" spans="1:10" ht="15.75" hidden="1">
      <c r="A142" s="972" t="s">
        <v>2403</v>
      </c>
      <c r="B142" s="972" t="s">
        <v>1834</v>
      </c>
      <c r="C142" s="972" t="s">
        <v>2331</v>
      </c>
      <c r="D142" s="972">
        <v>-8.2000000000000001E-5</v>
      </c>
      <c r="E142" s="972">
        <v>6.69E-4</v>
      </c>
      <c r="F142" s="972">
        <v>-2.3900000000000001E-4</v>
      </c>
      <c r="G142" s="972">
        <v>16742</v>
      </c>
      <c r="H142" s="972">
        <v>35.402999999999999</v>
      </c>
      <c r="I142" s="972">
        <v>14.2705</v>
      </c>
      <c r="J142" s="972">
        <v>116.6</v>
      </c>
    </row>
    <row r="143" spans="1:10" ht="15.75" hidden="1">
      <c r="A143" s="972" t="s">
        <v>2403</v>
      </c>
      <c r="B143" s="972" t="s">
        <v>1834</v>
      </c>
      <c r="C143" s="972" t="s">
        <v>2332</v>
      </c>
      <c r="D143" s="972">
        <v>3.5339999999999998E-3</v>
      </c>
      <c r="E143" s="972">
        <v>1.84E-4</v>
      </c>
      <c r="F143" s="972">
        <v>-3.4999999999999997E-5</v>
      </c>
      <c r="G143" s="972">
        <v>16742</v>
      </c>
      <c r="H143" s="972">
        <v>35.402999999999999</v>
      </c>
      <c r="I143" s="972">
        <v>14.2705</v>
      </c>
      <c r="J143" s="972">
        <v>116.6</v>
      </c>
    </row>
    <row r="144" spans="1:10" ht="15.75" hidden="1">
      <c r="A144" s="972" t="s">
        <v>2403</v>
      </c>
      <c r="B144" s="972" t="s">
        <v>1834</v>
      </c>
      <c r="C144" s="972" t="s">
        <v>2387</v>
      </c>
      <c r="D144" s="972">
        <v>4.37E-4</v>
      </c>
      <c r="E144" s="972">
        <v>-4.5500000000000002E-3</v>
      </c>
      <c r="F144" s="972">
        <v>-4.1999999999999998E-5</v>
      </c>
      <c r="G144" s="972">
        <v>16742</v>
      </c>
      <c r="H144" s="972">
        <v>35.402999999999999</v>
      </c>
      <c r="I144" s="972">
        <v>14.2705</v>
      </c>
      <c r="J144" s="972">
        <v>116.6</v>
      </c>
    </row>
    <row r="145" spans="1:10" ht="15.75" hidden="1">
      <c r="A145" s="972" t="s">
        <v>2403</v>
      </c>
      <c r="B145" s="972" t="s">
        <v>1834</v>
      </c>
      <c r="C145" s="972" t="s">
        <v>2388</v>
      </c>
      <c r="D145" s="972">
        <v>4.4320000000000002E-3</v>
      </c>
      <c r="E145" s="972">
        <v>-1.6899999999999999E-4</v>
      </c>
      <c r="F145" s="972">
        <v>-1.4200000000000001E-4</v>
      </c>
      <c r="G145" s="972">
        <v>16742</v>
      </c>
      <c r="H145" s="972">
        <v>35.402999999999999</v>
      </c>
      <c r="I145" s="972">
        <v>14.2705</v>
      </c>
      <c r="J145" s="972">
        <v>116.6</v>
      </c>
    </row>
    <row r="146" spans="1:10" ht="15.75" hidden="1">
      <c r="A146" s="972" t="s">
        <v>2403</v>
      </c>
      <c r="B146" s="972" t="s">
        <v>1834</v>
      </c>
      <c r="C146" s="972" t="s">
        <v>2389</v>
      </c>
      <c r="D146" s="972">
        <v>-4.4099999999999999E-4</v>
      </c>
      <c r="E146" s="972">
        <v>-3.15E-3</v>
      </c>
      <c r="F146" s="972">
        <v>-1.12E-4</v>
      </c>
      <c r="G146" s="972">
        <v>16742</v>
      </c>
      <c r="H146" s="972">
        <v>35.402999999999999</v>
      </c>
      <c r="I146" s="972">
        <v>14.2705</v>
      </c>
      <c r="J146" s="972">
        <v>116.6</v>
      </c>
    </row>
    <row r="147" spans="1:10" ht="15.75" hidden="1">
      <c r="A147" s="972" t="s">
        <v>2403</v>
      </c>
      <c r="B147" s="972" t="s">
        <v>1834</v>
      </c>
      <c r="C147" s="972" t="s">
        <v>2390</v>
      </c>
      <c r="D147" s="972">
        <v>-1.5939999999999999E-3</v>
      </c>
      <c r="E147" s="972">
        <v>-2.5539999999999998E-3</v>
      </c>
      <c r="F147" s="972">
        <v>1.4300000000000001E-4</v>
      </c>
      <c r="G147" s="972">
        <v>16742</v>
      </c>
      <c r="H147" s="972">
        <v>35.402999999999999</v>
      </c>
      <c r="I147" s="972">
        <v>14.2705</v>
      </c>
      <c r="J147" s="972">
        <v>116.6</v>
      </c>
    </row>
    <row r="148" spans="1:10" ht="15.75" hidden="1">
      <c r="A148" s="972" t="s">
        <v>2403</v>
      </c>
      <c r="B148" s="972" t="s">
        <v>1834</v>
      </c>
      <c r="C148" s="972" t="s">
        <v>2391</v>
      </c>
      <c r="D148" s="972">
        <v>-1.6609999999999999E-3</v>
      </c>
      <c r="E148" s="972">
        <v>-1.4940000000000001E-3</v>
      </c>
      <c r="F148" s="972">
        <v>-6.0999999999999999E-5</v>
      </c>
      <c r="G148" s="972">
        <v>16742</v>
      </c>
      <c r="H148" s="972">
        <v>35.402999999999999</v>
      </c>
      <c r="I148" s="972">
        <v>14.2705</v>
      </c>
      <c r="J148" s="972">
        <v>116.6</v>
      </c>
    </row>
    <row r="149" spans="1:10" ht="15.75" hidden="1">
      <c r="A149" s="972" t="s">
        <v>2403</v>
      </c>
      <c r="B149" s="972" t="s">
        <v>1834</v>
      </c>
      <c r="C149" s="972" t="s">
        <v>2392</v>
      </c>
      <c r="D149" s="972">
        <v>2.5999999999999998E-5</v>
      </c>
      <c r="E149" s="972">
        <v>2.5119999999999999E-3</v>
      </c>
      <c r="F149" s="972">
        <v>-6.7000000000000002E-5</v>
      </c>
      <c r="G149" s="972">
        <v>16742</v>
      </c>
      <c r="H149" s="972">
        <v>35.402999999999999</v>
      </c>
      <c r="I149" s="972">
        <v>14.2705</v>
      </c>
      <c r="J149" s="972">
        <v>116.6</v>
      </c>
    </row>
    <row r="150" spans="1:10" ht="15.75" hidden="1">
      <c r="A150" s="972" t="s">
        <v>2403</v>
      </c>
      <c r="B150" s="972" t="s">
        <v>1834</v>
      </c>
      <c r="C150" s="972" t="s">
        <v>2393</v>
      </c>
      <c r="D150" s="972">
        <v>-1.3940000000000001E-3</v>
      </c>
      <c r="E150" s="972">
        <v>-6.6399999999999999E-4</v>
      </c>
      <c r="F150" s="972">
        <v>-5.3999999999999998E-5</v>
      </c>
      <c r="G150" s="972">
        <v>16742</v>
      </c>
      <c r="H150" s="972">
        <v>35.402999999999999</v>
      </c>
      <c r="I150" s="972">
        <v>14.2705</v>
      </c>
      <c r="J150" s="972">
        <v>116.6</v>
      </c>
    </row>
    <row r="151" spans="1:10" ht="15.75" hidden="1">
      <c r="A151" s="972" t="s">
        <v>2403</v>
      </c>
      <c r="B151" s="972" t="s">
        <v>1834</v>
      </c>
      <c r="C151" s="972" t="s">
        <v>2394</v>
      </c>
      <c r="D151" s="972">
        <v>-1.55E-4</v>
      </c>
      <c r="E151" s="972">
        <v>1.936E-3</v>
      </c>
      <c r="F151" s="972">
        <v>-4.3999999999999999E-5</v>
      </c>
      <c r="G151" s="972">
        <v>16742</v>
      </c>
      <c r="H151" s="972">
        <v>35.402999999999999</v>
      </c>
      <c r="I151" s="972">
        <v>14.2705</v>
      </c>
      <c r="J151" s="972">
        <v>116.6</v>
      </c>
    </row>
    <row r="152" spans="1:10" ht="15.75" hidden="1">
      <c r="A152" s="972" t="s">
        <v>2403</v>
      </c>
      <c r="B152" s="972" t="s">
        <v>1834</v>
      </c>
      <c r="C152" s="972" t="s">
        <v>2395</v>
      </c>
      <c r="D152" s="972">
        <v>1.201E-3</v>
      </c>
      <c r="E152" s="972">
        <v>1.2999999999999999E-4</v>
      </c>
      <c r="F152" s="972">
        <v>5.5999999999999999E-5</v>
      </c>
      <c r="G152" s="972">
        <v>16742</v>
      </c>
      <c r="H152" s="972">
        <v>35.402999999999999</v>
      </c>
      <c r="I152" s="972">
        <v>14.2705</v>
      </c>
      <c r="J152" s="972">
        <v>116.6</v>
      </c>
    </row>
    <row r="153" spans="1:10" ht="15.75" hidden="1">
      <c r="A153" s="972" t="s">
        <v>2403</v>
      </c>
      <c r="B153" s="972" t="s">
        <v>1834</v>
      </c>
      <c r="C153" s="972" t="s">
        <v>2396</v>
      </c>
      <c r="D153" s="972">
        <v>-9.0000000000000002E-6</v>
      </c>
      <c r="E153" s="972">
        <v>-1.652E-3</v>
      </c>
      <c r="F153" s="972">
        <v>2.9E-5</v>
      </c>
      <c r="G153" s="972">
        <v>16742</v>
      </c>
      <c r="H153" s="972">
        <v>35.402999999999999</v>
      </c>
      <c r="I153" s="972">
        <v>14.2705</v>
      </c>
      <c r="J153" s="972">
        <v>116.6</v>
      </c>
    </row>
    <row r="154" spans="1:10" ht="15.75" hidden="1">
      <c r="A154" s="972" t="s">
        <v>2404</v>
      </c>
      <c r="B154" s="972" t="s">
        <v>1834</v>
      </c>
      <c r="C154" s="972" t="s">
        <v>2297</v>
      </c>
      <c r="D154" s="972">
        <v>-1.1770000000000001E-3</v>
      </c>
      <c r="E154" s="972">
        <v>6.0549999999999996E-3</v>
      </c>
      <c r="F154" s="972">
        <v>4.8000000000000001E-5</v>
      </c>
      <c r="G154" s="972">
        <v>16743</v>
      </c>
      <c r="H154" s="972">
        <v>35.402999999999999</v>
      </c>
      <c r="I154" s="972">
        <v>14.2705</v>
      </c>
      <c r="J154" s="972">
        <v>113.2</v>
      </c>
    </row>
    <row r="155" spans="1:10" ht="15.75" hidden="1">
      <c r="A155" s="972" t="s">
        <v>2404</v>
      </c>
      <c r="B155" s="972" t="s">
        <v>1834</v>
      </c>
      <c r="C155" s="972" t="s">
        <v>2298</v>
      </c>
      <c r="D155" s="972">
        <v>-8.3500000000000002E-4</v>
      </c>
      <c r="E155" s="972">
        <v>-1.2489999999999999E-3</v>
      </c>
      <c r="F155" s="972">
        <v>2.7799999999999998E-4</v>
      </c>
      <c r="G155" s="972">
        <v>16743</v>
      </c>
      <c r="H155" s="972">
        <v>35.402999999999999</v>
      </c>
      <c r="I155" s="972">
        <v>14.2705</v>
      </c>
      <c r="J155" s="972">
        <v>113.2</v>
      </c>
    </row>
    <row r="156" spans="1:10" ht="15.75">
      <c r="A156" s="972" t="s">
        <v>2404</v>
      </c>
      <c r="B156" s="972" t="s">
        <v>1834</v>
      </c>
      <c r="C156" s="972" t="s">
        <v>2299</v>
      </c>
      <c r="D156" s="972">
        <v>5.9589999999999999E-3</v>
      </c>
      <c r="E156" s="972">
        <v>9.4499999999999998E-4</v>
      </c>
      <c r="F156" s="972">
        <v>4.8000000000000001E-5</v>
      </c>
      <c r="G156" s="972">
        <v>16743</v>
      </c>
      <c r="H156" s="972">
        <v>35.402999999999999</v>
      </c>
      <c r="I156" s="972">
        <v>14.2705</v>
      </c>
      <c r="J156" s="972">
        <v>113.2</v>
      </c>
    </row>
    <row r="157" spans="1:10" ht="15.75" hidden="1">
      <c r="A157" s="972" t="s">
        <v>2404</v>
      </c>
      <c r="B157" s="972" t="s">
        <v>1834</v>
      </c>
      <c r="C157" s="972" t="s">
        <v>2300</v>
      </c>
      <c r="D157" s="972">
        <v>5.22E-4</v>
      </c>
      <c r="E157" s="972">
        <v>-1.2E-5</v>
      </c>
      <c r="F157" s="972">
        <v>-2.0000000000000001E-4</v>
      </c>
      <c r="G157" s="972">
        <v>16743</v>
      </c>
      <c r="H157" s="972">
        <v>35.402999999999999</v>
      </c>
      <c r="I157" s="972">
        <v>14.2705</v>
      </c>
      <c r="J157" s="972">
        <v>113.2</v>
      </c>
    </row>
    <row r="158" spans="1:10" ht="15.75" hidden="1">
      <c r="A158" s="972" t="s">
        <v>2404</v>
      </c>
      <c r="B158" s="972" t="s">
        <v>1834</v>
      </c>
      <c r="C158" s="972" t="s">
        <v>2301</v>
      </c>
      <c r="D158" s="972">
        <v>-3.77E-4</v>
      </c>
      <c r="E158" s="972">
        <v>3.5019999999999999E-3</v>
      </c>
      <c r="F158" s="972">
        <v>-5.0000000000000004E-6</v>
      </c>
      <c r="G158" s="972">
        <v>16743</v>
      </c>
      <c r="H158" s="972">
        <v>35.402999999999999</v>
      </c>
      <c r="I158" s="972">
        <v>14.2705</v>
      </c>
      <c r="J158" s="972">
        <v>113.2</v>
      </c>
    </row>
    <row r="159" spans="1:10" ht="15.75" hidden="1">
      <c r="A159" s="972" t="s">
        <v>2404</v>
      </c>
      <c r="B159" s="972" t="s">
        <v>1834</v>
      </c>
      <c r="C159" s="972" t="s">
        <v>2302</v>
      </c>
      <c r="D159" s="972">
        <v>3.7190000000000001E-3</v>
      </c>
      <c r="E159" s="972">
        <v>4.9399999999999997E-4</v>
      </c>
      <c r="F159" s="972">
        <v>2.5000000000000001E-5</v>
      </c>
      <c r="G159" s="972">
        <v>16743</v>
      </c>
      <c r="H159" s="972">
        <v>35.402999999999999</v>
      </c>
      <c r="I159" s="972">
        <v>14.2705</v>
      </c>
      <c r="J159" s="972">
        <v>113.2</v>
      </c>
    </row>
    <row r="160" spans="1:10" ht="15.75" hidden="1">
      <c r="A160" s="972" t="s">
        <v>2404</v>
      </c>
      <c r="B160" s="972" t="s">
        <v>1834</v>
      </c>
      <c r="C160" s="972" t="s">
        <v>2303</v>
      </c>
      <c r="D160" s="972">
        <v>6.7999999999999999E-5</v>
      </c>
      <c r="E160" s="972">
        <v>-6.9999999999999999E-6</v>
      </c>
      <c r="F160" s="972">
        <v>-7.7999999999999999E-5</v>
      </c>
      <c r="G160" s="972">
        <v>16743</v>
      </c>
      <c r="H160" s="972">
        <v>35.402999999999999</v>
      </c>
      <c r="I160" s="972">
        <v>14.2705</v>
      </c>
      <c r="J160" s="972">
        <v>113.2</v>
      </c>
    </row>
    <row r="161" spans="1:10" ht="15.75" hidden="1">
      <c r="A161" s="972" t="s">
        <v>2404</v>
      </c>
      <c r="B161" s="972" t="s">
        <v>1834</v>
      </c>
      <c r="C161" s="972" t="s">
        <v>2304</v>
      </c>
      <c r="D161" s="972">
        <v>6.4999999999999994E-5</v>
      </c>
      <c r="E161" s="972">
        <v>-9.3599999999999998E-4</v>
      </c>
      <c r="F161" s="972">
        <v>4.5950000000000001E-7</v>
      </c>
      <c r="G161" s="972">
        <v>16743</v>
      </c>
      <c r="H161" s="972">
        <v>35.402999999999999</v>
      </c>
      <c r="I161" s="972">
        <v>14.2705</v>
      </c>
      <c r="J161" s="972">
        <v>113.2</v>
      </c>
    </row>
    <row r="162" spans="1:10" ht="15.75" hidden="1">
      <c r="A162" s="972" t="s">
        <v>2404</v>
      </c>
      <c r="B162" s="972" t="s">
        <v>1834</v>
      </c>
      <c r="C162" s="972" t="s">
        <v>2305</v>
      </c>
      <c r="D162" s="972">
        <v>-5.5000000000000002E-5</v>
      </c>
      <c r="E162" s="972">
        <v>3.9999999999999998E-6</v>
      </c>
      <c r="F162" s="972">
        <v>6.0000000000000002E-5</v>
      </c>
      <c r="G162" s="972">
        <v>16743</v>
      </c>
      <c r="H162" s="972">
        <v>35.402999999999999</v>
      </c>
      <c r="I162" s="972">
        <v>14.2705</v>
      </c>
      <c r="J162" s="972">
        <v>113.2</v>
      </c>
    </row>
    <row r="163" spans="1:10" ht="15.75" hidden="1">
      <c r="A163" s="972" t="s">
        <v>2404</v>
      </c>
      <c r="B163" s="972" t="s">
        <v>1834</v>
      </c>
      <c r="C163" s="972" t="s">
        <v>2306</v>
      </c>
      <c r="D163" s="972">
        <v>-1.111E-3</v>
      </c>
      <c r="E163" s="972">
        <v>-1.3100000000000001E-4</v>
      </c>
      <c r="F163" s="972">
        <v>-3.0000000000000001E-6</v>
      </c>
      <c r="G163" s="972">
        <v>16743</v>
      </c>
      <c r="H163" s="972">
        <v>35.402999999999999</v>
      </c>
      <c r="I163" s="972">
        <v>14.2705</v>
      </c>
      <c r="J163" s="972">
        <v>113.2</v>
      </c>
    </row>
    <row r="164" spans="1:10" ht="15.75" hidden="1">
      <c r="A164" s="972" t="s">
        <v>2404</v>
      </c>
      <c r="B164" s="972" t="s">
        <v>1834</v>
      </c>
      <c r="C164" s="972" t="s">
        <v>2307</v>
      </c>
      <c r="D164" s="972">
        <v>3.1100000000000002E-4</v>
      </c>
      <c r="E164" s="972">
        <v>6.1499999999999999E-4</v>
      </c>
      <c r="F164" s="972">
        <v>-1.6100000000000001E-4</v>
      </c>
      <c r="G164" s="972">
        <v>16743</v>
      </c>
      <c r="H164" s="972">
        <v>35.402999999999999</v>
      </c>
      <c r="I164" s="972">
        <v>14.2705</v>
      </c>
      <c r="J164" s="972">
        <v>113.2</v>
      </c>
    </row>
    <row r="165" spans="1:10" ht="15.75" hidden="1">
      <c r="A165" s="972" t="s">
        <v>2404</v>
      </c>
      <c r="B165" s="972" t="s">
        <v>1834</v>
      </c>
      <c r="C165" s="972" t="s">
        <v>2308</v>
      </c>
      <c r="D165" s="972">
        <v>3.1E-4</v>
      </c>
      <c r="E165" s="972">
        <v>-1.6169999999999999E-3</v>
      </c>
      <c r="F165" s="972">
        <v>-5.8999999999999998E-5</v>
      </c>
      <c r="G165" s="972">
        <v>16743</v>
      </c>
      <c r="H165" s="972">
        <v>35.402999999999999</v>
      </c>
      <c r="I165" s="972">
        <v>14.2705</v>
      </c>
      <c r="J165" s="972">
        <v>113.2</v>
      </c>
    </row>
    <row r="166" spans="1:10" ht="15.75" hidden="1">
      <c r="A166" s="972" t="s">
        <v>2404</v>
      </c>
      <c r="B166" s="972" t="s">
        <v>1834</v>
      </c>
      <c r="C166" s="972" t="s">
        <v>2309</v>
      </c>
      <c r="D166" s="972">
        <v>1.544E-3</v>
      </c>
      <c r="E166" s="972">
        <v>1.3100000000000001E-4</v>
      </c>
      <c r="F166" s="972">
        <v>1.2999999999999999E-5</v>
      </c>
      <c r="G166" s="972">
        <v>16743</v>
      </c>
      <c r="H166" s="972">
        <v>35.402999999999999</v>
      </c>
      <c r="I166" s="972">
        <v>14.2705</v>
      </c>
      <c r="J166" s="972">
        <v>113.2</v>
      </c>
    </row>
    <row r="167" spans="1:10" ht="15.75" hidden="1">
      <c r="A167" s="972" t="s">
        <v>2404</v>
      </c>
      <c r="B167" s="972" t="s">
        <v>1834</v>
      </c>
      <c r="C167" s="972" t="s">
        <v>2310</v>
      </c>
      <c r="D167" s="972">
        <v>-5.0100000000000003E-4</v>
      </c>
      <c r="E167" s="972">
        <v>-9.7999999999999997E-5</v>
      </c>
      <c r="F167" s="972">
        <v>2.3699999999999999E-4</v>
      </c>
      <c r="G167" s="972">
        <v>16743</v>
      </c>
      <c r="H167" s="972">
        <v>35.402999999999999</v>
      </c>
      <c r="I167" s="972">
        <v>14.2705</v>
      </c>
      <c r="J167" s="972">
        <v>113.2</v>
      </c>
    </row>
    <row r="168" spans="1:10" ht="15.75" hidden="1">
      <c r="A168" s="972" t="s">
        <v>2404</v>
      </c>
      <c r="B168" s="972" t="s">
        <v>1834</v>
      </c>
      <c r="C168" s="972" t="s">
        <v>2311</v>
      </c>
      <c r="D168" s="972">
        <v>-3.7500000000000001E-4</v>
      </c>
      <c r="E168" s="972">
        <v>3.7729999999999999E-3</v>
      </c>
      <c r="F168" s="972">
        <v>6.0000000000000002E-6</v>
      </c>
      <c r="G168" s="972">
        <v>16743</v>
      </c>
      <c r="H168" s="972">
        <v>35.402999999999999</v>
      </c>
      <c r="I168" s="972">
        <v>14.2705</v>
      </c>
      <c r="J168" s="972">
        <v>113.2</v>
      </c>
    </row>
    <row r="169" spans="1:10" ht="15.75" hidden="1">
      <c r="A169" s="972" t="s">
        <v>2404</v>
      </c>
      <c r="B169" s="972" t="s">
        <v>1834</v>
      </c>
      <c r="C169" s="972" t="s">
        <v>2328</v>
      </c>
      <c r="D169" s="972">
        <v>2.9E-5</v>
      </c>
      <c r="E169" s="972">
        <v>1.47E-4</v>
      </c>
      <c r="F169" s="972">
        <v>-2.4399999999999999E-4</v>
      </c>
      <c r="G169" s="972">
        <v>16743</v>
      </c>
      <c r="H169" s="972">
        <v>35.402999999999999</v>
      </c>
      <c r="I169" s="972">
        <v>14.2705</v>
      </c>
      <c r="J169" s="972">
        <v>113.2</v>
      </c>
    </row>
    <row r="170" spans="1:10" ht="15.75" hidden="1">
      <c r="A170" s="972" t="s">
        <v>2404</v>
      </c>
      <c r="B170" s="972" t="s">
        <v>1834</v>
      </c>
      <c r="C170" s="972" t="s">
        <v>2329</v>
      </c>
      <c r="D170" s="972">
        <v>-3.6459999999999999E-3</v>
      </c>
      <c r="E170" s="972">
        <v>-3.2499999999999999E-4</v>
      </c>
      <c r="F170" s="972">
        <v>1.5E-5</v>
      </c>
      <c r="G170" s="972">
        <v>16743</v>
      </c>
      <c r="H170" s="972">
        <v>35.402999999999999</v>
      </c>
      <c r="I170" s="972">
        <v>14.2705</v>
      </c>
      <c r="J170" s="972">
        <v>113.2</v>
      </c>
    </row>
    <row r="171" spans="1:10" ht="15.75" hidden="1">
      <c r="A171" s="972" t="s">
        <v>2404</v>
      </c>
      <c r="B171" s="972" t="s">
        <v>1834</v>
      </c>
      <c r="C171" s="972" t="s">
        <v>2330</v>
      </c>
      <c r="D171" s="972">
        <v>-4.28E-4</v>
      </c>
      <c r="E171" s="972">
        <v>4.8859999999999997E-3</v>
      </c>
      <c r="F171" s="972">
        <v>4.0000000000000003E-5</v>
      </c>
      <c r="G171" s="972">
        <v>16743</v>
      </c>
      <c r="H171" s="972">
        <v>35.402999999999999</v>
      </c>
      <c r="I171" s="972">
        <v>14.2705</v>
      </c>
      <c r="J171" s="972">
        <v>113.2</v>
      </c>
    </row>
    <row r="172" spans="1:10" ht="15.75" hidden="1">
      <c r="A172" s="972" t="s">
        <v>2404</v>
      </c>
      <c r="B172" s="972" t="s">
        <v>1834</v>
      </c>
      <c r="C172" s="972" t="s">
        <v>2331</v>
      </c>
      <c r="D172" s="972">
        <v>-2.8299999999999999E-4</v>
      </c>
      <c r="E172" s="972">
        <v>9.3300000000000002E-4</v>
      </c>
      <c r="F172" s="972">
        <v>-2.2100000000000001E-4</v>
      </c>
      <c r="G172" s="972">
        <v>16743</v>
      </c>
      <c r="H172" s="972">
        <v>35.402999999999999</v>
      </c>
      <c r="I172" s="972">
        <v>14.2705</v>
      </c>
      <c r="J172" s="972">
        <v>113.2</v>
      </c>
    </row>
    <row r="173" spans="1:10" ht="15.75" hidden="1">
      <c r="A173" s="972" t="s">
        <v>2404</v>
      </c>
      <c r="B173" s="972" t="s">
        <v>1834</v>
      </c>
      <c r="C173" s="972" t="s">
        <v>2332</v>
      </c>
      <c r="D173" s="972">
        <v>4.8269999999999997E-3</v>
      </c>
      <c r="E173" s="972">
        <v>2.9999999999999997E-4</v>
      </c>
      <c r="F173" s="972">
        <v>-1.5999999999999999E-5</v>
      </c>
      <c r="G173" s="972">
        <v>16743</v>
      </c>
      <c r="H173" s="972">
        <v>35.402999999999999</v>
      </c>
      <c r="I173" s="972">
        <v>14.2705</v>
      </c>
      <c r="J173" s="972">
        <v>113.2</v>
      </c>
    </row>
    <row r="174" spans="1:10" ht="15.75" hidden="1">
      <c r="A174" s="972" t="s">
        <v>2404</v>
      </c>
      <c r="B174" s="972" t="s">
        <v>1834</v>
      </c>
      <c r="C174" s="972" t="s">
        <v>2387</v>
      </c>
      <c r="D174" s="972">
        <v>3.8299999999999999E-4</v>
      </c>
      <c r="E174" s="972">
        <v>-5.0720000000000001E-3</v>
      </c>
      <c r="F174" s="972">
        <v>-3.1000000000000001E-5</v>
      </c>
      <c r="G174" s="972">
        <v>16743</v>
      </c>
      <c r="H174" s="972">
        <v>35.402999999999999</v>
      </c>
      <c r="I174" s="972">
        <v>14.2705</v>
      </c>
      <c r="J174" s="972">
        <v>113.2</v>
      </c>
    </row>
    <row r="175" spans="1:10" ht="15.75" hidden="1">
      <c r="A175" s="972" t="s">
        <v>2404</v>
      </c>
      <c r="B175" s="972" t="s">
        <v>1834</v>
      </c>
      <c r="C175" s="972" t="s">
        <v>2388</v>
      </c>
      <c r="D175" s="972">
        <v>4.6909999999999999E-3</v>
      </c>
      <c r="E175" s="972">
        <v>3.0000000000000001E-6</v>
      </c>
      <c r="F175" s="972">
        <v>-7.7999999999999999E-5</v>
      </c>
      <c r="G175" s="972">
        <v>16743</v>
      </c>
      <c r="H175" s="972">
        <v>35.402999999999999</v>
      </c>
      <c r="I175" s="972">
        <v>14.2705</v>
      </c>
      <c r="J175" s="972">
        <v>113.2</v>
      </c>
    </row>
    <row r="176" spans="1:10" ht="15.75" hidden="1">
      <c r="A176" s="972" t="s">
        <v>2404</v>
      </c>
      <c r="B176" s="972" t="s">
        <v>1834</v>
      </c>
      <c r="C176" s="972" t="s">
        <v>2389</v>
      </c>
      <c r="D176" s="972">
        <v>-1.008E-3</v>
      </c>
      <c r="E176" s="972">
        <v>-2.931E-3</v>
      </c>
      <c r="F176" s="972">
        <v>-7.3999999999999996E-5</v>
      </c>
      <c r="G176" s="972">
        <v>16743</v>
      </c>
      <c r="H176" s="972">
        <v>35.402999999999999</v>
      </c>
      <c r="I176" s="972">
        <v>14.2705</v>
      </c>
      <c r="J176" s="972">
        <v>113.2</v>
      </c>
    </row>
    <row r="177" spans="1:10" ht="15.75" hidden="1">
      <c r="A177" s="972" t="s">
        <v>2404</v>
      </c>
      <c r="B177" s="972" t="s">
        <v>1834</v>
      </c>
      <c r="C177" s="972" t="s">
        <v>2390</v>
      </c>
      <c r="D177" s="972">
        <v>-1.078E-3</v>
      </c>
      <c r="E177" s="972">
        <v>-2.5049999999999998E-3</v>
      </c>
      <c r="F177" s="972">
        <v>8.0000000000000007E-5</v>
      </c>
      <c r="G177" s="972">
        <v>16743</v>
      </c>
      <c r="H177" s="972">
        <v>35.402999999999999</v>
      </c>
      <c r="I177" s="972">
        <v>14.2705</v>
      </c>
      <c r="J177" s="972">
        <v>113.2</v>
      </c>
    </row>
    <row r="178" spans="1:10" ht="15.75" hidden="1">
      <c r="A178" s="972" t="s">
        <v>2404</v>
      </c>
      <c r="B178" s="972" t="s">
        <v>1834</v>
      </c>
      <c r="C178" s="972" t="s">
        <v>2391</v>
      </c>
      <c r="D178" s="972">
        <v>-1.9810000000000001E-3</v>
      </c>
      <c r="E178" s="972">
        <v>-1.1709999999999999E-3</v>
      </c>
      <c r="F178" s="972">
        <v>-4.3000000000000002E-5</v>
      </c>
      <c r="G178" s="972">
        <v>16743</v>
      </c>
      <c r="H178" s="972">
        <v>35.402999999999999</v>
      </c>
      <c r="I178" s="972">
        <v>14.2705</v>
      </c>
      <c r="J178" s="972">
        <v>113.2</v>
      </c>
    </row>
    <row r="179" spans="1:10" ht="15.75" hidden="1">
      <c r="A179" s="972" t="s">
        <v>2404</v>
      </c>
      <c r="B179" s="972" t="s">
        <v>1834</v>
      </c>
      <c r="C179" s="972" t="s">
        <v>2392</v>
      </c>
      <c r="D179" s="972">
        <v>-3.2200000000000002E-4</v>
      </c>
      <c r="E179" s="972">
        <v>2.1059999999999998E-3</v>
      </c>
      <c r="F179" s="972">
        <v>-3.4999999999999997E-5</v>
      </c>
      <c r="G179" s="972">
        <v>16743</v>
      </c>
      <c r="H179" s="972">
        <v>35.402999999999999</v>
      </c>
      <c r="I179" s="972">
        <v>14.2705</v>
      </c>
      <c r="J179" s="972">
        <v>113.2</v>
      </c>
    </row>
    <row r="180" spans="1:10" ht="15.75" hidden="1">
      <c r="A180" s="972" t="s">
        <v>2404</v>
      </c>
      <c r="B180" s="972" t="s">
        <v>1834</v>
      </c>
      <c r="C180" s="972" t="s">
        <v>2393</v>
      </c>
      <c r="D180" s="972">
        <v>-1.5560000000000001E-3</v>
      </c>
      <c r="E180" s="972">
        <v>-4.1199999999999999E-4</v>
      </c>
      <c r="F180" s="972">
        <v>-3.8000000000000002E-5</v>
      </c>
      <c r="G180" s="972">
        <v>16743</v>
      </c>
      <c r="H180" s="972">
        <v>35.402999999999999</v>
      </c>
      <c r="I180" s="972">
        <v>14.2705</v>
      </c>
      <c r="J180" s="972">
        <v>113.2</v>
      </c>
    </row>
    <row r="181" spans="1:10" ht="15.75" hidden="1">
      <c r="A181" s="972" t="s">
        <v>2404</v>
      </c>
      <c r="B181" s="972" t="s">
        <v>1834</v>
      </c>
      <c r="C181" s="972" t="s">
        <v>2394</v>
      </c>
      <c r="D181" s="972">
        <v>-3.6000000000000002E-4</v>
      </c>
      <c r="E181" s="972">
        <v>1.4779999999999999E-3</v>
      </c>
      <c r="F181" s="972">
        <v>-2.1999999999999999E-5</v>
      </c>
      <c r="G181" s="972">
        <v>16743</v>
      </c>
      <c r="H181" s="972">
        <v>35.402999999999999</v>
      </c>
      <c r="I181" s="972">
        <v>14.2705</v>
      </c>
      <c r="J181" s="972">
        <v>113.2</v>
      </c>
    </row>
    <row r="182" spans="1:10" ht="15.75" hidden="1">
      <c r="A182" s="972" t="s">
        <v>2404</v>
      </c>
      <c r="B182" s="972" t="s">
        <v>1834</v>
      </c>
      <c r="C182" s="972" t="s">
        <v>2395</v>
      </c>
      <c r="D182" s="972">
        <v>1.32E-3</v>
      </c>
      <c r="E182" s="972">
        <v>9.9999999999999995E-7</v>
      </c>
      <c r="F182" s="972">
        <v>3.8000000000000002E-5</v>
      </c>
      <c r="G182" s="972">
        <v>16743</v>
      </c>
      <c r="H182" s="972">
        <v>35.402999999999999</v>
      </c>
      <c r="I182" s="972">
        <v>14.2705</v>
      </c>
      <c r="J182" s="972">
        <v>113.2</v>
      </c>
    </row>
    <row r="183" spans="1:10" ht="15.75" hidden="1">
      <c r="A183" s="972" t="s">
        <v>2404</v>
      </c>
      <c r="B183" s="972" t="s">
        <v>1834</v>
      </c>
      <c r="C183" s="972" t="s">
        <v>2396</v>
      </c>
      <c r="D183" s="972">
        <v>1.15E-4</v>
      </c>
      <c r="E183" s="972">
        <v>-1.196E-3</v>
      </c>
      <c r="F183" s="972">
        <v>1.2E-5</v>
      </c>
      <c r="G183" s="972">
        <v>16743</v>
      </c>
      <c r="H183" s="972">
        <v>35.402999999999999</v>
      </c>
      <c r="I183" s="972">
        <v>14.2705</v>
      </c>
      <c r="J183" s="972">
        <v>113.2</v>
      </c>
    </row>
    <row r="184" spans="1:10" ht="15.75" hidden="1">
      <c r="A184" s="972" t="s">
        <v>2405</v>
      </c>
      <c r="B184" s="972" t="s">
        <v>1834</v>
      </c>
      <c r="C184" s="972" t="s">
        <v>2297</v>
      </c>
      <c r="D184" s="972">
        <v>-1.14E-3</v>
      </c>
      <c r="E184" s="972">
        <v>5.8659999999999997E-3</v>
      </c>
      <c r="F184" s="972">
        <v>4.6999999999999997E-5</v>
      </c>
      <c r="G184" s="972">
        <v>16744</v>
      </c>
      <c r="H184" s="972">
        <v>35.402999999999999</v>
      </c>
      <c r="I184" s="972">
        <v>14.2705</v>
      </c>
      <c r="J184" s="972">
        <v>109.8</v>
      </c>
    </row>
    <row r="185" spans="1:10" ht="15.75" hidden="1">
      <c r="A185" s="972" t="s">
        <v>2405</v>
      </c>
      <c r="B185" s="972" t="s">
        <v>1834</v>
      </c>
      <c r="C185" s="972" t="s">
        <v>2298</v>
      </c>
      <c r="D185" s="972">
        <v>-8.1800000000000004E-4</v>
      </c>
      <c r="E185" s="972">
        <v>-1.212E-3</v>
      </c>
      <c r="F185" s="972">
        <v>2.7300000000000002E-4</v>
      </c>
      <c r="G185" s="972">
        <v>16744</v>
      </c>
      <c r="H185" s="972">
        <v>35.402999999999999</v>
      </c>
      <c r="I185" s="972">
        <v>14.2705</v>
      </c>
      <c r="J185" s="972">
        <v>109.8</v>
      </c>
    </row>
    <row r="186" spans="1:10" ht="15.75">
      <c r="A186" s="972" t="s">
        <v>2405</v>
      </c>
      <c r="B186" s="972" t="s">
        <v>1834</v>
      </c>
      <c r="C186" s="972" t="s">
        <v>2299</v>
      </c>
      <c r="D186" s="972">
        <v>5.8050000000000003E-3</v>
      </c>
      <c r="E186" s="972">
        <v>9.2599999999999996E-4</v>
      </c>
      <c r="F186" s="972">
        <v>4.6999999999999997E-5</v>
      </c>
      <c r="G186" s="972">
        <v>16744</v>
      </c>
      <c r="H186" s="972">
        <v>35.402999999999999</v>
      </c>
      <c r="I186" s="972">
        <v>14.2705</v>
      </c>
      <c r="J186" s="972">
        <v>109.8</v>
      </c>
    </row>
    <row r="187" spans="1:10" ht="15.75" hidden="1">
      <c r="A187" s="972" t="s">
        <v>2405</v>
      </c>
      <c r="B187" s="972" t="s">
        <v>1834</v>
      </c>
      <c r="C187" s="972" t="s">
        <v>2300</v>
      </c>
      <c r="D187" s="972">
        <v>4.2900000000000002E-4</v>
      </c>
      <c r="E187" s="972">
        <v>-7.9999999999999996E-6</v>
      </c>
      <c r="F187" s="972">
        <v>-1.7000000000000001E-4</v>
      </c>
      <c r="G187" s="972">
        <v>16744</v>
      </c>
      <c r="H187" s="972">
        <v>35.402999999999999</v>
      </c>
      <c r="I187" s="972">
        <v>14.2705</v>
      </c>
      <c r="J187" s="972">
        <v>109.8</v>
      </c>
    </row>
    <row r="188" spans="1:10" ht="15.75" hidden="1">
      <c r="A188" s="972" t="s">
        <v>2405</v>
      </c>
      <c r="B188" s="972" t="s">
        <v>1834</v>
      </c>
      <c r="C188" s="972" t="s">
        <v>2301</v>
      </c>
      <c r="D188" s="972">
        <v>-2.8400000000000002E-4</v>
      </c>
      <c r="E188" s="972">
        <v>2.7569999999999999E-3</v>
      </c>
      <c r="F188" s="972">
        <v>-3.9999999999999998E-6</v>
      </c>
      <c r="G188" s="972">
        <v>16744</v>
      </c>
      <c r="H188" s="972">
        <v>35.402999999999999</v>
      </c>
      <c r="I188" s="972">
        <v>14.2705</v>
      </c>
      <c r="J188" s="972">
        <v>109.8</v>
      </c>
    </row>
    <row r="189" spans="1:10" ht="15.75" hidden="1">
      <c r="A189" s="972" t="s">
        <v>2405</v>
      </c>
      <c r="B189" s="972" t="s">
        <v>1834</v>
      </c>
      <c r="C189" s="972" t="s">
        <v>2302</v>
      </c>
      <c r="D189" s="972">
        <v>3.0079999999999998E-3</v>
      </c>
      <c r="E189" s="972">
        <v>4.1199999999999999E-4</v>
      </c>
      <c r="F189" s="972">
        <v>2.1999999999999999E-5</v>
      </c>
      <c r="G189" s="972">
        <v>16744</v>
      </c>
      <c r="H189" s="972">
        <v>35.402999999999999</v>
      </c>
      <c r="I189" s="972">
        <v>14.2705</v>
      </c>
      <c r="J189" s="972">
        <v>109.8</v>
      </c>
    </row>
    <row r="190" spans="1:10" ht="15.75" hidden="1">
      <c r="A190" s="972" t="s">
        <v>2405</v>
      </c>
      <c r="B190" s="972" t="s">
        <v>1834</v>
      </c>
      <c r="C190" s="972" t="s">
        <v>2303</v>
      </c>
      <c r="D190" s="972">
        <v>-5.8999999999999998E-5</v>
      </c>
      <c r="E190" s="972">
        <v>-9.0000000000000002E-6</v>
      </c>
      <c r="F190" s="972">
        <v>-2.0000000000000002E-5</v>
      </c>
      <c r="G190" s="972">
        <v>16744</v>
      </c>
      <c r="H190" s="972">
        <v>35.402999999999999</v>
      </c>
      <c r="I190" s="972">
        <v>14.2705</v>
      </c>
      <c r="J190" s="972">
        <v>109.8</v>
      </c>
    </row>
    <row r="191" spans="1:10" ht="15.75" hidden="1">
      <c r="A191" s="972" t="s">
        <v>2405</v>
      </c>
      <c r="B191" s="972" t="s">
        <v>1834</v>
      </c>
      <c r="C191" s="972" t="s">
        <v>2304</v>
      </c>
      <c r="D191" s="972">
        <v>-5.3000000000000001E-5</v>
      </c>
      <c r="E191" s="972">
        <v>2.9500000000000001E-4</v>
      </c>
      <c r="F191" s="972">
        <v>-9.9999999999999995E-7</v>
      </c>
      <c r="G191" s="972">
        <v>16744</v>
      </c>
      <c r="H191" s="972">
        <v>35.402999999999999</v>
      </c>
      <c r="I191" s="972">
        <v>14.2705</v>
      </c>
      <c r="J191" s="972">
        <v>109.8</v>
      </c>
    </row>
    <row r="192" spans="1:10" ht="15.75" hidden="1">
      <c r="A192" s="972" t="s">
        <v>2405</v>
      </c>
      <c r="B192" s="972" t="s">
        <v>1834</v>
      </c>
      <c r="C192" s="972" t="s">
        <v>2305</v>
      </c>
      <c r="D192" s="972">
        <v>-3.2499999999999999E-4</v>
      </c>
      <c r="E192" s="972">
        <v>-6.9999999999999999E-6</v>
      </c>
      <c r="F192" s="972">
        <v>1.3200000000000001E-4</v>
      </c>
      <c r="G192" s="972">
        <v>16744</v>
      </c>
      <c r="H192" s="972">
        <v>35.402999999999999</v>
      </c>
      <c r="I192" s="972">
        <v>14.2705</v>
      </c>
      <c r="J192" s="972">
        <v>109.8</v>
      </c>
    </row>
    <row r="193" spans="1:10" ht="15.75" hidden="1">
      <c r="A193" s="972" t="s">
        <v>2405</v>
      </c>
      <c r="B193" s="972" t="s">
        <v>1834</v>
      </c>
      <c r="C193" s="972" t="s">
        <v>2306</v>
      </c>
      <c r="D193" s="972">
        <v>8.6000000000000003E-5</v>
      </c>
      <c r="E193" s="972">
        <v>-1.1E-5</v>
      </c>
      <c r="F193" s="972">
        <v>1.1E-5</v>
      </c>
      <c r="G193" s="972">
        <v>16744</v>
      </c>
      <c r="H193" s="972">
        <v>35.402999999999999</v>
      </c>
      <c r="I193" s="972">
        <v>14.2705</v>
      </c>
      <c r="J193" s="972">
        <v>109.8</v>
      </c>
    </row>
    <row r="194" spans="1:10" ht="15.75" hidden="1">
      <c r="A194" s="972" t="s">
        <v>2405</v>
      </c>
      <c r="B194" s="972" t="s">
        <v>1834</v>
      </c>
      <c r="C194" s="972" t="s">
        <v>2307</v>
      </c>
      <c r="D194" s="972">
        <v>4.0200000000000001E-4</v>
      </c>
      <c r="E194" s="972">
        <v>1.1169999999999999E-3</v>
      </c>
      <c r="F194" s="972">
        <v>-2.1800000000000001E-4</v>
      </c>
      <c r="G194" s="972">
        <v>16744</v>
      </c>
      <c r="H194" s="972">
        <v>35.402999999999999</v>
      </c>
      <c r="I194" s="972">
        <v>14.2705</v>
      </c>
      <c r="J194" s="972">
        <v>109.8</v>
      </c>
    </row>
    <row r="195" spans="1:10" ht="15.75" hidden="1">
      <c r="A195" s="972" t="s">
        <v>2405</v>
      </c>
      <c r="B195" s="972" t="s">
        <v>1834</v>
      </c>
      <c r="C195" s="972" t="s">
        <v>2308</v>
      </c>
      <c r="D195" s="972">
        <v>4.86E-4</v>
      </c>
      <c r="E195" s="972">
        <v>-2.9510000000000001E-3</v>
      </c>
      <c r="F195" s="972">
        <v>-7.8999999999999996E-5</v>
      </c>
      <c r="G195" s="972">
        <v>16744</v>
      </c>
      <c r="H195" s="972">
        <v>35.402999999999999</v>
      </c>
      <c r="I195" s="972">
        <v>14.2705</v>
      </c>
      <c r="J195" s="972">
        <v>109.8</v>
      </c>
    </row>
    <row r="196" spans="1:10" ht="15.75" hidden="1">
      <c r="A196" s="972" t="s">
        <v>2405</v>
      </c>
      <c r="B196" s="972" t="s">
        <v>1834</v>
      </c>
      <c r="C196" s="972" t="s">
        <v>2309</v>
      </c>
      <c r="D196" s="972">
        <v>2.9710000000000001E-3</v>
      </c>
      <c r="E196" s="972">
        <v>2.6899999999999998E-4</v>
      </c>
      <c r="F196" s="972">
        <v>2.4000000000000001E-5</v>
      </c>
      <c r="G196" s="972">
        <v>16744</v>
      </c>
      <c r="H196" s="972">
        <v>35.402999999999999</v>
      </c>
      <c r="I196" s="972">
        <v>14.2705</v>
      </c>
      <c r="J196" s="972">
        <v>109.8</v>
      </c>
    </row>
    <row r="197" spans="1:10" ht="15.75" hidden="1">
      <c r="A197" s="972" t="s">
        <v>2405</v>
      </c>
      <c r="B197" s="972" t="s">
        <v>1834</v>
      </c>
      <c r="C197" s="972" t="s">
        <v>2310</v>
      </c>
      <c r="D197" s="972">
        <v>-5.6300000000000002E-4</v>
      </c>
      <c r="E197" s="972">
        <v>-1.2999999999999999E-4</v>
      </c>
      <c r="F197" s="972">
        <v>2.5599999999999999E-4</v>
      </c>
      <c r="G197" s="972">
        <v>16744</v>
      </c>
      <c r="H197" s="972">
        <v>35.402999999999999</v>
      </c>
      <c r="I197" s="972">
        <v>14.2705</v>
      </c>
      <c r="J197" s="972">
        <v>109.8</v>
      </c>
    </row>
    <row r="198" spans="1:10" ht="15.75" hidden="1">
      <c r="A198" s="972" t="s">
        <v>2405</v>
      </c>
      <c r="B198" s="972" t="s">
        <v>1834</v>
      </c>
      <c r="C198" s="972" t="s">
        <v>2311</v>
      </c>
      <c r="D198" s="972">
        <v>-4.7399999999999997E-4</v>
      </c>
      <c r="E198" s="972">
        <v>4.8869999999999999E-3</v>
      </c>
      <c r="F198" s="972">
        <v>5.0000000000000004E-6</v>
      </c>
      <c r="G198" s="972">
        <v>16744</v>
      </c>
      <c r="H198" s="972">
        <v>35.402999999999999</v>
      </c>
      <c r="I198" s="972">
        <v>14.2705</v>
      </c>
      <c r="J198" s="972">
        <v>109.8</v>
      </c>
    </row>
    <row r="199" spans="1:10" ht="15.75" hidden="1">
      <c r="A199" s="972" t="s">
        <v>2405</v>
      </c>
      <c r="B199" s="972" t="s">
        <v>1834</v>
      </c>
      <c r="C199" s="972" t="s">
        <v>2328</v>
      </c>
      <c r="D199" s="972">
        <v>-1.6899999999999999E-4</v>
      </c>
      <c r="E199" s="972">
        <v>1.5300000000000001E-4</v>
      </c>
      <c r="F199" s="972">
        <v>-2.1000000000000001E-4</v>
      </c>
      <c r="G199" s="972">
        <v>16744</v>
      </c>
      <c r="H199" s="972">
        <v>35.402999999999999</v>
      </c>
      <c r="I199" s="972">
        <v>14.2705</v>
      </c>
      <c r="J199" s="972">
        <v>109.8</v>
      </c>
    </row>
    <row r="200" spans="1:10" ht="15.75" hidden="1">
      <c r="A200" s="972" t="s">
        <v>2405</v>
      </c>
      <c r="B200" s="972" t="s">
        <v>1834</v>
      </c>
      <c r="C200" s="972" t="s">
        <v>2329</v>
      </c>
      <c r="D200" s="972">
        <v>-4.7790000000000003E-3</v>
      </c>
      <c r="E200" s="972">
        <v>-4.3399999999999998E-4</v>
      </c>
      <c r="F200" s="972">
        <v>9.9999999999999995E-7</v>
      </c>
      <c r="G200" s="972">
        <v>16744</v>
      </c>
      <c r="H200" s="972">
        <v>35.402999999999999</v>
      </c>
      <c r="I200" s="972">
        <v>14.2705</v>
      </c>
      <c r="J200" s="972">
        <v>109.8</v>
      </c>
    </row>
    <row r="201" spans="1:10" ht="15.75" hidden="1">
      <c r="A201" s="972" t="s">
        <v>2405</v>
      </c>
      <c r="B201" s="972" t="s">
        <v>1834</v>
      </c>
      <c r="C201" s="972" t="s">
        <v>2330</v>
      </c>
      <c r="D201" s="972">
        <v>-4.0499999999999998E-4</v>
      </c>
      <c r="E201" s="972">
        <v>5.1630000000000001E-3</v>
      </c>
      <c r="F201" s="972">
        <v>2.5000000000000001E-5</v>
      </c>
      <c r="G201" s="972">
        <v>16744</v>
      </c>
      <c r="H201" s="972">
        <v>35.402999999999999</v>
      </c>
      <c r="I201" s="972">
        <v>14.2705</v>
      </c>
      <c r="J201" s="972">
        <v>109.8</v>
      </c>
    </row>
    <row r="202" spans="1:10" ht="15.75" hidden="1">
      <c r="A202" s="972" t="s">
        <v>2405</v>
      </c>
      <c r="B202" s="972" t="s">
        <v>1834</v>
      </c>
      <c r="C202" s="972" t="s">
        <v>2331</v>
      </c>
      <c r="D202" s="972">
        <v>-4.6000000000000001E-4</v>
      </c>
      <c r="E202" s="972">
        <v>1.0139999999999999E-3</v>
      </c>
      <c r="F202" s="972">
        <v>-1.2999999999999999E-4</v>
      </c>
      <c r="G202" s="972">
        <v>16744</v>
      </c>
      <c r="H202" s="972">
        <v>35.402999999999999</v>
      </c>
      <c r="I202" s="972">
        <v>14.2705</v>
      </c>
      <c r="J202" s="972">
        <v>109.8</v>
      </c>
    </row>
    <row r="203" spans="1:10" ht="15.75" hidden="1">
      <c r="A203" s="972" t="s">
        <v>2405</v>
      </c>
      <c r="B203" s="972" t="s">
        <v>1834</v>
      </c>
      <c r="C203" s="972" t="s">
        <v>2332</v>
      </c>
      <c r="D203" s="972">
        <v>5.1489999999999999E-3</v>
      </c>
      <c r="E203" s="972">
        <v>3.6600000000000001E-4</v>
      </c>
      <c r="F203" s="972">
        <v>1.2999999999999999E-5</v>
      </c>
      <c r="G203" s="972">
        <v>16744</v>
      </c>
      <c r="H203" s="972">
        <v>35.402999999999999</v>
      </c>
      <c r="I203" s="972">
        <v>14.2705</v>
      </c>
      <c r="J203" s="972">
        <v>109.8</v>
      </c>
    </row>
    <row r="204" spans="1:10" ht="15.75" hidden="1">
      <c r="A204" s="972" t="s">
        <v>2405</v>
      </c>
      <c r="B204" s="972" t="s">
        <v>1834</v>
      </c>
      <c r="C204" s="972" t="s">
        <v>2387</v>
      </c>
      <c r="D204" s="972">
        <v>1.9599999999999999E-4</v>
      </c>
      <c r="E204" s="972">
        <v>-4.2469999999999999E-3</v>
      </c>
      <c r="F204" s="972">
        <v>-7.9999999999999996E-6</v>
      </c>
      <c r="G204" s="972">
        <v>16744</v>
      </c>
      <c r="H204" s="972">
        <v>35.402999999999999</v>
      </c>
      <c r="I204" s="972">
        <v>14.2705</v>
      </c>
      <c r="J204" s="972">
        <v>109.8</v>
      </c>
    </row>
    <row r="205" spans="1:10" ht="15.75" hidden="1">
      <c r="A205" s="972" t="s">
        <v>2405</v>
      </c>
      <c r="B205" s="972" t="s">
        <v>1834</v>
      </c>
      <c r="C205" s="972" t="s">
        <v>2388</v>
      </c>
      <c r="D205" s="972">
        <v>3.6150000000000002E-3</v>
      </c>
      <c r="E205" s="972">
        <v>2.32E-4</v>
      </c>
      <c r="F205" s="972">
        <v>2.0000000000000002E-5</v>
      </c>
      <c r="G205" s="972">
        <v>16744</v>
      </c>
      <c r="H205" s="972">
        <v>35.402999999999999</v>
      </c>
      <c r="I205" s="972">
        <v>14.2705</v>
      </c>
      <c r="J205" s="972">
        <v>109.8</v>
      </c>
    </row>
    <row r="206" spans="1:10" ht="15.75" hidden="1">
      <c r="A206" s="972" t="s">
        <v>2405</v>
      </c>
      <c r="B206" s="972" t="s">
        <v>1834</v>
      </c>
      <c r="C206" s="972" t="s">
        <v>2389</v>
      </c>
      <c r="D206" s="972">
        <v>-1.4679999999999999E-3</v>
      </c>
      <c r="E206" s="972">
        <v>-1.7290000000000001E-3</v>
      </c>
      <c r="F206" s="972">
        <v>-6.0000000000000002E-6</v>
      </c>
      <c r="G206" s="972">
        <v>16744</v>
      </c>
      <c r="H206" s="972">
        <v>35.402999999999999</v>
      </c>
      <c r="I206" s="972">
        <v>14.2705</v>
      </c>
      <c r="J206" s="972">
        <v>109.8</v>
      </c>
    </row>
    <row r="207" spans="1:10" ht="15.75" hidden="1">
      <c r="A207" s="972" t="s">
        <v>2405</v>
      </c>
      <c r="B207" s="972" t="s">
        <v>1834</v>
      </c>
      <c r="C207" s="972" t="s">
        <v>2390</v>
      </c>
      <c r="D207" s="972">
        <v>-4.1E-5</v>
      </c>
      <c r="E207" s="972">
        <v>-1.658E-3</v>
      </c>
      <c r="F207" s="972">
        <v>-1.8E-5</v>
      </c>
      <c r="G207" s="972">
        <v>16744</v>
      </c>
      <c r="H207" s="972">
        <v>35.402999999999999</v>
      </c>
      <c r="I207" s="972">
        <v>14.2705</v>
      </c>
      <c r="J207" s="972">
        <v>109.8</v>
      </c>
    </row>
    <row r="208" spans="1:10" ht="15.75" hidden="1">
      <c r="A208" s="972" t="s">
        <v>2405</v>
      </c>
      <c r="B208" s="972" t="s">
        <v>1834</v>
      </c>
      <c r="C208" s="972" t="s">
        <v>2391</v>
      </c>
      <c r="D208" s="972">
        <v>-1.7899999999999999E-3</v>
      </c>
      <c r="E208" s="972">
        <v>-3.7500000000000001E-4</v>
      </c>
      <c r="F208" s="972">
        <v>-9.0000000000000002E-6</v>
      </c>
      <c r="G208" s="972">
        <v>16744</v>
      </c>
      <c r="H208" s="972">
        <v>35.402999999999999</v>
      </c>
      <c r="I208" s="972">
        <v>14.2705</v>
      </c>
      <c r="J208" s="972">
        <v>109.8</v>
      </c>
    </row>
    <row r="209" spans="1:10" ht="15.75" hidden="1">
      <c r="A209" s="972" t="s">
        <v>2405</v>
      </c>
      <c r="B209" s="972" t="s">
        <v>1834</v>
      </c>
      <c r="C209" s="972" t="s">
        <v>2392</v>
      </c>
      <c r="D209" s="972">
        <v>-6.8999999999999997E-4</v>
      </c>
      <c r="E209" s="972">
        <v>9.1E-4</v>
      </c>
      <c r="F209" s="972">
        <v>1.2E-5</v>
      </c>
      <c r="G209" s="972">
        <v>16744</v>
      </c>
      <c r="H209" s="972">
        <v>35.402999999999999</v>
      </c>
      <c r="I209" s="972">
        <v>14.2705</v>
      </c>
      <c r="J209" s="972">
        <v>109.8</v>
      </c>
    </row>
    <row r="210" spans="1:10" ht="15.75" hidden="1">
      <c r="A210" s="972" t="s">
        <v>2405</v>
      </c>
      <c r="B210" s="972" t="s">
        <v>1834</v>
      </c>
      <c r="C210" s="972" t="s">
        <v>2393</v>
      </c>
      <c r="D210" s="972">
        <v>-1.2750000000000001E-3</v>
      </c>
      <c r="E210" s="972">
        <v>4.5000000000000003E-5</v>
      </c>
      <c r="F210" s="972">
        <v>-6.0000000000000002E-6</v>
      </c>
      <c r="G210" s="972">
        <v>16744</v>
      </c>
      <c r="H210" s="972">
        <v>35.402999999999999</v>
      </c>
      <c r="I210" s="972">
        <v>14.2705</v>
      </c>
      <c r="J210" s="972">
        <v>109.8</v>
      </c>
    </row>
    <row r="211" spans="1:10" ht="15.75" hidden="1">
      <c r="A211" s="972" t="s">
        <v>2405</v>
      </c>
      <c r="B211" s="972" t="s">
        <v>1834</v>
      </c>
      <c r="C211" s="972" t="s">
        <v>2394</v>
      </c>
      <c r="D211" s="972">
        <v>-5.1599999999999997E-4</v>
      </c>
      <c r="E211" s="972">
        <v>4.2099999999999999E-4</v>
      </c>
      <c r="F211" s="972">
        <v>9.0000000000000002E-6</v>
      </c>
      <c r="G211" s="972">
        <v>16744</v>
      </c>
      <c r="H211" s="972">
        <v>35.402999999999999</v>
      </c>
      <c r="I211" s="972">
        <v>14.2705</v>
      </c>
      <c r="J211" s="972">
        <v>109.8</v>
      </c>
    </row>
    <row r="212" spans="1:10" ht="15.75" hidden="1">
      <c r="A212" s="972" t="s">
        <v>2405</v>
      </c>
      <c r="B212" s="972" t="s">
        <v>1834</v>
      </c>
      <c r="C212" s="972" t="s">
        <v>2395</v>
      </c>
      <c r="D212" s="972">
        <v>1.0549999999999999E-3</v>
      </c>
      <c r="E212" s="972">
        <v>-1.64E-4</v>
      </c>
      <c r="F212" s="972">
        <v>3.9999999999999998E-6</v>
      </c>
      <c r="G212" s="972">
        <v>16744</v>
      </c>
      <c r="H212" s="972">
        <v>35.402999999999999</v>
      </c>
      <c r="I212" s="972">
        <v>14.2705</v>
      </c>
      <c r="J212" s="972">
        <v>109.8</v>
      </c>
    </row>
    <row r="213" spans="1:10" ht="15.75" hidden="1">
      <c r="A213" s="972" t="s">
        <v>2405</v>
      </c>
      <c r="B213" s="972" t="s">
        <v>1834</v>
      </c>
      <c r="C213" s="972" t="s">
        <v>2396</v>
      </c>
      <c r="D213" s="972">
        <v>2.3900000000000001E-4</v>
      </c>
      <c r="E213" s="972">
        <v>-2.3800000000000001E-4</v>
      </c>
      <c r="F213" s="972">
        <v>-9.0000000000000002E-6</v>
      </c>
      <c r="G213" s="972">
        <v>16744</v>
      </c>
      <c r="H213" s="972">
        <v>35.402999999999999</v>
      </c>
      <c r="I213" s="972">
        <v>14.2705</v>
      </c>
      <c r="J213" s="972">
        <v>109.8</v>
      </c>
    </row>
    <row r="214" spans="1:10" ht="15.75" hidden="1">
      <c r="A214" s="972" t="s">
        <v>2406</v>
      </c>
      <c r="B214" s="972" t="s">
        <v>1834</v>
      </c>
      <c r="C214" s="972" t="s">
        <v>2297</v>
      </c>
      <c r="D214" s="972">
        <v>-1.1019999999999999E-3</v>
      </c>
      <c r="E214" s="972">
        <v>5.6740000000000002E-3</v>
      </c>
      <c r="F214" s="972">
        <v>4.6E-5</v>
      </c>
      <c r="G214" s="972">
        <v>16745</v>
      </c>
      <c r="H214" s="972">
        <v>35.402999999999999</v>
      </c>
      <c r="I214" s="972">
        <v>14.2705</v>
      </c>
      <c r="J214" s="972">
        <v>106.4</v>
      </c>
    </row>
    <row r="215" spans="1:10" ht="15.75" hidden="1">
      <c r="A215" s="972" t="s">
        <v>2406</v>
      </c>
      <c r="B215" s="972" t="s">
        <v>1834</v>
      </c>
      <c r="C215" s="972" t="s">
        <v>2298</v>
      </c>
      <c r="D215" s="972">
        <v>-8.0099999999999995E-4</v>
      </c>
      <c r="E215" s="972">
        <v>-1.173E-3</v>
      </c>
      <c r="F215" s="972">
        <v>2.6800000000000001E-4</v>
      </c>
      <c r="G215" s="972">
        <v>16745</v>
      </c>
      <c r="H215" s="972">
        <v>35.402999999999999</v>
      </c>
      <c r="I215" s="972">
        <v>14.2705</v>
      </c>
      <c r="J215" s="972">
        <v>106.4</v>
      </c>
    </row>
    <row r="216" spans="1:10" ht="15.75">
      <c r="A216" s="972" t="s">
        <v>2406</v>
      </c>
      <c r="B216" s="972" t="s">
        <v>1834</v>
      </c>
      <c r="C216" s="972" t="s">
        <v>2299</v>
      </c>
      <c r="D216" s="972">
        <v>5.646E-3</v>
      </c>
      <c r="E216" s="972">
        <v>9.0600000000000001E-4</v>
      </c>
      <c r="F216" s="972">
        <v>4.6E-5</v>
      </c>
      <c r="G216" s="972">
        <v>16745</v>
      </c>
      <c r="H216" s="972">
        <v>35.402999999999999</v>
      </c>
      <c r="I216" s="972">
        <v>14.2705</v>
      </c>
      <c r="J216" s="972">
        <v>106.4</v>
      </c>
    </row>
    <row r="217" spans="1:10" ht="15.75" hidden="1">
      <c r="A217" s="972" t="s">
        <v>2406</v>
      </c>
      <c r="B217" s="972" t="s">
        <v>1834</v>
      </c>
      <c r="C217" s="972" t="s">
        <v>2300</v>
      </c>
      <c r="D217" s="972">
        <v>3.3100000000000002E-4</v>
      </c>
      <c r="E217" s="972">
        <v>-3.0000000000000001E-6</v>
      </c>
      <c r="F217" s="972">
        <v>-1.3799999999999999E-4</v>
      </c>
      <c r="G217" s="972">
        <v>16745</v>
      </c>
      <c r="H217" s="972">
        <v>35.402999999999999</v>
      </c>
      <c r="I217" s="972">
        <v>14.2705</v>
      </c>
      <c r="J217" s="972">
        <v>106.4</v>
      </c>
    </row>
    <row r="218" spans="1:10" ht="15.75" hidden="1">
      <c r="A218" s="972" t="s">
        <v>2406</v>
      </c>
      <c r="B218" s="972" t="s">
        <v>1834</v>
      </c>
      <c r="C218" s="972" t="s">
        <v>2301</v>
      </c>
      <c r="D218" s="972">
        <v>-1.9000000000000001E-4</v>
      </c>
      <c r="E218" s="972">
        <v>2.003E-3</v>
      </c>
      <c r="F218" s="972">
        <v>-3.0000000000000001E-6</v>
      </c>
      <c r="G218" s="972">
        <v>16745</v>
      </c>
      <c r="H218" s="972">
        <v>35.402999999999999</v>
      </c>
      <c r="I218" s="972">
        <v>14.2705</v>
      </c>
      <c r="J218" s="972">
        <v>106.4</v>
      </c>
    </row>
    <row r="219" spans="1:10" ht="15.75" hidden="1">
      <c r="A219" s="972" t="s">
        <v>2406</v>
      </c>
      <c r="B219" s="972" t="s">
        <v>1834</v>
      </c>
      <c r="C219" s="972" t="s">
        <v>2302</v>
      </c>
      <c r="D219" s="972">
        <v>2.281E-3</v>
      </c>
      <c r="E219" s="972">
        <v>3.2600000000000001E-4</v>
      </c>
      <c r="F219" s="972">
        <v>1.9000000000000001E-5</v>
      </c>
      <c r="G219" s="972">
        <v>16745</v>
      </c>
      <c r="H219" s="972">
        <v>35.402999999999999</v>
      </c>
      <c r="I219" s="972">
        <v>14.2705</v>
      </c>
      <c r="J219" s="972">
        <v>106.4</v>
      </c>
    </row>
    <row r="220" spans="1:10" ht="15.75" hidden="1">
      <c r="A220" s="972" t="s">
        <v>2406</v>
      </c>
      <c r="B220" s="972" t="s">
        <v>1834</v>
      </c>
      <c r="C220" s="972" t="s">
        <v>2303</v>
      </c>
      <c r="D220" s="972">
        <v>-1.8200000000000001E-4</v>
      </c>
      <c r="E220" s="972">
        <v>-1.1E-5</v>
      </c>
      <c r="F220" s="972">
        <v>3.8000000000000002E-5</v>
      </c>
      <c r="G220" s="972">
        <v>16745</v>
      </c>
      <c r="H220" s="972">
        <v>35.402999999999999</v>
      </c>
      <c r="I220" s="972">
        <v>14.2705</v>
      </c>
      <c r="J220" s="972">
        <v>106.4</v>
      </c>
    </row>
    <row r="221" spans="1:10" ht="15.75" hidden="1">
      <c r="A221" s="972" t="s">
        <v>2406</v>
      </c>
      <c r="B221" s="972" t="s">
        <v>1834</v>
      </c>
      <c r="C221" s="972" t="s">
        <v>2304</v>
      </c>
      <c r="D221" s="972">
        <v>-1.64E-4</v>
      </c>
      <c r="E221" s="972">
        <v>1.4630000000000001E-3</v>
      </c>
      <c r="F221" s="972">
        <v>-1.9999999999999999E-6</v>
      </c>
      <c r="G221" s="972">
        <v>16745</v>
      </c>
      <c r="H221" s="972">
        <v>35.402999999999999</v>
      </c>
      <c r="I221" s="972">
        <v>14.2705</v>
      </c>
      <c r="J221" s="972">
        <v>106.4</v>
      </c>
    </row>
    <row r="222" spans="1:10" ht="15.75" hidden="1">
      <c r="A222" s="972" t="s">
        <v>2406</v>
      </c>
      <c r="B222" s="972" t="s">
        <v>1834</v>
      </c>
      <c r="C222" s="972" t="s">
        <v>2305</v>
      </c>
      <c r="D222" s="972">
        <v>-5.5900000000000004E-4</v>
      </c>
      <c r="E222" s="972">
        <v>-1.7E-5</v>
      </c>
      <c r="F222" s="972">
        <v>1.92E-4</v>
      </c>
      <c r="G222" s="972">
        <v>16745</v>
      </c>
      <c r="H222" s="972">
        <v>35.402999999999999</v>
      </c>
      <c r="I222" s="972">
        <v>14.2705</v>
      </c>
      <c r="J222" s="972">
        <v>106.4</v>
      </c>
    </row>
    <row r="223" spans="1:10" ht="15.75" hidden="1">
      <c r="A223" s="972" t="s">
        <v>2406</v>
      </c>
      <c r="B223" s="972" t="s">
        <v>1834</v>
      </c>
      <c r="C223" s="972" t="s">
        <v>2306</v>
      </c>
      <c r="D223" s="972">
        <v>1.2329999999999999E-3</v>
      </c>
      <c r="E223" s="972">
        <v>1.05E-4</v>
      </c>
      <c r="F223" s="972">
        <v>2.4000000000000001E-5</v>
      </c>
      <c r="G223" s="972">
        <v>16745</v>
      </c>
      <c r="H223" s="972">
        <v>35.402999999999999</v>
      </c>
      <c r="I223" s="972">
        <v>14.2705</v>
      </c>
      <c r="J223" s="972">
        <v>106.4</v>
      </c>
    </row>
    <row r="224" spans="1:10" ht="15.75" hidden="1">
      <c r="A224" s="972" t="s">
        <v>2406</v>
      </c>
      <c r="B224" s="972" t="s">
        <v>1834</v>
      </c>
      <c r="C224" s="972" t="s">
        <v>2307</v>
      </c>
      <c r="D224" s="972">
        <v>4.3899999999999999E-4</v>
      </c>
      <c r="E224" s="972">
        <v>1.513E-3</v>
      </c>
      <c r="F224" s="972">
        <v>-2.4499999999999999E-4</v>
      </c>
      <c r="G224" s="972">
        <v>16745</v>
      </c>
      <c r="H224" s="972">
        <v>35.402999999999999</v>
      </c>
      <c r="I224" s="972">
        <v>14.2705</v>
      </c>
      <c r="J224" s="972">
        <v>106.4</v>
      </c>
    </row>
    <row r="225" spans="1:10" ht="15.75" hidden="1">
      <c r="A225" s="972" t="s">
        <v>2406</v>
      </c>
      <c r="B225" s="972" t="s">
        <v>1834</v>
      </c>
      <c r="C225" s="972" t="s">
        <v>2308</v>
      </c>
      <c r="D225" s="972">
        <v>6.11E-4</v>
      </c>
      <c r="E225" s="972">
        <v>-4.0020000000000003E-3</v>
      </c>
      <c r="F225" s="972">
        <v>-8.8999999999999995E-5</v>
      </c>
      <c r="G225" s="972">
        <v>16745</v>
      </c>
      <c r="H225" s="972">
        <v>35.402999999999999</v>
      </c>
      <c r="I225" s="972">
        <v>14.2705</v>
      </c>
      <c r="J225" s="972">
        <v>106.4</v>
      </c>
    </row>
    <row r="226" spans="1:10" ht="15.75" hidden="1">
      <c r="A226" s="972" t="s">
        <v>2406</v>
      </c>
      <c r="B226" s="972" t="s">
        <v>1834</v>
      </c>
      <c r="C226" s="972" t="s">
        <v>2309</v>
      </c>
      <c r="D226" s="972">
        <v>4.1159999999999999E-3</v>
      </c>
      <c r="E226" s="972">
        <v>3.8099999999999999E-4</v>
      </c>
      <c r="F226" s="972">
        <v>3.1999999999999999E-5</v>
      </c>
      <c r="G226" s="972">
        <v>16745</v>
      </c>
      <c r="H226" s="972">
        <v>35.402999999999999</v>
      </c>
      <c r="I226" s="972">
        <v>14.2705</v>
      </c>
      <c r="J226" s="972">
        <v>106.4</v>
      </c>
    </row>
    <row r="227" spans="1:10" ht="15.75" hidden="1">
      <c r="A227" s="972" t="s">
        <v>2406</v>
      </c>
      <c r="B227" s="972" t="s">
        <v>1834</v>
      </c>
      <c r="C227" s="972" t="s">
        <v>2310</v>
      </c>
      <c r="D227" s="972">
        <v>-5.31E-4</v>
      </c>
      <c r="E227" s="972">
        <v>-1.4300000000000001E-4</v>
      </c>
      <c r="F227" s="972">
        <v>2.2499999999999999E-4</v>
      </c>
      <c r="G227" s="972">
        <v>16745</v>
      </c>
      <c r="H227" s="972">
        <v>35.402999999999999</v>
      </c>
      <c r="I227" s="972">
        <v>14.2705</v>
      </c>
      <c r="J227" s="972">
        <v>106.4</v>
      </c>
    </row>
    <row r="228" spans="1:10" ht="15.75" hidden="1">
      <c r="A228" s="972" t="s">
        <v>2406</v>
      </c>
      <c r="B228" s="972" t="s">
        <v>1834</v>
      </c>
      <c r="C228" s="972" t="s">
        <v>2311</v>
      </c>
      <c r="D228" s="972">
        <v>-5.0600000000000005E-4</v>
      </c>
      <c r="E228" s="972">
        <v>5.3299999999999997E-3</v>
      </c>
      <c r="F228" s="972">
        <v>3.0000000000000001E-6</v>
      </c>
      <c r="G228" s="972">
        <v>16745</v>
      </c>
      <c r="H228" s="972">
        <v>35.402999999999999</v>
      </c>
      <c r="I228" s="972">
        <v>14.2705</v>
      </c>
      <c r="J228" s="972">
        <v>106.4</v>
      </c>
    </row>
    <row r="229" spans="1:10" ht="15.75" hidden="1">
      <c r="A229" s="972" t="s">
        <v>2406</v>
      </c>
      <c r="B229" s="972" t="s">
        <v>1834</v>
      </c>
      <c r="C229" s="972" t="s">
        <v>2328</v>
      </c>
      <c r="D229" s="972">
        <v>-3.8200000000000002E-4</v>
      </c>
      <c r="E229" s="972">
        <v>1.3200000000000001E-4</v>
      </c>
      <c r="F229" s="972">
        <v>-1.2300000000000001E-4</v>
      </c>
      <c r="G229" s="972">
        <v>16745</v>
      </c>
      <c r="H229" s="972">
        <v>35.402999999999999</v>
      </c>
      <c r="I229" s="972">
        <v>14.2705</v>
      </c>
      <c r="J229" s="972">
        <v>106.4</v>
      </c>
    </row>
    <row r="230" spans="1:10" ht="15.75" hidden="1">
      <c r="A230" s="972" t="s">
        <v>2406</v>
      </c>
      <c r="B230" s="972" t="s">
        <v>1834</v>
      </c>
      <c r="C230" s="972" t="s">
        <v>2329</v>
      </c>
      <c r="D230" s="972">
        <v>-5.254E-3</v>
      </c>
      <c r="E230" s="972">
        <v>-4.8500000000000003E-4</v>
      </c>
      <c r="F230" s="972">
        <v>-1.7E-5</v>
      </c>
      <c r="G230" s="972">
        <v>16745</v>
      </c>
      <c r="H230" s="972">
        <v>35.402999999999999</v>
      </c>
      <c r="I230" s="972">
        <v>14.2705</v>
      </c>
      <c r="J230" s="972">
        <v>106.4</v>
      </c>
    </row>
    <row r="231" spans="1:10" ht="15.75" hidden="1">
      <c r="A231" s="972" t="s">
        <v>2406</v>
      </c>
      <c r="B231" s="972" t="s">
        <v>1834</v>
      </c>
      <c r="C231" s="972" t="s">
        <v>2330</v>
      </c>
      <c r="D231" s="972">
        <v>-2.9599999999999998E-4</v>
      </c>
      <c r="E231" s="972">
        <v>4.4359999999999998E-3</v>
      </c>
      <c r="F231" s="972">
        <v>9.9999999999999995E-7</v>
      </c>
      <c r="G231" s="972">
        <v>16745</v>
      </c>
      <c r="H231" s="972">
        <v>35.402999999999999</v>
      </c>
      <c r="I231" s="972">
        <v>14.2705</v>
      </c>
      <c r="J231" s="972">
        <v>106.4</v>
      </c>
    </row>
    <row r="232" spans="1:10" ht="15.75" hidden="1">
      <c r="A232" s="972" t="s">
        <v>2406</v>
      </c>
      <c r="B232" s="972" t="s">
        <v>1834</v>
      </c>
      <c r="C232" s="972" t="s">
        <v>2331</v>
      </c>
      <c r="D232" s="972">
        <v>-5.7300000000000005E-4</v>
      </c>
      <c r="E232" s="972">
        <v>8.8800000000000001E-4</v>
      </c>
      <c r="F232" s="972">
        <v>3.9999999999999998E-6</v>
      </c>
      <c r="G232" s="972">
        <v>16745</v>
      </c>
      <c r="H232" s="972">
        <v>35.402999999999999</v>
      </c>
      <c r="I232" s="972">
        <v>14.2705</v>
      </c>
      <c r="J232" s="972">
        <v>106.4</v>
      </c>
    </row>
    <row r="233" spans="1:10" ht="15.75" hidden="1">
      <c r="A233" s="972" t="s">
        <v>2406</v>
      </c>
      <c r="B233" s="972" t="s">
        <v>1834</v>
      </c>
      <c r="C233" s="972" t="s">
        <v>2332</v>
      </c>
      <c r="D233" s="972">
        <v>4.4749999999999998E-3</v>
      </c>
      <c r="E233" s="972">
        <v>3.68E-4</v>
      </c>
      <c r="F233" s="972">
        <v>4.0000000000000003E-5</v>
      </c>
      <c r="G233" s="972">
        <v>16745</v>
      </c>
      <c r="H233" s="972">
        <v>35.402999999999999</v>
      </c>
      <c r="I233" s="972">
        <v>14.2705</v>
      </c>
      <c r="J233" s="972">
        <v>106.4</v>
      </c>
    </row>
    <row r="234" spans="1:10" ht="15.75" hidden="1">
      <c r="A234" s="972" t="s">
        <v>2406</v>
      </c>
      <c r="B234" s="972" t="s">
        <v>1834</v>
      </c>
      <c r="C234" s="972" t="s">
        <v>2387</v>
      </c>
      <c r="D234" s="972">
        <v>-7.1000000000000005E-5</v>
      </c>
      <c r="E234" s="972">
        <v>-2.3010000000000001E-3</v>
      </c>
      <c r="F234" s="972">
        <v>1.9000000000000001E-5</v>
      </c>
      <c r="G234" s="972">
        <v>16745</v>
      </c>
      <c r="H234" s="972">
        <v>35.402999999999999</v>
      </c>
      <c r="I234" s="972">
        <v>14.2705</v>
      </c>
      <c r="J234" s="972">
        <v>106.4</v>
      </c>
    </row>
    <row r="235" spans="1:10" ht="15.75" hidden="1">
      <c r="A235" s="972" t="s">
        <v>2406</v>
      </c>
      <c r="B235" s="972" t="s">
        <v>1834</v>
      </c>
      <c r="C235" s="972" t="s">
        <v>2388</v>
      </c>
      <c r="D235" s="972">
        <v>1.5269999999999999E-3</v>
      </c>
      <c r="E235" s="972">
        <v>4.35E-4</v>
      </c>
      <c r="F235" s="972">
        <v>1.12E-4</v>
      </c>
      <c r="G235" s="972">
        <v>16745</v>
      </c>
      <c r="H235" s="972">
        <v>35.402999999999999</v>
      </c>
      <c r="I235" s="972">
        <v>14.2705</v>
      </c>
      <c r="J235" s="972">
        <v>106.4</v>
      </c>
    </row>
    <row r="236" spans="1:10" ht="15.75" hidden="1">
      <c r="A236" s="972" t="s">
        <v>2406</v>
      </c>
      <c r="B236" s="972" t="s">
        <v>1834</v>
      </c>
      <c r="C236" s="972" t="s">
        <v>2389</v>
      </c>
      <c r="D236" s="972">
        <v>-1.6570000000000001E-3</v>
      </c>
      <c r="E236" s="972">
        <v>7.6000000000000004E-5</v>
      </c>
      <c r="F236" s="972">
        <v>6.4999999999999994E-5</v>
      </c>
      <c r="G236" s="972">
        <v>16745</v>
      </c>
      <c r="H236" s="972">
        <v>35.402999999999999</v>
      </c>
      <c r="I236" s="972">
        <v>14.2705</v>
      </c>
      <c r="J236" s="972">
        <v>106.4</v>
      </c>
    </row>
    <row r="237" spans="1:10" ht="15.75" hidden="1">
      <c r="A237" s="972" t="s">
        <v>2406</v>
      </c>
      <c r="B237" s="972" t="s">
        <v>1834</v>
      </c>
      <c r="C237" s="972" t="s">
        <v>2390</v>
      </c>
      <c r="D237" s="972">
        <v>1.17E-3</v>
      </c>
      <c r="E237" s="972">
        <v>-2.61E-4</v>
      </c>
      <c r="F237" s="972">
        <v>-1.07E-4</v>
      </c>
      <c r="G237" s="972">
        <v>16745</v>
      </c>
      <c r="H237" s="972">
        <v>35.402999999999999</v>
      </c>
      <c r="I237" s="972">
        <v>14.2705</v>
      </c>
      <c r="J237" s="972">
        <v>106.4</v>
      </c>
    </row>
    <row r="238" spans="1:10" ht="15.75" hidden="1">
      <c r="A238" s="972" t="s">
        <v>2406</v>
      </c>
      <c r="B238" s="972" t="s">
        <v>1834</v>
      </c>
      <c r="C238" s="972" t="s">
        <v>2391</v>
      </c>
      <c r="D238" s="972">
        <v>-1.109E-3</v>
      </c>
      <c r="E238" s="972">
        <v>6.0899999999999995E-4</v>
      </c>
      <c r="F238" s="972">
        <v>2.9E-5</v>
      </c>
      <c r="G238" s="972">
        <v>16745</v>
      </c>
      <c r="H238" s="972">
        <v>35.402999999999999</v>
      </c>
      <c r="I238" s="972">
        <v>14.2705</v>
      </c>
      <c r="J238" s="972">
        <v>106.4</v>
      </c>
    </row>
    <row r="239" spans="1:10" ht="15.75" hidden="1">
      <c r="A239" s="972" t="s">
        <v>2406</v>
      </c>
      <c r="B239" s="972" t="s">
        <v>1834</v>
      </c>
      <c r="C239" s="972" t="s">
        <v>2392</v>
      </c>
      <c r="D239" s="972">
        <v>-9.2500000000000004E-4</v>
      </c>
      <c r="E239" s="972">
        <v>-6.6699999999999995E-4</v>
      </c>
      <c r="F239" s="972">
        <v>5.1999999999999997E-5</v>
      </c>
      <c r="G239" s="972">
        <v>16745</v>
      </c>
      <c r="H239" s="972">
        <v>35.402999999999999</v>
      </c>
      <c r="I239" s="972">
        <v>14.2705</v>
      </c>
      <c r="J239" s="972">
        <v>106.4</v>
      </c>
    </row>
    <row r="240" spans="1:10" ht="15.75" hidden="1">
      <c r="A240" s="972" t="s">
        <v>2406</v>
      </c>
      <c r="B240" s="972" t="s">
        <v>1834</v>
      </c>
      <c r="C240" s="972" t="s">
        <v>2393</v>
      </c>
      <c r="D240" s="972">
        <v>-6.1200000000000002E-4</v>
      </c>
      <c r="E240" s="972">
        <v>5.2400000000000005E-4</v>
      </c>
      <c r="F240" s="972">
        <v>2.6999999999999999E-5</v>
      </c>
      <c r="G240" s="972">
        <v>16745</v>
      </c>
      <c r="H240" s="972">
        <v>35.402999999999999</v>
      </c>
      <c r="I240" s="972">
        <v>14.2705</v>
      </c>
      <c r="J240" s="972">
        <v>106.4</v>
      </c>
    </row>
    <row r="241" spans="1:10" ht="15.75" hidden="1">
      <c r="A241" s="972" t="s">
        <v>2406</v>
      </c>
      <c r="B241" s="972" t="s">
        <v>1834</v>
      </c>
      <c r="C241" s="972" t="s">
        <v>2394</v>
      </c>
      <c r="D241" s="972">
        <v>-5.4199999999999995E-4</v>
      </c>
      <c r="E241" s="972">
        <v>-8.43E-4</v>
      </c>
      <c r="F241" s="972">
        <v>3.4999999999999997E-5</v>
      </c>
      <c r="G241" s="972">
        <v>16745</v>
      </c>
      <c r="H241" s="972">
        <v>35.402999999999999</v>
      </c>
      <c r="I241" s="972">
        <v>14.2705</v>
      </c>
      <c r="J241" s="972">
        <v>106.4</v>
      </c>
    </row>
    <row r="242" spans="1:10" ht="15.75" hidden="1">
      <c r="A242" s="972" t="s">
        <v>2406</v>
      </c>
      <c r="B242" s="972" t="s">
        <v>1834</v>
      </c>
      <c r="C242" s="972" t="s">
        <v>2395</v>
      </c>
      <c r="D242" s="972">
        <v>4.6700000000000002E-4</v>
      </c>
      <c r="E242" s="972">
        <v>-2.8699999999999998E-4</v>
      </c>
      <c r="F242" s="972">
        <v>-3.1000000000000001E-5</v>
      </c>
      <c r="G242" s="972">
        <v>16745</v>
      </c>
      <c r="H242" s="972">
        <v>35.402999999999999</v>
      </c>
      <c r="I242" s="972">
        <v>14.2705</v>
      </c>
      <c r="J242" s="972">
        <v>106.4</v>
      </c>
    </row>
    <row r="243" spans="1:10" ht="15.75" hidden="1">
      <c r="A243" s="972" t="s">
        <v>2406</v>
      </c>
      <c r="B243" s="972" t="s">
        <v>1834</v>
      </c>
      <c r="C243" s="972" t="s">
        <v>2396</v>
      </c>
      <c r="D243" s="972">
        <v>3.0200000000000002E-4</v>
      </c>
      <c r="E243" s="972">
        <v>8.4900000000000004E-4</v>
      </c>
      <c r="F243" s="972">
        <v>-2.5000000000000001E-5</v>
      </c>
      <c r="G243" s="972">
        <v>16745</v>
      </c>
      <c r="H243" s="972">
        <v>35.402999999999999</v>
      </c>
      <c r="I243" s="972">
        <v>14.2705</v>
      </c>
      <c r="J243" s="972">
        <v>106.4</v>
      </c>
    </row>
    <row r="244" spans="1:10" ht="15.75" hidden="1">
      <c r="A244" s="972" t="s">
        <v>2407</v>
      </c>
      <c r="B244" s="972" t="s">
        <v>1834</v>
      </c>
      <c r="C244" s="972" t="s">
        <v>2297</v>
      </c>
      <c r="D244" s="972">
        <v>-1.0629999999999999E-3</v>
      </c>
      <c r="E244" s="972">
        <v>5.4790000000000004E-3</v>
      </c>
      <c r="F244" s="972">
        <v>4.5000000000000003E-5</v>
      </c>
      <c r="G244" s="972">
        <v>16746</v>
      </c>
      <c r="H244" s="972">
        <v>35.402999999999999</v>
      </c>
      <c r="I244" s="972">
        <v>14.2705</v>
      </c>
      <c r="J244" s="972">
        <v>103</v>
      </c>
    </row>
    <row r="245" spans="1:10" ht="15.75" hidden="1">
      <c r="A245" s="972" t="s">
        <v>2407</v>
      </c>
      <c r="B245" s="972" t="s">
        <v>1834</v>
      </c>
      <c r="C245" s="972" t="s">
        <v>2298</v>
      </c>
      <c r="D245" s="972">
        <v>-7.8299999999999995E-4</v>
      </c>
      <c r="E245" s="972">
        <v>-1.134E-3</v>
      </c>
      <c r="F245" s="972">
        <v>2.6200000000000003E-4</v>
      </c>
      <c r="G245" s="972">
        <v>16746</v>
      </c>
      <c r="H245" s="972">
        <v>35.402999999999999</v>
      </c>
      <c r="I245" s="972">
        <v>14.2705</v>
      </c>
      <c r="J245" s="972">
        <v>103</v>
      </c>
    </row>
    <row r="246" spans="1:10" ht="15.75">
      <c r="A246" s="972" t="s">
        <v>2407</v>
      </c>
      <c r="B246" s="972" t="s">
        <v>1834</v>
      </c>
      <c r="C246" s="972" t="s">
        <v>2299</v>
      </c>
      <c r="D246" s="972">
        <v>5.4819999999999999E-3</v>
      </c>
      <c r="E246" s="972">
        <v>8.8500000000000004E-4</v>
      </c>
      <c r="F246" s="972">
        <v>4.5000000000000003E-5</v>
      </c>
      <c r="G246" s="972">
        <v>16746</v>
      </c>
      <c r="H246" s="972">
        <v>35.402999999999999</v>
      </c>
      <c r="I246" s="972">
        <v>14.2705</v>
      </c>
      <c r="J246" s="972">
        <v>103</v>
      </c>
    </row>
    <row r="247" spans="1:10" ht="15.75" hidden="1">
      <c r="A247" s="972" t="s">
        <v>2407</v>
      </c>
      <c r="B247" s="972" t="s">
        <v>1834</v>
      </c>
      <c r="C247" s="972" t="s">
        <v>2300</v>
      </c>
      <c r="D247" s="972">
        <v>2.31E-4</v>
      </c>
      <c r="E247" s="972">
        <v>9.9999999999999995E-7</v>
      </c>
      <c r="F247" s="972">
        <v>-1.05E-4</v>
      </c>
      <c r="G247" s="972">
        <v>16746</v>
      </c>
      <c r="H247" s="972">
        <v>35.402999999999999</v>
      </c>
      <c r="I247" s="972">
        <v>14.2705</v>
      </c>
      <c r="J247" s="972">
        <v>103</v>
      </c>
    </row>
    <row r="248" spans="1:10" ht="15.75" hidden="1">
      <c r="A248" s="972" t="s">
        <v>2407</v>
      </c>
      <c r="B248" s="972" t="s">
        <v>1834</v>
      </c>
      <c r="C248" s="972" t="s">
        <v>2301</v>
      </c>
      <c r="D248" s="972">
        <v>-9.7E-5</v>
      </c>
      <c r="E248" s="972">
        <v>1.2470000000000001E-3</v>
      </c>
      <c r="F248" s="972">
        <v>-1.9999999999999999E-6</v>
      </c>
      <c r="G248" s="972">
        <v>16746</v>
      </c>
      <c r="H248" s="972">
        <v>35.402999999999999</v>
      </c>
      <c r="I248" s="972">
        <v>14.2705</v>
      </c>
      <c r="J248" s="972">
        <v>103</v>
      </c>
    </row>
    <row r="249" spans="1:10" ht="15.75" hidden="1">
      <c r="A249" s="972" t="s">
        <v>2407</v>
      </c>
      <c r="B249" s="972" t="s">
        <v>1834</v>
      </c>
      <c r="C249" s="972" t="s">
        <v>2302</v>
      </c>
      <c r="D249" s="972">
        <v>1.5449999999999999E-3</v>
      </c>
      <c r="E249" s="972">
        <v>2.3900000000000001E-4</v>
      </c>
      <c r="F249" s="972">
        <v>1.5E-5</v>
      </c>
      <c r="G249" s="972">
        <v>16746</v>
      </c>
      <c r="H249" s="972">
        <v>35.402999999999999</v>
      </c>
      <c r="I249" s="972">
        <v>14.2705</v>
      </c>
      <c r="J249" s="972">
        <v>103</v>
      </c>
    </row>
    <row r="250" spans="1:10" ht="15.75" hidden="1">
      <c r="A250" s="972" t="s">
        <v>2407</v>
      </c>
      <c r="B250" s="972" t="s">
        <v>1834</v>
      </c>
      <c r="C250" s="972" t="s">
        <v>2303</v>
      </c>
      <c r="D250" s="972">
        <v>-2.9599999999999998E-4</v>
      </c>
      <c r="E250" s="972">
        <v>-1.2999999999999999E-5</v>
      </c>
      <c r="F250" s="972">
        <v>9.2999999999999997E-5</v>
      </c>
      <c r="G250" s="972">
        <v>16746</v>
      </c>
      <c r="H250" s="972">
        <v>35.402999999999999</v>
      </c>
      <c r="I250" s="972">
        <v>14.2705</v>
      </c>
      <c r="J250" s="972">
        <v>103</v>
      </c>
    </row>
    <row r="251" spans="1:10" ht="15.75" hidden="1">
      <c r="A251" s="972" t="s">
        <v>2407</v>
      </c>
      <c r="B251" s="972" t="s">
        <v>1834</v>
      </c>
      <c r="C251" s="972" t="s">
        <v>2304</v>
      </c>
      <c r="D251" s="972">
        <v>-2.6499999999999999E-4</v>
      </c>
      <c r="E251" s="972">
        <v>2.532E-3</v>
      </c>
      <c r="F251" s="972">
        <v>-3.0000000000000001E-6</v>
      </c>
      <c r="G251" s="972">
        <v>16746</v>
      </c>
      <c r="H251" s="972">
        <v>35.402999999999999</v>
      </c>
      <c r="I251" s="972">
        <v>14.2705</v>
      </c>
      <c r="J251" s="972">
        <v>103</v>
      </c>
    </row>
    <row r="252" spans="1:10" ht="15.75" hidden="1">
      <c r="A252" s="972" t="s">
        <v>2407</v>
      </c>
      <c r="B252" s="972" t="s">
        <v>1834</v>
      </c>
      <c r="C252" s="972" t="s">
        <v>2305</v>
      </c>
      <c r="D252" s="972">
        <v>-7.4899999999999999E-4</v>
      </c>
      <c r="E252" s="972">
        <v>-2.5000000000000001E-5</v>
      </c>
      <c r="F252" s="972">
        <v>2.3499999999999999E-4</v>
      </c>
      <c r="G252" s="972">
        <v>16746</v>
      </c>
      <c r="H252" s="972">
        <v>35.402999999999999</v>
      </c>
      <c r="I252" s="972">
        <v>14.2705</v>
      </c>
      <c r="J252" s="972">
        <v>103</v>
      </c>
    </row>
    <row r="253" spans="1:10" ht="15.75" hidden="1">
      <c r="A253" s="972" t="s">
        <v>2407</v>
      </c>
      <c r="B253" s="972" t="s">
        <v>1834</v>
      </c>
      <c r="C253" s="972" t="s">
        <v>2306</v>
      </c>
      <c r="D253" s="972">
        <v>2.2950000000000002E-3</v>
      </c>
      <c r="E253" s="972">
        <v>2.13E-4</v>
      </c>
      <c r="F253" s="972">
        <v>3.4999999999999997E-5</v>
      </c>
      <c r="G253" s="972">
        <v>16746</v>
      </c>
      <c r="H253" s="972">
        <v>35.402999999999999</v>
      </c>
      <c r="I253" s="972">
        <v>14.2705</v>
      </c>
      <c r="J253" s="972">
        <v>103</v>
      </c>
    </row>
    <row r="254" spans="1:10" ht="15.75" hidden="1">
      <c r="A254" s="972" t="s">
        <v>2407</v>
      </c>
      <c r="B254" s="972" t="s">
        <v>1834</v>
      </c>
      <c r="C254" s="972" t="s">
        <v>2307</v>
      </c>
      <c r="D254" s="972">
        <v>4.1899999999999999E-4</v>
      </c>
      <c r="E254" s="972">
        <v>1.7769999999999999E-3</v>
      </c>
      <c r="F254" s="972">
        <v>-2.3900000000000001E-4</v>
      </c>
      <c r="G254" s="972">
        <v>16746</v>
      </c>
      <c r="H254" s="972">
        <v>35.402999999999999</v>
      </c>
      <c r="I254" s="972">
        <v>14.2705</v>
      </c>
      <c r="J254" s="972">
        <v>103</v>
      </c>
    </row>
    <row r="255" spans="1:10" ht="15.75" hidden="1">
      <c r="A255" s="972" t="s">
        <v>2407</v>
      </c>
      <c r="B255" s="972" t="s">
        <v>1834</v>
      </c>
      <c r="C255" s="972" t="s">
        <v>2308</v>
      </c>
      <c r="D255" s="972">
        <v>6.7599999999999995E-4</v>
      </c>
      <c r="E255" s="972">
        <v>-4.7070000000000002E-3</v>
      </c>
      <c r="F255" s="972">
        <v>-8.6000000000000003E-5</v>
      </c>
      <c r="G255" s="972">
        <v>16746</v>
      </c>
      <c r="H255" s="972">
        <v>35.402999999999999</v>
      </c>
      <c r="I255" s="972">
        <v>14.2705</v>
      </c>
      <c r="J255" s="972">
        <v>103</v>
      </c>
    </row>
    <row r="256" spans="1:10" ht="15.75" hidden="1">
      <c r="A256" s="972" t="s">
        <v>2407</v>
      </c>
      <c r="B256" s="972" t="s">
        <v>1834</v>
      </c>
      <c r="C256" s="972" t="s">
        <v>2309</v>
      </c>
      <c r="D256" s="972">
        <v>4.9059999999999998E-3</v>
      </c>
      <c r="E256" s="972">
        <v>4.6000000000000001E-4</v>
      </c>
      <c r="F256" s="972">
        <v>3.6000000000000001E-5</v>
      </c>
      <c r="G256" s="972">
        <v>16746</v>
      </c>
      <c r="H256" s="972">
        <v>35.402999999999999</v>
      </c>
      <c r="I256" s="972">
        <v>14.2705</v>
      </c>
      <c r="J256" s="972">
        <v>103</v>
      </c>
    </row>
    <row r="257" spans="1:10" ht="15.75" hidden="1">
      <c r="A257" s="972" t="s">
        <v>2407</v>
      </c>
      <c r="B257" s="972" t="s">
        <v>1834</v>
      </c>
      <c r="C257" s="972" t="s">
        <v>2310</v>
      </c>
      <c r="D257" s="972">
        <v>-4.15E-4</v>
      </c>
      <c r="E257" s="972">
        <v>-1.3899999999999999E-4</v>
      </c>
      <c r="F257" s="972">
        <v>1.5200000000000001E-4</v>
      </c>
      <c r="G257" s="972">
        <v>16746</v>
      </c>
      <c r="H257" s="972">
        <v>35.402999999999999</v>
      </c>
      <c r="I257" s="972">
        <v>14.2705</v>
      </c>
      <c r="J257" s="972">
        <v>103</v>
      </c>
    </row>
    <row r="258" spans="1:10" ht="15.75" hidden="1">
      <c r="A258" s="972" t="s">
        <v>2407</v>
      </c>
      <c r="B258" s="972" t="s">
        <v>1834</v>
      </c>
      <c r="C258" s="972" t="s">
        <v>2311</v>
      </c>
      <c r="D258" s="972">
        <v>-4.7100000000000001E-4</v>
      </c>
      <c r="E258" s="972">
        <v>5.0639999999999999E-3</v>
      </c>
      <c r="F258" s="972">
        <v>2.6839999999999999E-7</v>
      </c>
      <c r="G258" s="972">
        <v>16746</v>
      </c>
      <c r="H258" s="972">
        <v>35.402999999999999</v>
      </c>
      <c r="I258" s="972">
        <v>14.2705</v>
      </c>
      <c r="J258" s="972">
        <v>103</v>
      </c>
    </row>
    <row r="259" spans="1:10" ht="15.75" hidden="1">
      <c r="A259" s="972" t="s">
        <v>2407</v>
      </c>
      <c r="B259" s="972" t="s">
        <v>1834</v>
      </c>
      <c r="C259" s="972" t="s">
        <v>2328</v>
      </c>
      <c r="D259" s="972">
        <v>-5.6800000000000004E-4</v>
      </c>
      <c r="E259" s="972">
        <v>8.7999999999999998E-5</v>
      </c>
      <c r="F259" s="972">
        <v>-3.0000000000000001E-6</v>
      </c>
      <c r="G259" s="972">
        <v>16746</v>
      </c>
      <c r="H259" s="972">
        <v>35.402999999999999</v>
      </c>
      <c r="I259" s="972">
        <v>14.2705</v>
      </c>
      <c r="J259" s="972">
        <v>103</v>
      </c>
    </row>
    <row r="260" spans="1:10" ht="15.75" hidden="1">
      <c r="A260" s="972" t="s">
        <v>2407</v>
      </c>
      <c r="B260" s="972" t="s">
        <v>1834</v>
      </c>
      <c r="C260" s="972" t="s">
        <v>2329</v>
      </c>
      <c r="D260" s="972">
        <v>-5.0340000000000003E-3</v>
      </c>
      <c r="E260" s="972">
        <v>-4.7199999999999998E-4</v>
      </c>
      <c r="F260" s="972">
        <v>-3.1999999999999999E-5</v>
      </c>
      <c r="G260" s="972">
        <v>16746</v>
      </c>
      <c r="H260" s="972">
        <v>35.402999999999999</v>
      </c>
      <c r="I260" s="972">
        <v>14.2705</v>
      </c>
      <c r="J260" s="972">
        <v>103</v>
      </c>
    </row>
    <row r="261" spans="1:10" ht="15.75" hidden="1">
      <c r="A261" s="972" t="s">
        <v>2407</v>
      </c>
      <c r="B261" s="972" t="s">
        <v>1834</v>
      </c>
      <c r="C261" s="972" t="s">
        <v>2330</v>
      </c>
      <c r="D261" s="972">
        <v>-1.2300000000000001E-4</v>
      </c>
      <c r="E261" s="972">
        <v>2.8570000000000002E-3</v>
      </c>
      <c r="F261" s="972">
        <v>-2.3E-5</v>
      </c>
      <c r="G261" s="972">
        <v>16746</v>
      </c>
      <c r="H261" s="972">
        <v>35.402999999999999</v>
      </c>
      <c r="I261" s="972">
        <v>14.2705</v>
      </c>
      <c r="J261" s="972">
        <v>103</v>
      </c>
    </row>
    <row r="262" spans="1:10" ht="15.75" hidden="1">
      <c r="A262" s="972" t="s">
        <v>2407</v>
      </c>
      <c r="B262" s="972" t="s">
        <v>1834</v>
      </c>
      <c r="C262" s="972" t="s">
        <v>2331</v>
      </c>
      <c r="D262" s="972">
        <v>-5.9000000000000003E-4</v>
      </c>
      <c r="E262" s="972">
        <v>5.71E-4</v>
      </c>
      <c r="F262" s="972">
        <v>1.3799999999999999E-4</v>
      </c>
      <c r="G262" s="972">
        <v>16746</v>
      </c>
      <c r="H262" s="972">
        <v>35.402999999999999</v>
      </c>
      <c r="I262" s="972">
        <v>14.2705</v>
      </c>
      <c r="J262" s="972">
        <v>103</v>
      </c>
    </row>
    <row r="263" spans="1:10" ht="15.75" hidden="1">
      <c r="A263" s="972" t="s">
        <v>2407</v>
      </c>
      <c r="B263" s="972" t="s">
        <v>1834</v>
      </c>
      <c r="C263" s="972" t="s">
        <v>2332</v>
      </c>
      <c r="D263" s="972">
        <v>2.9520000000000002E-3</v>
      </c>
      <c r="E263" s="972">
        <v>3.0200000000000002E-4</v>
      </c>
      <c r="F263" s="972">
        <v>5.5999999999999999E-5</v>
      </c>
      <c r="G263" s="972">
        <v>16746</v>
      </c>
      <c r="H263" s="972">
        <v>35.402999999999999</v>
      </c>
      <c r="I263" s="972">
        <v>14.2705</v>
      </c>
      <c r="J263" s="972">
        <v>103</v>
      </c>
    </row>
    <row r="264" spans="1:10" ht="15.75" hidden="1">
      <c r="A264" s="972" t="s">
        <v>2407</v>
      </c>
      <c r="B264" s="972" t="s">
        <v>1834</v>
      </c>
      <c r="C264" s="972" t="s">
        <v>2387</v>
      </c>
      <c r="D264" s="972">
        <v>-3.3799999999999998E-4</v>
      </c>
      <c r="E264" s="972">
        <v>2.6899999999999998E-4</v>
      </c>
      <c r="F264" s="972">
        <v>3.8000000000000002E-5</v>
      </c>
      <c r="G264" s="972">
        <v>16746</v>
      </c>
      <c r="H264" s="972">
        <v>35.402999999999999</v>
      </c>
      <c r="I264" s="972">
        <v>14.2705</v>
      </c>
      <c r="J264" s="972">
        <v>103</v>
      </c>
    </row>
    <row r="265" spans="1:10" ht="15.75" hidden="1">
      <c r="A265" s="972" t="s">
        <v>2407</v>
      </c>
      <c r="B265" s="972" t="s">
        <v>1834</v>
      </c>
      <c r="C265" s="972" t="s">
        <v>2388</v>
      </c>
      <c r="D265" s="972">
        <v>-9.8799999999999995E-4</v>
      </c>
      <c r="E265" s="972">
        <v>5.2499999999999997E-4</v>
      </c>
      <c r="F265" s="972">
        <v>1.5799999999999999E-4</v>
      </c>
      <c r="G265" s="972">
        <v>16746</v>
      </c>
      <c r="H265" s="972">
        <v>35.402999999999999</v>
      </c>
      <c r="I265" s="972">
        <v>14.2705</v>
      </c>
      <c r="J265" s="972">
        <v>103</v>
      </c>
    </row>
    <row r="266" spans="1:10" ht="15.75" hidden="1">
      <c r="A266" s="972" t="s">
        <v>2407</v>
      </c>
      <c r="B266" s="972" t="s">
        <v>1834</v>
      </c>
      <c r="C266" s="972" t="s">
        <v>2389</v>
      </c>
      <c r="D266" s="972">
        <v>-1.4400000000000001E-3</v>
      </c>
      <c r="E266" s="972">
        <v>1.913E-3</v>
      </c>
      <c r="F266" s="972">
        <v>1.08E-4</v>
      </c>
      <c r="G266" s="972">
        <v>16746</v>
      </c>
      <c r="H266" s="972">
        <v>35.402999999999999</v>
      </c>
      <c r="I266" s="972">
        <v>14.2705</v>
      </c>
      <c r="J266" s="972">
        <v>103</v>
      </c>
    </row>
    <row r="267" spans="1:10" ht="15.75" hidden="1">
      <c r="A267" s="972" t="s">
        <v>2407</v>
      </c>
      <c r="B267" s="972" t="s">
        <v>1834</v>
      </c>
      <c r="C267" s="972" t="s">
        <v>2390</v>
      </c>
      <c r="D267" s="972">
        <v>2.1189999999999998E-3</v>
      </c>
      <c r="E267" s="972">
        <v>1.2769999999999999E-3</v>
      </c>
      <c r="F267" s="972">
        <v>-1.4799999999999999E-4</v>
      </c>
      <c r="G267" s="972">
        <v>16746</v>
      </c>
      <c r="H267" s="972">
        <v>35.402999999999999</v>
      </c>
      <c r="I267" s="972">
        <v>14.2705</v>
      </c>
      <c r="J267" s="972">
        <v>103</v>
      </c>
    </row>
    <row r="268" spans="1:10" ht="15.75" hidden="1">
      <c r="A268" s="972" t="s">
        <v>2407</v>
      </c>
      <c r="B268" s="972" t="s">
        <v>1834</v>
      </c>
      <c r="C268" s="972" t="s">
        <v>2391</v>
      </c>
      <c r="D268" s="972">
        <v>-7.7999999999999999E-5</v>
      </c>
      <c r="E268" s="972">
        <v>1.4189999999999999E-3</v>
      </c>
      <c r="F268" s="972">
        <v>5.5000000000000002E-5</v>
      </c>
      <c r="G268" s="972">
        <v>16746</v>
      </c>
      <c r="H268" s="972">
        <v>35.402999999999999</v>
      </c>
      <c r="I268" s="972">
        <v>14.2705</v>
      </c>
      <c r="J268" s="972">
        <v>103</v>
      </c>
    </row>
    <row r="269" spans="1:10" ht="15.75" hidden="1">
      <c r="A269" s="972" t="s">
        <v>2407</v>
      </c>
      <c r="B269" s="972" t="s">
        <v>1834</v>
      </c>
      <c r="C269" s="972" t="s">
        <v>2392</v>
      </c>
      <c r="D269" s="972">
        <v>-8.8999999999999995E-4</v>
      </c>
      <c r="E269" s="972">
        <v>-2.0760000000000002E-3</v>
      </c>
      <c r="F269" s="972">
        <v>6.7000000000000002E-5</v>
      </c>
      <c r="G269" s="972">
        <v>16746</v>
      </c>
      <c r="H269" s="972">
        <v>35.402999999999999</v>
      </c>
      <c r="I269" s="972">
        <v>14.2705</v>
      </c>
      <c r="J269" s="972">
        <v>103</v>
      </c>
    </row>
    <row r="270" spans="1:10" ht="15.75" hidden="1">
      <c r="A270" s="972" t="s">
        <v>2407</v>
      </c>
      <c r="B270" s="972" t="s">
        <v>1834</v>
      </c>
      <c r="C270" s="972" t="s">
        <v>2393</v>
      </c>
      <c r="D270" s="972">
        <v>2.7099999999999997E-4</v>
      </c>
      <c r="E270" s="972">
        <v>8.1999999999999998E-4</v>
      </c>
      <c r="F270" s="972">
        <v>5.0000000000000002E-5</v>
      </c>
      <c r="G270" s="972">
        <v>16746</v>
      </c>
      <c r="H270" s="972">
        <v>35.402999999999999</v>
      </c>
      <c r="I270" s="972">
        <v>14.2705</v>
      </c>
      <c r="J270" s="972">
        <v>103</v>
      </c>
    </row>
    <row r="271" spans="1:10" ht="15.75" hidden="1">
      <c r="A271" s="972" t="s">
        <v>2407</v>
      </c>
      <c r="B271" s="972" t="s">
        <v>1834</v>
      </c>
      <c r="C271" s="972" t="s">
        <v>2394</v>
      </c>
      <c r="D271" s="972">
        <v>-3.86E-4</v>
      </c>
      <c r="E271" s="972">
        <v>-1.8339999999999999E-3</v>
      </c>
      <c r="F271" s="972">
        <v>4.3999999999999999E-5</v>
      </c>
      <c r="G271" s="972">
        <v>16746</v>
      </c>
      <c r="H271" s="972">
        <v>35.402999999999999</v>
      </c>
      <c r="I271" s="972">
        <v>14.2705</v>
      </c>
      <c r="J271" s="972">
        <v>103</v>
      </c>
    </row>
    <row r="272" spans="1:10" ht="15.75" hidden="1">
      <c r="A272" s="972" t="s">
        <v>2407</v>
      </c>
      <c r="B272" s="972" t="s">
        <v>1834</v>
      </c>
      <c r="C272" s="972" t="s">
        <v>2395</v>
      </c>
      <c r="D272" s="972">
        <v>-2.9E-4</v>
      </c>
      <c r="E272" s="972">
        <v>-2.9599999999999998E-4</v>
      </c>
      <c r="F272" s="972">
        <v>-5.3000000000000001E-5</v>
      </c>
      <c r="G272" s="972">
        <v>16746</v>
      </c>
      <c r="H272" s="972">
        <v>35.402999999999999</v>
      </c>
      <c r="I272" s="972">
        <v>14.2705</v>
      </c>
      <c r="J272" s="972">
        <v>103</v>
      </c>
    </row>
    <row r="273" spans="1:10" ht="15.75" hidden="1">
      <c r="A273" s="972" t="s">
        <v>2407</v>
      </c>
      <c r="B273" s="972" t="s">
        <v>1834</v>
      </c>
      <c r="C273" s="972" t="s">
        <v>2396</v>
      </c>
      <c r="D273" s="972">
        <v>2.5700000000000001E-4</v>
      </c>
      <c r="E273" s="972">
        <v>1.634E-3</v>
      </c>
      <c r="F273" s="972">
        <v>-2.9E-5</v>
      </c>
      <c r="G273" s="972">
        <v>16746</v>
      </c>
      <c r="H273" s="972">
        <v>35.402999999999999</v>
      </c>
      <c r="I273" s="972">
        <v>14.2705</v>
      </c>
      <c r="J273" s="972">
        <v>103</v>
      </c>
    </row>
    <row r="274" spans="1:10" ht="15.75" hidden="1">
      <c r="A274" s="972" t="s">
        <v>2408</v>
      </c>
      <c r="B274" s="972" t="s">
        <v>1834</v>
      </c>
      <c r="C274" s="972" t="s">
        <v>2297</v>
      </c>
      <c r="D274" s="972">
        <v>-1.024E-3</v>
      </c>
      <c r="E274" s="972">
        <v>5.2810000000000001E-3</v>
      </c>
      <c r="F274" s="972">
        <v>4.3999999999999999E-5</v>
      </c>
      <c r="G274" s="972">
        <v>16747</v>
      </c>
      <c r="H274" s="972">
        <v>35.402999999999999</v>
      </c>
      <c r="I274" s="972">
        <v>14.2705</v>
      </c>
      <c r="J274" s="972">
        <v>99.6</v>
      </c>
    </row>
    <row r="275" spans="1:10" ht="15.75" hidden="1">
      <c r="A275" s="972" t="s">
        <v>2408</v>
      </c>
      <c r="B275" s="972" t="s">
        <v>1834</v>
      </c>
      <c r="C275" s="972" t="s">
        <v>2298</v>
      </c>
      <c r="D275" s="972">
        <v>-7.6300000000000001E-4</v>
      </c>
      <c r="E275" s="972">
        <v>-1.0939999999999999E-3</v>
      </c>
      <c r="F275" s="972">
        <v>2.5599999999999999E-4</v>
      </c>
      <c r="G275" s="972">
        <v>16747</v>
      </c>
      <c r="H275" s="972">
        <v>35.402999999999999</v>
      </c>
      <c r="I275" s="972">
        <v>14.2705</v>
      </c>
      <c r="J275" s="972">
        <v>99.6</v>
      </c>
    </row>
    <row r="276" spans="1:10" ht="15.75">
      <c r="A276" s="972" t="s">
        <v>2408</v>
      </c>
      <c r="B276" s="972" t="s">
        <v>1834</v>
      </c>
      <c r="C276" s="972" t="s">
        <v>2299</v>
      </c>
      <c r="D276" s="972">
        <v>5.313E-3</v>
      </c>
      <c r="E276" s="972">
        <v>8.6300000000000005E-4</v>
      </c>
      <c r="F276" s="972">
        <v>4.3999999999999999E-5</v>
      </c>
      <c r="G276" s="972">
        <v>16747</v>
      </c>
      <c r="H276" s="972">
        <v>35.402999999999999</v>
      </c>
      <c r="I276" s="972">
        <v>14.2705</v>
      </c>
      <c r="J276" s="972">
        <v>99.6</v>
      </c>
    </row>
    <row r="277" spans="1:10" ht="15.75" hidden="1">
      <c r="A277" s="972" t="s">
        <v>2408</v>
      </c>
      <c r="B277" s="972" t="s">
        <v>1834</v>
      </c>
      <c r="C277" s="972" t="s">
        <v>2300</v>
      </c>
      <c r="D277" s="972">
        <v>1.2899999999999999E-4</v>
      </c>
      <c r="E277" s="972">
        <v>5.0000000000000004E-6</v>
      </c>
      <c r="F277" s="972">
        <v>-7.1000000000000005E-5</v>
      </c>
      <c r="G277" s="972">
        <v>16747</v>
      </c>
      <c r="H277" s="972">
        <v>35.402999999999999</v>
      </c>
      <c r="I277" s="972">
        <v>14.2705</v>
      </c>
      <c r="J277" s="972">
        <v>99.6</v>
      </c>
    </row>
    <row r="278" spans="1:10" ht="15.75" hidden="1">
      <c r="A278" s="972" t="s">
        <v>2408</v>
      </c>
      <c r="B278" s="972" t="s">
        <v>1834</v>
      </c>
      <c r="C278" s="972" t="s">
        <v>2301</v>
      </c>
      <c r="D278" s="972">
        <v>-6.0000000000000002E-6</v>
      </c>
      <c r="E278" s="972">
        <v>4.95E-4</v>
      </c>
      <c r="F278" s="972">
        <v>-9.9999999999999995E-7</v>
      </c>
      <c r="G278" s="972">
        <v>16747</v>
      </c>
      <c r="H278" s="972">
        <v>35.402999999999999</v>
      </c>
      <c r="I278" s="972">
        <v>14.2705</v>
      </c>
      <c r="J278" s="972">
        <v>99.6</v>
      </c>
    </row>
    <row r="279" spans="1:10" ht="15.75" hidden="1">
      <c r="A279" s="972" t="s">
        <v>2408</v>
      </c>
      <c r="B279" s="972" t="s">
        <v>1834</v>
      </c>
      <c r="C279" s="972" t="s">
        <v>2302</v>
      </c>
      <c r="D279" s="972">
        <v>8.0800000000000002E-4</v>
      </c>
      <c r="E279" s="972">
        <v>1.4899999999999999E-4</v>
      </c>
      <c r="F279" s="972">
        <v>1.1E-5</v>
      </c>
      <c r="G279" s="972">
        <v>16747</v>
      </c>
      <c r="H279" s="972">
        <v>35.402999999999999</v>
      </c>
      <c r="I279" s="972">
        <v>14.2705</v>
      </c>
      <c r="J279" s="972">
        <v>99.6</v>
      </c>
    </row>
    <row r="280" spans="1:10" ht="15.75" hidden="1">
      <c r="A280" s="972" t="s">
        <v>2408</v>
      </c>
      <c r="B280" s="972" t="s">
        <v>1834</v>
      </c>
      <c r="C280" s="972" t="s">
        <v>2303</v>
      </c>
      <c r="D280" s="972">
        <v>-3.97E-4</v>
      </c>
      <c r="E280" s="972">
        <v>-1.4E-5</v>
      </c>
      <c r="F280" s="972">
        <v>1.4300000000000001E-4</v>
      </c>
      <c r="G280" s="972">
        <v>16747</v>
      </c>
      <c r="H280" s="972">
        <v>35.402999999999999</v>
      </c>
      <c r="I280" s="972">
        <v>14.2705</v>
      </c>
      <c r="J280" s="972">
        <v>99.6</v>
      </c>
    </row>
    <row r="281" spans="1:10" ht="15.75" hidden="1">
      <c r="A281" s="972" t="s">
        <v>2408</v>
      </c>
      <c r="B281" s="972" t="s">
        <v>1834</v>
      </c>
      <c r="C281" s="972" t="s">
        <v>2304</v>
      </c>
      <c r="D281" s="972">
        <v>-3.5300000000000002E-4</v>
      </c>
      <c r="E281" s="972">
        <v>3.4680000000000002E-3</v>
      </c>
      <c r="F281" s="972">
        <v>-3.0000000000000001E-6</v>
      </c>
      <c r="G281" s="972">
        <v>16747</v>
      </c>
      <c r="H281" s="972">
        <v>35.402999999999999</v>
      </c>
      <c r="I281" s="972">
        <v>14.2705</v>
      </c>
      <c r="J281" s="972">
        <v>99.6</v>
      </c>
    </row>
    <row r="282" spans="1:10" ht="15.75" hidden="1">
      <c r="A282" s="972" t="s">
        <v>2408</v>
      </c>
      <c r="B282" s="972" t="s">
        <v>1834</v>
      </c>
      <c r="C282" s="972" t="s">
        <v>2305</v>
      </c>
      <c r="D282" s="972">
        <v>-8.83E-4</v>
      </c>
      <c r="E282" s="972">
        <v>-3.1000000000000001E-5</v>
      </c>
      <c r="F282" s="972">
        <v>2.5900000000000001E-4</v>
      </c>
      <c r="G282" s="972">
        <v>16747</v>
      </c>
      <c r="H282" s="972">
        <v>35.402999999999999</v>
      </c>
      <c r="I282" s="972">
        <v>14.2705</v>
      </c>
      <c r="J282" s="972">
        <v>99.6</v>
      </c>
    </row>
    <row r="283" spans="1:10" ht="15.75" hidden="1">
      <c r="A283" s="972" t="s">
        <v>2408</v>
      </c>
      <c r="B283" s="972" t="s">
        <v>1834</v>
      </c>
      <c r="C283" s="972" t="s">
        <v>2306</v>
      </c>
      <c r="D283" s="972">
        <v>3.2369999999999999E-3</v>
      </c>
      <c r="E283" s="972">
        <v>3.1E-4</v>
      </c>
      <c r="F283" s="972">
        <v>4.3999999999999999E-5</v>
      </c>
      <c r="G283" s="972">
        <v>16747</v>
      </c>
      <c r="H283" s="972">
        <v>35.402999999999999</v>
      </c>
      <c r="I283" s="972">
        <v>14.2705</v>
      </c>
      <c r="J283" s="972">
        <v>99.6</v>
      </c>
    </row>
    <row r="284" spans="1:10" ht="15.75" hidden="1">
      <c r="A284" s="972" t="s">
        <v>2408</v>
      </c>
      <c r="B284" s="972" t="s">
        <v>1834</v>
      </c>
      <c r="C284" s="972" t="s">
        <v>2307</v>
      </c>
      <c r="D284" s="972">
        <v>3.4499999999999998E-4</v>
      </c>
      <c r="E284" s="972">
        <v>1.8929999999999999E-3</v>
      </c>
      <c r="F284" s="972">
        <v>-2.02E-4</v>
      </c>
      <c r="G284" s="972">
        <v>16747</v>
      </c>
      <c r="H284" s="972">
        <v>35.402999999999999</v>
      </c>
      <c r="I284" s="972">
        <v>14.2705</v>
      </c>
      <c r="J284" s="972">
        <v>99.6</v>
      </c>
    </row>
    <row r="285" spans="1:10" ht="15.75" hidden="1">
      <c r="A285" s="972" t="s">
        <v>2408</v>
      </c>
      <c r="B285" s="972" t="s">
        <v>1834</v>
      </c>
      <c r="C285" s="972" t="s">
        <v>2308</v>
      </c>
      <c r="D285" s="972">
        <v>6.78E-4</v>
      </c>
      <c r="E285" s="972">
        <v>-5.0220000000000004E-3</v>
      </c>
      <c r="F285" s="972">
        <v>-7.2000000000000002E-5</v>
      </c>
      <c r="G285" s="972">
        <v>16747</v>
      </c>
      <c r="H285" s="972">
        <v>35.402999999999999</v>
      </c>
      <c r="I285" s="972">
        <v>14.2705</v>
      </c>
      <c r="J285" s="972">
        <v>99.6</v>
      </c>
    </row>
    <row r="286" spans="1:10" ht="15.75" hidden="1">
      <c r="A286" s="972" t="s">
        <v>2408</v>
      </c>
      <c r="B286" s="972" t="s">
        <v>1834</v>
      </c>
      <c r="C286" s="972" t="s">
        <v>2309</v>
      </c>
      <c r="D286" s="972">
        <v>5.2919999999999998E-3</v>
      </c>
      <c r="E286" s="972">
        <v>5.0100000000000003E-4</v>
      </c>
      <c r="F286" s="972">
        <v>3.6999999999999998E-5</v>
      </c>
      <c r="G286" s="972">
        <v>16747</v>
      </c>
      <c r="H286" s="972">
        <v>35.402999999999999</v>
      </c>
      <c r="I286" s="972">
        <v>14.2705</v>
      </c>
      <c r="J286" s="972">
        <v>99.6</v>
      </c>
    </row>
    <row r="287" spans="1:10" ht="15.75" hidden="1">
      <c r="A287" s="972" t="s">
        <v>2408</v>
      </c>
      <c r="B287" s="972" t="s">
        <v>1834</v>
      </c>
      <c r="C287" s="972" t="s">
        <v>2310</v>
      </c>
      <c r="D287" s="972">
        <v>-2.3800000000000001E-4</v>
      </c>
      <c r="E287" s="972">
        <v>-1.17E-4</v>
      </c>
      <c r="F287" s="972">
        <v>4.8999999999999998E-5</v>
      </c>
      <c r="G287" s="972">
        <v>16747</v>
      </c>
      <c r="H287" s="972">
        <v>35.402999999999999</v>
      </c>
      <c r="I287" s="972">
        <v>14.2705</v>
      </c>
      <c r="J287" s="972">
        <v>99.6</v>
      </c>
    </row>
    <row r="288" spans="1:10" ht="15.75" hidden="1">
      <c r="A288" s="972" t="s">
        <v>2408</v>
      </c>
      <c r="B288" s="972" t="s">
        <v>1834</v>
      </c>
      <c r="C288" s="972" t="s">
        <v>2311</v>
      </c>
      <c r="D288" s="972">
        <v>-3.7300000000000001E-4</v>
      </c>
      <c r="E288" s="972">
        <v>4.1349999999999998E-3</v>
      </c>
      <c r="F288" s="972">
        <v>-3.0000000000000001E-6</v>
      </c>
      <c r="G288" s="972">
        <v>16747</v>
      </c>
      <c r="H288" s="972">
        <v>35.402999999999999</v>
      </c>
      <c r="I288" s="972">
        <v>14.2705</v>
      </c>
      <c r="J288" s="972">
        <v>99.6</v>
      </c>
    </row>
    <row r="289" spans="1:10" ht="15.75" hidden="1">
      <c r="A289" s="972" t="s">
        <v>2408</v>
      </c>
      <c r="B289" s="972" t="s">
        <v>1834</v>
      </c>
      <c r="C289" s="972" t="s">
        <v>2328</v>
      </c>
      <c r="D289" s="972">
        <v>-6.8400000000000004E-4</v>
      </c>
      <c r="E289" s="972">
        <v>3.1000000000000001E-5</v>
      </c>
      <c r="F289" s="972">
        <v>1.18E-4</v>
      </c>
      <c r="G289" s="972">
        <v>16747</v>
      </c>
      <c r="H289" s="972">
        <v>35.402999999999999</v>
      </c>
      <c r="I289" s="972">
        <v>14.2705</v>
      </c>
      <c r="J289" s="972">
        <v>99.6</v>
      </c>
    </row>
    <row r="290" spans="1:10" ht="15.75" hidden="1">
      <c r="A290" s="972" t="s">
        <v>2408</v>
      </c>
      <c r="B290" s="972" t="s">
        <v>1834</v>
      </c>
      <c r="C290" s="972" t="s">
        <v>2329</v>
      </c>
      <c r="D290" s="972">
        <v>-4.1609999999999998E-3</v>
      </c>
      <c r="E290" s="972">
        <v>-4.0000000000000002E-4</v>
      </c>
      <c r="F290" s="972">
        <v>-4.3000000000000002E-5</v>
      </c>
      <c r="G290" s="972">
        <v>16747</v>
      </c>
      <c r="H290" s="972">
        <v>35.402999999999999</v>
      </c>
      <c r="I290" s="972">
        <v>14.2705</v>
      </c>
      <c r="J290" s="972">
        <v>99.6</v>
      </c>
    </row>
    <row r="291" spans="1:10" ht="15.75" hidden="1">
      <c r="A291" s="972" t="s">
        <v>2408</v>
      </c>
      <c r="B291" s="972" t="s">
        <v>1834</v>
      </c>
      <c r="C291" s="972" t="s">
        <v>2330</v>
      </c>
      <c r="D291" s="972">
        <v>7.6000000000000004E-5</v>
      </c>
      <c r="E291" s="972">
        <v>7.2599999999999997E-4</v>
      </c>
      <c r="F291" s="972">
        <v>-4.0000000000000003E-5</v>
      </c>
      <c r="G291" s="972">
        <v>16747</v>
      </c>
      <c r="H291" s="972">
        <v>35.402999999999999</v>
      </c>
      <c r="I291" s="972">
        <v>14.2705</v>
      </c>
      <c r="J291" s="972">
        <v>99.6</v>
      </c>
    </row>
    <row r="292" spans="1:10" ht="15.75" hidden="1">
      <c r="A292" s="972" t="s">
        <v>2408</v>
      </c>
      <c r="B292" s="972" t="s">
        <v>1834</v>
      </c>
      <c r="C292" s="972" t="s">
        <v>2331</v>
      </c>
      <c r="D292" s="972">
        <v>-4.9600000000000002E-4</v>
      </c>
      <c r="E292" s="972">
        <v>1.17E-4</v>
      </c>
      <c r="F292" s="972">
        <v>2.2800000000000001E-4</v>
      </c>
      <c r="G292" s="972">
        <v>16747</v>
      </c>
      <c r="H292" s="972">
        <v>35.402999999999999</v>
      </c>
      <c r="I292" s="972">
        <v>14.2705</v>
      </c>
      <c r="J292" s="972">
        <v>99.6</v>
      </c>
    </row>
    <row r="293" spans="1:10" ht="15.75" hidden="1">
      <c r="A293" s="972" t="s">
        <v>2408</v>
      </c>
      <c r="B293" s="972" t="s">
        <v>1834</v>
      </c>
      <c r="C293" s="972" t="s">
        <v>2332</v>
      </c>
      <c r="D293" s="972">
        <v>8.7200000000000005E-4</v>
      </c>
      <c r="E293" s="972">
        <v>1.75E-4</v>
      </c>
      <c r="F293" s="972">
        <v>5.3000000000000001E-5</v>
      </c>
      <c r="G293" s="972">
        <v>16747</v>
      </c>
      <c r="H293" s="972">
        <v>35.402999999999999</v>
      </c>
      <c r="I293" s="972">
        <v>14.2705</v>
      </c>
      <c r="J293" s="972">
        <v>99.6</v>
      </c>
    </row>
    <row r="294" spans="1:10" ht="15.75" hidden="1">
      <c r="A294" s="972" t="s">
        <v>2408</v>
      </c>
      <c r="B294" s="972" t="s">
        <v>1834</v>
      </c>
      <c r="C294" s="972" t="s">
        <v>2387</v>
      </c>
      <c r="D294" s="972">
        <v>-5.2599999999999999E-4</v>
      </c>
      <c r="E294" s="972">
        <v>2.8149999999999998E-3</v>
      </c>
      <c r="F294" s="972">
        <v>4.3999999999999999E-5</v>
      </c>
      <c r="G294" s="972">
        <v>16747</v>
      </c>
      <c r="H294" s="972">
        <v>35.402999999999999</v>
      </c>
      <c r="I294" s="972">
        <v>14.2705</v>
      </c>
      <c r="J294" s="972">
        <v>99.6</v>
      </c>
    </row>
    <row r="295" spans="1:10" ht="15.75" hidden="1">
      <c r="A295" s="972" t="s">
        <v>2408</v>
      </c>
      <c r="B295" s="972" t="s">
        <v>1834</v>
      </c>
      <c r="C295" s="972" t="s">
        <v>2388</v>
      </c>
      <c r="D295" s="972">
        <v>-3.2439999999999999E-3</v>
      </c>
      <c r="E295" s="972">
        <v>4.4099999999999999E-4</v>
      </c>
      <c r="F295" s="972">
        <v>1.3899999999999999E-4</v>
      </c>
      <c r="G295" s="972">
        <v>16747</v>
      </c>
      <c r="H295" s="972">
        <v>35.402999999999999</v>
      </c>
      <c r="I295" s="972">
        <v>14.2705</v>
      </c>
      <c r="J295" s="972">
        <v>99.6</v>
      </c>
    </row>
    <row r="296" spans="1:10" ht="15.75" hidden="1">
      <c r="A296" s="972" t="s">
        <v>2408</v>
      </c>
      <c r="B296" s="972" t="s">
        <v>1834</v>
      </c>
      <c r="C296" s="972" t="s">
        <v>2389</v>
      </c>
      <c r="D296" s="972">
        <v>-7.7999999999999999E-4</v>
      </c>
      <c r="E296" s="972">
        <v>3.1939999999999998E-3</v>
      </c>
      <c r="F296" s="972">
        <v>1.06E-4</v>
      </c>
      <c r="G296" s="972">
        <v>16747</v>
      </c>
      <c r="H296" s="972">
        <v>35.402999999999999</v>
      </c>
      <c r="I296" s="972">
        <v>14.2705</v>
      </c>
      <c r="J296" s="972">
        <v>99.6</v>
      </c>
    </row>
    <row r="297" spans="1:10" ht="15.75" hidden="1">
      <c r="A297" s="972" t="s">
        <v>2408</v>
      </c>
      <c r="B297" s="972" t="s">
        <v>1834</v>
      </c>
      <c r="C297" s="972" t="s">
        <v>2390</v>
      </c>
      <c r="D297" s="972">
        <v>2.428E-3</v>
      </c>
      <c r="E297" s="972">
        <v>2.4910000000000002E-3</v>
      </c>
      <c r="F297" s="972">
        <v>-1.25E-4</v>
      </c>
      <c r="G297" s="972">
        <v>16747</v>
      </c>
      <c r="H297" s="972">
        <v>35.402999999999999</v>
      </c>
      <c r="I297" s="972">
        <v>14.2705</v>
      </c>
      <c r="J297" s="972">
        <v>99.6</v>
      </c>
    </row>
    <row r="298" spans="1:10" ht="15.75" hidden="1">
      <c r="A298" s="972" t="s">
        <v>2408</v>
      </c>
      <c r="B298" s="972" t="s">
        <v>1834</v>
      </c>
      <c r="C298" s="972" t="s">
        <v>2391</v>
      </c>
      <c r="D298" s="972">
        <v>1.059E-3</v>
      </c>
      <c r="E298" s="972">
        <v>1.7390000000000001E-3</v>
      </c>
      <c r="F298" s="972">
        <v>5.8999999999999998E-5</v>
      </c>
      <c r="G298" s="972">
        <v>16747</v>
      </c>
      <c r="H298" s="972">
        <v>35.402999999999999</v>
      </c>
      <c r="I298" s="972">
        <v>14.2705</v>
      </c>
      <c r="J298" s="972">
        <v>99.6</v>
      </c>
    </row>
    <row r="299" spans="1:10" ht="15.75" hidden="1">
      <c r="A299" s="972" t="s">
        <v>2408</v>
      </c>
      <c r="B299" s="972" t="s">
        <v>1834</v>
      </c>
      <c r="C299" s="972" t="s">
        <v>2392</v>
      </c>
      <c r="D299" s="972">
        <v>-5.2099999999999998E-4</v>
      </c>
      <c r="E299" s="972">
        <v>-2.807E-3</v>
      </c>
      <c r="F299" s="972">
        <v>5.3000000000000001E-5</v>
      </c>
      <c r="G299" s="972">
        <v>16747</v>
      </c>
      <c r="H299" s="972">
        <v>35.402999999999999</v>
      </c>
      <c r="I299" s="972">
        <v>14.2705</v>
      </c>
      <c r="J299" s="972">
        <v>99.6</v>
      </c>
    </row>
    <row r="300" spans="1:10" ht="15.75" hidden="1">
      <c r="A300" s="972" t="s">
        <v>2408</v>
      </c>
      <c r="B300" s="972" t="s">
        <v>1834</v>
      </c>
      <c r="C300" s="972" t="s">
        <v>2393</v>
      </c>
      <c r="D300" s="972">
        <v>1.134E-3</v>
      </c>
      <c r="E300" s="972">
        <v>7.8899999999999999E-4</v>
      </c>
      <c r="F300" s="972">
        <v>5.1999999999999997E-5</v>
      </c>
      <c r="G300" s="972">
        <v>16747</v>
      </c>
      <c r="H300" s="972">
        <v>35.402999999999999</v>
      </c>
      <c r="I300" s="972">
        <v>14.2705</v>
      </c>
      <c r="J300" s="972">
        <v>99.6</v>
      </c>
    </row>
    <row r="301" spans="1:10" ht="15.75" hidden="1">
      <c r="A301" s="972" t="s">
        <v>2408</v>
      </c>
      <c r="B301" s="972" t="s">
        <v>1834</v>
      </c>
      <c r="C301" s="972" t="s">
        <v>2394</v>
      </c>
      <c r="D301" s="972">
        <v>-5.1999999999999997E-5</v>
      </c>
      <c r="E301" s="972">
        <v>-2.1570000000000001E-3</v>
      </c>
      <c r="F301" s="972">
        <v>3.3000000000000003E-5</v>
      </c>
      <c r="G301" s="972">
        <v>16747</v>
      </c>
      <c r="H301" s="972">
        <v>35.402999999999999</v>
      </c>
      <c r="I301" s="972">
        <v>14.2705</v>
      </c>
      <c r="J301" s="972">
        <v>99.6</v>
      </c>
    </row>
    <row r="302" spans="1:10" ht="15.75" hidden="1">
      <c r="A302" s="972" t="s">
        <v>2408</v>
      </c>
      <c r="B302" s="972" t="s">
        <v>1834</v>
      </c>
      <c r="C302" s="972" t="s">
        <v>2395</v>
      </c>
      <c r="D302" s="972">
        <v>-1.0039999999999999E-3</v>
      </c>
      <c r="E302" s="972">
        <v>-1.6100000000000001E-4</v>
      </c>
      <c r="F302" s="972">
        <v>-5.3999999999999998E-5</v>
      </c>
      <c r="G302" s="972">
        <v>16747</v>
      </c>
      <c r="H302" s="972">
        <v>35.402999999999999</v>
      </c>
      <c r="I302" s="972">
        <v>14.2705</v>
      </c>
      <c r="J302" s="972">
        <v>99.6</v>
      </c>
    </row>
    <row r="303" spans="1:10" ht="15.75" hidden="1">
      <c r="A303" s="972" t="s">
        <v>2408</v>
      </c>
      <c r="B303" s="972" t="s">
        <v>1834</v>
      </c>
      <c r="C303" s="972" t="s">
        <v>2396</v>
      </c>
      <c r="D303" s="972">
        <v>9.3999999999999994E-5</v>
      </c>
      <c r="E303" s="972">
        <v>1.7910000000000001E-3</v>
      </c>
      <c r="F303" s="972">
        <v>-1.9000000000000001E-5</v>
      </c>
      <c r="G303" s="972">
        <v>16747</v>
      </c>
      <c r="H303" s="972">
        <v>35.402999999999999</v>
      </c>
      <c r="I303" s="972">
        <v>14.2705</v>
      </c>
      <c r="J303" s="972">
        <v>99.6</v>
      </c>
    </row>
    <row r="304" spans="1:10" ht="15.75" hidden="1">
      <c r="A304" s="972" t="s">
        <v>2409</v>
      </c>
      <c r="B304" s="972" t="s">
        <v>1834</v>
      </c>
      <c r="C304" s="972" t="s">
        <v>2297</v>
      </c>
      <c r="D304" s="972">
        <v>-9.8400000000000007E-4</v>
      </c>
      <c r="E304" s="972">
        <v>5.0790000000000002E-3</v>
      </c>
      <c r="F304" s="972">
        <v>4.3000000000000002E-5</v>
      </c>
      <c r="G304" s="972">
        <v>16748</v>
      </c>
      <c r="H304" s="972">
        <v>35.402999999999999</v>
      </c>
      <c r="I304" s="972">
        <v>14.2705</v>
      </c>
      <c r="J304" s="972">
        <v>96.2</v>
      </c>
    </row>
    <row r="305" spans="1:10" ht="15.75" hidden="1">
      <c r="A305" s="972" t="s">
        <v>2409</v>
      </c>
      <c r="B305" s="972" t="s">
        <v>1834</v>
      </c>
      <c r="C305" s="972" t="s">
        <v>2298</v>
      </c>
      <c r="D305" s="972">
        <v>-7.4299999999999995E-4</v>
      </c>
      <c r="E305" s="972">
        <v>-1.054E-3</v>
      </c>
      <c r="F305" s="972">
        <v>2.5000000000000001E-4</v>
      </c>
      <c r="G305" s="972">
        <v>16748</v>
      </c>
      <c r="H305" s="972">
        <v>35.402999999999999</v>
      </c>
      <c r="I305" s="972">
        <v>14.2705</v>
      </c>
      <c r="J305" s="972">
        <v>96.2</v>
      </c>
    </row>
    <row r="306" spans="1:10" ht="15.75">
      <c r="A306" s="972" t="s">
        <v>2409</v>
      </c>
      <c r="B306" s="972" t="s">
        <v>1834</v>
      </c>
      <c r="C306" s="972" t="s">
        <v>2299</v>
      </c>
      <c r="D306" s="972">
        <v>5.1390000000000003E-3</v>
      </c>
      <c r="E306" s="972">
        <v>8.4000000000000003E-4</v>
      </c>
      <c r="F306" s="972">
        <v>4.3000000000000002E-5</v>
      </c>
      <c r="G306" s="972">
        <v>16748</v>
      </c>
      <c r="H306" s="972">
        <v>35.402999999999999</v>
      </c>
      <c r="I306" s="972">
        <v>14.2705</v>
      </c>
      <c r="J306" s="972">
        <v>96.2</v>
      </c>
    </row>
    <row r="307" spans="1:10" ht="15.75" hidden="1">
      <c r="A307" s="972" t="s">
        <v>2409</v>
      </c>
      <c r="B307" s="972" t="s">
        <v>1834</v>
      </c>
      <c r="C307" s="972" t="s">
        <v>2300</v>
      </c>
      <c r="D307" s="972">
        <v>2.5999999999999998E-5</v>
      </c>
      <c r="E307" s="972">
        <v>9.0000000000000002E-6</v>
      </c>
      <c r="F307" s="972">
        <v>-3.6999999999999998E-5</v>
      </c>
      <c r="G307" s="972">
        <v>16748</v>
      </c>
      <c r="H307" s="972">
        <v>35.402999999999999</v>
      </c>
      <c r="I307" s="972">
        <v>14.2705</v>
      </c>
      <c r="J307" s="972">
        <v>96.2</v>
      </c>
    </row>
    <row r="308" spans="1:10" ht="15.75" hidden="1">
      <c r="A308" s="972" t="s">
        <v>2409</v>
      </c>
      <c r="B308" s="972" t="s">
        <v>1834</v>
      </c>
      <c r="C308" s="972" t="s">
        <v>2301</v>
      </c>
      <c r="D308" s="972">
        <v>8.3999999999999995E-5</v>
      </c>
      <c r="E308" s="972">
        <v>-2.4499999999999999E-4</v>
      </c>
      <c r="F308" s="972">
        <v>-3.6730000000000001E-7</v>
      </c>
      <c r="G308" s="972">
        <v>16748</v>
      </c>
      <c r="H308" s="972">
        <v>35.402999999999999</v>
      </c>
      <c r="I308" s="972">
        <v>14.2705</v>
      </c>
      <c r="J308" s="972">
        <v>96.2</v>
      </c>
    </row>
    <row r="309" spans="1:10" ht="15.75" hidden="1">
      <c r="A309" s="972" t="s">
        <v>2409</v>
      </c>
      <c r="B309" s="972" t="s">
        <v>1834</v>
      </c>
      <c r="C309" s="972" t="s">
        <v>2302</v>
      </c>
      <c r="D309" s="972">
        <v>7.7000000000000001E-5</v>
      </c>
      <c r="E309" s="972">
        <v>5.8999999999999998E-5</v>
      </c>
      <c r="F309" s="972">
        <v>6.9999999999999999E-6</v>
      </c>
      <c r="G309" s="972">
        <v>16748</v>
      </c>
      <c r="H309" s="972">
        <v>35.402999999999999</v>
      </c>
      <c r="I309" s="972">
        <v>14.2705</v>
      </c>
      <c r="J309" s="972">
        <v>96.2</v>
      </c>
    </row>
    <row r="310" spans="1:10" ht="15.75" hidden="1">
      <c r="A310" s="972" t="s">
        <v>2409</v>
      </c>
      <c r="B310" s="972" t="s">
        <v>1834</v>
      </c>
      <c r="C310" s="972" t="s">
        <v>2303</v>
      </c>
      <c r="D310" s="972">
        <v>-4.8099999999999998E-4</v>
      </c>
      <c r="E310" s="972">
        <v>-1.5E-5</v>
      </c>
      <c r="F310" s="972">
        <v>1.8699999999999999E-4</v>
      </c>
      <c r="G310" s="972">
        <v>16748</v>
      </c>
      <c r="H310" s="972">
        <v>35.402999999999999</v>
      </c>
      <c r="I310" s="972">
        <v>14.2705</v>
      </c>
      <c r="J310" s="972">
        <v>96.2</v>
      </c>
    </row>
    <row r="311" spans="1:10" ht="15.75" hidden="1">
      <c r="A311" s="972" t="s">
        <v>2409</v>
      </c>
      <c r="B311" s="972" t="s">
        <v>1834</v>
      </c>
      <c r="C311" s="972" t="s">
        <v>2304</v>
      </c>
      <c r="D311" s="972">
        <v>-4.2499999999999998E-4</v>
      </c>
      <c r="E311" s="972">
        <v>4.241E-3</v>
      </c>
      <c r="F311" s="972">
        <v>-3.9999999999999998E-6</v>
      </c>
      <c r="G311" s="972">
        <v>16748</v>
      </c>
      <c r="H311" s="972">
        <v>35.402999999999999</v>
      </c>
      <c r="I311" s="972">
        <v>14.2705</v>
      </c>
      <c r="J311" s="972">
        <v>96.2</v>
      </c>
    </row>
    <row r="312" spans="1:10" ht="15.75" hidden="1">
      <c r="A312" s="972" t="s">
        <v>2409</v>
      </c>
      <c r="B312" s="972" t="s">
        <v>1834</v>
      </c>
      <c r="C312" s="972" t="s">
        <v>2305</v>
      </c>
      <c r="D312" s="972">
        <v>-9.5799999999999998E-4</v>
      </c>
      <c r="E312" s="972">
        <v>-3.4999999999999997E-5</v>
      </c>
      <c r="F312" s="972">
        <v>2.6200000000000003E-4</v>
      </c>
      <c r="G312" s="972">
        <v>16748</v>
      </c>
      <c r="H312" s="972">
        <v>35.402999999999999</v>
      </c>
      <c r="I312" s="972">
        <v>14.2705</v>
      </c>
      <c r="J312" s="972">
        <v>96.2</v>
      </c>
    </row>
    <row r="313" spans="1:10" ht="15.75" hidden="1">
      <c r="A313" s="972" t="s">
        <v>2409</v>
      </c>
      <c r="B313" s="972" t="s">
        <v>1834</v>
      </c>
      <c r="C313" s="972" t="s">
        <v>2306</v>
      </c>
      <c r="D313" s="972">
        <v>4.0289999999999996E-3</v>
      </c>
      <c r="E313" s="972">
        <v>3.9300000000000001E-4</v>
      </c>
      <c r="F313" s="972">
        <v>4.8999999999999998E-5</v>
      </c>
      <c r="G313" s="972">
        <v>16748</v>
      </c>
      <c r="H313" s="972">
        <v>35.402999999999999</v>
      </c>
      <c r="I313" s="972">
        <v>14.2705</v>
      </c>
      <c r="J313" s="972">
        <v>96.2</v>
      </c>
    </row>
    <row r="314" spans="1:10" ht="15.75" hidden="1">
      <c r="A314" s="972" t="s">
        <v>2409</v>
      </c>
      <c r="B314" s="972" t="s">
        <v>1834</v>
      </c>
      <c r="C314" s="972" t="s">
        <v>2307</v>
      </c>
      <c r="D314" s="972">
        <v>2.2699999999999999E-4</v>
      </c>
      <c r="E314" s="972">
        <v>1.8550000000000001E-3</v>
      </c>
      <c r="F314" s="972">
        <v>-1.3899999999999999E-4</v>
      </c>
      <c r="G314" s="972">
        <v>16748</v>
      </c>
      <c r="H314" s="972">
        <v>35.402999999999999</v>
      </c>
      <c r="I314" s="972">
        <v>14.2705</v>
      </c>
      <c r="J314" s="972">
        <v>96.2</v>
      </c>
    </row>
    <row r="315" spans="1:10" ht="15.75" hidden="1">
      <c r="A315" s="972" t="s">
        <v>2409</v>
      </c>
      <c r="B315" s="972" t="s">
        <v>1834</v>
      </c>
      <c r="C315" s="972" t="s">
        <v>2308</v>
      </c>
      <c r="D315" s="972">
        <v>6.2E-4</v>
      </c>
      <c r="E315" s="972">
        <v>-4.9319999999999998E-3</v>
      </c>
      <c r="F315" s="972">
        <v>-4.8000000000000001E-5</v>
      </c>
      <c r="G315" s="972">
        <v>16748</v>
      </c>
      <c r="H315" s="972">
        <v>35.402999999999999</v>
      </c>
      <c r="I315" s="972">
        <v>14.2705</v>
      </c>
      <c r="J315" s="972">
        <v>96.2</v>
      </c>
    </row>
    <row r="316" spans="1:10" ht="15.75" hidden="1">
      <c r="A316" s="972" t="s">
        <v>2409</v>
      </c>
      <c r="B316" s="972" t="s">
        <v>1834</v>
      </c>
      <c r="C316" s="972" t="s">
        <v>2309</v>
      </c>
      <c r="D316" s="972">
        <v>5.2529999999999999E-3</v>
      </c>
      <c r="E316" s="972">
        <v>5.0299999999999997E-4</v>
      </c>
      <c r="F316" s="972">
        <v>3.3000000000000003E-5</v>
      </c>
      <c r="G316" s="972">
        <v>16748</v>
      </c>
      <c r="H316" s="972">
        <v>35.402999999999999</v>
      </c>
      <c r="I316" s="972">
        <v>14.2705</v>
      </c>
      <c r="J316" s="972">
        <v>96.2</v>
      </c>
    </row>
    <row r="317" spans="1:10" ht="15.75" hidden="1">
      <c r="A317" s="972" t="s">
        <v>2409</v>
      </c>
      <c r="B317" s="972" t="s">
        <v>1834</v>
      </c>
      <c r="C317" s="972" t="s">
        <v>2310</v>
      </c>
      <c r="D317" s="972">
        <v>-3.1000000000000001E-5</v>
      </c>
      <c r="E317" s="972">
        <v>-8.2000000000000001E-5</v>
      </c>
      <c r="F317" s="972">
        <v>-6.3999999999999997E-5</v>
      </c>
      <c r="G317" s="972">
        <v>16748</v>
      </c>
      <c r="H317" s="972">
        <v>35.402999999999999</v>
      </c>
      <c r="I317" s="972">
        <v>14.2705</v>
      </c>
      <c r="J317" s="972">
        <v>96.2</v>
      </c>
    </row>
    <row r="318" spans="1:10" ht="15.75" hidden="1">
      <c r="A318" s="972" t="s">
        <v>2409</v>
      </c>
      <c r="B318" s="972" t="s">
        <v>1834</v>
      </c>
      <c r="C318" s="972" t="s">
        <v>2311</v>
      </c>
      <c r="D318" s="972">
        <v>-2.2499999999999999E-4</v>
      </c>
      <c r="E318" s="972">
        <v>2.6679999999999998E-3</v>
      </c>
      <c r="F318" s="972">
        <v>-6.0000000000000002E-6</v>
      </c>
      <c r="G318" s="972">
        <v>16748</v>
      </c>
      <c r="H318" s="972">
        <v>35.402999999999999</v>
      </c>
      <c r="I318" s="972">
        <v>14.2705</v>
      </c>
      <c r="J318" s="972">
        <v>96.2</v>
      </c>
    </row>
    <row r="319" spans="1:10" ht="15.75" hidden="1">
      <c r="A319" s="972" t="s">
        <v>2409</v>
      </c>
      <c r="B319" s="972" t="s">
        <v>1834</v>
      </c>
      <c r="C319" s="972" t="s">
        <v>2328</v>
      </c>
      <c r="D319" s="972">
        <v>-6.96E-4</v>
      </c>
      <c r="E319" s="972">
        <v>-2.9E-5</v>
      </c>
      <c r="F319" s="972">
        <v>2.1000000000000001E-4</v>
      </c>
      <c r="G319" s="972">
        <v>16748</v>
      </c>
      <c r="H319" s="972">
        <v>35.402999999999999</v>
      </c>
      <c r="I319" s="972">
        <v>14.2705</v>
      </c>
      <c r="J319" s="972">
        <v>96.2</v>
      </c>
    </row>
    <row r="320" spans="1:10" ht="15.75" hidden="1">
      <c r="A320" s="972" t="s">
        <v>2409</v>
      </c>
      <c r="B320" s="972" t="s">
        <v>1834</v>
      </c>
      <c r="C320" s="972" t="s">
        <v>2329</v>
      </c>
      <c r="D320" s="972">
        <v>-2.7539999999999999E-3</v>
      </c>
      <c r="E320" s="972">
        <v>-2.7700000000000001E-4</v>
      </c>
      <c r="F320" s="972">
        <v>-4.3999999999999999E-5</v>
      </c>
      <c r="G320" s="972">
        <v>16748</v>
      </c>
      <c r="H320" s="972">
        <v>35.402999999999999</v>
      </c>
      <c r="I320" s="972">
        <v>14.2705</v>
      </c>
      <c r="J320" s="972">
        <v>96.2</v>
      </c>
    </row>
    <row r="321" spans="1:10" ht="15.75" hidden="1">
      <c r="A321" s="972" t="s">
        <v>2409</v>
      </c>
      <c r="B321" s="972" t="s">
        <v>1834</v>
      </c>
      <c r="C321" s="972" t="s">
        <v>2330</v>
      </c>
      <c r="D321" s="972">
        <v>2.61E-4</v>
      </c>
      <c r="E321" s="972">
        <v>-1.562E-3</v>
      </c>
      <c r="F321" s="972">
        <v>-4.5000000000000003E-5</v>
      </c>
      <c r="G321" s="972">
        <v>16748</v>
      </c>
      <c r="H321" s="972">
        <v>35.402999999999999</v>
      </c>
      <c r="I321" s="972">
        <v>14.2705</v>
      </c>
      <c r="J321" s="972">
        <v>96.2</v>
      </c>
    </row>
    <row r="322" spans="1:10" ht="15.75" hidden="1">
      <c r="A322" s="972" t="s">
        <v>2409</v>
      </c>
      <c r="B322" s="972" t="s">
        <v>1834</v>
      </c>
      <c r="C322" s="972" t="s">
        <v>2331</v>
      </c>
      <c r="D322" s="972">
        <v>-2.9700000000000001E-4</v>
      </c>
      <c r="E322" s="972">
        <v>-3.8499999999999998E-4</v>
      </c>
      <c r="F322" s="972">
        <v>2.4600000000000002E-4</v>
      </c>
      <c r="G322" s="972">
        <v>16748</v>
      </c>
      <c r="H322" s="972">
        <v>35.402999999999999</v>
      </c>
      <c r="I322" s="972">
        <v>14.2705</v>
      </c>
      <c r="J322" s="972">
        <v>96.2</v>
      </c>
    </row>
    <row r="323" spans="1:10" ht="15.75" hidden="1">
      <c r="A323" s="972" t="s">
        <v>2409</v>
      </c>
      <c r="B323" s="972" t="s">
        <v>1834</v>
      </c>
      <c r="C323" s="972" t="s">
        <v>2332</v>
      </c>
      <c r="D323" s="972">
        <v>-1.3780000000000001E-3</v>
      </c>
      <c r="E323" s="972">
        <v>6.9999999999999999E-6</v>
      </c>
      <c r="F323" s="972">
        <v>3.1000000000000001E-5</v>
      </c>
      <c r="G323" s="972">
        <v>16748</v>
      </c>
      <c r="H323" s="972">
        <v>35.402999999999999</v>
      </c>
      <c r="I323" s="972">
        <v>14.2705</v>
      </c>
      <c r="J323" s="972">
        <v>96.2</v>
      </c>
    </row>
    <row r="324" spans="1:10" ht="15.75" hidden="1">
      <c r="A324" s="972" t="s">
        <v>2409</v>
      </c>
      <c r="B324" s="972" t="s">
        <v>1834</v>
      </c>
      <c r="C324" s="972" t="s">
        <v>2387</v>
      </c>
      <c r="D324" s="972">
        <v>-5.7200000000000003E-4</v>
      </c>
      <c r="E324" s="972">
        <v>4.692E-3</v>
      </c>
      <c r="F324" s="972">
        <v>3.3000000000000003E-5</v>
      </c>
      <c r="G324" s="972">
        <v>16748</v>
      </c>
      <c r="H324" s="972">
        <v>35.402999999999999</v>
      </c>
      <c r="I324" s="972">
        <v>14.2705</v>
      </c>
      <c r="J324" s="972">
        <v>96.2</v>
      </c>
    </row>
    <row r="325" spans="1:10" ht="15.75" hidden="1">
      <c r="A325" s="972" t="s">
        <v>2409</v>
      </c>
      <c r="B325" s="972" t="s">
        <v>1834</v>
      </c>
      <c r="C325" s="972" t="s">
        <v>2388</v>
      </c>
      <c r="D325" s="972">
        <v>-4.6369999999999996E-3</v>
      </c>
      <c r="E325" s="972">
        <v>1.7799999999999999E-4</v>
      </c>
      <c r="F325" s="972">
        <v>6.0999999999999999E-5</v>
      </c>
      <c r="G325" s="972">
        <v>16748</v>
      </c>
      <c r="H325" s="972">
        <v>35.402999999999999</v>
      </c>
      <c r="I325" s="972">
        <v>14.2705</v>
      </c>
      <c r="J325" s="972">
        <v>96.2</v>
      </c>
    </row>
    <row r="326" spans="1:10" ht="15.75" hidden="1">
      <c r="A326" s="972" t="s">
        <v>2409</v>
      </c>
      <c r="B326" s="972" t="s">
        <v>1834</v>
      </c>
      <c r="C326" s="972" t="s">
        <v>2389</v>
      </c>
      <c r="D326" s="972">
        <v>2.32E-4</v>
      </c>
      <c r="E326" s="972">
        <v>3.4889999999999999E-3</v>
      </c>
      <c r="F326" s="972">
        <v>6.2000000000000003E-5</v>
      </c>
      <c r="G326" s="972">
        <v>16748</v>
      </c>
      <c r="H326" s="972">
        <v>35.402999999999999</v>
      </c>
      <c r="I326" s="972">
        <v>14.2705</v>
      </c>
      <c r="J326" s="972">
        <v>96.2</v>
      </c>
    </row>
    <row r="327" spans="1:10" ht="15.75" hidden="1">
      <c r="A327" s="972" t="s">
        <v>2409</v>
      </c>
      <c r="B327" s="972" t="s">
        <v>1834</v>
      </c>
      <c r="C327" s="972" t="s">
        <v>2390</v>
      </c>
      <c r="D327" s="972">
        <v>1.9120000000000001E-3</v>
      </c>
      <c r="E327" s="972">
        <v>3.0000000000000001E-3</v>
      </c>
      <c r="F327" s="972">
        <v>-4.8999999999999998E-5</v>
      </c>
      <c r="G327" s="972">
        <v>16748</v>
      </c>
      <c r="H327" s="972">
        <v>35.402999999999999</v>
      </c>
      <c r="I327" s="972">
        <v>14.2705</v>
      </c>
      <c r="J327" s="972">
        <v>96.2</v>
      </c>
    </row>
    <row r="328" spans="1:10" ht="15.75" hidden="1">
      <c r="A328" s="972" t="s">
        <v>2409</v>
      </c>
      <c r="B328" s="972" t="s">
        <v>1834</v>
      </c>
      <c r="C328" s="972" t="s">
        <v>2391</v>
      </c>
      <c r="D328" s="972">
        <v>2.006E-3</v>
      </c>
      <c r="E328" s="972">
        <v>1.418E-3</v>
      </c>
      <c r="F328" s="972">
        <v>4.0000000000000003E-5</v>
      </c>
      <c r="G328" s="972">
        <v>16748</v>
      </c>
      <c r="H328" s="972">
        <v>35.402999999999999</v>
      </c>
      <c r="I328" s="972">
        <v>14.2705</v>
      </c>
      <c r="J328" s="972">
        <v>96.2</v>
      </c>
    </row>
    <row r="329" spans="1:10" ht="15.75" hidden="1">
      <c r="A329" s="972" t="s">
        <v>2409</v>
      </c>
      <c r="B329" s="972" t="s">
        <v>1834</v>
      </c>
      <c r="C329" s="972" t="s">
        <v>2392</v>
      </c>
      <c r="D329" s="972">
        <v>1.26E-4</v>
      </c>
      <c r="E329" s="972">
        <v>-2.5660000000000001E-3</v>
      </c>
      <c r="F329" s="972">
        <v>1.5999999999999999E-5</v>
      </c>
      <c r="G329" s="972">
        <v>16748</v>
      </c>
      <c r="H329" s="972">
        <v>35.402999999999999</v>
      </c>
      <c r="I329" s="972">
        <v>14.2705</v>
      </c>
      <c r="J329" s="972">
        <v>96.2</v>
      </c>
    </row>
    <row r="330" spans="1:10" ht="15.75" hidden="1">
      <c r="A330" s="972" t="s">
        <v>2409</v>
      </c>
      <c r="B330" s="972" t="s">
        <v>1834</v>
      </c>
      <c r="C330" s="972" t="s">
        <v>2393</v>
      </c>
      <c r="D330" s="972">
        <v>1.7240000000000001E-3</v>
      </c>
      <c r="E330" s="972">
        <v>4.0900000000000002E-4</v>
      </c>
      <c r="F330" s="972">
        <v>3.4999999999999997E-5</v>
      </c>
      <c r="G330" s="972">
        <v>16748</v>
      </c>
      <c r="H330" s="972">
        <v>35.402999999999999</v>
      </c>
      <c r="I330" s="972">
        <v>14.2705</v>
      </c>
      <c r="J330" s="972">
        <v>96.2</v>
      </c>
    </row>
    <row r="331" spans="1:10" ht="15.75" hidden="1">
      <c r="A331" s="972" t="s">
        <v>2409</v>
      </c>
      <c r="B331" s="972" t="s">
        <v>1834</v>
      </c>
      <c r="C331" s="972" t="s">
        <v>2394</v>
      </c>
      <c r="D331" s="972">
        <v>3.8000000000000002E-4</v>
      </c>
      <c r="E331" s="972">
        <v>-1.6570000000000001E-3</v>
      </c>
      <c r="F331" s="972">
        <v>7.9999999999999996E-6</v>
      </c>
      <c r="G331" s="972">
        <v>16748</v>
      </c>
      <c r="H331" s="972">
        <v>35.402999999999999</v>
      </c>
      <c r="I331" s="972">
        <v>14.2705</v>
      </c>
      <c r="J331" s="972">
        <v>96.2</v>
      </c>
    </row>
    <row r="332" spans="1:10" ht="15.75" hidden="1">
      <c r="A332" s="972" t="s">
        <v>2409</v>
      </c>
      <c r="B332" s="972" t="s">
        <v>1834</v>
      </c>
      <c r="C332" s="972" t="s">
        <v>2395</v>
      </c>
      <c r="D332" s="972">
        <v>-1.4530000000000001E-3</v>
      </c>
      <c r="E332" s="972">
        <v>8.3999999999999995E-5</v>
      </c>
      <c r="F332" s="972">
        <v>-3.4E-5</v>
      </c>
      <c r="G332" s="972">
        <v>16748</v>
      </c>
      <c r="H332" s="972">
        <v>35.402999999999999</v>
      </c>
      <c r="I332" s="972">
        <v>14.2705</v>
      </c>
      <c r="J332" s="972">
        <v>96.2</v>
      </c>
    </row>
    <row r="333" spans="1:10" ht="15.75" hidden="1">
      <c r="A333" s="972" t="s">
        <v>2409</v>
      </c>
      <c r="B333" s="972" t="s">
        <v>1834</v>
      </c>
      <c r="C333" s="972" t="s">
        <v>2396</v>
      </c>
      <c r="D333" s="972">
        <v>-1.46E-4</v>
      </c>
      <c r="E333" s="972">
        <v>1.232E-3</v>
      </c>
      <c r="F333" s="972">
        <v>-9.9999999999999995E-7</v>
      </c>
      <c r="G333" s="972">
        <v>16748</v>
      </c>
      <c r="H333" s="972">
        <v>35.402999999999999</v>
      </c>
      <c r="I333" s="972">
        <v>14.2705</v>
      </c>
      <c r="J333" s="972">
        <v>96.2</v>
      </c>
    </row>
    <row r="334" spans="1:10" ht="15.75" hidden="1">
      <c r="A334" s="972" t="s">
        <v>2410</v>
      </c>
      <c r="B334" s="972" t="s">
        <v>1834</v>
      </c>
      <c r="C334" s="972" t="s">
        <v>2297</v>
      </c>
      <c r="D334" s="972">
        <v>-9.4399999999999996E-4</v>
      </c>
      <c r="E334" s="972">
        <v>4.8760000000000001E-3</v>
      </c>
      <c r="F334" s="972">
        <v>4.1999999999999998E-5</v>
      </c>
      <c r="G334" s="972">
        <v>16749</v>
      </c>
      <c r="H334" s="972">
        <v>35.402999999999999</v>
      </c>
      <c r="I334" s="972">
        <v>14.2705</v>
      </c>
      <c r="J334" s="972">
        <v>92.8</v>
      </c>
    </row>
    <row r="335" spans="1:10" ht="15.75" hidden="1">
      <c r="A335" s="972" t="s">
        <v>2410</v>
      </c>
      <c r="B335" s="972" t="s">
        <v>1834</v>
      </c>
      <c r="C335" s="972" t="s">
        <v>2298</v>
      </c>
      <c r="D335" s="972">
        <v>-7.2199999999999999E-4</v>
      </c>
      <c r="E335" s="972">
        <v>-1.013E-3</v>
      </c>
      <c r="F335" s="972">
        <v>2.43E-4</v>
      </c>
      <c r="G335" s="972">
        <v>16749</v>
      </c>
      <c r="H335" s="972">
        <v>35.402999999999999</v>
      </c>
      <c r="I335" s="972">
        <v>14.2705</v>
      </c>
      <c r="J335" s="972">
        <v>92.8</v>
      </c>
    </row>
    <row r="336" spans="1:10" ht="15.75">
      <c r="A336" s="972" t="s">
        <v>2410</v>
      </c>
      <c r="B336" s="972" t="s">
        <v>1834</v>
      </c>
      <c r="C336" s="972" t="s">
        <v>2299</v>
      </c>
      <c r="D336" s="972">
        <v>4.96E-3</v>
      </c>
      <c r="E336" s="972">
        <v>8.1499999999999997E-4</v>
      </c>
      <c r="F336" s="972">
        <v>4.1999999999999998E-5</v>
      </c>
      <c r="G336" s="972">
        <v>16749</v>
      </c>
      <c r="H336" s="972">
        <v>35.402999999999999</v>
      </c>
      <c r="I336" s="972">
        <v>14.2705</v>
      </c>
      <c r="J336" s="972">
        <v>92.8</v>
      </c>
    </row>
    <row r="337" spans="1:10" ht="15.75" hidden="1">
      <c r="A337" s="972" t="s">
        <v>2410</v>
      </c>
      <c r="B337" s="972" t="s">
        <v>1834</v>
      </c>
      <c r="C337" s="972" t="s">
        <v>2300</v>
      </c>
      <c r="D337" s="972">
        <v>-7.6000000000000004E-5</v>
      </c>
      <c r="E337" s="972">
        <v>1.2E-5</v>
      </c>
      <c r="F337" s="972">
        <v>-1.9999999999999999E-6</v>
      </c>
      <c r="G337" s="972">
        <v>16749</v>
      </c>
      <c r="H337" s="972">
        <v>35.402999999999999</v>
      </c>
      <c r="I337" s="972">
        <v>14.2705</v>
      </c>
      <c r="J337" s="972">
        <v>92.8</v>
      </c>
    </row>
    <row r="338" spans="1:10" ht="15.75" hidden="1">
      <c r="A338" s="972" t="s">
        <v>2410</v>
      </c>
      <c r="B338" s="972" t="s">
        <v>1834</v>
      </c>
      <c r="C338" s="972" t="s">
        <v>2301</v>
      </c>
      <c r="D338" s="972">
        <v>1.7100000000000001E-4</v>
      </c>
      <c r="E338" s="972">
        <v>-9.6599999999999995E-4</v>
      </c>
      <c r="F338" s="972">
        <v>9.9999999999999995E-7</v>
      </c>
      <c r="G338" s="972">
        <v>16749</v>
      </c>
      <c r="H338" s="972">
        <v>35.402999999999999</v>
      </c>
      <c r="I338" s="972">
        <v>14.2705</v>
      </c>
      <c r="J338" s="972">
        <v>92.8</v>
      </c>
    </row>
    <row r="339" spans="1:10" ht="15.75" hidden="1">
      <c r="A339" s="972" t="s">
        <v>2410</v>
      </c>
      <c r="B339" s="972" t="s">
        <v>1834</v>
      </c>
      <c r="C339" s="972" t="s">
        <v>2302</v>
      </c>
      <c r="D339" s="972">
        <v>-6.4099999999999997E-4</v>
      </c>
      <c r="E339" s="972">
        <v>-3.1000000000000001E-5</v>
      </c>
      <c r="F339" s="972">
        <v>3.0000000000000001E-6</v>
      </c>
      <c r="G339" s="972">
        <v>16749</v>
      </c>
      <c r="H339" s="972">
        <v>35.402999999999999</v>
      </c>
      <c r="I339" s="972">
        <v>14.2705</v>
      </c>
      <c r="J339" s="972">
        <v>92.8</v>
      </c>
    </row>
    <row r="340" spans="1:10" ht="15.75" hidden="1">
      <c r="A340" s="972" t="s">
        <v>2410</v>
      </c>
      <c r="B340" s="972" t="s">
        <v>1834</v>
      </c>
      <c r="C340" s="972" t="s">
        <v>2303</v>
      </c>
      <c r="D340" s="972">
        <v>-5.44E-4</v>
      </c>
      <c r="E340" s="972">
        <v>-1.5E-5</v>
      </c>
      <c r="F340" s="972">
        <v>2.22E-4</v>
      </c>
      <c r="G340" s="972">
        <v>16749</v>
      </c>
      <c r="H340" s="972">
        <v>35.402999999999999</v>
      </c>
      <c r="I340" s="972">
        <v>14.2705</v>
      </c>
      <c r="J340" s="972">
        <v>92.8</v>
      </c>
    </row>
    <row r="341" spans="1:10" ht="15.75" hidden="1">
      <c r="A341" s="972" t="s">
        <v>2410</v>
      </c>
      <c r="B341" s="972" t="s">
        <v>1834</v>
      </c>
      <c r="C341" s="972" t="s">
        <v>2304</v>
      </c>
      <c r="D341" s="972">
        <v>-4.7800000000000002E-4</v>
      </c>
      <c r="E341" s="972">
        <v>4.8250000000000003E-3</v>
      </c>
      <c r="F341" s="972">
        <v>-3.9999999999999998E-6</v>
      </c>
      <c r="G341" s="972">
        <v>16749</v>
      </c>
      <c r="H341" s="972">
        <v>35.402999999999999</v>
      </c>
      <c r="I341" s="972">
        <v>14.2705</v>
      </c>
      <c r="J341" s="972">
        <v>92.8</v>
      </c>
    </row>
    <row r="342" spans="1:10" ht="15.75" hidden="1">
      <c r="A342" s="972" t="s">
        <v>2410</v>
      </c>
      <c r="B342" s="972" t="s">
        <v>1834</v>
      </c>
      <c r="C342" s="972" t="s">
        <v>2305</v>
      </c>
      <c r="D342" s="972">
        <v>-9.7000000000000005E-4</v>
      </c>
      <c r="E342" s="972">
        <v>-3.6999999999999998E-5</v>
      </c>
      <c r="F342" s="972">
        <v>2.43E-4</v>
      </c>
      <c r="G342" s="972">
        <v>16749</v>
      </c>
      <c r="H342" s="972">
        <v>35.402999999999999</v>
      </c>
      <c r="I342" s="972">
        <v>14.2705</v>
      </c>
      <c r="J342" s="972">
        <v>92.8</v>
      </c>
    </row>
    <row r="343" spans="1:10" ht="15.75" hidden="1">
      <c r="A343" s="972" t="s">
        <v>2410</v>
      </c>
      <c r="B343" s="972" t="s">
        <v>1834</v>
      </c>
      <c r="C343" s="972" t="s">
        <v>2306</v>
      </c>
      <c r="D343" s="972">
        <v>4.6430000000000004E-3</v>
      </c>
      <c r="E343" s="972">
        <v>4.5800000000000002E-4</v>
      </c>
      <c r="F343" s="972">
        <v>5.1E-5</v>
      </c>
      <c r="G343" s="972">
        <v>16749</v>
      </c>
      <c r="H343" s="972">
        <v>35.402999999999999</v>
      </c>
      <c r="I343" s="972">
        <v>14.2705</v>
      </c>
      <c r="J343" s="972">
        <v>92.8</v>
      </c>
    </row>
    <row r="344" spans="1:10" ht="15.75" hidden="1">
      <c r="A344" s="972" t="s">
        <v>2410</v>
      </c>
      <c r="B344" s="972" t="s">
        <v>1834</v>
      </c>
      <c r="C344" s="972" t="s">
        <v>2307</v>
      </c>
      <c r="D344" s="972">
        <v>8.1000000000000004E-5</v>
      </c>
      <c r="E344" s="972">
        <v>1.67E-3</v>
      </c>
      <c r="F344" s="972">
        <v>-5.8E-5</v>
      </c>
      <c r="G344" s="972">
        <v>16749</v>
      </c>
      <c r="H344" s="972">
        <v>35.402999999999999</v>
      </c>
      <c r="I344" s="972">
        <v>14.2705</v>
      </c>
      <c r="J344" s="972">
        <v>92.8</v>
      </c>
    </row>
    <row r="345" spans="1:10" ht="15.75" hidden="1">
      <c r="A345" s="972" t="s">
        <v>2410</v>
      </c>
      <c r="B345" s="972" t="s">
        <v>1834</v>
      </c>
      <c r="C345" s="972" t="s">
        <v>2308</v>
      </c>
      <c r="D345" s="972">
        <v>5.0799999999999999E-4</v>
      </c>
      <c r="E345" s="972">
        <v>-4.4470000000000004E-3</v>
      </c>
      <c r="F345" s="972">
        <v>-1.8E-5</v>
      </c>
      <c r="G345" s="972">
        <v>16749</v>
      </c>
      <c r="H345" s="972">
        <v>35.402999999999999</v>
      </c>
      <c r="I345" s="972">
        <v>14.2705</v>
      </c>
      <c r="J345" s="972">
        <v>92.8</v>
      </c>
    </row>
    <row r="346" spans="1:10" ht="15.75" hidden="1">
      <c r="A346" s="972" t="s">
        <v>2410</v>
      </c>
      <c r="B346" s="972" t="s">
        <v>1834</v>
      </c>
      <c r="C346" s="972" t="s">
        <v>2309</v>
      </c>
      <c r="D346" s="972">
        <v>4.7980000000000002E-3</v>
      </c>
      <c r="E346" s="972">
        <v>4.6500000000000003E-4</v>
      </c>
      <c r="F346" s="972">
        <v>2.5999999999999998E-5</v>
      </c>
      <c r="G346" s="972">
        <v>16749</v>
      </c>
      <c r="H346" s="972">
        <v>35.402999999999999</v>
      </c>
      <c r="I346" s="972">
        <v>14.2705</v>
      </c>
      <c r="J346" s="972">
        <v>92.8</v>
      </c>
    </row>
    <row r="347" spans="1:10" ht="15.75" hidden="1">
      <c r="A347" s="972" t="s">
        <v>2410</v>
      </c>
      <c r="B347" s="972" t="s">
        <v>1834</v>
      </c>
      <c r="C347" s="972" t="s">
        <v>2310</v>
      </c>
      <c r="D347" s="972">
        <v>1.7000000000000001E-4</v>
      </c>
      <c r="E347" s="972">
        <v>-3.8000000000000002E-5</v>
      </c>
      <c r="F347" s="972">
        <v>-1.65E-4</v>
      </c>
      <c r="G347" s="972">
        <v>16749</v>
      </c>
      <c r="H347" s="972">
        <v>35.402999999999999</v>
      </c>
      <c r="I347" s="972">
        <v>14.2705</v>
      </c>
      <c r="J347" s="972">
        <v>92.8</v>
      </c>
    </row>
    <row r="348" spans="1:10" ht="15.75" hidden="1">
      <c r="A348" s="972" t="s">
        <v>2410</v>
      </c>
      <c r="B348" s="972" t="s">
        <v>1834</v>
      </c>
      <c r="C348" s="972" t="s">
        <v>2311</v>
      </c>
      <c r="D348" s="972">
        <v>-4.6999999999999997E-5</v>
      </c>
      <c r="E348" s="972">
        <v>8.4999999999999995E-4</v>
      </c>
      <c r="F348" s="972">
        <v>-6.9999999999999999E-6</v>
      </c>
      <c r="G348" s="972">
        <v>16749</v>
      </c>
      <c r="H348" s="972">
        <v>35.402999999999999</v>
      </c>
      <c r="I348" s="972">
        <v>14.2705</v>
      </c>
      <c r="J348" s="972">
        <v>92.8</v>
      </c>
    </row>
    <row r="349" spans="1:10" ht="15.75" hidden="1">
      <c r="A349" s="972" t="s">
        <v>2410</v>
      </c>
      <c r="B349" s="972" t="s">
        <v>1834</v>
      </c>
      <c r="C349" s="972" t="s">
        <v>2328</v>
      </c>
      <c r="D349" s="972">
        <v>-5.8799999999999998E-4</v>
      </c>
      <c r="E349" s="972">
        <v>-8.3999999999999995E-5</v>
      </c>
      <c r="F349" s="972">
        <v>2.5099999999999998E-4</v>
      </c>
      <c r="G349" s="972">
        <v>16749</v>
      </c>
      <c r="H349" s="972">
        <v>35.402999999999999</v>
      </c>
      <c r="I349" s="972">
        <v>14.2705</v>
      </c>
      <c r="J349" s="972">
        <v>92.8</v>
      </c>
    </row>
    <row r="350" spans="1:10" ht="15.75" hidden="1">
      <c r="A350" s="972" t="s">
        <v>2410</v>
      </c>
      <c r="B350" s="972" t="s">
        <v>1834</v>
      </c>
      <c r="C350" s="972" t="s">
        <v>2329</v>
      </c>
      <c r="D350" s="972">
        <v>-9.9299999999999996E-4</v>
      </c>
      <c r="E350" s="972">
        <v>-1.1900000000000001E-4</v>
      </c>
      <c r="F350" s="972">
        <v>-3.6000000000000001E-5</v>
      </c>
      <c r="G350" s="972">
        <v>16749</v>
      </c>
      <c r="H350" s="972">
        <v>35.402999999999999</v>
      </c>
      <c r="I350" s="972">
        <v>14.2705</v>
      </c>
      <c r="J350" s="972">
        <v>92.8</v>
      </c>
    </row>
    <row r="351" spans="1:10" ht="15.75" hidden="1">
      <c r="A351" s="972" t="s">
        <v>2410</v>
      </c>
      <c r="B351" s="972" t="s">
        <v>1834</v>
      </c>
      <c r="C351" s="972" t="s">
        <v>2330</v>
      </c>
      <c r="D351" s="972">
        <v>3.9599999999999998E-4</v>
      </c>
      <c r="E351" s="972">
        <v>-3.5829999999999998E-3</v>
      </c>
      <c r="F351" s="972">
        <v>-3.6999999999999998E-5</v>
      </c>
      <c r="G351" s="972">
        <v>16749</v>
      </c>
      <c r="H351" s="972">
        <v>35.402999999999999</v>
      </c>
      <c r="I351" s="972">
        <v>14.2705</v>
      </c>
      <c r="J351" s="972">
        <v>92.8</v>
      </c>
    </row>
    <row r="352" spans="1:10" ht="15.75" hidden="1">
      <c r="A352" s="972" t="s">
        <v>2410</v>
      </c>
      <c r="B352" s="972" t="s">
        <v>1834</v>
      </c>
      <c r="C352" s="972" t="s">
        <v>2331</v>
      </c>
      <c r="D352" s="972">
        <v>-2.4000000000000001E-5</v>
      </c>
      <c r="E352" s="972">
        <v>-8.2700000000000004E-4</v>
      </c>
      <c r="F352" s="972">
        <v>1.8599999999999999E-4</v>
      </c>
      <c r="G352" s="972">
        <v>16749</v>
      </c>
      <c r="H352" s="972">
        <v>35.402999999999999</v>
      </c>
      <c r="I352" s="972">
        <v>14.2705</v>
      </c>
      <c r="J352" s="972">
        <v>92.8</v>
      </c>
    </row>
    <row r="353" spans="1:10" ht="15.75" hidden="1">
      <c r="A353" s="972" t="s">
        <v>2410</v>
      </c>
      <c r="B353" s="972" t="s">
        <v>1834</v>
      </c>
      <c r="C353" s="972" t="s">
        <v>2332</v>
      </c>
      <c r="D353" s="972">
        <v>-3.388E-3</v>
      </c>
      <c r="E353" s="972">
        <v>-1.73E-4</v>
      </c>
      <c r="F353" s="972">
        <v>-1.9999999999999999E-6</v>
      </c>
      <c r="G353" s="972">
        <v>16749</v>
      </c>
      <c r="H353" s="972">
        <v>35.402999999999999</v>
      </c>
      <c r="I353" s="972">
        <v>14.2705</v>
      </c>
      <c r="J353" s="972">
        <v>92.8</v>
      </c>
    </row>
    <row r="354" spans="1:10" ht="15.75" hidden="1">
      <c r="A354" s="972" t="s">
        <v>2410</v>
      </c>
      <c r="B354" s="972" t="s">
        <v>1834</v>
      </c>
      <c r="C354" s="972" t="s">
        <v>2387</v>
      </c>
      <c r="D354" s="972">
        <v>-4.57E-4</v>
      </c>
      <c r="E354" s="972">
        <v>5.4219999999999997E-3</v>
      </c>
      <c r="F354" s="972">
        <v>9.0000000000000002E-6</v>
      </c>
      <c r="G354" s="972">
        <v>16749</v>
      </c>
      <c r="H354" s="972">
        <v>35.402999999999999</v>
      </c>
      <c r="I354" s="972">
        <v>14.2705</v>
      </c>
      <c r="J354" s="972">
        <v>92.8</v>
      </c>
    </row>
    <row r="355" spans="1:10" ht="15.75" hidden="1">
      <c r="A355" s="972" t="s">
        <v>2410</v>
      </c>
      <c r="B355" s="972" t="s">
        <v>1834</v>
      </c>
      <c r="C355" s="972" t="s">
        <v>2388</v>
      </c>
      <c r="D355" s="972">
        <v>-4.8019999999999998E-3</v>
      </c>
      <c r="E355" s="972">
        <v>-2.05E-4</v>
      </c>
      <c r="F355" s="972">
        <v>-4.3000000000000002E-5</v>
      </c>
      <c r="G355" s="972">
        <v>16749</v>
      </c>
      <c r="H355" s="972">
        <v>35.402999999999999</v>
      </c>
      <c r="I355" s="972">
        <v>14.2705</v>
      </c>
      <c r="J355" s="972">
        <v>92.8</v>
      </c>
    </row>
    <row r="356" spans="1:10" ht="15.75" hidden="1">
      <c r="A356" s="972" t="s">
        <v>2410</v>
      </c>
      <c r="B356" s="972" t="s">
        <v>1834</v>
      </c>
      <c r="C356" s="972" t="s">
        <v>2389</v>
      </c>
      <c r="D356" s="972">
        <v>1.3669999999999999E-3</v>
      </c>
      <c r="E356" s="972">
        <v>2.6700000000000001E-3</v>
      </c>
      <c r="F356" s="972">
        <v>-6.0000000000000002E-6</v>
      </c>
      <c r="G356" s="972">
        <v>16749</v>
      </c>
      <c r="H356" s="972">
        <v>35.402999999999999</v>
      </c>
      <c r="I356" s="972">
        <v>14.2705</v>
      </c>
      <c r="J356" s="972">
        <v>92.8</v>
      </c>
    </row>
    <row r="357" spans="1:10" ht="15.75" hidden="1">
      <c r="A357" s="972" t="s">
        <v>2410</v>
      </c>
      <c r="B357" s="972" t="s">
        <v>1834</v>
      </c>
      <c r="C357" s="972" t="s">
        <v>2390</v>
      </c>
      <c r="D357" s="972">
        <v>6.6E-4</v>
      </c>
      <c r="E357" s="972">
        <v>2.6159999999999998E-3</v>
      </c>
      <c r="F357" s="972">
        <v>4.5000000000000003E-5</v>
      </c>
      <c r="G357" s="972">
        <v>16749</v>
      </c>
      <c r="H357" s="972">
        <v>35.402999999999999</v>
      </c>
      <c r="I357" s="972">
        <v>14.2705</v>
      </c>
      <c r="J357" s="972">
        <v>92.8</v>
      </c>
    </row>
    <row r="358" spans="1:10" ht="15.75" hidden="1">
      <c r="A358" s="972" t="s">
        <v>2410</v>
      </c>
      <c r="B358" s="972" t="s">
        <v>1834</v>
      </c>
      <c r="C358" s="972" t="s">
        <v>2391</v>
      </c>
      <c r="D358" s="972">
        <v>2.4840000000000001E-3</v>
      </c>
      <c r="E358" s="972">
        <v>5.31E-4</v>
      </c>
      <c r="F358" s="972">
        <v>6.0000000000000002E-6</v>
      </c>
      <c r="G358" s="972">
        <v>16749</v>
      </c>
      <c r="H358" s="972">
        <v>35.402999999999999</v>
      </c>
      <c r="I358" s="972">
        <v>14.2705</v>
      </c>
      <c r="J358" s="972">
        <v>92.8</v>
      </c>
    </row>
    <row r="359" spans="1:10" ht="15.75" hidden="1">
      <c r="A359" s="972" t="s">
        <v>2410</v>
      </c>
      <c r="B359" s="972" t="s">
        <v>1834</v>
      </c>
      <c r="C359" s="972" t="s">
        <v>2392</v>
      </c>
      <c r="D359" s="972">
        <v>8.7500000000000002E-4</v>
      </c>
      <c r="E359" s="972">
        <v>-1.392E-3</v>
      </c>
      <c r="F359" s="972">
        <v>-2.4000000000000001E-5</v>
      </c>
      <c r="G359" s="972">
        <v>16749</v>
      </c>
      <c r="H359" s="972">
        <v>35.402999999999999</v>
      </c>
      <c r="I359" s="972">
        <v>14.2705</v>
      </c>
      <c r="J359" s="972">
        <v>92.8</v>
      </c>
    </row>
    <row r="360" spans="1:10" ht="15.75" hidden="1">
      <c r="A360" s="972" t="s">
        <v>2410</v>
      </c>
      <c r="B360" s="972" t="s">
        <v>1834</v>
      </c>
      <c r="C360" s="972" t="s">
        <v>2393</v>
      </c>
      <c r="D360" s="972">
        <v>1.8389999999999999E-3</v>
      </c>
      <c r="E360" s="972">
        <v>-1.94E-4</v>
      </c>
      <c r="F360" s="972">
        <v>3.9999999999999998E-6</v>
      </c>
      <c r="G360" s="972">
        <v>16749</v>
      </c>
      <c r="H360" s="972">
        <v>35.402999999999999</v>
      </c>
      <c r="I360" s="972">
        <v>14.2705</v>
      </c>
      <c r="J360" s="972">
        <v>92.8</v>
      </c>
    </row>
    <row r="361" spans="1:10" ht="15.75" hidden="1">
      <c r="A361" s="972" t="s">
        <v>2410</v>
      </c>
      <c r="B361" s="972" t="s">
        <v>1834</v>
      </c>
      <c r="C361" s="972" t="s">
        <v>2394</v>
      </c>
      <c r="D361" s="972">
        <v>7.6900000000000004E-4</v>
      </c>
      <c r="E361" s="972">
        <v>-4.8799999999999999E-4</v>
      </c>
      <c r="F361" s="972">
        <v>-1.7E-5</v>
      </c>
      <c r="G361" s="972">
        <v>16749</v>
      </c>
      <c r="H361" s="972">
        <v>35.402999999999999</v>
      </c>
      <c r="I361" s="972">
        <v>14.2705</v>
      </c>
      <c r="J361" s="972">
        <v>92.8</v>
      </c>
    </row>
    <row r="362" spans="1:10" ht="15.75" hidden="1">
      <c r="A362" s="972" t="s">
        <v>2410</v>
      </c>
      <c r="B362" s="972" t="s">
        <v>1834</v>
      </c>
      <c r="C362" s="972" t="s">
        <v>2395</v>
      </c>
      <c r="D362" s="972">
        <v>-1.4779999999999999E-3</v>
      </c>
      <c r="E362" s="972">
        <v>3.5E-4</v>
      </c>
      <c r="F362" s="972">
        <v>-9.9999999999999995E-7</v>
      </c>
      <c r="G362" s="972">
        <v>16749</v>
      </c>
      <c r="H362" s="972">
        <v>35.402999999999999</v>
      </c>
      <c r="I362" s="972">
        <v>14.2705</v>
      </c>
      <c r="J362" s="972">
        <v>92.8</v>
      </c>
    </row>
    <row r="363" spans="1:10" ht="15.75" hidden="1">
      <c r="A363" s="972" t="s">
        <v>2410</v>
      </c>
      <c r="B363" s="972" t="s">
        <v>1834</v>
      </c>
      <c r="C363" s="972" t="s">
        <v>2396</v>
      </c>
      <c r="D363" s="972">
        <v>-3.7800000000000003E-4</v>
      </c>
      <c r="E363" s="972">
        <v>1.5300000000000001E-4</v>
      </c>
      <c r="F363" s="972">
        <v>1.5E-5</v>
      </c>
      <c r="G363" s="972">
        <v>16749</v>
      </c>
      <c r="H363" s="972">
        <v>35.402999999999999</v>
      </c>
      <c r="I363" s="972">
        <v>14.2705</v>
      </c>
      <c r="J363" s="972">
        <v>92.8</v>
      </c>
    </row>
    <row r="364" spans="1:10" ht="15.75" hidden="1">
      <c r="A364" s="972" t="s">
        <v>2411</v>
      </c>
      <c r="B364" s="972" t="s">
        <v>1834</v>
      </c>
      <c r="C364" s="972" t="s">
        <v>2297</v>
      </c>
      <c r="D364" s="972">
        <v>-9.0399999999999996E-4</v>
      </c>
      <c r="E364" s="972">
        <v>4.6690000000000004E-3</v>
      </c>
      <c r="F364" s="972">
        <v>4.1E-5</v>
      </c>
      <c r="G364" s="972">
        <v>16750</v>
      </c>
      <c r="H364" s="972">
        <v>35.402999999999999</v>
      </c>
      <c r="I364" s="972">
        <v>14.2705</v>
      </c>
      <c r="J364" s="972">
        <v>89.4</v>
      </c>
    </row>
    <row r="365" spans="1:10" ht="15.75" hidden="1">
      <c r="A365" s="972" t="s">
        <v>2411</v>
      </c>
      <c r="B365" s="972" t="s">
        <v>1834</v>
      </c>
      <c r="C365" s="972" t="s">
        <v>2298</v>
      </c>
      <c r="D365" s="972">
        <v>-6.9899999999999997E-4</v>
      </c>
      <c r="E365" s="972">
        <v>-9.7099999999999997E-4</v>
      </c>
      <c r="F365" s="972">
        <v>2.3599999999999999E-4</v>
      </c>
      <c r="G365" s="972">
        <v>16750</v>
      </c>
      <c r="H365" s="972">
        <v>35.402999999999999</v>
      </c>
      <c r="I365" s="972">
        <v>14.2705</v>
      </c>
      <c r="J365" s="972">
        <v>89.4</v>
      </c>
    </row>
    <row r="366" spans="1:10" ht="15.75">
      <c r="A366" s="972" t="s">
        <v>2411</v>
      </c>
      <c r="B366" s="972" t="s">
        <v>1834</v>
      </c>
      <c r="C366" s="972" t="s">
        <v>2299</v>
      </c>
      <c r="D366" s="972">
        <v>4.777E-3</v>
      </c>
      <c r="E366" s="972">
        <v>7.9000000000000001E-4</v>
      </c>
      <c r="F366" s="972">
        <v>4.1E-5</v>
      </c>
      <c r="G366" s="972">
        <v>16750</v>
      </c>
      <c r="H366" s="972">
        <v>35.402999999999999</v>
      </c>
      <c r="I366" s="972">
        <v>14.2705</v>
      </c>
      <c r="J366" s="972">
        <v>89.4</v>
      </c>
    </row>
    <row r="367" spans="1:10" ht="15.75" hidden="1">
      <c r="A367" s="972" t="s">
        <v>2411</v>
      </c>
      <c r="B367" s="972" t="s">
        <v>1834</v>
      </c>
      <c r="C367" s="972" t="s">
        <v>2300</v>
      </c>
      <c r="D367" s="972">
        <v>-1.76E-4</v>
      </c>
      <c r="E367" s="972">
        <v>1.5E-5</v>
      </c>
      <c r="F367" s="972">
        <v>3.3000000000000003E-5</v>
      </c>
      <c r="G367" s="972">
        <v>16750</v>
      </c>
      <c r="H367" s="972">
        <v>35.402999999999999</v>
      </c>
      <c r="I367" s="972">
        <v>14.2705</v>
      </c>
      <c r="J367" s="972">
        <v>89.4</v>
      </c>
    </row>
    <row r="368" spans="1:10" ht="15.75" hidden="1">
      <c r="A368" s="972" t="s">
        <v>2411</v>
      </c>
      <c r="B368" s="972" t="s">
        <v>1834</v>
      </c>
      <c r="C368" s="972" t="s">
        <v>2301</v>
      </c>
      <c r="D368" s="972">
        <v>2.5300000000000002E-4</v>
      </c>
      <c r="E368" s="972">
        <v>-1.6590000000000001E-3</v>
      </c>
      <c r="F368" s="972">
        <v>1.9999999999999999E-6</v>
      </c>
      <c r="G368" s="972">
        <v>16750</v>
      </c>
      <c r="H368" s="972">
        <v>35.402999999999999</v>
      </c>
      <c r="I368" s="972">
        <v>14.2705</v>
      </c>
      <c r="J368" s="972">
        <v>89.4</v>
      </c>
    </row>
    <row r="369" spans="1:10" ht="15.75" hidden="1">
      <c r="A369" s="972" t="s">
        <v>2411</v>
      </c>
      <c r="B369" s="972" t="s">
        <v>1834</v>
      </c>
      <c r="C369" s="972" t="s">
        <v>2302</v>
      </c>
      <c r="D369" s="972">
        <v>-1.3370000000000001E-3</v>
      </c>
      <c r="E369" s="972">
        <v>-1.1900000000000001E-4</v>
      </c>
      <c r="F369" s="972">
        <v>-9.9999999999999995E-7</v>
      </c>
      <c r="G369" s="972">
        <v>16750</v>
      </c>
      <c r="H369" s="972">
        <v>35.402999999999999</v>
      </c>
      <c r="I369" s="972">
        <v>14.2705</v>
      </c>
      <c r="J369" s="972">
        <v>89.4</v>
      </c>
    </row>
    <row r="370" spans="1:10" ht="15.75" hidden="1">
      <c r="A370" s="972" t="s">
        <v>2411</v>
      </c>
      <c r="B370" s="972" t="s">
        <v>1834</v>
      </c>
      <c r="C370" s="972" t="s">
        <v>2303</v>
      </c>
      <c r="D370" s="972">
        <v>-5.8399999999999999E-4</v>
      </c>
      <c r="E370" s="972">
        <v>-1.4E-5</v>
      </c>
      <c r="F370" s="972">
        <v>2.4800000000000001E-4</v>
      </c>
      <c r="G370" s="972">
        <v>16750</v>
      </c>
      <c r="H370" s="972">
        <v>35.402999999999999</v>
      </c>
      <c r="I370" s="972">
        <v>14.2705</v>
      </c>
      <c r="J370" s="972">
        <v>89.4</v>
      </c>
    </row>
    <row r="371" spans="1:10" ht="15.75" hidden="1">
      <c r="A371" s="972" t="s">
        <v>2411</v>
      </c>
      <c r="B371" s="972" t="s">
        <v>1834</v>
      </c>
      <c r="C371" s="972" t="s">
        <v>2304</v>
      </c>
      <c r="D371" s="972">
        <v>-5.1000000000000004E-4</v>
      </c>
      <c r="E371" s="972">
        <v>5.1999999999999998E-3</v>
      </c>
      <c r="F371" s="972">
        <v>-5.0000000000000004E-6</v>
      </c>
      <c r="G371" s="972">
        <v>16750</v>
      </c>
      <c r="H371" s="972">
        <v>35.402999999999999</v>
      </c>
      <c r="I371" s="972">
        <v>14.2705</v>
      </c>
      <c r="J371" s="972">
        <v>89.4</v>
      </c>
    </row>
    <row r="372" spans="1:10" ht="15.75" hidden="1">
      <c r="A372" s="972" t="s">
        <v>2411</v>
      </c>
      <c r="B372" s="972" t="s">
        <v>1834</v>
      </c>
      <c r="C372" s="972" t="s">
        <v>2305</v>
      </c>
      <c r="D372" s="972">
        <v>-9.2299999999999999E-4</v>
      </c>
      <c r="E372" s="972">
        <v>-3.6000000000000001E-5</v>
      </c>
      <c r="F372" s="972">
        <v>2.05E-4</v>
      </c>
      <c r="G372" s="972">
        <v>16750</v>
      </c>
      <c r="H372" s="972">
        <v>35.402999999999999</v>
      </c>
      <c r="I372" s="972">
        <v>14.2705</v>
      </c>
      <c r="J372" s="972">
        <v>89.4</v>
      </c>
    </row>
    <row r="373" spans="1:10" ht="15.75" hidden="1">
      <c r="A373" s="972" t="s">
        <v>2411</v>
      </c>
      <c r="B373" s="972" t="s">
        <v>1834</v>
      </c>
      <c r="C373" s="972" t="s">
        <v>2306</v>
      </c>
      <c r="D373" s="972">
        <v>5.0600000000000003E-3</v>
      </c>
      <c r="E373" s="972">
        <v>5.04E-4</v>
      </c>
      <c r="F373" s="972">
        <v>5.0000000000000002E-5</v>
      </c>
      <c r="G373" s="972">
        <v>16750</v>
      </c>
      <c r="H373" s="972">
        <v>35.402999999999999</v>
      </c>
      <c r="I373" s="972">
        <v>14.2705</v>
      </c>
      <c r="J373" s="972">
        <v>89.4</v>
      </c>
    </row>
    <row r="374" spans="1:10" ht="15.75" hidden="1">
      <c r="A374" s="972" t="s">
        <v>2411</v>
      </c>
      <c r="B374" s="972" t="s">
        <v>1834</v>
      </c>
      <c r="C374" s="972" t="s">
        <v>2307</v>
      </c>
      <c r="D374" s="972">
        <v>-7.3999999999999996E-5</v>
      </c>
      <c r="E374" s="972">
        <v>1.353E-3</v>
      </c>
      <c r="F374" s="972">
        <v>3.1000000000000001E-5</v>
      </c>
      <c r="G374" s="972">
        <v>16750</v>
      </c>
      <c r="H374" s="972">
        <v>35.402999999999999</v>
      </c>
      <c r="I374" s="972">
        <v>14.2705</v>
      </c>
      <c r="J374" s="972">
        <v>89.4</v>
      </c>
    </row>
    <row r="375" spans="1:10" ht="15.75" hidden="1">
      <c r="A375" s="972" t="s">
        <v>2411</v>
      </c>
      <c r="B375" s="972" t="s">
        <v>1834</v>
      </c>
      <c r="C375" s="972" t="s">
        <v>2308</v>
      </c>
      <c r="D375" s="972">
        <v>3.5399999999999999E-4</v>
      </c>
      <c r="E375" s="972">
        <v>-3.6099999999999999E-3</v>
      </c>
      <c r="F375" s="972">
        <v>1.5E-5</v>
      </c>
      <c r="G375" s="972">
        <v>16750</v>
      </c>
      <c r="H375" s="972">
        <v>35.402999999999999</v>
      </c>
      <c r="I375" s="972">
        <v>14.2705</v>
      </c>
      <c r="J375" s="972">
        <v>89.4</v>
      </c>
    </row>
    <row r="376" spans="1:10" ht="15.75" hidden="1">
      <c r="A376" s="972" t="s">
        <v>2411</v>
      </c>
      <c r="B376" s="972" t="s">
        <v>1834</v>
      </c>
      <c r="C376" s="972" t="s">
        <v>2309</v>
      </c>
      <c r="D376" s="972">
        <v>3.9639999999999996E-3</v>
      </c>
      <c r="E376" s="972">
        <v>3.8999999999999999E-4</v>
      </c>
      <c r="F376" s="972">
        <v>1.7E-5</v>
      </c>
      <c r="G376" s="972">
        <v>16750</v>
      </c>
      <c r="H376" s="972">
        <v>35.402999999999999</v>
      </c>
      <c r="I376" s="972">
        <v>14.2705</v>
      </c>
      <c r="J376" s="972">
        <v>89.4</v>
      </c>
    </row>
    <row r="377" spans="1:10" ht="15.75" hidden="1">
      <c r="A377" s="972" t="s">
        <v>2411</v>
      </c>
      <c r="B377" s="972" t="s">
        <v>1834</v>
      </c>
      <c r="C377" s="972" t="s">
        <v>2310</v>
      </c>
      <c r="D377" s="972">
        <v>3.3300000000000002E-4</v>
      </c>
      <c r="E377" s="972">
        <v>9.0000000000000002E-6</v>
      </c>
      <c r="F377" s="972">
        <v>-2.3599999999999999E-4</v>
      </c>
      <c r="G377" s="972">
        <v>16750</v>
      </c>
      <c r="H377" s="972">
        <v>35.402999999999999</v>
      </c>
      <c r="I377" s="972">
        <v>14.2705</v>
      </c>
      <c r="J377" s="972">
        <v>89.4</v>
      </c>
    </row>
    <row r="378" spans="1:10" ht="15.75" hidden="1">
      <c r="A378" s="972" t="s">
        <v>2411</v>
      </c>
      <c r="B378" s="972" t="s">
        <v>1834</v>
      </c>
      <c r="C378" s="972" t="s">
        <v>2311</v>
      </c>
      <c r="D378" s="972">
        <v>1.3799999999999999E-4</v>
      </c>
      <c r="E378" s="972">
        <v>-1.09E-3</v>
      </c>
      <c r="F378" s="972">
        <v>-6.9999999999999999E-6</v>
      </c>
      <c r="G378" s="972">
        <v>16750</v>
      </c>
      <c r="H378" s="972">
        <v>35.402999999999999</v>
      </c>
      <c r="I378" s="972">
        <v>14.2705</v>
      </c>
      <c r="J378" s="972">
        <v>89.4</v>
      </c>
    </row>
    <row r="379" spans="1:10" ht="15.75" hidden="1">
      <c r="A379" s="972" t="s">
        <v>2411</v>
      </c>
      <c r="B379" s="972" t="s">
        <v>1834</v>
      </c>
      <c r="C379" s="972" t="s">
        <v>2328</v>
      </c>
      <c r="D379" s="972">
        <v>-3.6699999999999998E-4</v>
      </c>
      <c r="E379" s="972">
        <v>-1.26E-4</v>
      </c>
      <c r="F379" s="972">
        <v>2.2900000000000001E-4</v>
      </c>
      <c r="G379" s="972">
        <v>16750</v>
      </c>
      <c r="H379" s="972">
        <v>35.402999999999999</v>
      </c>
      <c r="I379" s="972">
        <v>14.2705</v>
      </c>
      <c r="J379" s="972">
        <v>89.4</v>
      </c>
    </row>
    <row r="380" spans="1:10" ht="15.75" hidden="1">
      <c r="A380" s="972" t="s">
        <v>2411</v>
      </c>
      <c r="B380" s="972" t="s">
        <v>1834</v>
      </c>
      <c r="C380" s="972" t="s">
        <v>2329</v>
      </c>
      <c r="D380" s="972">
        <v>8.9999999999999998E-4</v>
      </c>
      <c r="E380" s="972">
        <v>5.5999999999999999E-5</v>
      </c>
      <c r="F380" s="972">
        <v>-1.8E-5</v>
      </c>
      <c r="G380" s="972">
        <v>16750</v>
      </c>
      <c r="H380" s="972">
        <v>35.402999999999999</v>
      </c>
      <c r="I380" s="972">
        <v>14.2705</v>
      </c>
      <c r="J380" s="972">
        <v>89.4</v>
      </c>
    </row>
    <row r="381" spans="1:10" ht="15.75" hidden="1">
      <c r="A381" s="972" t="s">
        <v>2411</v>
      </c>
      <c r="B381" s="972" t="s">
        <v>1834</v>
      </c>
      <c r="C381" s="972" t="s">
        <v>2330</v>
      </c>
      <c r="D381" s="972">
        <v>4.5399999999999998E-4</v>
      </c>
      <c r="E381" s="972">
        <v>-4.9670000000000001E-3</v>
      </c>
      <c r="F381" s="972">
        <v>-1.7E-5</v>
      </c>
      <c r="G381" s="972">
        <v>16750</v>
      </c>
      <c r="H381" s="972">
        <v>35.402999999999999</v>
      </c>
      <c r="I381" s="972">
        <v>14.2705</v>
      </c>
      <c r="J381" s="972">
        <v>89.4</v>
      </c>
    </row>
    <row r="382" spans="1:10" ht="15.75" hidden="1">
      <c r="A382" s="972" t="s">
        <v>2411</v>
      </c>
      <c r="B382" s="972" t="s">
        <v>1834</v>
      </c>
      <c r="C382" s="972" t="s">
        <v>2331</v>
      </c>
      <c r="D382" s="972">
        <v>2.72E-4</v>
      </c>
      <c r="E382" s="972">
        <v>-1.109E-3</v>
      </c>
      <c r="F382" s="972">
        <v>6.7999999999999999E-5</v>
      </c>
      <c r="G382" s="972">
        <v>16750</v>
      </c>
      <c r="H382" s="972">
        <v>35.402999999999999</v>
      </c>
      <c r="I382" s="972">
        <v>14.2705</v>
      </c>
      <c r="J382" s="972">
        <v>89.4</v>
      </c>
    </row>
    <row r="383" spans="1:10" ht="15.75" hidden="1">
      <c r="A383" s="972" t="s">
        <v>2411</v>
      </c>
      <c r="B383" s="972" t="s">
        <v>1834</v>
      </c>
      <c r="C383" s="972" t="s">
        <v>2332</v>
      </c>
      <c r="D383" s="972">
        <v>-4.7949999999999998E-3</v>
      </c>
      <c r="E383" s="972">
        <v>-3.3E-4</v>
      </c>
      <c r="F383" s="972">
        <v>-3.8000000000000002E-5</v>
      </c>
      <c r="G383" s="972">
        <v>16750</v>
      </c>
      <c r="H383" s="972">
        <v>35.402999999999999</v>
      </c>
      <c r="I383" s="972">
        <v>14.2705</v>
      </c>
      <c r="J383" s="972">
        <v>89.4</v>
      </c>
    </row>
    <row r="384" spans="1:10" ht="15.75" hidden="1">
      <c r="A384" s="972" t="s">
        <v>2411</v>
      </c>
      <c r="B384" s="972" t="s">
        <v>1834</v>
      </c>
      <c r="C384" s="972" t="s">
        <v>2387</v>
      </c>
      <c r="D384" s="972">
        <v>-2.03E-4</v>
      </c>
      <c r="E384" s="972">
        <v>4.8079999999999998E-3</v>
      </c>
      <c r="F384" s="972">
        <v>-1.8E-5</v>
      </c>
      <c r="G384" s="972">
        <v>16750</v>
      </c>
      <c r="H384" s="972">
        <v>35.402999999999999</v>
      </c>
      <c r="I384" s="972">
        <v>14.2705</v>
      </c>
      <c r="J384" s="972">
        <v>89.4</v>
      </c>
    </row>
    <row r="385" spans="1:10" ht="15.75" hidden="1">
      <c r="A385" s="972" t="s">
        <v>2411</v>
      </c>
      <c r="B385" s="972" t="s">
        <v>1834</v>
      </c>
      <c r="C385" s="972" t="s">
        <v>2388</v>
      </c>
      <c r="D385" s="972">
        <v>-3.7100000000000002E-3</v>
      </c>
      <c r="E385" s="972">
        <v>-5.9400000000000002E-4</v>
      </c>
      <c r="F385" s="972">
        <v>-1.2999999999999999E-4</v>
      </c>
      <c r="G385" s="972">
        <v>16750</v>
      </c>
      <c r="H385" s="972">
        <v>35.402999999999999</v>
      </c>
      <c r="I385" s="972">
        <v>14.2705</v>
      </c>
      <c r="J385" s="972">
        <v>89.4</v>
      </c>
    </row>
    <row r="386" spans="1:10" ht="15.75" hidden="1">
      <c r="A386" s="972" t="s">
        <v>2411</v>
      </c>
      <c r="B386" s="972" t="s">
        <v>1834</v>
      </c>
      <c r="C386" s="972" t="s">
        <v>2389</v>
      </c>
      <c r="D386" s="972">
        <v>2.3110000000000001E-3</v>
      </c>
      <c r="E386" s="972">
        <v>9.6599999999999995E-4</v>
      </c>
      <c r="F386" s="972">
        <v>-6.8999999999999997E-5</v>
      </c>
      <c r="G386" s="972">
        <v>16750</v>
      </c>
      <c r="H386" s="972">
        <v>35.402999999999999</v>
      </c>
      <c r="I386" s="972">
        <v>14.2705</v>
      </c>
      <c r="J386" s="972">
        <v>89.4</v>
      </c>
    </row>
    <row r="387" spans="1:10" ht="15.75" hidden="1">
      <c r="A387" s="972" t="s">
        <v>2411</v>
      </c>
      <c r="B387" s="972" t="s">
        <v>1834</v>
      </c>
      <c r="C387" s="972" t="s">
        <v>2390</v>
      </c>
      <c r="D387" s="972">
        <v>-9.7400000000000004E-4</v>
      </c>
      <c r="E387" s="972">
        <v>1.4159999999999999E-3</v>
      </c>
      <c r="F387" s="972">
        <v>1.16E-4</v>
      </c>
      <c r="G387" s="972">
        <v>16750</v>
      </c>
      <c r="H387" s="972">
        <v>35.402999999999999</v>
      </c>
      <c r="I387" s="972">
        <v>14.2705</v>
      </c>
      <c r="J387" s="972">
        <v>89.4</v>
      </c>
    </row>
    <row r="388" spans="1:10" ht="15.75" hidden="1">
      <c r="A388" s="972" t="s">
        <v>2411</v>
      </c>
      <c r="B388" s="972" t="s">
        <v>1834</v>
      </c>
      <c r="C388" s="972" t="s">
        <v>2391</v>
      </c>
      <c r="D388" s="972">
        <v>2.307E-3</v>
      </c>
      <c r="E388" s="972">
        <v>-6.2399999999999999E-4</v>
      </c>
      <c r="F388" s="972">
        <v>-2.9E-5</v>
      </c>
      <c r="G388" s="972">
        <v>16750</v>
      </c>
      <c r="H388" s="972">
        <v>35.402999999999999</v>
      </c>
      <c r="I388" s="972">
        <v>14.2705</v>
      </c>
      <c r="J388" s="972">
        <v>89.4</v>
      </c>
    </row>
    <row r="389" spans="1:10" ht="15.75" hidden="1">
      <c r="A389" s="972" t="s">
        <v>2411</v>
      </c>
      <c r="B389" s="972" t="s">
        <v>1834</v>
      </c>
      <c r="C389" s="972" t="s">
        <v>2392</v>
      </c>
      <c r="D389" s="972">
        <v>1.472E-3</v>
      </c>
      <c r="E389" s="972">
        <v>3.4099999999999999E-4</v>
      </c>
      <c r="F389" s="972">
        <v>-5.0000000000000002E-5</v>
      </c>
      <c r="G389" s="972">
        <v>16750</v>
      </c>
      <c r="H389" s="972">
        <v>35.402999999999999</v>
      </c>
      <c r="I389" s="972">
        <v>14.2705</v>
      </c>
      <c r="J389" s="972">
        <v>89.4</v>
      </c>
    </row>
    <row r="390" spans="1:10" ht="15.75" hidden="1">
      <c r="A390" s="972" t="s">
        <v>2411</v>
      </c>
      <c r="B390" s="972" t="s">
        <v>1834</v>
      </c>
      <c r="C390" s="972" t="s">
        <v>2393</v>
      </c>
      <c r="D390" s="972">
        <v>1.4009999999999999E-3</v>
      </c>
      <c r="E390" s="972">
        <v>-7.8700000000000005E-4</v>
      </c>
      <c r="F390" s="972">
        <v>-2.6999999999999999E-5</v>
      </c>
      <c r="G390" s="972">
        <v>16750</v>
      </c>
      <c r="H390" s="972">
        <v>35.402999999999999</v>
      </c>
      <c r="I390" s="972">
        <v>14.2705</v>
      </c>
      <c r="J390" s="972">
        <v>89.4</v>
      </c>
    </row>
    <row r="391" spans="1:10" ht="15.75" hidden="1">
      <c r="A391" s="972" t="s">
        <v>2411</v>
      </c>
      <c r="B391" s="972" t="s">
        <v>1834</v>
      </c>
      <c r="C391" s="972" t="s">
        <v>2394</v>
      </c>
      <c r="D391" s="972">
        <v>9.6000000000000002E-4</v>
      </c>
      <c r="E391" s="972">
        <v>9.2400000000000002E-4</v>
      </c>
      <c r="F391" s="972">
        <v>-3.1999999999999999E-5</v>
      </c>
      <c r="G391" s="972">
        <v>16750</v>
      </c>
      <c r="H391" s="972">
        <v>35.402999999999999</v>
      </c>
      <c r="I391" s="972">
        <v>14.2705</v>
      </c>
      <c r="J391" s="972">
        <v>89.4</v>
      </c>
    </row>
    <row r="392" spans="1:10" ht="15.75" hidden="1">
      <c r="A392" s="972" t="s">
        <v>2411</v>
      </c>
      <c r="B392" s="972" t="s">
        <v>1834</v>
      </c>
      <c r="C392" s="972" t="s">
        <v>2395</v>
      </c>
      <c r="D392" s="972">
        <v>-1.0380000000000001E-3</v>
      </c>
      <c r="E392" s="972">
        <v>5.1500000000000005E-4</v>
      </c>
      <c r="F392" s="972">
        <v>3.1000000000000001E-5</v>
      </c>
      <c r="G392" s="972">
        <v>16750</v>
      </c>
      <c r="H392" s="972">
        <v>35.402999999999999</v>
      </c>
      <c r="I392" s="972">
        <v>14.2705</v>
      </c>
      <c r="J392" s="972">
        <v>89.4</v>
      </c>
    </row>
    <row r="393" spans="1:10" ht="15.75" hidden="1">
      <c r="A393" s="972" t="s">
        <v>2411</v>
      </c>
      <c r="B393" s="972" t="s">
        <v>1834</v>
      </c>
      <c r="C393" s="972" t="s">
        <v>2396</v>
      </c>
      <c r="D393" s="972">
        <v>-5.0299999999999997E-4</v>
      </c>
      <c r="E393" s="972">
        <v>-1.023E-3</v>
      </c>
      <c r="F393" s="972">
        <v>2.1999999999999999E-5</v>
      </c>
      <c r="G393" s="972">
        <v>16750</v>
      </c>
      <c r="H393" s="972">
        <v>35.402999999999999</v>
      </c>
      <c r="I393" s="972">
        <v>14.2705</v>
      </c>
      <c r="J393" s="972">
        <v>89.4</v>
      </c>
    </row>
    <row r="394" spans="1:10" ht="15.75" hidden="1">
      <c r="A394" s="972" t="s">
        <v>2412</v>
      </c>
      <c r="B394" s="972" t="s">
        <v>1834</v>
      </c>
      <c r="C394" s="972" t="s">
        <v>2297</v>
      </c>
      <c r="D394" s="972">
        <v>-8.6300000000000005E-4</v>
      </c>
      <c r="E394" s="972">
        <v>4.4609999999999997E-3</v>
      </c>
      <c r="F394" s="972">
        <v>3.8999999999999999E-5</v>
      </c>
      <c r="G394" s="972">
        <v>16751</v>
      </c>
      <c r="H394" s="972">
        <v>35.402999999999999</v>
      </c>
      <c r="I394" s="972">
        <v>14.2705</v>
      </c>
      <c r="J394" s="972">
        <v>86</v>
      </c>
    </row>
    <row r="395" spans="1:10" ht="15.75" hidden="1">
      <c r="A395" s="972" t="s">
        <v>2412</v>
      </c>
      <c r="B395" s="972" t="s">
        <v>1834</v>
      </c>
      <c r="C395" s="972" t="s">
        <v>2298</v>
      </c>
      <c r="D395" s="972">
        <v>-6.7599999999999995E-4</v>
      </c>
      <c r="E395" s="972">
        <v>-9.2900000000000003E-4</v>
      </c>
      <c r="F395" s="972">
        <v>2.2900000000000001E-4</v>
      </c>
      <c r="G395" s="972">
        <v>16751</v>
      </c>
      <c r="H395" s="972">
        <v>35.402999999999999</v>
      </c>
      <c r="I395" s="972">
        <v>14.2705</v>
      </c>
      <c r="J395" s="972">
        <v>86</v>
      </c>
    </row>
    <row r="396" spans="1:10" ht="15.75">
      <c r="A396" s="972" t="s">
        <v>2412</v>
      </c>
      <c r="B396" s="972" t="s">
        <v>1834</v>
      </c>
      <c r="C396" s="972" t="s">
        <v>2299</v>
      </c>
      <c r="D396" s="972">
        <v>4.5900000000000003E-3</v>
      </c>
      <c r="E396" s="972">
        <v>7.6300000000000001E-4</v>
      </c>
      <c r="F396" s="972">
        <v>4.0000000000000003E-5</v>
      </c>
      <c r="G396" s="972">
        <v>16751</v>
      </c>
      <c r="H396" s="972">
        <v>35.402999999999999</v>
      </c>
      <c r="I396" s="972">
        <v>14.2705</v>
      </c>
      <c r="J396" s="972">
        <v>86</v>
      </c>
    </row>
    <row r="397" spans="1:10" ht="15.75" hidden="1">
      <c r="A397" s="972" t="s">
        <v>2412</v>
      </c>
      <c r="B397" s="972" t="s">
        <v>1834</v>
      </c>
      <c r="C397" s="972" t="s">
        <v>2300</v>
      </c>
      <c r="D397" s="972">
        <v>-2.7399999999999999E-4</v>
      </c>
      <c r="E397" s="972">
        <v>1.8E-5</v>
      </c>
      <c r="F397" s="972">
        <v>6.6000000000000005E-5</v>
      </c>
      <c r="G397" s="972">
        <v>16751</v>
      </c>
      <c r="H397" s="972">
        <v>35.402999999999999</v>
      </c>
      <c r="I397" s="972">
        <v>14.2705</v>
      </c>
      <c r="J397" s="972">
        <v>86</v>
      </c>
    </row>
    <row r="398" spans="1:10" ht="15.75" hidden="1">
      <c r="A398" s="972" t="s">
        <v>2412</v>
      </c>
      <c r="B398" s="972" t="s">
        <v>1834</v>
      </c>
      <c r="C398" s="972" t="s">
        <v>2301</v>
      </c>
      <c r="D398" s="972">
        <v>3.3100000000000002E-4</v>
      </c>
      <c r="E398" s="972">
        <v>-2.3189999999999999E-3</v>
      </c>
      <c r="F398" s="972">
        <v>3.0000000000000001E-6</v>
      </c>
      <c r="G398" s="972">
        <v>16751</v>
      </c>
      <c r="H398" s="972">
        <v>35.402999999999999</v>
      </c>
      <c r="I398" s="972">
        <v>14.2705</v>
      </c>
      <c r="J398" s="972">
        <v>86</v>
      </c>
    </row>
    <row r="399" spans="1:10" ht="15.75" hidden="1">
      <c r="A399" s="972" t="s">
        <v>2412</v>
      </c>
      <c r="B399" s="972" t="s">
        <v>1834</v>
      </c>
      <c r="C399" s="972" t="s">
        <v>2302</v>
      </c>
      <c r="D399" s="972">
        <v>-2.0040000000000001E-3</v>
      </c>
      <c r="E399" s="972">
        <v>-2.04E-4</v>
      </c>
      <c r="F399" s="972">
        <v>-5.0000000000000004E-6</v>
      </c>
      <c r="G399" s="972">
        <v>16751</v>
      </c>
      <c r="H399" s="972">
        <v>35.402999999999999</v>
      </c>
      <c r="I399" s="972">
        <v>14.2705</v>
      </c>
      <c r="J399" s="972">
        <v>86</v>
      </c>
    </row>
    <row r="400" spans="1:10" ht="15.75" hidden="1">
      <c r="A400" s="972" t="s">
        <v>2412</v>
      </c>
      <c r="B400" s="972" t="s">
        <v>1834</v>
      </c>
      <c r="C400" s="972" t="s">
        <v>2303</v>
      </c>
      <c r="D400" s="972">
        <v>-5.9800000000000001E-4</v>
      </c>
      <c r="E400" s="972">
        <v>-1.2E-5</v>
      </c>
      <c r="F400" s="972">
        <v>2.6400000000000002E-4</v>
      </c>
      <c r="G400" s="972">
        <v>16751</v>
      </c>
      <c r="H400" s="972">
        <v>35.402999999999999</v>
      </c>
      <c r="I400" s="972">
        <v>14.2705</v>
      </c>
      <c r="J400" s="972">
        <v>86</v>
      </c>
    </row>
    <row r="401" spans="1:10" ht="15.75" hidden="1">
      <c r="A401" s="972" t="s">
        <v>2412</v>
      </c>
      <c r="B401" s="972" t="s">
        <v>1834</v>
      </c>
      <c r="C401" s="972" t="s">
        <v>2304</v>
      </c>
      <c r="D401" s="972">
        <v>-5.2099999999999998E-4</v>
      </c>
      <c r="E401" s="972">
        <v>5.3559999999999997E-3</v>
      </c>
      <c r="F401" s="972">
        <v>-5.0000000000000004E-6</v>
      </c>
      <c r="G401" s="972">
        <v>16751</v>
      </c>
      <c r="H401" s="972">
        <v>35.402999999999999</v>
      </c>
      <c r="I401" s="972">
        <v>14.2705</v>
      </c>
      <c r="J401" s="972">
        <v>86</v>
      </c>
    </row>
    <row r="402" spans="1:10" ht="15.75" hidden="1">
      <c r="A402" s="972" t="s">
        <v>2412</v>
      </c>
      <c r="B402" s="972" t="s">
        <v>1834</v>
      </c>
      <c r="C402" s="972" t="s">
        <v>2305</v>
      </c>
      <c r="D402" s="972">
        <v>-8.2100000000000001E-4</v>
      </c>
      <c r="E402" s="972">
        <v>-3.4E-5</v>
      </c>
      <c r="F402" s="972">
        <v>1.5100000000000001E-4</v>
      </c>
      <c r="G402" s="972">
        <v>16751</v>
      </c>
      <c r="H402" s="972">
        <v>35.402999999999999</v>
      </c>
      <c r="I402" s="972">
        <v>14.2705</v>
      </c>
      <c r="J402" s="972">
        <v>86</v>
      </c>
    </row>
    <row r="403" spans="1:10" ht="15.75" hidden="1">
      <c r="A403" s="972" t="s">
        <v>2412</v>
      </c>
      <c r="B403" s="972" t="s">
        <v>1834</v>
      </c>
      <c r="C403" s="972" t="s">
        <v>2306</v>
      </c>
      <c r="D403" s="972">
        <v>5.2649999999999997E-3</v>
      </c>
      <c r="E403" s="972">
        <v>5.2800000000000004E-4</v>
      </c>
      <c r="F403" s="972">
        <v>4.6E-5</v>
      </c>
      <c r="G403" s="972">
        <v>16751</v>
      </c>
      <c r="H403" s="972">
        <v>35.402999999999999</v>
      </c>
      <c r="I403" s="972">
        <v>14.2705</v>
      </c>
      <c r="J403" s="972">
        <v>86</v>
      </c>
    </row>
    <row r="404" spans="1:10" ht="15.75" hidden="1">
      <c r="A404" s="972" t="s">
        <v>2412</v>
      </c>
      <c r="B404" s="972" t="s">
        <v>1834</v>
      </c>
      <c r="C404" s="972" t="s">
        <v>2307</v>
      </c>
      <c r="D404" s="972">
        <v>-2.2000000000000001E-4</v>
      </c>
      <c r="E404" s="972">
        <v>9.2900000000000003E-4</v>
      </c>
      <c r="F404" s="972">
        <v>1.17E-4</v>
      </c>
      <c r="G404" s="972">
        <v>16751</v>
      </c>
      <c r="H404" s="972">
        <v>35.402999999999999</v>
      </c>
      <c r="I404" s="972">
        <v>14.2705</v>
      </c>
      <c r="J404" s="972">
        <v>86</v>
      </c>
    </row>
    <row r="405" spans="1:10" ht="15.75" hidden="1">
      <c r="A405" s="972" t="s">
        <v>2412</v>
      </c>
      <c r="B405" s="972" t="s">
        <v>1834</v>
      </c>
      <c r="C405" s="972" t="s">
        <v>2308</v>
      </c>
      <c r="D405" s="972">
        <v>1.74E-4</v>
      </c>
      <c r="E405" s="972">
        <v>-2.4859999999999999E-3</v>
      </c>
      <c r="F405" s="972">
        <v>4.6E-5</v>
      </c>
      <c r="G405" s="972">
        <v>16751</v>
      </c>
      <c r="H405" s="972">
        <v>35.402999999999999</v>
      </c>
      <c r="I405" s="972">
        <v>14.2705</v>
      </c>
      <c r="J405" s="972">
        <v>86</v>
      </c>
    </row>
    <row r="406" spans="1:10" ht="15.75" hidden="1">
      <c r="A406" s="972" t="s">
        <v>2412</v>
      </c>
      <c r="B406" s="972" t="s">
        <v>1834</v>
      </c>
      <c r="C406" s="972" t="s">
        <v>2309</v>
      </c>
      <c r="D406" s="972">
        <v>2.8170000000000001E-3</v>
      </c>
      <c r="E406" s="972">
        <v>2.8499999999999999E-4</v>
      </c>
      <c r="F406" s="972">
        <v>6.9999999999999999E-6</v>
      </c>
      <c r="G406" s="972">
        <v>16751</v>
      </c>
      <c r="H406" s="972">
        <v>35.402999999999999</v>
      </c>
      <c r="I406" s="972">
        <v>14.2705</v>
      </c>
      <c r="J406" s="972">
        <v>86</v>
      </c>
    </row>
    <row r="407" spans="1:10" ht="15.75" hidden="1">
      <c r="A407" s="972" t="s">
        <v>2412</v>
      </c>
      <c r="B407" s="972" t="s">
        <v>1834</v>
      </c>
      <c r="C407" s="972" t="s">
        <v>2310</v>
      </c>
      <c r="D407" s="972">
        <v>4.3399999999999998E-4</v>
      </c>
      <c r="E407" s="972">
        <v>5.3000000000000001E-5</v>
      </c>
      <c r="F407" s="972">
        <v>-2.6499999999999999E-4</v>
      </c>
      <c r="G407" s="972">
        <v>16751</v>
      </c>
      <c r="H407" s="972">
        <v>35.402999999999999</v>
      </c>
      <c r="I407" s="972">
        <v>14.2705</v>
      </c>
      <c r="J407" s="972">
        <v>86</v>
      </c>
    </row>
    <row r="408" spans="1:10" ht="15.75" hidden="1">
      <c r="A408" s="972" t="s">
        <v>2412</v>
      </c>
      <c r="B408" s="972" t="s">
        <v>1834</v>
      </c>
      <c r="C408" s="972" t="s">
        <v>2311</v>
      </c>
      <c r="D408" s="972">
        <v>3.0699999999999998E-4</v>
      </c>
      <c r="E408" s="972">
        <v>-2.908E-3</v>
      </c>
      <c r="F408" s="972">
        <v>-6.0000000000000002E-6</v>
      </c>
      <c r="G408" s="972">
        <v>16751</v>
      </c>
      <c r="H408" s="972">
        <v>35.402999999999999</v>
      </c>
      <c r="I408" s="972">
        <v>14.2705</v>
      </c>
      <c r="J408" s="972">
        <v>86</v>
      </c>
    </row>
    <row r="409" spans="1:10" ht="15.75" hidden="1">
      <c r="A409" s="972" t="s">
        <v>2412</v>
      </c>
      <c r="B409" s="972" t="s">
        <v>1834</v>
      </c>
      <c r="C409" s="972" t="s">
        <v>2328</v>
      </c>
      <c r="D409" s="972">
        <v>-6.3999999999999997E-5</v>
      </c>
      <c r="E409" s="972">
        <v>-1.4999999999999999E-4</v>
      </c>
      <c r="F409" s="972">
        <v>1.5100000000000001E-4</v>
      </c>
      <c r="G409" s="972">
        <v>16751</v>
      </c>
      <c r="H409" s="972">
        <v>35.402999999999999</v>
      </c>
      <c r="I409" s="972">
        <v>14.2705</v>
      </c>
      <c r="J409" s="972">
        <v>86</v>
      </c>
    </row>
    <row r="410" spans="1:10" ht="15.75" hidden="1">
      <c r="A410" s="972" t="s">
        <v>2412</v>
      </c>
      <c r="B410" s="972" t="s">
        <v>1834</v>
      </c>
      <c r="C410" s="972" t="s">
        <v>2329</v>
      </c>
      <c r="D410" s="972">
        <v>2.6909999999999998E-3</v>
      </c>
      <c r="E410" s="972">
        <v>2.2599999999999999E-4</v>
      </c>
      <c r="F410" s="972">
        <v>3.9999999999999998E-6</v>
      </c>
      <c r="G410" s="972">
        <v>16751</v>
      </c>
      <c r="H410" s="972">
        <v>35.402999999999999</v>
      </c>
      <c r="I410" s="972">
        <v>14.2705</v>
      </c>
      <c r="J410" s="972">
        <v>86</v>
      </c>
    </row>
    <row r="411" spans="1:10" ht="15.75" hidden="1">
      <c r="A411" s="972" t="s">
        <v>2412</v>
      </c>
      <c r="B411" s="972" t="s">
        <v>1834</v>
      </c>
      <c r="C411" s="972" t="s">
        <v>2330</v>
      </c>
      <c r="D411" s="972">
        <v>4.26E-4</v>
      </c>
      <c r="E411" s="972">
        <v>-5.4580000000000002E-3</v>
      </c>
      <c r="F411" s="972">
        <v>7.9999999999999996E-6</v>
      </c>
      <c r="G411" s="972">
        <v>16751</v>
      </c>
      <c r="H411" s="972">
        <v>35.402999999999999</v>
      </c>
      <c r="I411" s="972">
        <v>14.2705</v>
      </c>
      <c r="J411" s="972">
        <v>86</v>
      </c>
    </row>
    <row r="412" spans="1:10" ht="15.75" hidden="1">
      <c r="A412" s="972" t="s">
        <v>2412</v>
      </c>
      <c r="B412" s="972" t="s">
        <v>1834</v>
      </c>
      <c r="C412" s="972" t="s">
        <v>2331</v>
      </c>
      <c r="D412" s="972">
        <v>5.31E-4</v>
      </c>
      <c r="E412" s="972">
        <v>-1.1640000000000001E-3</v>
      </c>
      <c r="F412" s="972">
        <v>-7.1000000000000005E-5</v>
      </c>
      <c r="G412" s="972">
        <v>16751</v>
      </c>
      <c r="H412" s="972">
        <v>35.402999999999999</v>
      </c>
      <c r="I412" s="972">
        <v>14.2705</v>
      </c>
      <c r="J412" s="972">
        <v>86</v>
      </c>
    </row>
    <row r="413" spans="1:10" ht="15.75" hidden="1">
      <c r="A413" s="972" t="s">
        <v>2412</v>
      </c>
      <c r="B413" s="972" t="s">
        <v>1834</v>
      </c>
      <c r="C413" s="972" t="s">
        <v>2332</v>
      </c>
      <c r="D413" s="972">
        <v>-5.3480000000000003E-3</v>
      </c>
      <c r="E413" s="972">
        <v>-4.3300000000000001E-4</v>
      </c>
      <c r="F413" s="972">
        <v>-6.2000000000000003E-5</v>
      </c>
      <c r="G413" s="972">
        <v>16751</v>
      </c>
      <c r="H413" s="972">
        <v>35.402999999999999</v>
      </c>
      <c r="I413" s="972">
        <v>14.2705</v>
      </c>
      <c r="J413" s="972">
        <v>86</v>
      </c>
    </row>
    <row r="414" spans="1:10" ht="15.75" hidden="1">
      <c r="A414" s="972" t="s">
        <v>2412</v>
      </c>
      <c r="B414" s="972" t="s">
        <v>1834</v>
      </c>
      <c r="C414" s="972" t="s">
        <v>2387</v>
      </c>
      <c r="D414" s="972">
        <v>1.22E-4</v>
      </c>
      <c r="E414" s="972">
        <v>2.9919999999999999E-3</v>
      </c>
      <c r="F414" s="972">
        <v>-3.8999999999999999E-5</v>
      </c>
      <c r="G414" s="972">
        <v>16751</v>
      </c>
      <c r="H414" s="972">
        <v>35.402999999999999</v>
      </c>
      <c r="I414" s="972">
        <v>14.2705</v>
      </c>
      <c r="J414" s="972">
        <v>86</v>
      </c>
    </row>
    <row r="415" spans="1:10" ht="15.75" hidden="1">
      <c r="A415" s="972" t="s">
        <v>2412</v>
      </c>
      <c r="B415" s="972" t="s">
        <v>1834</v>
      </c>
      <c r="C415" s="972" t="s">
        <v>2388</v>
      </c>
      <c r="D415" s="972">
        <v>-1.6720000000000001E-3</v>
      </c>
      <c r="E415" s="972">
        <v>-8.52E-4</v>
      </c>
      <c r="F415" s="972">
        <v>-1.63E-4</v>
      </c>
      <c r="G415" s="972">
        <v>16751</v>
      </c>
      <c r="H415" s="972">
        <v>35.402999999999999</v>
      </c>
      <c r="I415" s="972">
        <v>14.2705</v>
      </c>
      <c r="J415" s="972">
        <v>86</v>
      </c>
    </row>
    <row r="416" spans="1:10" ht="15.75" hidden="1">
      <c r="A416" s="972" t="s">
        <v>2412</v>
      </c>
      <c r="B416" s="972" t="s">
        <v>1834</v>
      </c>
      <c r="C416" s="972" t="s">
        <v>2389</v>
      </c>
      <c r="D416" s="972">
        <v>2.7499999999999998E-3</v>
      </c>
      <c r="E416" s="972">
        <v>-1.1000000000000001E-3</v>
      </c>
      <c r="F416" s="972">
        <v>-1.02E-4</v>
      </c>
      <c r="G416" s="972">
        <v>16751</v>
      </c>
      <c r="H416" s="972">
        <v>35.402999999999999</v>
      </c>
      <c r="I416" s="972">
        <v>14.2705</v>
      </c>
      <c r="J416" s="972">
        <v>86</v>
      </c>
    </row>
    <row r="417" spans="1:10" ht="15.75" hidden="1">
      <c r="A417" s="972" t="s">
        <v>2412</v>
      </c>
      <c r="B417" s="972" t="s">
        <v>1834</v>
      </c>
      <c r="C417" s="972" t="s">
        <v>2390</v>
      </c>
      <c r="D417" s="972">
        <v>-2.464E-3</v>
      </c>
      <c r="E417" s="972">
        <v>-2.72E-4</v>
      </c>
      <c r="F417" s="972">
        <v>1.3300000000000001E-4</v>
      </c>
      <c r="G417" s="972">
        <v>16751</v>
      </c>
      <c r="H417" s="972">
        <v>35.402999999999999</v>
      </c>
      <c r="I417" s="972">
        <v>14.2705</v>
      </c>
      <c r="J417" s="972">
        <v>86</v>
      </c>
    </row>
    <row r="418" spans="1:10" ht="15.75" hidden="1">
      <c r="A418" s="972" t="s">
        <v>2412</v>
      </c>
      <c r="B418" s="972" t="s">
        <v>1834</v>
      </c>
      <c r="C418" s="972" t="s">
        <v>2391</v>
      </c>
      <c r="D418" s="972">
        <v>1.456E-3</v>
      </c>
      <c r="E418" s="972">
        <v>-1.622E-3</v>
      </c>
      <c r="F418" s="972">
        <v>-5.1E-5</v>
      </c>
      <c r="G418" s="972">
        <v>16751</v>
      </c>
      <c r="H418" s="972">
        <v>35.402999999999999</v>
      </c>
      <c r="I418" s="972">
        <v>14.2705</v>
      </c>
      <c r="J418" s="972">
        <v>86</v>
      </c>
    </row>
    <row r="419" spans="1:10" ht="15.75" hidden="1">
      <c r="A419" s="972" t="s">
        <v>2412</v>
      </c>
      <c r="B419" s="972" t="s">
        <v>1834</v>
      </c>
      <c r="C419" s="972" t="s">
        <v>2392</v>
      </c>
      <c r="D419" s="972">
        <v>1.6689999999999999E-3</v>
      </c>
      <c r="E419" s="972">
        <v>2.0309999999999998E-3</v>
      </c>
      <c r="F419" s="972">
        <v>-5.1E-5</v>
      </c>
      <c r="G419" s="972">
        <v>16751</v>
      </c>
      <c r="H419" s="972">
        <v>35.402999999999999</v>
      </c>
      <c r="I419" s="972">
        <v>14.2705</v>
      </c>
      <c r="J419" s="972">
        <v>86</v>
      </c>
    </row>
    <row r="420" spans="1:10" ht="15.75" hidden="1">
      <c r="A420" s="972" t="s">
        <v>2412</v>
      </c>
      <c r="B420" s="972" t="s">
        <v>1834</v>
      </c>
      <c r="C420" s="972" t="s">
        <v>2393</v>
      </c>
      <c r="D420" s="972">
        <v>4.9200000000000003E-4</v>
      </c>
      <c r="E420" s="972">
        <v>-1.1100000000000001E-3</v>
      </c>
      <c r="F420" s="972">
        <v>-4.6999999999999997E-5</v>
      </c>
      <c r="G420" s="972">
        <v>16751</v>
      </c>
      <c r="H420" s="972">
        <v>35.402999999999999</v>
      </c>
      <c r="I420" s="972">
        <v>14.2705</v>
      </c>
      <c r="J420" s="972">
        <v>86</v>
      </c>
    </row>
    <row r="421" spans="1:10" ht="15.75" hidden="1">
      <c r="A421" s="972" t="s">
        <v>2412</v>
      </c>
      <c r="B421" s="972" t="s">
        <v>1834</v>
      </c>
      <c r="C421" s="972" t="s">
        <v>2394</v>
      </c>
      <c r="D421" s="972">
        <v>8.3699999999999996E-4</v>
      </c>
      <c r="E421" s="972">
        <v>2.026E-3</v>
      </c>
      <c r="F421" s="972">
        <v>-3.0000000000000001E-5</v>
      </c>
      <c r="G421" s="972">
        <v>16751</v>
      </c>
      <c r="H421" s="972">
        <v>35.402999999999999</v>
      </c>
      <c r="I421" s="972">
        <v>14.2705</v>
      </c>
      <c r="J421" s="972">
        <v>86</v>
      </c>
    </row>
    <row r="422" spans="1:10" ht="15.75" hidden="1">
      <c r="A422" s="972" t="s">
        <v>2412</v>
      </c>
      <c r="B422" s="972" t="s">
        <v>1834</v>
      </c>
      <c r="C422" s="972" t="s">
        <v>2395</v>
      </c>
      <c r="D422" s="972">
        <v>-2.3599999999999999E-4</v>
      </c>
      <c r="E422" s="972">
        <v>4.8299999999999998E-4</v>
      </c>
      <c r="F422" s="972">
        <v>4.8999999999999998E-5</v>
      </c>
      <c r="G422" s="972">
        <v>16751</v>
      </c>
      <c r="H422" s="972">
        <v>35.402999999999999</v>
      </c>
      <c r="I422" s="972">
        <v>14.2705</v>
      </c>
      <c r="J422" s="972">
        <v>86</v>
      </c>
    </row>
    <row r="423" spans="1:10" ht="15.75" hidden="1">
      <c r="A423" s="972" t="s">
        <v>2412</v>
      </c>
      <c r="B423" s="972" t="s">
        <v>1834</v>
      </c>
      <c r="C423" s="972" t="s">
        <v>2396</v>
      </c>
      <c r="D423" s="972">
        <v>-4.4700000000000002E-4</v>
      </c>
      <c r="E423" s="972">
        <v>-1.8060000000000001E-3</v>
      </c>
      <c r="F423" s="972">
        <v>1.8E-5</v>
      </c>
      <c r="G423" s="972">
        <v>16751</v>
      </c>
      <c r="H423" s="972">
        <v>35.402999999999999</v>
      </c>
      <c r="I423" s="972">
        <v>14.2705</v>
      </c>
      <c r="J423" s="972">
        <v>86</v>
      </c>
    </row>
    <row r="424" spans="1:10" ht="15.75" hidden="1">
      <c r="A424" s="972" t="s">
        <v>2413</v>
      </c>
      <c r="B424" s="972" t="s">
        <v>1834</v>
      </c>
      <c r="C424" s="972" t="s">
        <v>2297</v>
      </c>
      <c r="D424" s="972">
        <v>-8.2200000000000003E-4</v>
      </c>
      <c r="E424" s="972">
        <v>4.2500000000000003E-3</v>
      </c>
      <c r="F424" s="972">
        <v>3.8000000000000002E-5</v>
      </c>
      <c r="G424" s="972">
        <v>16752</v>
      </c>
      <c r="H424" s="972">
        <v>35.402999999999999</v>
      </c>
      <c r="I424" s="972">
        <v>14.2705</v>
      </c>
      <c r="J424" s="972">
        <v>82.6</v>
      </c>
    </row>
    <row r="425" spans="1:10" ht="15.75" hidden="1">
      <c r="A425" s="972" t="s">
        <v>2413</v>
      </c>
      <c r="B425" s="972" t="s">
        <v>1834</v>
      </c>
      <c r="C425" s="972" t="s">
        <v>2298</v>
      </c>
      <c r="D425" s="972">
        <v>-6.5200000000000002E-4</v>
      </c>
      <c r="E425" s="972">
        <v>-8.8599999999999996E-4</v>
      </c>
      <c r="F425" s="972">
        <v>2.2100000000000001E-4</v>
      </c>
      <c r="G425" s="972">
        <v>16752</v>
      </c>
      <c r="H425" s="972">
        <v>35.402999999999999</v>
      </c>
      <c r="I425" s="972">
        <v>14.2705</v>
      </c>
      <c r="J425" s="972">
        <v>82.6</v>
      </c>
    </row>
    <row r="426" spans="1:10" ht="15.75">
      <c r="A426" s="972" t="s">
        <v>2413</v>
      </c>
      <c r="B426" s="972" t="s">
        <v>1834</v>
      </c>
      <c r="C426" s="972" t="s">
        <v>2299</v>
      </c>
      <c r="D426" s="972">
        <v>4.398E-3</v>
      </c>
      <c r="E426" s="972">
        <v>7.3499999999999998E-4</v>
      </c>
      <c r="F426" s="972">
        <v>3.8000000000000002E-5</v>
      </c>
      <c r="G426" s="972">
        <v>16752</v>
      </c>
      <c r="H426" s="972">
        <v>35.402999999999999</v>
      </c>
      <c r="I426" s="972">
        <v>14.2705</v>
      </c>
      <c r="J426" s="972">
        <v>82.6</v>
      </c>
    </row>
    <row r="427" spans="1:10" ht="15.75" hidden="1">
      <c r="A427" s="972" t="s">
        <v>2413</v>
      </c>
      <c r="B427" s="972" t="s">
        <v>1834</v>
      </c>
      <c r="C427" s="972" t="s">
        <v>2300</v>
      </c>
      <c r="D427" s="972">
        <v>-3.6699999999999998E-4</v>
      </c>
      <c r="E427" s="972">
        <v>2.0999999999999999E-5</v>
      </c>
      <c r="F427" s="972">
        <v>9.8999999999999994E-5</v>
      </c>
      <c r="G427" s="972">
        <v>16752</v>
      </c>
      <c r="H427" s="972">
        <v>35.402999999999999</v>
      </c>
      <c r="I427" s="972">
        <v>14.2705</v>
      </c>
      <c r="J427" s="972">
        <v>82.6</v>
      </c>
    </row>
    <row r="428" spans="1:10" ht="15.75" hidden="1">
      <c r="A428" s="972" t="s">
        <v>2413</v>
      </c>
      <c r="B428" s="972" t="s">
        <v>1834</v>
      </c>
      <c r="C428" s="972" t="s">
        <v>2301</v>
      </c>
      <c r="D428" s="972">
        <v>4.0299999999999998E-4</v>
      </c>
      <c r="E428" s="972">
        <v>-2.9359999999999998E-3</v>
      </c>
      <c r="F428" s="972">
        <v>3.9999999999999998E-6</v>
      </c>
      <c r="G428" s="972">
        <v>16752</v>
      </c>
      <c r="H428" s="972">
        <v>35.402999999999999</v>
      </c>
      <c r="I428" s="972">
        <v>14.2705</v>
      </c>
      <c r="J428" s="972">
        <v>82.6</v>
      </c>
    </row>
    <row r="429" spans="1:10" ht="15.75" hidden="1">
      <c r="A429" s="972" t="s">
        <v>2413</v>
      </c>
      <c r="B429" s="972" t="s">
        <v>1834</v>
      </c>
      <c r="C429" s="972" t="s">
        <v>2302</v>
      </c>
      <c r="D429" s="972">
        <v>-2.6319999999999998E-3</v>
      </c>
      <c r="E429" s="972">
        <v>-2.8600000000000001E-4</v>
      </c>
      <c r="F429" s="972">
        <v>-1.0000000000000001E-5</v>
      </c>
      <c r="G429" s="972">
        <v>16752</v>
      </c>
      <c r="H429" s="972">
        <v>35.402999999999999</v>
      </c>
      <c r="I429" s="972">
        <v>14.2705</v>
      </c>
      <c r="J429" s="972">
        <v>82.6</v>
      </c>
    </row>
    <row r="430" spans="1:10" ht="15.75" hidden="1">
      <c r="A430" s="972" t="s">
        <v>2413</v>
      </c>
      <c r="B430" s="972" t="s">
        <v>1834</v>
      </c>
      <c r="C430" s="972" t="s">
        <v>2303</v>
      </c>
      <c r="D430" s="972">
        <v>-5.8600000000000004E-4</v>
      </c>
      <c r="E430" s="972">
        <v>-1.0000000000000001E-5</v>
      </c>
      <c r="F430" s="972">
        <v>2.6800000000000001E-4</v>
      </c>
      <c r="G430" s="972">
        <v>16752</v>
      </c>
      <c r="H430" s="972">
        <v>35.402999999999999</v>
      </c>
      <c r="I430" s="972">
        <v>14.2705</v>
      </c>
      <c r="J430" s="972">
        <v>82.6</v>
      </c>
    </row>
    <row r="431" spans="1:10" ht="15.75" hidden="1">
      <c r="A431" s="972" t="s">
        <v>2413</v>
      </c>
      <c r="B431" s="972" t="s">
        <v>1834</v>
      </c>
      <c r="C431" s="972" t="s">
        <v>2304</v>
      </c>
      <c r="D431" s="972">
        <v>-5.1099999999999995E-4</v>
      </c>
      <c r="E431" s="972">
        <v>5.287E-3</v>
      </c>
      <c r="F431" s="972">
        <v>-3.9999999999999998E-6</v>
      </c>
      <c r="G431" s="972">
        <v>16752</v>
      </c>
      <c r="H431" s="972">
        <v>35.402999999999999</v>
      </c>
      <c r="I431" s="972">
        <v>14.2705</v>
      </c>
      <c r="J431" s="972">
        <v>82.6</v>
      </c>
    </row>
    <row r="432" spans="1:10" ht="15.75" hidden="1">
      <c r="A432" s="972" t="s">
        <v>2413</v>
      </c>
      <c r="B432" s="972" t="s">
        <v>1834</v>
      </c>
      <c r="C432" s="972" t="s">
        <v>2305</v>
      </c>
      <c r="D432" s="972">
        <v>-6.7400000000000001E-4</v>
      </c>
      <c r="E432" s="972">
        <v>-3.0000000000000001E-5</v>
      </c>
      <c r="F432" s="972">
        <v>8.3999999999999995E-5</v>
      </c>
      <c r="G432" s="972">
        <v>16752</v>
      </c>
      <c r="H432" s="972">
        <v>35.402999999999999</v>
      </c>
      <c r="I432" s="972">
        <v>14.2705</v>
      </c>
      <c r="J432" s="972">
        <v>82.6</v>
      </c>
    </row>
    <row r="433" spans="1:10" ht="15.75" hidden="1">
      <c r="A433" s="972" t="s">
        <v>2413</v>
      </c>
      <c r="B433" s="972" t="s">
        <v>1834</v>
      </c>
      <c r="C433" s="972" t="s">
        <v>2306</v>
      </c>
      <c r="D433" s="972">
        <v>5.2509999999999996E-3</v>
      </c>
      <c r="E433" s="972">
        <v>5.31E-4</v>
      </c>
      <c r="F433" s="972">
        <v>3.8999999999999999E-5</v>
      </c>
      <c r="G433" s="972">
        <v>16752</v>
      </c>
      <c r="H433" s="972">
        <v>35.402999999999999</v>
      </c>
      <c r="I433" s="972">
        <v>14.2705</v>
      </c>
      <c r="J433" s="972">
        <v>82.6</v>
      </c>
    </row>
    <row r="434" spans="1:10" ht="15.75" hidden="1">
      <c r="A434" s="972" t="s">
        <v>2413</v>
      </c>
      <c r="B434" s="972" t="s">
        <v>1834</v>
      </c>
      <c r="C434" s="972" t="s">
        <v>2307</v>
      </c>
      <c r="D434" s="972">
        <v>-3.3700000000000001E-4</v>
      </c>
      <c r="E434" s="972">
        <v>4.3199999999999998E-4</v>
      </c>
      <c r="F434" s="972">
        <v>1.8799999999999999E-4</v>
      </c>
      <c r="G434" s="972">
        <v>16752</v>
      </c>
      <c r="H434" s="972">
        <v>35.402999999999999</v>
      </c>
      <c r="I434" s="972">
        <v>14.2705</v>
      </c>
      <c r="J434" s="972">
        <v>82.6</v>
      </c>
    </row>
    <row r="435" spans="1:10" ht="15.75" hidden="1">
      <c r="A435" s="972" t="s">
        <v>2413</v>
      </c>
      <c r="B435" s="972" t="s">
        <v>1834</v>
      </c>
      <c r="C435" s="972" t="s">
        <v>2308</v>
      </c>
      <c r="D435" s="972">
        <v>-1.7E-5</v>
      </c>
      <c r="E435" s="972">
        <v>-1.163E-3</v>
      </c>
      <c r="F435" s="972">
        <v>7.1000000000000005E-5</v>
      </c>
      <c r="G435" s="972">
        <v>16752</v>
      </c>
      <c r="H435" s="972">
        <v>35.402999999999999</v>
      </c>
      <c r="I435" s="972">
        <v>14.2705</v>
      </c>
      <c r="J435" s="972">
        <v>82.6</v>
      </c>
    </row>
    <row r="436" spans="1:10" ht="15.75" hidden="1">
      <c r="A436" s="972" t="s">
        <v>2413</v>
      </c>
      <c r="B436" s="972" t="s">
        <v>1834</v>
      </c>
      <c r="C436" s="972" t="s">
        <v>2309</v>
      </c>
      <c r="D436" s="972">
        <v>1.4450000000000001E-3</v>
      </c>
      <c r="E436" s="972">
        <v>1.5699999999999999E-4</v>
      </c>
      <c r="F436" s="972">
        <v>-3.0000000000000001E-6</v>
      </c>
      <c r="G436" s="972">
        <v>16752</v>
      </c>
      <c r="H436" s="972">
        <v>35.402999999999999</v>
      </c>
      <c r="I436" s="972">
        <v>14.2705</v>
      </c>
      <c r="J436" s="972">
        <v>82.6</v>
      </c>
    </row>
    <row r="437" spans="1:10" ht="15.75" hidden="1">
      <c r="A437" s="972" t="s">
        <v>2413</v>
      </c>
      <c r="B437" s="972" t="s">
        <v>1834</v>
      </c>
      <c r="C437" s="972" t="s">
        <v>2310</v>
      </c>
      <c r="D437" s="972">
        <v>4.5800000000000002E-4</v>
      </c>
      <c r="E437" s="972">
        <v>9.1000000000000003E-5</v>
      </c>
      <c r="F437" s="972">
        <v>-2.4399999999999999E-4</v>
      </c>
      <c r="G437" s="972">
        <v>16752</v>
      </c>
      <c r="H437" s="972">
        <v>35.402999999999999</v>
      </c>
      <c r="I437" s="972">
        <v>14.2705</v>
      </c>
      <c r="J437" s="972">
        <v>82.6</v>
      </c>
    </row>
    <row r="438" spans="1:10" ht="15.75" hidden="1">
      <c r="A438" s="972" t="s">
        <v>2413</v>
      </c>
      <c r="B438" s="972" t="s">
        <v>1834</v>
      </c>
      <c r="C438" s="972" t="s">
        <v>2311</v>
      </c>
      <c r="D438" s="972">
        <v>4.3899999999999999E-4</v>
      </c>
      <c r="E438" s="972">
        <v>-4.3779999999999999E-3</v>
      </c>
      <c r="F438" s="972">
        <v>-3.0000000000000001E-6</v>
      </c>
      <c r="G438" s="972">
        <v>16752</v>
      </c>
      <c r="H438" s="972">
        <v>35.402999999999999</v>
      </c>
      <c r="I438" s="972">
        <v>14.2705</v>
      </c>
      <c r="J438" s="972">
        <v>82.6</v>
      </c>
    </row>
    <row r="439" spans="1:10" ht="15.75" hidden="1">
      <c r="A439" s="972" t="s">
        <v>2413</v>
      </c>
      <c r="B439" s="972" t="s">
        <v>1834</v>
      </c>
      <c r="C439" s="972" t="s">
        <v>2328</v>
      </c>
      <c r="D439" s="972">
        <v>2.72E-4</v>
      </c>
      <c r="E439" s="972">
        <v>-1.5300000000000001E-4</v>
      </c>
      <c r="F439" s="972">
        <v>3.6000000000000001E-5</v>
      </c>
      <c r="G439" s="972">
        <v>16752</v>
      </c>
      <c r="H439" s="972">
        <v>35.402999999999999</v>
      </c>
      <c r="I439" s="972">
        <v>14.2705</v>
      </c>
      <c r="J439" s="972">
        <v>82.6</v>
      </c>
    </row>
    <row r="440" spans="1:10" ht="15.75" hidden="1">
      <c r="A440" s="972" t="s">
        <v>2413</v>
      </c>
      <c r="B440" s="972" t="s">
        <v>1834</v>
      </c>
      <c r="C440" s="972" t="s">
        <v>2329</v>
      </c>
      <c r="D440" s="972">
        <v>4.1590000000000004E-3</v>
      </c>
      <c r="E440" s="972">
        <v>3.7199999999999999E-4</v>
      </c>
      <c r="F440" s="972">
        <v>2.6999999999999999E-5</v>
      </c>
      <c r="G440" s="972">
        <v>16752</v>
      </c>
      <c r="H440" s="972">
        <v>35.402999999999999</v>
      </c>
      <c r="I440" s="972">
        <v>14.2705</v>
      </c>
      <c r="J440" s="972">
        <v>82.6</v>
      </c>
    </row>
    <row r="441" spans="1:10" ht="15.75" hidden="1">
      <c r="A441" s="972" t="s">
        <v>2413</v>
      </c>
      <c r="B441" s="972" t="s">
        <v>1834</v>
      </c>
      <c r="C441" s="972" t="s">
        <v>2330</v>
      </c>
      <c r="D441" s="972">
        <v>3.1799999999999998E-4</v>
      </c>
      <c r="E441" s="972">
        <v>-4.9659999999999999E-3</v>
      </c>
      <c r="F441" s="972">
        <v>3.1000000000000001E-5</v>
      </c>
      <c r="G441" s="972">
        <v>16752</v>
      </c>
      <c r="H441" s="972">
        <v>35.402999999999999</v>
      </c>
      <c r="I441" s="972">
        <v>14.2705</v>
      </c>
      <c r="J441" s="972">
        <v>82.6</v>
      </c>
    </row>
    <row r="442" spans="1:10" ht="15.75" hidden="1">
      <c r="A442" s="972" t="s">
        <v>2413</v>
      </c>
      <c r="B442" s="972" t="s">
        <v>1834</v>
      </c>
      <c r="C442" s="972" t="s">
        <v>2331</v>
      </c>
      <c r="D442" s="972">
        <v>6.9700000000000003E-4</v>
      </c>
      <c r="E442" s="972">
        <v>-9.7400000000000004E-4</v>
      </c>
      <c r="F442" s="972">
        <v>-1.8699999999999999E-4</v>
      </c>
      <c r="G442" s="972">
        <v>16752</v>
      </c>
      <c r="H442" s="972">
        <v>35.402999999999999</v>
      </c>
      <c r="I442" s="972">
        <v>14.2705</v>
      </c>
      <c r="J442" s="972">
        <v>82.6</v>
      </c>
    </row>
    <row r="443" spans="1:10" ht="15.75" hidden="1">
      <c r="A443" s="972" t="s">
        <v>2413</v>
      </c>
      <c r="B443" s="972" t="s">
        <v>1834</v>
      </c>
      <c r="C443" s="972" t="s">
        <v>2332</v>
      </c>
      <c r="D443" s="972">
        <v>-4.9519999999999998E-3</v>
      </c>
      <c r="E443" s="972">
        <v>-4.6000000000000001E-4</v>
      </c>
      <c r="F443" s="972">
        <v>-6.7999999999999999E-5</v>
      </c>
      <c r="G443" s="972">
        <v>16752</v>
      </c>
      <c r="H443" s="972">
        <v>35.402999999999999</v>
      </c>
      <c r="I443" s="972">
        <v>14.2705</v>
      </c>
      <c r="J443" s="972">
        <v>82.6</v>
      </c>
    </row>
    <row r="444" spans="1:10" ht="15.75" hidden="1">
      <c r="A444" s="972" t="s">
        <v>2413</v>
      </c>
      <c r="B444" s="972" t="s">
        <v>1834</v>
      </c>
      <c r="C444" s="972" t="s">
        <v>2387</v>
      </c>
      <c r="D444" s="972">
        <v>4.2999999999999999E-4</v>
      </c>
      <c r="E444" s="972">
        <v>4.2200000000000001E-4</v>
      </c>
      <c r="F444" s="972">
        <v>-4.5000000000000003E-5</v>
      </c>
      <c r="G444" s="972">
        <v>16752</v>
      </c>
      <c r="H444" s="972">
        <v>35.402999999999999</v>
      </c>
      <c r="I444" s="972">
        <v>14.2705</v>
      </c>
      <c r="J444" s="972">
        <v>82.6</v>
      </c>
    </row>
    <row r="445" spans="1:10" ht="15.75" hidden="1">
      <c r="A445" s="972" t="s">
        <v>2413</v>
      </c>
      <c r="B445" s="972" t="s">
        <v>1834</v>
      </c>
      <c r="C445" s="972" t="s">
        <v>2388</v>
      </c>
      <c r="D445" s="972">
        <v>7.54E-4</v>
      </c>
      <c r="E445" s="972">
        <v>-8.6799999999999996E-4</v>
      </c>
      <c r="F445" s="972">
        <v>-1.2799999999999999E-4</v>
      </c>
      <c r="G445" s="972">
        <v>16752</v>
      </c>
      <c r="H445" s="972">
        <v>35.402999999999999</v>
      </c>
      <c r="I445" s="972">
        <v>14.2705</v>
      </c>
      <c r="J445" s="972">
        <v>82.6</v>
      </c>
    </row>
    <row r="446" spans="1:10" ht="15.75" hidden="1">
      <c r="A446" s="972" t="s">
        <v>2413</v>
      </c>
      <c r="B446" s="972" t="s">
        <v>1834</v>
      </c>
      <c r="C446" s="972" t="s">
        <v>2389</v>
      </c>
      <c r="D446" s="972">
        <v>2.4680000000000001E-3</v>
      </c>
      <c r="E446" s="972">
        <v>-2.862E-3</v>
      </c>
      <c r="F446" s="972">
        <v>-9.1000000000000003E-5</v>
      </c>
      <c r="G446" s="972">
        <v>16752</v>
      </c>
      <c r="H446" s="972">
        <v>35.402999999999999</v>
      </c>
      <c r="I446" s="972">
        <v>14.2705</v>
      </c>
      <c r="J446" s="972">
        <v>82.6</v>
      </c>
    </row>
    <row r="447" spans="1:10" ht="15.75" hidden="1">
      <c r="A447" s="972" t="s">
        <v>2413</v>
      </c>
      <c r="B447" s="972" t="s">
        <v>1834</v>
      </c>
      <c r="C447" s="972" t="s">
        <v>2390</v>
      </c>
      <c r="D447" s="972">
        <v>-3.284E-3</v>
      </c>
      <c r="E447" s="972">
        <v>-1.9480000000000001E-3</v>
      </c>
      <c r="F447" s="972">
        <v>9.1000000000000003E-5</v>
      </c>
      <c r="G447" s="972">
        <v>16752</v>
      </c>
      <c r="H447" s="972">
        <v>35.402999999999999</v>
      </c>
      <c r="I447" s="972">
        <v>14.2705</v>
      </c>
      <c r="J447" s="972">
        <v>82.6</v>
      </c>
    </row>
    <row r="448" spans="1:10" ht="15.75" hidden="1">
      <c r="A448" s="972" t="s">
        <v>2413</v>
      </c>
      <c r="B448" s="972" t="s">
        <v>1834</v>
      </c>
      <c r="C448" s="972" t="s">
        <v>2391</v>
      </c>
      <c r="D448" s="972">
        <v>1.03E-4</v>
      </c>
      <c r="E448" s="972">
        <v>-2.062E-3</v>
      </c>
      <c r="F448" s="972">
        <v>-5.1999999999999997E-5</v>
      </c>
      <c r="G448" s="972">
        <v>16752</v>
      </c>
      <c r="H448" s="972">
        <v>35.402999999999999</v>
      </c>
      <c r="I448" s="972">
        <v>14.2705</v>
      </c>
      <c r="J448" s="972">
        <v>82.6</v>
      </c>
    </row>
    <row r="449" spans="1:10" ht="15.75" hidden="1">
      <c r="A449" s="972" t="s">
        <v>2413</v>
      </c>
      <c r="B449" s="972" t="s">
        <v>1834</v>
      </c>
      <c r="C449" s="972" t="s">
        <v>2392</v>
      </c>
      <c r="D449" s="972">
        <v>1.3140000000000001E-3</v>
      </c>
      <c r="E449" s="972">
        <v>3.0500000000000002E-3</v>
      </c>
      <c r="F449" s="972">
        <v>-2.9E-5</v>
      </c>
      <c r="G449" s="972">
        <v>16752</v>
      </c>
      <c r="H449" s="972">
        <v>35.402999999999999</v>
      </c>
      <c r="I449" s="972">
        <v>14.2705</v>
      </c>
      <c r="J449" s="972">
        <v>82.6</v>
      </c>
    </row>
    <row r="450" spans="1:10" ht="15.75" hidden="1">
      <c r="A450" s="972" t="s">
        <v>2413</v>
      </c>
      <c r="B450" s="972" t="s">
        <v>1834</v>
      </c>
      <c r="C450" s="972" t="s">
        <v>2393</v>
      </c>
      <c r="D450" s="972">
        <v>-6.4499999999999996E-4</v>
      </c>
      <c r="E450" s="972">
        <v>-9.8200000000000002E-4</v>
      </c>
      <c r="F450" s="972">
        <v>-4.8000000000000001E-5</v>
      </c>
      <c r="G450" s="972">
        <v>16752</v>
      </c>
      <c r="H450" s="972">
        <v>35.402999999999999</v>
      </c>
      <c r="I450" s="972">
        <v>14.2705</v>
      </c>
      <c r="J450" s="972">
        <v>82.6</v>
      </c>
    </row>
    <row r="451" spans="1:10" ht="15.75" hidden="1">
      <c r="A451" s="972" t="s">
        <v>2413</v>
      </c>
      <c r="B451" s="972" t="s">
        <v>1834</v>
      </c>
      <c r="C451" s="972" t="s">
        <v>2394</v>
      </c>
      <c r="D451" s="972">
        <v>3.8299999999999999E-4</v>
      </c>
      <c r="E451" s="972">
        <v>2.3479999999999998E-3</v>
      </c>
      <c r="F451" s="972">
        <v>-1.5999999999999999E-5</v>
      </c>
      <c r="G451" s="972">
        <v>16752</v>
      </c>
      <c r="H451" s="972">
        <v>35.402999999999999</v>
      </c>
      <c r="I451" s="972">
        <v>14.2705</v>
      </c>
      <c r="J451" s="972">
        <v>82.6</v>
      </c>
    </row>
    <row r="452" spans="1:10" ht="15.75" hidden="1">
      <c r="A452" s="972" t="s">
        <v>2413</v>
      </c>
      <c r="B452" s="972" t="s">
        <v>1834</v>
      </c>
      <c r="C452" s="972" t="s">
        <v>2395</v>
      </c>
      <c r="D452" s="972">
        <v>6.8800000000000003E-4</v>
      </c>
      <c r="E452" s="972">
        <v>2.24E-4</v>
      </c>
      <c r="F452" s="972">
        <v>4.8000000000000001E-5</v>
      </c>
      <c r="G452" s="972">
        <v>16752</v>
      </c>
      <c r="H452" s="972">
        <v>35.402999999999999</v>
      </c>
      <c r="I452" s="972">
        <v>14.2705</v>
      </c>
      <c r="J452" s="972">
        <v>82.6</v>
      </c>
    </row>
    <row r="453" spans="1:10" ht="15.75" hidden="1">
      <c r="A453" s="972" t="s">
        <v>2413</v>
      </c>
      <c r="B453" s="972" t="s">
        <v>1834</v>
      </c>
      <c r="C453" s="972" t="s">
        <v>2396</v>
      </c>
      <c r="D453" s="972">
        <v>-2.0000000000000001E-4</v>
      </c>
      <c r="E453" s="972">
        <v>-1.8389999999999999E-3</v>
      </c>
      <c r="F453" s="972">
        <v>6.0000000000000002E-6</v>
      </c>
      <c r="G453" s="972">
        <v>16752</v>
      </c>
      <c r="H453" s="972">
        <v>35.402999999999999</v>
      </c>
      <c r="I453" s="972">
        <v>14.2705</v>
      </c>
      <c r="J453" s="972">
        <v>82.6</v>
      </c>
    </row>
    <row r="454" spans="1:10" ht="15.75" hidden="1">
      <c r="A454" s="972" t="s">
        <v>2414</v>
      </c>
      <c r="B454" s="972" t="s">
        <v>1834</v>
      </c>
      <c r="C454" s="972" t="s">
        <v>2297</v>
      </c>
      <c r="D454" s="972">
        <v>-7.7999999999999999E-4</v>
      </c>
      <c r="E454" s="972">
        <v>4.0390000000000001E-3</v>
      </c>
      <c r="F454" s="972">
        <v>3.6999999999999998E-5</v>
      </c>
      <c r="G454" s="972">
        <v>16753</v>
      </c>
      <c r="H454" s="972">
        <v>35.402999999999999</v>
      </c>
      <c r="I454" s="972">
        <v>14.2705</v>
      </c>
      <c r="J454" s="972">
        <v>79.2</v>
      </c>
    </row>
    <row r="455" spans="1:10" ht="15.75" hidden="1">
      <c r="A455" s="972" t="s">
        <v>2414</v>
      </c>
      <c r="B455" s="972" t="s">
        <v>1834</v>
      </c>
      <c r="C455" s="972" t="s">
        <v>2298</v>
      </c>
      <c r="D455" s="972">
        <v>-6.2699999999999995E-4</v>
      </c>
      <c r="E455" s="972">
        <v>-8.43E-4</v>
      </c>
      <c r="F455" s="972">
        <v>2.13E-4</v>
      </c>
      <c r="G455" s="972">
        <v>16753</v>
      </c>
      <c r="H455" s="972">
        <v>35.402999999999999</v>
      </c>
      <c r="I455" s="972">
        <v>14.2705</v>
      </c>
      <c r="J455" s="972">
        <v>79.2</v>
      </c>
    </row>
    <row r="456" spans="1:10" ht="15.75">
      <c r="A456" s="972" t="s">
        <v>2414</v>
      </c>
      <c r="B456" s="972" t="s">
        <v>1834</v>
      </c>
      <c r="C456" s="972" t="s">
        <v>2299</v>
      </c>
      <c r="D456" s="972">
        <v>4.2030000000000001E-3</v>
      </c>
      <c r="E456" s="972">
        <v>7.0699999999999995E-4</v>
      </c>
      <c r="F456" s="972">
        <v>3.6999999999999998E-5</v>
      </c>
      <c r="G456" s="972">
        <v>16753</v>
      </c>
      <c r="H456" s="972">
        <v>35.402999999999999</v>
      </c>
      <c r="I456" s="972">
        <v>14.2705</v>
      </c>
      <c r="J456" s="972">
        <v>79.2</v>
      </c>
    </row>
    <row r="457" spans="1:10" ht="15.75" hidden="1">
      <c r="A457" s="972" t="s">
        <v>2414</v>
      </c>
      <c r="B457" s="972" t="s">
        <v>1834</v>
      </c>
      <c r="C457" s="972" t="s">
        <v>2300</v>
      </c>
      <c r="D457" s="972">
        <v>-4.5399999999999998E-4</v>
      </c>
      <c r="E457" s="972">
        <v>2.3E-5</v>
      </c>
      <c r="F457" s="972">
        <v>1.2999999999999999E-4</v>
      </c>
      <c r="G457" s="972">
        <v>16753</v>
      </c>
      <c r="H457" s="972">
        <v>35.402999999999999</v>
      </c>
      <c r="I457" s="972">
        <v>14.2705</v>
      </c>
      <c r="J457" s="972">
        <v>79.2</v>
      </c>
    </row>
    <row r="458" spans="1:10" ht="15.75" hidden="1">
      <c r="A458" s="972" t="s">
        <v>2414</v>
      </c>
      <c r="B458" s="972" t="s">
        <v>1834</v>
      </c>
      <c r="C458" s="972" t="s">
        <v>2301</v>
      </c>
      <c r="D458" s="972">
        <v>4.6900000000000002E-4</v>
      </c>
      <c r="E458" s="972">
        <v>-3.5040000000000002E-3</v>
      </c>
      <c r="F458" s="972">
        <v>3.9999999999999998E-6</v>
      </c>
      <c r="G458" s="972">
        <v>16753</v>
      </c>
      <c r="H458" s="972">
        <v>35.402999999999999</v>
      </c>
      <c r="I458" s="972">
        <v>14.2705</v>
      </c>
      <c r="J458" s="972">
        <v>79.2</v>
      </c>
    </row>
    <row r="459" spans="1:10" ht="15.75" hidden="1">
      <c r="A459" s="972" t="s">
        <v>2414</v>
      </c>
      <c r="B459" s="972" t="s">
        <v>1834</v>
      </c>
      <c r="C459" s="972" t="s">
        <v>2302</v>
      </c>
      <c r="D459" s="972">
        <v>-3.2160000000000001E-3</v>
      </c>
      <c r="E459" s="972">
        <v>-3.6299999999999999E-4</v>
      </c>
      <c r="F459" s="972">
        <v>-1.4E-5</v>
      </c>
      <c r="G459" s="972">
        <v>16753</v>
      </c>
      <c r="H459" s="972">
        <v>35.402999999999999</v>
      </c>
      <c r="I459" s="972">
        <v>14.2705</v>
      </c>
      <c r="J459" s="972">
        <v>79.2</v>
      </c>
    </row>
    <row r="460" spans="1:10" ht="15.75" hidden="1">
      <c r="A460" s="972" t="s">
        <v>2414</v>
      </c>
      <c r="B460" s="972" t="s">
        <v>1834</v>
      </c>
      <c r="C460" s="972" t="s">
        <v>2303</v>
      </c>
      <c r="D460" s="972">
        <v>-5.4799999999999998E-4</v>
      </c>
      <c r="E460" s="972">
        <v>-6.9999999999999999E-6</v>
      </c>
      <c r="F460" s="972">
        <v>2.61E-4</v>
      </c>
      <c r="G460" s="972">
        <v>16753</v>
      </c>
      <c r="H460" s="972">
        <v>35.402999999999999</v>
      </c>
      <c r="I460" s="972">
        <v>14.2705</v>
      </c>
      <c r="J460" s="972">
        <v>79.2</v>
      </c>
    </row>
    <row r="461" spans="1:10" ht="15.75" hidden="1">
      <c r="A461" s="972" t="s">
        <v>2414</v>
      </c>
      <c r="B461" s="972" t="s">
        <v>1834</v>
      </c>
      <c r="C461" s="972" t="s">
        <v>2304</v>
      </c>
      <c r="D461" s="972">
        <v>-4.7800000000000002E-4</v>
      </c>
      <c r="E461" s="972">
        <v>4.9979999999999998E-3</v>
      </c>
      <c r="F461" s="972">
        <v>-3.9999999999999998E-6</v>
      </c>
      <c r="G461" s="972">
        <v>16753</v>
      </c>
      <c r="H461" s="972">
        <v>35.402999999999999</v>
      </c>
      <c r="I461" s="972">
        <v>14.2705</v>
      </c>
      <c r="J461" s="972">
        <v>79.2</v>
      </c>
    </row>
    <row r="462" spans="1:10" ht="15.75" hidden="1">
      <c r="A462" s="972" t="s">
        <v>2414</v>
      </c>
      <c r="B462" s="972" t="s">
        <v>1834</v>
      </c>
      <c r="C462" s="972" t="s">
        <v>2305</v>
      </c>
      <c r="D462" s="972">
        <v>-4.9299999999999995E-4</v>
      </c>
      <c r="E462" s="972">
        <v>-2.5000000000000001E-5</v>
      </c>
      <c r="F462" s="972">
        <v>1.1E-5</v>
      </c>
      <c r="G462" s="972">
        <v>16753</v>
      </c>
      <c r="H462" s="972">
        <v>35.402999999999999</v>
      </c>
      <c r="I462" s="972">
        <v>14.2705</v>
      </c>
      <c r="J462" s="972">
        <v>79.2</v>
      </c>
    </row>
    <row r="463" spans="1:10" ht="15.75" hidden="1">
      <c r="A463" s="972" t="s">
        <v>2414</v>
      </c>
      <c r="B463" s="972" t="s">
        <v>1834</v>
      </c>
      <c r="C463" s="972" t="s">
        <v>2306</v>
      </c>
      <c r="D463" s="972">
        <v>5.0210000000000003E-3</v>
      </c>
      <c r="E463" s="972">
        <v>5.1199999999999998E-4</v>
      </c>
      <c r="F463" s="972">
        <v>3.0000000000000001E-5</v>
      </c>
      <c r="G463" s="972">
        <v>16753</v>
      </c>
      <c r="H463" s="972">
        <v>35.402999999999999</v>
      </c>
      <c r="I463" s="972">
        <v>14.2705</v>
      </c>
      <c r="J463" s="972">
        <v>79.2</v>
      </c>
    </row>
    <row r="464" spans="1:10" ht="15.75" hidden="1">
      <c r="A464" s="972" t="s">
        <v>2414</v>
      </c>
      <c r="B464" s="972" t="s">
        <v>1834</v>
      </c>
      <c r="C464" s="972" t="s">
        <v>2307</v>
      </c>
      <c r="D464" s="972">
        <v>-4.1100000000000002E-4</v>
      </c>
      <c r="E464" s="972">
        <v>-1E-4</v>
      </c>
      <c r="F464" s="972">
        <v>2.3499999999999999E-4</v>
      </c>
      <c r="G464" s="972">
        <v>16753</v>
      </c>
      <c r="H464" s="972">
        <v>35.402999999999999</v>
      </c>
      <c r="I464" s="972">
        <v>14.2705</v>
      </c>
      <c r="J464" s="972">
        <v>79.2</v>
      </c>
    </row>
    <row r="465" spans="1:10" ht="15.75" hidden="1">
      <c r="A465" s="972" t="s">
        <v>2414</v>
      </c>
      <c r="B465" s="972" t="s">
        <v>1834</v>
      </c>
      <c r="C465" s="972" t="s">
        <v>2308</v>
      </c>
      <c r="D465" s="972">
        <v>-2.0100000000000001E-4</v>
      </c>
      <c r="E465" s="972">
        <v>2.5700000000000001E-4</v>
      </c>
      <c r="F465" s="972">
        <v>8.7999999999999998E-5</v>
      </c>
      <c r="G465" s="972">
        <v>16753</v>
      </c>
      <c r="H465" s="972">
        <v>35.402999999999999</v>
      </c>
      <c r="I465" s="972">
        <v>14.2705</v>
      </c>
      <c r="J465" s="972">
        <v>79.2</v>
      </c>
    </row>
    <row r="466" spans="1:10" ht="15.75" hidden="1">
      <c r="A466" s="972" t="s">
        <v>2414</v>
      </c>
      <c r="B466" s="972" t="s">
        <v>1834</v>
      </c>
      <c r="C466" s="972" t="s">
        <v>2309</v>
      </c>
      <c r="D466" s="972">
        <v>-4.5000000000000003E-5</v>
      </c>
      <c r="E466" s="972">
        <v>1.5999999999999999E-5</v>
      </c>
      <c r="F466" s="972">
        <v>-1.2999999999999999E-5</v>
      </c>
      <c r="G466" s="972">
        <v>16753</v>
      </c>
      <c r="H466" s="972">
        <v>35.402999999999999</v>
      </c>
      <c r="I466" s="972">
        <v>14.2705</v>
      </c>
      <c r="J466" s="972">
        <v>79.2</v>
      </c>
    </row>
    <row r="467" spans="1:10" ht="15.75" hidden="1">
      <c r="A467" s="972" t="s">
        <v>2414</v>
      </c>
      <c r="B467" s="972" t="s">
        <v>1834</v>
      </c>
      <c r="C467" s="972" t="s">
        <v>2310</v>
      </c>
      <c r="D467" s="972">
        <v>4.08E-4</v>
      </c>
      <c r="E467" s="972">
        <v>1.16E-4</v>
      </c>
      <c r="F467" s="972">
        <v>-1.7899999999999999E-4</v>
      </c>
      <c r="G467" s="972">
        <v>16753</v>
      </c>
      <c r="H467" s="972">
        <v>35.402999999999999</v>
      </c>
      <c r="I467" s="972">
        <v>14.2705</v>
      </c>
      <c r="J467" s="972">
        <v>79.2</v>
      </c>
    </row>
    <row r="468" spans="1:10" ht="15.75" hidden="1">
      <c r="A468" s="972" t="s">
        <v>2414</v>
      </c>
      <c r="B468" s="972" t="s">
        <v>1834</v>
      </c>
      <c r="C468" s="972" t="s">
        <v>2311</v>
      </c>
      <c r="D468" s="972">
        <v>5.1699999999999999E-4</v>
      </c>
      <c r="E468" s="972">
        <v>-5.3160000000000004E-3</v>
      </c>
      <c r="F468" s="972">
        <v>9.9999999999999995E-7</v>
      </c>
      <c r="G468" s="972">
        <v>16753</v>
      </c>
      <c r="H468" s="972">
        <v>35.402999999999999</v>
      </c>
      <c r="I468" s="972">
        <v>14.2705</v>
      </c>
      <c r="J468" s="972">
        <v>79.2</v>
      </c>
    </row>
    <row r="469" spans="1:10" ht="15.75" hidden="1">
      <c r="A469" s="972" t="s">
        <v>2414</v>
      </c>
      <c r="B469" s="972" t="s">
        <v>1834</v>
      </c>
      <c r="C469" s="972" t="s">
        <v>2328</v>
      </c>
      <c r="D469" s="972">
        <v>5.8100000000000003E-4</v>
      </c>
      <c r="E469" s="972">
        <v>-1.35E-4</v>
      </c>
      <c r="F469" s="972">
        <v>-8.8999999999999995E-5</v>
      </c>
      <c r="G469" s="972">
        <v>16753</v>
      </c>
      <c r="H469" s="972">
        <v>35.402999999999999</v>
      </c>
      <c r="I469" s="972">
        <v>14.2705</v>
      </c>
      <c r="J469" s="972">
        <v>79.2</v>
      </c>
    </row>
    <row r="470" spans="1:10" ht="15.75" hidden="1">
      <c r="A470" s="972" t="s">
        <v>2414</v>
      </c>
      <c r="B470" s="972" t="s">
        <v>1834</v>
      </c>
      <c r="C470" s="972" t="s">
        <v>2329</v>
      </c>
      <c r="D470" s="972">
        <v>5.1260000000000003E-3</v>
      </c>
      <c r="E470" s="972">
        <v>4.7399999999999997E-4</v>
      </c>
      <c r="F470" s="972">
        <v>4.6E-5</v>
      </c>
      <c r="G470" s="972">
        <v>16753</v>
      </c>
      <c r="H470" s="972">
        <v>35.402999999999999</v>
      </c>
      <c r="I470" s="972">
        <v>14.2705</v>
      </c>
      <c r="J470" s="972">
        <v>79.2</v>
      </c>
    </row>
    <row r="471" spans="1:10" ht="15.75" hidden="1">
      <c r="A471" s="972" t="s">
        <v>2414</v>
      </c>
      <c r="B471" s="972" t="s">
        <v>1834</v>
      </c>
      <c r="C471" s="972" t="s">
        <v>2330</v>
      </c>
      <c r="D471" s="972">
        <v>1.5200000000000001E-4</v>
      </c>
      <c r="E471" s="972">
        <v>-3.5769999999999999E-3</v>
      </c>
      <c r="F471" s="972">
        <v>4.5000000000000003E-5</v>
      </c>
      <c r="G471" s="972">
        <v>16753</v>
      </c>
      <c r="H471" s="972">
        <v>35.402999999999999</v>
      </c>
      <c r="I471" s="972">
        <v>14.2705</v>
      </c>
      <c r="J471" s="972">
        <v>79.2</v>
      </c>
    </row>
    <row r="472" spans="1:10" ht="15.75" hidden="1">
      <c r="A472" s="972" t="s">
        <v>2414</v>
      </c>
      <c r="B472" s="972" t="s">
        <v>1834</v>
      </c>
      <c r="C472" s="972" t="s">
        <v>2331</v>
      </c>
      <c r="D472" s="972">
        <v>7.3399999999999995E-4</v>
      </c>
      <c r="E472" s="972">
        <v>-5.8E-4</v>
      </c>
      <c r="F472" s="972">
        <v>-2.42E-4</v>
      </c>
      <c r="G472" s="972">
        <v>16753</v>
      </c>
      <c r="H472" s="972">
        <v>35.402999999999999</v>
      </c>
      <c r="I472" s="972">
        <v>14.2705</v>
      </c>
      <c r="J472" s="972">
        <v>79.2</v>
      </c>
    </row>
    <row r="473" spans="1:10" ht="15.75" hidden="1">
      <c r="A473" s="972" t="s">
        <v>2414</v>
      </c>
      <c r="B473" s="972" t="s">
        <v>1834</v>
      </c>
      <c r="C473" s="972" t="s">
        <v>2332</v>
      </c>
      <c r="D473" s="972">
        <v>-3.679E-3</v>
      </c>
      <c r="E473" s="972">
        <v>-4.0099999999999999E-4</v>
      </c>
      <c r="F473" s="972">
        <v>-5.1999999999999997E-5</v>
      </c>
      <c r="G473" s="972">
        <v>16753</v>
      </c>
      <c r="H473" s="972">
        <v>35.402999999999999</v>
      </c>
      <c r="I473" s="972">
        <v>14.2705</v>
      </c>
      <c r="J473" s="972">
        <v>79.2</v>
      </c>
    </row>
    <row r="474" spans="1:10" ht="15.75" hidden="1">
      <c r="A474" s="972" t="s">
        <v>2414</v>
      </c>
      <c r="B474" s="972" t="s">
        <v>1834</v>
      </c>
      <c r="C474" s="972" t="s">
        <v>2387</v>
      </c>
      <c r="D474" s="972">
        <v>6.3400000000000001E-4</v>
      </c>
      <c r="E474" s="972">
        <v>-2.2569999999999999E-3</v>
      </c>
      <c r="F474" s="972">
        <v>-3.4E-5</v>
      </c>
      <c r="G474" s="972">
        <v>16753</v>
      </c>
      <c r="H474" s="972">
        <v>35.402999999999999</v>
      </c>
      <c r="I474" s="972">
        <v>14.2705</v>
      </c>
      <c r="J474" s="972">
        <v>79.2</v>
      </c>
    </row>
    <row r="475" spans="1:10" ht="15.75" hidden="1">
      <c r="A475" s="972" t="s">
        <v>2414</v>
      </c>
      <c r="B475" s="972" t="s">
        <v>1834</v>
      </c>
      <c r="C475" s="972" t="s">
        <v>2388</v>
      </c>
      <c r="D475" s="972">
        <v>2.9199999999999999E-3</v>
      </c>
      <c r="E475" s="972">
        <v>-5.9699999999999998E-4</v>
      </c>
      <c r="F475" s="972">
        <v>-4.1E-5</v>
      </c>
      <c r="G475" s="972">
        <v>16753</v>
      </c>
      <c r="H475" s="972">
        <v>35.402999999999999</v>
      </c>
      <c r="I475" s="972">
        <v>14.2705</v>
      </c>
      <c r="J475" s="972">
        <v>79.2</v>
      </c>
    </row>
    <row r="476" spans="1:10" ht="15.75" hidden="1">
      <c r="A476" s="972" t="s">
        <v>2414</v>
      </c>
      <c r="B476" s="972" t="s">
        <v>1834</v>
      </c>
      <c r="C476" s="972" t="s">
        <v>2389</v>
      </c>
      <c r="D476" s="972">
        <v>1.4419999999999999E-3</v>
      </c>
      <c r="E476" s="972">
        <v>-3.725E-3</v>
      </c>
      <c r="F476" s="972">
        <v>-4.3000000000000002E-5</v>
      </c>
      <c r="G476" s="972">
        <v>16753</v>
      </c>
      <c r="H476" s="972">
        <v>35.402999999999999</v>
      </c>
      <c r="I476" s="972">
        <v>14.2705</v>
      </c>
      <c r="J476" s="972">
        <v>79.2</v>
      </c>
    </row>
    <row r="477" spans="1:10" ht="15.75" hidden="1">
      <c r="A477" s="972" t="s">
        <v>2414</v>
      </c>
      <c r="B477" s="972" t="s">
        <v>1834</v>
      </c>
      <c r="C477" s="972" t="s">
        <v>2390</v>
      </c>
      <c r="D477" s="972">
        <v>-3.0860000000000002E-3</v>
      </c>
      <c r="E477" s="972">
        <v>-3.088E-3</v>
      </c>
      <c r="F477" s="972">
        <v>1.2E-5</v>
      </c>
      <c r="G477" s="972">
        <v>16753</v>
      </c>
      <c r="H477" s="972">
        <v>35.402999999999999</v>
      </c>
      <c r="I477" s="972">
        <v>14.2705</v>
      </c>
      <c r="J477" s="972">
        <v>79.2</v>
      </c>
    </row>
    <row r="478" spans="1:10" ht="15.75" hidden="1">
      <c r="A478" s="972" t="s">
        <v>2414</v>
      </c>
      <c r="B478" s="972" t="s">
        <v>1834</v>
      </c>
      <c r="C478" s="972" t="s">
        <v>2391</v>
      </c>
      <c r="D478" s="972">
        <v>-1.405E-3</v>
      </c>
      <c r="E478" s="972">
        <v>-1.717E-3</v>
      </c>
      <c r="F478" s="972">
        <v>-3.4E-5</v>
      </c>
      <c r="G478" s="972">
        <v>16753</v>
      </c>
      <c r="H478" s="972">
        <v>35.402999999999999</v>
      </c>
      <c r="I478" s="972">
        <v>14.2705</v>
      </c>
      <c r="J478" s="972">
        <v>79.2</v>
      </c>
    </row>
    <row r="479" spans="1:10" ht="15.75" hidden="1">
      <c r="A479" s="972" t="s">
        <v>2414</v>
      </c>
      <c r="B479" s="972" t="s">
        <v>1834</v>
      </c>
      <c r="C479" s="972" t="s">
        <v>2392</v>
      </c>
      <c r="D479" s="972">
        <v>4.37E-4</v>
      </c>
      <c r="E479" s="972">
        <v>2.9719999999999998E-3</v>
      </c>
      <c r="F479" s="972">
        <v>1.9999999999999999E-6</v>
      </c>
      <c r="G479" s="972">
        <v>16753</v>
      </c>
      <c r="H479" s="972">
        <v>35.402999999999999</v>
      </c>
      <c r="I479" s="972">
        <v>14.2705</v>
      </c>
      <c r="J479" s="972">
        <v>79.2</v>
      </c>
    </row>
    <row r="480" spans="1:10" ht="15.75" hidden="1">
      <c r="A480" s="972" t="s">
        <v>2414</v>
      </c>
      <c r="B480" s="972" t="s">
        <v>1834</v>
      </c>
      <c r="C480" s="972" t="s">
        <v>2393</v>
      </c>
      <c r="D480" s="972">
        <v>-1.6590000000000001E-3</v>
      </c>
      <c r="E480" s="972">
        <v>-3.9500000000000001E-4</v>
      </c>
      <c r="F480" s="972">
        <v>-3.1000000000000001E-5</v>
      </c>
      <c r="G480" s="972">
        <v>16753</v>
      </c>
      <c r="H480" s="972">
        <v>35.402999999999999</v>
      </c>
      <c r="I480" s="972">
        <v>14.2705</v>
      </c>
      <c r="J480" s="972">
        <v>79.2</v>
      </c>
    </row>
    <row r="481" spans="1:10" ht="15.75" hidden="1">
      <c r="A481" s="972" t="s">
        <v>2414</v>
      </c>
      <c r="B481" s="972" t="s">
        <v>1834</v>
      </c>
      <c r="C481" s="972" t="s">
        <v>2394</v>
      </c>
      <c r="D481" s="972">
        <v>-2.9300000000000002E-4</v>
      </c>
      <c r="E481" s="972">
        <v>1.702E-3</v>
      </c>
      <c r="F481" s="972">
        <v>1.9999999999999999E-6</v>
      </c>
      <c r="G481" s="972">
        <v>16753</v>
      </c>
      <c r="H481" s="972">
        <v>35.402999999999999</v>
      </c>
      <c r="I481" s="972">
        <v>14.2705</v>
      </c>
      <c r="J481" s="972">
        <v>79.2</v>
      </c>
    </row>
    <row r="482" spans="1:10" ht="15.75" hidden="1">
      <c r="A482" s="972" t="s">
        <v>2414</v>
      </c>
      <c r="B482" s="972" t="s">
        <v>1834</v>
      </c>
      <c r="C482" s="972" t="s">
        <v>2395</v>
      </c>
      <c r="D482" s="972">
        <v>1.4239999999999999E-3</v>
      </c>
      <c r="E482" s="972">
        <v>-1.9000000000000001E-4</v>
      </c>
      <c r="F482" s="972">
        <v>2.9E-5</v>
      </c>
      <c r="G482" s="972">
        <v>16753</v>
      </c>
      <c r="H482" s="972">
        <v>35.402999999999999</v>
      </c>
      <c r="I482" s="972">
        <v>14.2705</v>
      </c>
      <c r="J482" s="972">
        <v>79.2</v>
      </c>
    </row>
    <row r="483" spans="1:10" ht="15.75" hidden="1">
      <c r="A483" s="972" t="s">
        <v>2414</v>
      </c>
      <c r="B483" s="972" t="s">
        <v>1834</v>
      </c>
      <c r="C483" s="972" t="s">
        <v>2396</v>
      </c>
      <c r="D483" s="972">
        <v>1.6799999999999999E-4</v>
      </c>
      <c r="E483" s="972">
        <v>-1.0610000000000001E-3</v>
      </c>
      <c r="F483" s="972">
        <v>-6.0000000000000002E-6</v>
      </c>
      <c r="G483" s="972">
        <v>16753</v>
      </c>
      <c r="H483" s="972">
        <v>35.402999999999999</v>
      </c>
      <c r="I483" s="972">
        <v>14.2705</v>
      </c>
      <c r="J483" s="972">
        <v>79.2</v>
      </c>
    </row>
    <row r="484" spans="1:10" ht="15.75" hidden="1">
      <c r="A484" s="972" t="s">
        <v>2415</v>
      </c>
      <c r="B484" s="972" t="s">
        <v>1834</v>
      </c>
      <c r="C484" s="972" t="s">
        <v>2297</v>
      </c>
      <c r="D484" s="972">
        <v>-7.3899999999999997E-4</v>
      </c>
      <c r="E484" s="972">
        <v>3.826E-3</v>
      </c>
      <c r="F484" s="972">
        <v>3.4999999999999997E-5</v>
      </c>
      <c r="G484" s="972">
        <v>16754</v>
      </c>
      <c r="H484" s="972">
        <v>35.402999999999999</v>
      </c>
      <c r="I484" s="972">
        <v>14.2705</v>
      </c>
      <c r="J484" s="972">
        <v>75.8</v>
      </c>
    </row>
    <row r="485" spans="1:10" ht="15.75" hidden="1">
      <c r="A485" s="972" t="s">
        <v>2415</v>
      </c>
      <c r="B485" s="972" t="s">
        <v>1834</v>
      </c>
      <c r="C485" s="972" t="s">
        <v>2298</v>
      </c>
      <c r="D485" s="972">
        <v>-6.0099999999999997E-4</v>
      </c>
      <c r="E485" s="972">
        <v>-7.9900000000000001E-4</v>
      </c>
      <c r="F485" s="972">
        <v>2.04E-4</v>
      </c>
      <c r="G485" s="972">
        <v>16754</v>
      </c>
      <c r="H485" s="972">
        <v>35.402999999999999</v>
      </c>
      <c r="I485" s="972">
        <v>14.2705</v>
      </c>
      <c r="J485" s="972">
        <v>75.8</v>
      </c>
    </row>
    <row r="486" spans="1:10" ht="15.75">
      <c r="A486" s="972" t="s">
        <v>2415</v>
      </c>
      <c r="B486" s="972" t="s">
        <v>1834</v>
      </c>
      <c r="C486" s="972" t="s">
        <v>2299</v>
      </c>
      <c r="D486" s="972">
        <v>4.0039999999999997E-3</v>
      </c>
      <c r="E486" s="972">
        <v>6.7699999999999998E-4</v>
      </c>
      <c r="F486" s="972">
        <v>3.6000000000000001E-5</v>
      </c>
      <c r="G486" s="972">
        <v>16754</v>
      </c>
      <c r="H486" s="972">
        <v>35.402999999999999</v>
      </c>
      <c r="I486" s="972">
        <v>14.2705</v>
      </c>
      <c r="J486" s="972">
        <v>75.8</v>
      </c>
    </row>
    <row r="487" spans="1:10" ht="15.75" hidden="1">
      <c r="A487" s="972" t="s">
        <v>2415</v>
      </c>
      <c r="B487" s="972" t="s">
        <v>1834</v>
      </c>
      <c r="C487" s="972" t="s">
        <v>2300</v>
      </c>
      <c r="D487" s="972">
        <v>-5.3499999999999999E-4</v>
      </c>
      <c r="E487" s="972">
        <v>2.5000000000000001E-5</v>
      </c>
      <c r="F487" s="972">
        <v>1.5899999999999999E-4</v>
      </c>
      <c r="G487" s="972">
        <v>16754</v>
      </c>
      <c r="H487" s="972">
        <v>35.402999999999999</v>
      </c>
      <c r="I487" s="972">
        <v>14.2705</v>
      </c>
      <c r="J487" s="972">
        <v>75.8</v>
      </c>
    </row>
    <row r="488" spans="1:10" ht="15.75" hidden="1">
      <c r="A488" s="972" t="s">
        <v>2415</v>
      </c>
      <c r="B488" s="972" t="s">
        <v>1834</v>
      </c>
      <c r="C488" s="972" t="s">
        <v>2301</v>
      </c>
      <c r="D488" s="972">
        <v>5.2800000000000004E-4</v>
      </c>
      <c r="E488" s="972">
        <v>-4.0179999999999999E-3</v>
      </c>
      <c r="F488" s="972">
        <v>5.0000000000000004E-6</v>
      </c>
      <c r="G488" s="972">
        <v>16754</v>
      </c>
      <c r="H488" s="972">
        <v>35.402999999999999</v>
      </c>
      <c r="I488" s="972">
        <v>14.2705</v>
      </c>
      <c r="J488" s="972">
        <v>75.8</v>
      </c>
    </row>
    <row r="489" spans="1:10" ht="15.75" hidden="1">
      <c r="A489" s="972" t="s">
        <v>2415</v>
      </c>
      <c r="B489" s="972" t="s">
        <v>1834</v>
      </c>
      <c r="C489" s="972" t="s">
        <v>2302</v>
      </c>
      <c r="D489" s="972">
        <v>-3.7469999999999999E-3</v>
      </c>
      <c r="E489" s="972">
        <v>-4.3399999999999998E-4</v>
      </c>
      <c r="F489" s="972">
        <v>-1.8E-5</v>
      </c>
      <c r="G489" s="972">
        <v>16754</v>
      </c>
      <c r="H489" s="972">
        <v>35.402999999999999</v>
      </c>
      <c r="I489" s="972">
        <v>14.2705</v>
      </c>
      <c r="J489" s="972">
        <v>75.8</v>
      </c>
    </row>
    <row r="490" spans="1:10" ht="15.75" hidden="1">
      <c r="A490" s="972" t="s">
        <v>2415</v>
      </c>
      <c r="B490" s="972" t="s">
        <v>1834</v>
      </c>
      <c r="C490" s="972" t="s">
        <v>2303</v>
      </c>
      <c r="D490" s="972">
        <v>-4.84E-4</v>
      </c>
      <c r="E490" s="972">
        <v>-3.0000000000000001E-6</v>
      </c>
      <c r="F490" s="972">
        <v>2.43E-4</v>
      </c>
      <c r="G490" s="972">
        <v>16754</v>
      </c>
      <c r="H490" s="972">
        <v>35.402999999999999</v>
      </c>
      <c r="I490" s="972">
        <v>14.2705</v>
      </c>
      <c r="J490" s="972">
        <v>75.8</v>
      </c>
    </row>
    <row r="491" spans="1:10" ht="15.75" hidden="1">
      <c r="A491" s="972" t="s">
        <v>2415</v>
      </c>
      <c r="B491" s="972" t="s">
        <v>1834</v>
      </c>
      <c r="C491" s="972" t="s">
        <v>2304</v>
      </c>
      <c r="D491" s="972">
        <v>-4.26E-4</v>
      </c>
      <c r="E491" s="972">
        <v>4.5030000000000001E-3</v>
      </c>
      <c r="F491" s="972">
        <v>-3.0000000000000001E-6</v>
      </c>
      <c r="G491" s="972">
        <v>16754</v>
      </c>
      <c r="H491" s="972">
        <v>35.402999999999999</v>
      </c>
      <c r="I491" s="972">
        <v>14.2705</v>
      </c>
      <c r="J491" s="972">
        <v>75.8</v>
      </c>
    </row>
    <row r="492" spans="1:10" ht="15.75" hidden="1">
      <c r="A492" s="972" t="s">
        <v>2415</v>
      </c>
      <c r="B492" s="972" t="s">
        <v>1834</v>
      </c>
      <c r="C492" s="972" t="s">
        <v>2305</v>
      </c>
      <c r="D492" s="972">
        <v>-2.9100000000000003E-4</v>
      </c>
      <c r="E492" s="972">
        <v>-1.9000000000000001E-5</v>
      </c>
      <c r="F492" s="972">
        <v>-6.3999999999999997E-5</v>
      </c>
      <c r="G492" s="972">
        <v>16754</v>
      </c>
      <c r="H492" s="972">
        <v>35.402999999999999</v>
      </c>
      <c r="I492" s="972">
        <v>14.2705</v>
      </c>
      <c r="J492" s="972">
        <v>75.8</v>
      </c>
    </row>
    <row r="493" spans="1:10" ht="15.75" hidden="1">
      <c r="A493" s="972" t="s">
        <v>2415</v>
      </c>
      <c r="B493" s="972" t="s">
        <v>1834</v>
      </c>
      <c r="C493" s="972" t="s">
        <v>2306</v>
      </c>
      <c r="D493" s="972">
        <v>4.5830000000000003E-3</v>
      </c>
      <c r="E493" s="972">
        <v>4.7100000000000001E-4</v>
      </c>
      <c r="F493" s="972">
        <v>2.0000000000000002E-5</v>
      </c>
      <c r="G493" s="972">
        <v>16754</v>
      </c>
      <c r="H493" s="972">
        <v>35.402999999999999</v>
      </c>
      <c r="I493" s="972">
        <v>14.2705</v>
      </c>
      <c r="J493" s="972">
        <v>75.8</v>
      </c>
    </row>
    <row r="494" spans="1:10" ht="15.75" hidden="1">
      <c r="A494" s="972" t="s">
        <v>2415</v>
      </c>
      <c r="B494" s="972" t="s">
        <v>1834</v>
      </c>
      <c r="C494" s="972" t="s">
        <v>2307</v>
      </c>
      <c r="D494" s="972">
        <v>-4.3199999999999998E-4</v>
      </c>
      <c r="E494" s="972">
        <v>-6.2600000000000004E-4</v>
      </c>
      <c r="F494" s="972">
        <v>2.5300000000000002E-4</v>
      </c>
      <c r="G494" s="972">
        <v>16754</v>
      </c>
      <c r="H494" s="972">
        <v>35.402999999999999</v>
      </c>
      <c r="I494" s="972">
        <v>14.2705</v>
      </c>
      <c r="J494" s="972">
        <v>75.8</v>
      </c>
    </row>
    <row r="495" spans="1:10" ht="15.75" hidden="1">
      <c r="A495" s="972" t="s">
        <v>2415</v>
      </c>
      <c r="B495" s="972" t="s">
        <v>1834</v>
      </c>
      <c r="C495" s="972" t="s">
        <v>2308</v>
      </c>
      <c r="D495" s="972">
        <v>-3.6400000000000001E-4</v>
      </c>
      <c r="E495" s="972">
        <v>1.665E-3</v>
      </c>
      <c r="F495" s="972">
        <v>9.2999999999999997E-5</v>
      </c>
      <c r="G495" s="972">
        <v>16754</v>
      </c>
      <c r="H495" s="972">
        <v>35.402999999999999</v>
      </c>
      <c r="I495" s="972">
        <v>14.2705</v>
      </c>
      <c r="J495" s="972">
        <v>75.8</v>
      </c>
    </row>
    <row r="496" spans="1:10" ht="15.75" hidden="1">
      <c r="A496" s="972" t="s">
        <v>2415</v>
      </c>
      <c r="B496" s="972" t="s">
        <v>1834</v>
      </c>
      <c r="C496" s="972" t="s">
        <v>2309</v>
      </c>
      <c r="D496" s="972">
        <v>-1.5410000000000001E-3</v>
      </c>
      <c r="E496" s="972">
        <v>-1.27E-4</v>
      </c>
      <c r="F496" s="972">
        <v>-2.0000000000000002E-5</v>
      </c>
      <c r="G496" s="972">
        <v>16754</v>
      </c>
      <c r="H496" s="972">
        <v>35.402999999999999</v>
      </c>
      <c r="I496" s="972">
        <v>14.2705</v>
      </c>
      <c r="J496" s="972">
        <v>75.8</v>
      </c>
    </row>
    <row r="497" spans="1:10" ht="15.75" hidden="1">
      <c r="A497" s="972" t="s">
        <v>2415</v>
      </c>
      <c r="B497" s="972" t="s">
        <v>1834</v>
      </c>
      <c r="C497" s="972" t="s">
        <v>2310</v>
      </c>
      <c r="D497" s="972">
        <v>2.9700000000000001E-4</v>
      </c>
      <c r="E497" s="972">
        <v>1.2899999999999999E-4</v>
      </c>
      <c r="F497" s="972">
        <v>-8.1000000000000004E-5</v>
      </c>
      <c r="G497" s="972">
        <v>16754</v>
      </c>
      <c r="H497" s="972">
        <v>35.402999999999999</v>
      </c>
      <c r="I497" s="972">
        <v>14.2705</v>
      </c>
      <c r="J497" s="972">
        <v>75.8</v>
      </c>
    </row>
    <row r="498" spans="1:10" ht="15.75" hidden="1">
      <c r="A498" s="972" t="s">
        <v>2415</v>
      </c>
      <c r="B498" s="972" t="s">
        <v>1834</v>
      </c>
      <c r="C498" s="972" t="s">
        <v>2311</v>
      </c>
      <c r="D498" s="972">
        <v>5.3200000000000003E-4</v>
      </c>
      <c r="E498" s="972">
        <v>-5.6039999999999996E-3</v>
      </c>
      <c r="F498" s="972">
        <v>3.9999999999999998E-6</v>
      </c>
      <c r="G498" s="972">
        <v>16754</v>
      </c>
      <c r="H498" s="972">
        <v>35.402999999999999</v>
      </c>
      <c r="I498" s="972">
        <v>14.2705</v>
      </c>
      <c r="J498" s="972">
        <v>75.8</v>
      </c>
    </row>
    <row r="499" spans="1:10" ht="15.75" hidden="1">
      <c r="A499" s="972" t="s">
        <v>2415</v>
      </c>
      <c r="B499" s="972" t="s">
        <v>1834</v>
      </c>
      <c r="C499" s="972" t="s">
        <v>2328</v>
      </c>
      <c r="D499" s="972">
        <v>8.0500000000000005E-4</v>
      </c>
      <c r="E499" s="972">
        <v>-9.7999999999999997E-5</v>
      </c>
      <c r="F499" s="972">
        <v>-1.9100000000000001E-4</v>
      </c>
      <c r="G499" s="972">
        <v>16754</v>
      </c>
      <c r="H499" s="972">
        <v>35.402999999999999</v>
      </c>
      <c r="I499" s="972">
        <v>14.2705</v>
      </c>
      <c r="J499" s="972">
        <v>75.8</v>
      </c>
    </row>
    <row r="500" spans="1:10" ht="15.75" hidden="1">
      <c r="A500" s="972" t="s">
        <v>2415</v>
      </c>
      <c r="B500" s="972" t="s">
        <v>1834</v>
      </c>
      <c r="C500" s="972" t="s">
        <v>2329</v>
      </c>
      <c r="D500" s="972">
        <v>5.4739999999999997E-3</v>
      </c>
      <c r="E500" s="972">
        <v>5.1999999999999995E-4</v>
      </c>
      <c r="F500" s="972">
        <v>5.5000000000000002E-5</v>
      </c>
      <c r="G500" s="972">
        <v>16754</v>
      </c>
      <c r="H500" s="972">
        <v>35.402999999999999</v>
      </c>
      <c r="I500" s="972">
        <v>14.2705</v>
      </c>
      <c r="J500" s="972">
        <v>75.8</v>
      </c>
    </row>
    <row r="501" spans="1:10" ht="15.75" hidden="1">
      <c r="A501" s="972" t="s">
        <v>2415</v>
      </c>
      <c r="B501" s="972" t="s">
        <v>1834</v>
      </c>
      <c r="C501" s="972" t="s">
        <v>2330</v>
      </c>
      <c r="D501" s="972">
        <v>-4.0000000000000003E-5</v>
      </c>
      <c r="E501" s="972">
        <v>-1.544E-3</v>
      </c>
      <c r="F501" s="972">
        <v>4.5000000000000003E-5</v>
      </c>
      <c r="G501" s="972">
        <v>16754</v>
      </c>
      <c r="H501" s="972">
        <v>35.402999999999999</v>
      </c>
      <c r="I501" s="972">
        <v>14.2705</v>
      </c>
      <c r="J501" s="972">
        <v>75.8</v>
      </c>
    </row>
    <row r="502" spans="1:10" ht="15.75" hidden="1">
      <c r="A502" s="972" t="s">
        <v>2415</v>
      </c>
      <c r="B502" s="972" t="s">
        <v>1834</v>
      </c>
      <c r="C502" s="972" t="s">
        <v>2331</v>
      </c>
      <c r="D502" s="972">
        <v>6.29E-4</v>
      </c>
      <c r="E502" s="972">
        <v>-7.2999999999999999E-5</v>
      </c>
      <c r="F502" s="972">
        <v>-2.2000000000000001E-4</v>
      </c>
      <c r="G502" s="972">
        <v>16754</v>
      </c>
      <c r="H502" s="972">
        <v>35.402999999999999</v>
      </c>
      <c r="I502" s="972">
        <v>14.2705</v>
      </c>
      <c r="J502" s="972">
        <v>75.8</v>
      </c>
    </row>
    <row r="503" spans="1:10" ht="15.75" hidden="1">
      <c r="A503" s="972" t="s">
        <v>2415</v>
      </c>
      <c r="B503" s="972" t="s">
        <v>1834</v>
      </c>
      <c r="C503" s="972" t="s">
        <v>2332</v>
      </c>
      <c r="D503" s="972">
        <v>-1.758E-3</v>
      </c>
      <c r="E503" s="972">
        <v>-2.6499999999999999E-4</v>
      </c>
      <c r="F503" s="972">
        <v>-1.9000000000000001E-5</v>
      </c>
      <c r="G503" s="972">
        <v>16754</v>
      </c>
      <c r="H503" s="972">
        <v>35.402999999999999</v>
      </c>
      <c r="I503" s="972">
        <v>14.2705</v>
      </c>
      <c r="J503" s="972">
        <v>75.8</v>
      </c>
    </row>
    <row r="504" spans="1:10" ht="15.75" hidden="1">
      <c r="A504" s="972" t="s">
        <v>2415</v>
      </c>
      <c r="B504" s="972" t="s">
        <v>1834</v>
      </c>
      <c r="C504" s="972" t="s">
        <v>2387</v>
      </c>
      <c r="D504" s="972">
        <v>6.7500000000000004E-4</v>
      </c>
      <c r="E504" s="972">
        <v>-4.3699999999999998E-3</v>
      </c>
      <c r="F504" s="972">
        <v>-1.0000000000000001E-5</v>
      </c>
      <c r="G504" s="972">
        <v>16754</v>
      </c>
      <c r="H504" s="972">
        <v>35.402999999999999</v>
      </c>
      <c r="I504" s="972">
        <v>14.2705</v>
      </c>
      <c r="J504" s="972">
        <v>75.8</v>
      </c>
    </row>
    <row r="505" spans="1:10" ht="15.75" hidden="1">
      <c r="A505" s="972" t="s">
        <v>2415</v>
      </c>
      <c r="B505" s="972" t="s">
        <v>1834</v>
      </c>
      <c r="C505" s="972" t="s">
        <v>2388</v>
      </c>
      <c r="D505" s="972">
        <v>4.2640000000000004E-3</v>
      </c>
      <c r="E505" s="972">
        <v>-8.6000000000000003E-5</v>
      </c>
      <c r="F505" s="972">
        <v>6.3E-5</v>
      </c>
      <c r="G505" s="972">
        <v>16754</v>
      </c>
      <c r="H505" s="972">
        <v>35.402999999999999</v>
      </c>
      <c r="I505" s="972">
        <v>14.2705</v>
      </c>
      <c r="J505" s="972">
        <v>75.8</v>
      </c>
    </row>
    <row r="506" spans="1:10" ht="15.75" hidden="1">
      <c r="A506" s="972" t="s">
        <v>2415</v>
      </c>
      <c r="B506" s="972" t="s">
        <v>1834</v>
      </c>
      <c r="C506" s="972" t="s">
        <v>2389</v>
      </c>
      <c r="D506" s="972">
        <v>-1.2400000000000001E-4</v>
      </c>
      <c r="E506" s="972">
        <v>-3.3630000000000001E-3</v>
      </c>
      <c r="F506" s="972">
        <v>2.0999999999999999E-5</v>
      </c>
      <c r="G506" s="972">
        <v>16754</v>
      </c>
      <c r="H506" s="972">
        <v>35.402999999999999</v>
      </c>
      <c r="I506" s="972">
        <v>14.2705</v>
      </c>
      <c r="J506" s="972">
        <v>75.8</v>
      </c>
    </row>
    <row r="507" spans="1:10" ht="15.75" hidden="1">
      <c r="A507" s="972" t="s">
        <v>2415</v>
      </c>
      <c r="B507" s="972" t="s">
        <v>1834</v>
      </c>
      <c r="C507" s="972" t="s">
        <v>2390</v>
      </c>
      <c r="D507" s="972">
        <v>-1.8389999999999999E-3</v>
      </c>
      <c r="E507" s="972">
        <v>-3.3029999999999999E-3</v>
      </c>
      <c r="F507" s="972">
        <v>-6.8999999999999997E-5</v>
      </c>
      <c r="G507" s="972">
        <v>16754</v>
      </c>
      <c r="H507" s="972">
        <v>35.402999999999999</v>
      </c>
      <c r="I507" s="972">
        <v>14.2705</v>
      </c>
      <c r="J507" s="972">
        <v>75.8</v>
      </c>
    </row>
    <row r="508" spans="1:10" ht="15.75" hidden="1">
      <c r="A508" s="972" t="s">
        <v>2415</v>
      </c>
      <c r="B508" s="972" t="s">
        <v>1834</v>
      </c>
      <c r="C508" s="972" t="s">
        <v>2391</v>
      </c>
      <c r="D508" s="972">
        <v>-2.6250000000000002E-3</v>
      </c>
      <c r="E508" s="972">
        <v>-6.4599999999999998E-4</v>
      </c>
      <c r="F508" s="972">
        <v>-3.0000000000000001E-6</v>
      </c>
      <c r="G508" s="972">
        <v>16754</v>
      </c>
      <c r="H508" s="972">
        <v>35.402999999999999</v>
      </c>
      <c r="I508" s="972">
        <v>14.2705</v>
      </c>
      <c r="J508" s="972">
        <v>75.8</v>
      </c>
    </row>
    <row r="509" spans="1:10" ht="15.75" hidden="1">
      <c r="A509" s="972" t="s">
        <v>2415</v>
      </c>
      <c r="B509" s="972" t="s">
        <v>1834</v>
      </c>
      <c r="C509" s="972" t="s">
        <v>2392</v>
      </c>
      <c r="D509" s="972">
        <v>-7.36E-4</v>
      </c>
      <c r="E509" s="972">
        <v>1.751E-3</v>
      </c>
      <c r="F509" s="972">
        <v>2.8E-5</v>
      </c>
      <c r="G509" s="972">
        <v>16754</v>
      </c>
      <c r="H509" s="972">
        <v>35.402999999999999</v>
      </c>
      <c r="I509" s="972">
        <v>14.2705</v>
      </c>
      <c r="J509" s="972">
        <v>75.8</v>
      </c>
    </row>
    <row r="510" spans="1:10" ht="15.75" hidden="1">
      <c r="A510" s="972" t="s">
        <v>2415</v>
      </c>
      <c r="B510" s="972" t="s">
        <v>1834</v>
      </c>
      <c r="C510" s="972" t="s">
        <v>2393</v>
      </c>
      <c r="D510" s="972">
        <v>-2.1930000000000001E-3</v>
      </c>
      <c r="E510" s="972">
        <v>4.6099999999999998E-4</v>
      </c>
      <c r="F510" s="972">
        <v>-1.9999999999999999E-6</v>
      </c>
      <c r="G510" s="972">
        <v>16754</v>
      </c>
      <c r="H510" s="972">
        <v>35.402999999999999</v>
      </c>
      <c r="I510" s="972">
        <v>14.2705</v>
      </c>
      <c r="J510" s="972">
        <v>75.8</v>
      </c>
    </row>
    <row r="511" spans="1:10" ht="15.75" hidden="1">
      <c r="A511" s="972" t="s">
        <v>2415</v>
      </c>
      <c r="B511" s="972" t="s">
        <v>1834</v>
      </c>
      <c r="C511" s="972" t="s">
        <v>2394</v>
      </c>
      <c r="D511" s="972">
        <v>-9.6699999999999998E-4</v>
      </c>
      <c r="E511" s="972">
        <v>2.8699999999999998E-4</v>
      </c>
      <c r="F511" s="972">
        <v>1.5E-5</v>
      </c>
      <c r="G511" s="972">
        <v>16754</v>
      </c>
      <c r="H511" s="972">
        <v>35.402999999999999</v>
      </c>
      <c r="I511" s="972">
        <v>14.2705</v>
      </c>
      <c r="J511" s="972">
        <v>75.8</v>
      </c>
    </row>
    <row r="512" spans="1:10" ht="15.75" hidden="1">
      <c r="A512" s="972" t="s">
        <v>2415</v>
      </c>
      <c r="B512" s="972" t="s">
        <v>1834</v>
      </c>
      <c r="C512" s="972" t="s">
        <v>2395</v>
      </c>
      <c r="D512" s="972">
        <v>1.689E-3</v>
      </c>
      <c r="E512" s="972">
        <v>-6.02E-4</v>
      </c>
      <c r="F512" s="972">
        <v>-9.9999999999999995E-7</v>
      </c>
      <c r="G512" s="972">
        <v>16754</v>
      </c>
      <c r="H512" s="972">
        <v>35.402999999999999</v>
      </c>
      <c r="I512" s="972">
        <v>14.2705</v>
      </c>
      <c r="J512" s="972">
        <v>75.8</v>
      </c>
    </row>
    <row r="513" spans="1:10" ht="15.75" hidden="1">
      <c r="A513" s="972" t="s">
        <v>2415</v>
      </c>
      <c r="B513" s="972" t="s">
        <v>1834</v>
      </c>
      <c r="C513" s="972" t="s">
        <v>2396</v>
      </c>
      <c r="D513" s="972">
        <v>5.2099999999999998E-4</v>
      </c>
      <c r="E513" s="972">
        <v>2.3599999999999999E-4</v>
      </c>
      <c r="F513" s="972">
        <v>-1.2E-5</v>
      </c>
      <c r="G513" s="972">
        <v>16754</v>
      </c>
      <c r="H513" s="972">
        <v>35.402999999999999</v>
      </c>
      <c r="I513" s="972">
        <v>14.2705</v>
      </c>
      <c r="J513" s="972">
        <v>75.8</v>
      </c>
    </row>
    <row r="514" spans="1:10" ht="15.75" hidden="1">
      <c r="A514" s="972" t="s">
        <v>2416</v>
      </c>
      <c r="B514" s="972" t="s">
        <v>1834</v>
      </c>
      <c r="C514" s="972" t="s">
        <v>2297</v>
      </c>
      <c r="D514" s="972">
        <v>-6.9700000000000003E-4</v>
      </c>
      <c r="E514" s="972">
        <v>3.6120000000000002E-3</v>
      </c>
      <c r="F514" s="972">
        <v>3.4E-5</v>
      </c>
      <c r="G514" s="972">
        <v>16755</v>
      </c>
      <c r="H514" s="972">
        <v>35.402999999999999</v>
      </c>
      <c r="I514" s="972">
        <v>14.2705</v>
      </c>
      <c r="J514" s="972">
        <v>72.400000000000006</v>
      </c>
    </row>
    <row r="515" spans="1:10" ht="15.75" hidden="1">
      <c r="A515" s="972" t="s">
        <v>2416</v>
      </c>
      <c r="B515" s="972" t="s">
        <v>1834</v>
      </c>
      <c r="C515" s="972" t="s">
        <v>2298</v>
      </c>
      <c r="D515" s="972">
        <v>-5.7399999999999997E-4</v>
      </c>
      <c r="E515" s="972">
        <v>-7.5500000000000003E-4</v>
      </c>
      <c r="F515" s="972">
        <v>1.9599999999999999E-4</v>
      </c>
      <c r="G515" s="972">
        <v>16755</v>
      </c>
      <c r="H515" s="972">
        <v>35.402999999999999</v>
      </c>
      <c r="I515" s="972">
        <v>14.2705</v>
      </c>
      <c r="J515" s="972">
        <v>72.400000000000006</v>
      </c>
    </row>
    <row r="516" spans="1:10" ht="15.75">
      <c r="A516" s="972" t="s">
        <v>2416</v>
      </c>
      <c r="B516" s="972" t="s">
        <v>1834</v>
      </c>
      <c r="C516" s="972" t="s">
        <v>2299</v>
      </c>
      <c r="D516" s="972">
        <v>3.8019999999999998E-3</v>
      </c>
      <c r="E516" s="972">
        <v>6.4700000000000001E-4</v>
      </c>
      <c r="F516" s="972">
        <v>3.4E-5</v>
      </c>
      <c r="G516" s="972">
        <v>16755</v>
      </c>
      <c r="H516" s="972">
        <v>35.402999999999999</v>
      </c>
      <c r="I516" s="972">
        <v>14.2705</v>
      </c>
      <c r="J516" s="972">
        <v>72.400000000000006</v>
      </c>
    </row>
    <row r="517" spans="1:10" ht="15.75" hidden="1">
      <c r="A517" s="972" t="s">
        <v>2416</v>
      </c>
      <c r="B517" s="972" t="s">
        <v>1834</v>
      </c>
      <c r="C517" s="972" t="s">
        <v>2300</v>
      </c>
      <c r="D517" s="972">
        <v>-6.0800000000000003E-4</v>
      </c>
      <c r="E517" s="972">
        <v>2.5999999999999998E-5</v>
      </c>
      <c r="F517" s="972">
        <v>1.85E-4</v>
      </c>
      <c r="G517" s="972">
        <v>16755</v>
      </c>
      <c r="H517" s="972">
        <v>35.402999999999999</v>
      </c>
      <c r="I517" s="972">
        <v>14.2705</v>
      </c>
      <c r="J517" s="972">
        <v>72.400000000000006</v>
      </c>
    </row>
    <row r="518" spans="1:10" ht="15.75" hidden="1">
      <c r="A518" s="972" t="s">
        <v>2416</v>
      </c>
      <c r="B518" s="972" t="s">
        <v>1834</v>
      </c>
      <c r="C518" s="972" t="s">
        <v>2301</v>
      </c>
      <c r="D518" s="972">
        <v>5.8E-4</v>
      </c>
      <c r="E518" s="972">
        <v>-4.47E-3</v>
      </c>
      <c r="F518" s="972">
        <v>6.0000000000000002E-6</v>
      </c>
      <c r="G518" s="972">
        <v>16755</v>
      </c>
      <c r="H518" s="972">
        <v>35.402999999999999</v>
      </c>
      <c r="I518" s="972">
        <v>14.2705</v>
      </c>
      <c r="J518" s="972">
        <v>72.400000000000006</v>
      </c>
    </row>
    <row r="519" spans="1:10" ht="15.75" hidden="1">
      <c r="A519" s="972" t="s">
        <v>2416</v>
      </c>
      <c r="B519" s="972" t="s">
        <v>1834</v>
      </c>
      <c r="C519" s="972" t="s">
        <v>2302</v>
      </c>
      <c r="D519" s="972">
        <v>-4.2209999999999999E-3</v>
      </c>
      <c r="E519" s="972">
        <v>-4.9899999999999999E-4</v>
      </c>
      <c r="F519" s="972">
        <v>-2.1999999999999999E-5</v>
      </c>
      <c r="G519" s="972">
        <v>16755</v>
      </c>
      <c r="H519" s="972">
        <v>35.402999999999999</v>
      </c>
      <c r="I519" s="972">
        <v>14.2705</v>
      </c>
      <c r="J519" s="972">
        <v>72.400000000000006</v>
      </c>
    </row>
    <row r="520" spans="1:10" ht="15.75" hidden="1">
      <c r="A520" s="972" t="s">
        <v>2416</v>
      </c>
      <c r="B520" s="972" t="s">
        <v>1834</v>
      </c>
      <c r="C520" s="972" t="s">
        <v>2303</v>
      </c>
      <c r="D520" s="972">
        <v>-3.9800000000000002E-4</v>
      </c>
      <c r="E520" s="972">
        <v>9.9999999999999995E-7</v>
      </c>
      <c r="F520" s="972">
        <v>2.1499999999999999E-4</v>
      </c>
      <c r="G520" s="972">
        <v>16755</v>
      </c>
      <c r="H520" s="972">
        <v>35.402999999999999</v>
      </c>
      <c r="I520" s="972">
        <v>14.2705</v>
      </c>
      <c r="J520" s="972">
        <v>72.400000000000006</v>
      </c>
    </row>
    <row r="521" spans="1:10" ht="15.75" hidden="1">
      <c r="A521" s="972" t="s">
        <v>2416</v>
      </c>
      <c r="B521" s="972" t="s">
        <v>1834</v>
      </c>
      <c r="C521" s="972" t="s">
        <v>2304</v>
      </c>
      <c r="D521" s="972">
        <v>-3.5599999999999998E-4</v>
      </c>
      <c r="E521" s="972">
        <v>3.8210000000000002E-3</v>
      </c>
      <c r="F521" s="972">
        <v>-1.9999999999999999E-6</v>
      </c>
      <c r="G521" s="972">
        <v>16755</v>
      </c>
      <c r="H521" s="972">
        <v>35.402999999999999</v>
      </c>
      <c r="I521" s="972">
        <v>14.2705</v>
      </c>
      <c r="J521" s="972">
        <v>72.400000000000006</v>
      </c>
    </row>
    <row r="522" spans="1:10" ht="15.75" hidden="1">
      <c r="A522" s="972" t="s">
        <v>2416</v>
      </c>
      <c r="B522" s="972" t="s">
        <v>1834</v>
      </c>
      <c r="C522" s="972" t="s">
        <v>2305</v>
      </c>
      <c r="D522" s="972">
        <v>-8.2999999999999998E-5</v>
      </c>
      <c r="E522" s="972">
        <v>-1.2999999999999999E-5</v>
      </c>
      <c r="F522" s="972">
        <v>-1.34E-4</v>
      </c>
      <c r="G522" s="972">
        <v>16755</v>
      </c>
      <c r="H522" s="972">
        <v>35.402999999999999</v>
      </c>
      <c r="I522" s="972">
        <v>14.2705</v>
      </c>
      <c r="J522" s="972">
        <v>72.400000000000006</v>
      </c>
    </row>
    <row r="523" spans="1:10" ht="15.75" hidden="1">
      <c r="A523" s="972" t="s">
        <v>2416</v>
      </c>
      <c r="B523" s="972" t="s">
        <v>1834</v>
      </c>
      <c r="C523" s="972" t="s">
        <v>2306</v>
      </c>
      <c r="D523" s="972">
        <v>3.9560000000000003E-3</v>
      </c>
      <c r="E523" s="972">
        <v>4.1100000000000002E-4</v>
      </c>
      <c r="F523" s="972">
        <v>9.0000000000000002E-6</v>
      </c>
      <c r="G523" s="972">
        <v>16755</v>
      </c>
      <c r="H523" s="972">
        <v>35.402999999999999</v>
      </c>
      <c r="I523" s="972">
        <v>14.2705</v>
      </c>
      <c r="J523" s="972">
        <v>72.400000000000006</v>
      </c>
    </row>
    <row r="524" spans="1:10" ht="15.75" hidden="1">
      <c r="A524" s="972" t="s">
        <v>2416</v>
      </c>
      <c r="B524" s="972" t="s">
        <v>1834</v>
      </c>
      <c r="C524" s="972" t="s">
        <v>2307</v>
      </c>
      <c r="D524" s="972">
        <v>-3.97E-4</v>
      </c>
      <c r="E524" s="972">
        <v>-1.106E-3</v>
      </c>
      <c r="F524" s="972">
        <v>2.3900000000000001E-4</v>
      </c>
      <c r="G524" s="972">
        <v>16755</v>
      </c>
      <c r="H524" s="972">
        <v>35.402999999999999</v>
      </c>
      <c r="I524" s="972">
        <v>14.2705</v>
      </c>
      <c r="J524" s="972">
        <v>72.400000000000006</v>
      </c>
    </row>
    <row r="525" spans="1:10" ht="15.75" hidden="1">
      <c r="A525" s="972" t="s">
        <v>2416</v>
      </c>
      <c r="B525" s="972" t="s">
        <v>1834</v>
      </c>
      <c r="C525" s="972" t="s">
        <v>2308</v>
      </c>
      <c r="D525" s="972">
        <v>-4.9100000000000001E-4</v>
      </c>
      <c r="E525" s="972">
        <v>2.9550000000000002E-3</v>
      </c>
      <c r="F525" s="972">
        <v>8.6000000000000003E-5</v>
      </c>
      <c r="G525" s="972">
        <v>16755</v>
      </c>
      <c r="H525" s="972">
        <v>35.402999999999999</v>
      </c>
      <c r="I525" s="972">
        <v>14.2705</v>
      </c>
      <c r="J525" s="972">
        <v>72.400000000000006</v>
      </c>
    </row>
    <row r="526" spans="1:10" ht="15.75" hidden="1">
      <c r="A526" s="972" t="s">
        <v>2416</v>
      </c>
      <c r="B526" s="972" t="s">
        <v>1834</v>
      </c>
      <c r="C526" s="972" t="s">
        <v>2309</v>
      </c>
      <c r="D526" s="972">
        <v>-2.928E-3</v>
      </c>
      <c r="E526" s="972">
        <v>-2.61E-4</v>
      </c>
      <c r="F526" s="972">
        <v>-2.4000000000000001E-5</v>
      </c>
      <c r="G526" s="972">
        <v>16755</v>
      </c>
      <c r="H526" s="972">
        <v>35.402999999999999</v>
      </c>
      <c r="I526" s="972">
        <v>14.2705</v>
      </c>
      <c r="J526" s="972">
        <v>72.400000000000006</v>
      </c>
    </row>
    <row r="527" spans="1:10" ht="15.75" hidden="1">
      <c r="A527" s="972" t="s">
        <v>2416</v>
      </c>
      <c r="B527" s="972" t="s">
        <v>1834</v>
      </c>
      <c r="C527" s="972" t="s">
        <v>2310</v>
      </c>
      <c r="D527" s="972">
        <v>1.4899999999999999E-4</v>
      </c>
      <c r="E527" s="972">
        <v>1.27E-4</v>
      </c>
      <c r="F527" s="972">
        <v>3.1999999999999999E-5</v>
      </c>
      <c r="G527" s="972">
        <v>16755</v>
      </c>
      <c r="H527" s="972">
        <v>35.402999999999999</v>
      </c>
      <c r="I527" s="972">
        <v>14.2705</v>
      </c>
      <c r="J527" s="972">
        <v>72.400000000000006</v>
      </c>
    </row>
    <row r="528" spans="1:10" ht="15.75" hidden="1">
      <c r="A528" s="972" t="s">
        <v>2416</v>
      </c>
      <c r="B528" s="972" t="s">
        <v>1834</v>
      </c>
      <c r="C528" s="972" t="s">
        <v>2311</v>
      </c>
      <c r="D528" s="972">
        <v>4.8099999999999998E-4</v>
      </c>
      <c r="E528" s="972">
        <v>-5.2069999999999998E-3</v>
      </c>
      <c r="F528" s="972">
        <v>6.9999999999999999E-6</v>
      </c>
      <c r="G528" s="972">
        <v>16755</v>
      </c>
      <c r="H528" s="972">
        <v>35.402999999999999</v>
      </c>
      <c r="I528" s="972">
        <v>14.2705</v>
      </c>
      <c r="J528" s="972">
        <v>72.400000000000006</v>
      </c>
    </row>
    <row r="529" spans="1:10" ht="15.75" hidden="1">
      <c r="A529" s="972" t="s">
        <v>2416</v>
      </c>
      <c r="B529" s="972" t="s">
        <v>1834</v>
      </c>
      <c r="C529" s="972" t="s">
        <v>2328</v>
      </c>
      <c r="D529" s="972">
        <v>9.0200000000000002E-4</v>
      </c>
      <c r="E529" s="972">
        <v>-4.3999999999999999E-5</v>
      </c>
      <c r="F529" s="972">
        <v>-2.4499999999999999E-4</v>
      </c>
      <c r="G529" s="972">
        <v>16755</v>
      </c>
      <c r="H529" s="972">
        <v>35.402999999999999</v>
      </c>
      <c r="I529" s="972">
        <v>14.2705</v>
      </c>
      <c r="J529" s="972">
        <v>72.400000000000006</v>
      </c>
    </row>
    <row r="530" spans="1:10" ht="15.75" hidden="1">
      <c r="A530" s="972" t="s">
        <v>2416</v>
      </c>
      <c r="B530" s="972" t="s">
        <v>1834</v>
      </c>
      <c r="C530" s="972" t="s">
        <v>2329</v>
      </c>
      <c r="D530" s="972">
        <v>5.1599999999999997E-3</v>
      </c>
      <c r="E530" s="972">
        <v>5.0299999999999997E-4</v>
      </c>
      <c r="F530" s="972">
        <v>5.3999999999999998E-5</v>
      </c>
      <c r="G530" s="972">
        <v>16755</v>
      </c>
      <c r="H530" s="972">
        <v>35.402999999999999</v>
      </c>
      <c r="I530" s="972">
        <v>14.2705</v>
      </c>
      <c r="J530" s="972">
        <v>72.400000000000006</v>
      </c>
    </row>
    <row r="531" spans="1:10" ht="15.75" hidden="1">
      <c r="A531" s="972" t="s">
        <v>2416</v>
      </c>
      <c r="B531" s="972" t="s">
        <v>1834</v>
      </c>
      <c r="C531" s="972" t="s">
        <v>2330</v>
      </c>
      <c r="D531" s="972">
        <v>-2.23E-4</v>
      </c>
      <c r="E531" s="972">
        <v>7.6499999999999995E-4</v>
      </c>
      <c r="F531" s="972">
        <v>3.1000000000000001E-5</v>
      </c>
      <c r="G531" s="972">
        <v>16755</v>
      </c>
      <c r="H531" s="972">
        <v>35.402999999999999</v>
      </c>
      <c r="I531" s="972">
        <v>14.2705</v>
      </c>
      <c r="J531" s="972">
        <v>72.400000000000006</v>
      </c>
    </row>
    <row r="532" spans="1:10" ht="15.75" hidden="1">
      <c r="A532" s="972" t="s">
        <v>2416</v>
      </c>
      <c r="B532" s="972" t="s">
        <v>1834</v>
      </c>
      <c r="C532" s="972" t="s">
        <v>2331</v>
      </c>
      <c r="D532" s="972">
        <v>4.0400000000000001E-4</v>
      </c>
      <c r="E532" s="972">
        <v>4.3399999999999998E-4</v>
      </c>
      <c r="F532" s="972">
        <v>-1.2899999999999999E-4</v>
      </c>
      <c r="G532" s="972">
        <v>16755</v>
      </c>
      <c r="H532" s="972">
        <v>35.402999999999999</v>
      </c>
      <c r="I532" s="972">
        <v>14.2705</v>
      </c>
      <c r="J532" s="972">
        <v>72.400000000000006</v>
      </c>
    </row>
    <row r="533" spans="1:10" ht="15.75" hidden="1">
      <c r="A533" s="972" t="s">
        <v>2416</v>
      </c>
      <c r="B533" s="972" t="s">
        <v>1834</v>
      </c>
      <c r="C533" s="972" t="s">
        <v>2332</v>
      </c>
      <c r="D533" s="972">
        <v>4.6799999999999999E-4</v>
      </c>
      <c r="E533" s="972">
        <v>-7.7000000000000001E-5</v>
      </c>
      <c r="F533" s="972">
        <v>2.0000000000000002E-5</v>
      </c>
      <c r="G533" s="972">
        <v>16755</v>
      </c>
      <c r="H533" s="972">
        <v>35.402999999999999</v>
      </c>
      <c r="I533" s="972">
        <v>14.2705</v>
      </c>
      <c r="J533" s="972">
        <v>72.400000000000006</v>
      </c>
    </row>
    <row r="534" spans="1:10" ht="15.75" hidden="1">
      <c r="A534" s="972" t="s">
        <v>2416</v>
      </c>
      <c r="B534" s="972" t="s">
        <v>1834</v>
      </c>
      <c r="C534" s="972" t="s">
        <v>2387</v>
      </c>
      <c r="D534" s="972">
        <v>5.3700000000000004E-4</v>
      </c>
      <c r="E534" s="972">
        <v>-5.3759999999999997E-3</v>
      </c>
      <c r="F534" s="972">
        <v>1.9000000000000001E-5</v>
      </c>
      <c r="G534" s="972">
        <v>16755</v>
      </c>
      <c r="H534" s="972">
        <v>35.402999999999999</v>
      </c>
      <c r="I534" s="972">
        <v>14.2705</v>
      </c>
      <c r="J534" s="972">
        <v>72.400000000000006</v>
      </c>
    </row>
    <row r="535" spans="1:10" ht="15.75" hidden="1">
      <c r="A535" s="972" t="s">
        <v>2416</v>
      </c>
      <c r="B535" s="972" t="s">
        <v>1834</v>
      </c>
      <c r="C535" s="972" t="s">
        <v>2388</v>
      </c>
      <c r="D535" s="972">
        <v>4.463E-3</v>
      </c>
      <c r="E535" s="972">
        <v>5.2700000000000002E-4</v>
      </c>
      <c r="F535" s="972">
        <v>1.3999999999999999E-4</v>
      </c>
      <c r="G535" s="972">
        <v>16755</v>
      </c>
      <c r="H535" s="972">
        <v>35.402999999999999</v>
      </c>
      <c r="I535" s="972">
        <v>14.2705</v>
      </c>
      <c r="J535" s="972">
        <v>72.400000000000006</v>
      </c>
    </row>
    <row r="536" spans="1:10" ht="15.75" hidden="1">
      <c r="A536" s="972" t="s">
        <v>2416</v>
      </c>
      <c r="B536" s="972" t="s">
        <v>1834</v>
      </c>
      <c r="C536" s="972" t="s">
        <v>2389</v>
      </c>
      <c r="D536" s="972">
        <v>-1.8270000000000001E-3</v>
      </c>
      <c r="E536" s="972">
        <v>-1.8469999999999999E-3</v>
      </c>
      <c r="F536" s="972">
        <v>7.3999999999999996E-5</v>
      </c>
      <c r="G536" s="972">
        <v>16755</v>
      </c>
      <c r="H536" s="972">
        <v>35.402999999999999</v>
      </c>
      <c r="I536" s="972">
        <v>14.2705</v>
      </c>
      <c r="J536" s="972">
        <v>72.400000000000006</v>
      </c>
    </row>
    <row r="537" spans="1:10" ht="15.75" hidden="1">
      <c r="A537" s="972" t="s">
        <v>2416</v>
      </c>
      <c r="B537" s="972" t="s">
        <v>1834</v>
      </c>
      <c r="C537" s="972" t="s">
        <v>2390</v>
      </c>
      <c r="D537" s="972">
        <v>1.34E-4</v>
      </c>
      <c r="E537" s="972">
        <v>-2.4719999999999998E-3</v>
      </c>
      <c r="F537" s="972">
        <v>-1.13E-4</v>
      </c>
      <c r="G537" s="972">
        <v>16755</v>
      </c>
      <c r="H537" s="972">
        <v>35.402999999999999</v>
      </c>
      <c r="I537" s="972">
        <v>14.2705</v>
      </c>
      <c r="J537" s="972">
        <v>72.400000000000006</v>
      </c>
    </row>
    <row r="538" spans="1:10" ht="15.75" hidden="1">
      <c r="A538" s="972" t="s">
        <v>2416</v>
      </c>
      <c r="B538" s="972" t="s">
        <v>1834</v>
      </c>
      <c r="C538" s="972" t="s">
        <v>2391</v>
      </c>
      <c r="D538" s="972">
        <v>-3.143E-3</v>
      </c>
      <c r="E538" s="972">
        <v>7.9799999999999999E-4</v>
      </c>
      <c r="F538" s="972">
        <v>2.8E-5</v>
      </c>
      <c r="G538" s="972">
        <v>16755</v>
      </c>
      <c r="H538" s="972">
        <v>35.402999999999999</v>
      </c>
      <c r="I538" s="972">
        <v>14.2705</v>
      </c>
      <c r="J538" s="972">
        <v>72.400000000000006</v>
      </c>
    </row>
    <row r="539" spans="1:10" ht="15.75" hidden="1">
      <c r="A539" s="972" t="s">
        <v>2416</v>
      </c>
      <c r="B539" s="972" t="s">
        <v>1834</v>
      </c>
      <c r="C539" s="972" t="s">
        <v>2392</v>
      </c>
      <c r="D539" s="972">
        <v>-1.825E-3</v>
      </c>
      <c r="E539" s="972">
        <v>-2.2900000000000001E-4</v>
      </c>
      <c r="F539" s="972">
        <v>3.6000000000000001E-5</v>
      </c>
      <c r="G539" s="972">
        <v>16755</v>
      </c>
      <c r="H539" s="972">
        <v>35.402999999999999</v>
      </c>
      <c r="I539" s="972">
        <v>14.2705</v>
      </c>
      <c r="J539" s="972">
        <v>72.400000000000006</v>
      </c>
    </row>
    <row r="540" spans="1:10" ht="15.75" hidden="1">
      <c r="A540" s="972" t="s">
        <v>2416</v>
      </c>
      <c r="B540" s="972" t="s">
        <v>1834</v>
      </c>
      <c r="C540" s="972" t="s">
        <v>2393</v>
      </c>
      <c r="D540" s="972">
        <v>-2.0040000000000001E-3</v>
      </c>
      <c r="E540" s="972">
        <v>1.243E-3</v>
      </c>
      <c r="F540" s="972">
        <v>2.6999999999999999E-5</v>
      </c>
      <c r="G540" s="972">
        <v>16755</v>
      </c>
      <c r="H540" s="972">
        <v>35.402999999999999</v>
      </c>
      <c r="I540" s="972">
        <v>14.2705</v>
      </c>
      <c r="J540" s="972">
        <v>72.400000000000006</v>
      </c>
    </row>
    <row r="541" spans="1:10" ht="15.75" hidden="1">
      <c r="A541" s="972" t="s">
        <v>2416</v>
      </c>
      <c r="B541" s="972" t="s">
        <v>1834</v>
      </c>
      <c r="C541" s="972" t="s">
        <v>2394</v>
      </c>
      <c r="D541" s="972">
        <v>-1.371E-3</v>
      </c>
      <c r="E541" s="972">
        <v>-1.3519999999999999E-3</v>
      </c>
      <c r="F541" s="972">
        <v>1.8E-5</v>
      </c>
      <c r="G541" s="972">
        <v>16755</v>
      </c>
      <c r="H541" s="972">
        <v>35.402999999999999</v>
      </c>
      <c r="I541" s="972">
        <v>14.2705</v>
      </c>
      <c r="J541" s="972">
        <v>72.400000000000006</v>
      </c>
    </row>
    <row r="542" spans="1:10" ht="15.75" hidden="1">
      <c r="A542" s="972" t="s">
        <v>2416</v>
      </c>
      <c r="B542" s="972" t="s">
        <v>1834</v>
      </c>
      <c r="C542" s="972" t="s">
        <v>2395</v>
      </c>
      <c r="D542" s="972">
        <v>1.335E-3</v>
      </c>
      <c r="E542" s="972">
        <v>-8.2299999999999995E-4</v>
      </c>
      <c r="F542" s="972">
        <v>-3.0000000000000001E-5</v>
      </c>
      <c r="G542" s="972">
        <v>16755</v>
      </c>
      <c r="H542" s="972">
        <v>35.402999999999999</v>
      </c>
      <c r="I542" s="972">
        <v>14.2705</v>
      </c>
      <c r="J542" s="972">
        <v>72.400000000000006</v>
      </c>
    </row>
    <row r="543" spans="1:10" ht="15.75" hidden="1">
      <c r="A543" s="972" t="s">
        <v>2416</v>
      </c>
      <c r="B543" s="972" t="s">
        <v>1834</v>
      </c>
      <c r="C543" s="972" t="s">
        <v>2396</v>
      </c>
      <c r="D543" s="972">
        <v>7.0200000000000004E-4</v>
      </c>
      <c r="E543" s="972">
        <v>1.498E-3</v>
      </c>
      <c r="F543" s="972">
        <v>-1.0000000000000001E-5</v>
      </c>
      <c r="G543" s="972">
        <v>16755</v>
      </c>
      <c r="H543" s="972">
        <v>35.402999999999999</v>
      </c>
      <c r="I543" s="972">
        <v>14.2705</v>
      </c>
      <c r="J543" s="972">
        <v>72.400000000000006</v>
      </c>
    </row>
    <row r="544" spans="1:10" ht="15.75" hidden="1">
      <c r="A544" s="972" t="s">
        <v>2417</v>
      </c>
      <c r="B544" s="972" t="s">
        <v>1834</v>
      </c>
      <c r="C544" s="972" t="s">
        <v>2297</v>
      </c>
      <c r="D544" s="972">
        <v>-6.5499999999999998E-4</v>
      </c>
      <c r="E544" s="972">
        <v>3.398E-3</v>
      </c>
      <c r="F544" s="972">
        <v>3.1999999999999999E-5</v>
      </c>
      <c r="G544" s="972">
        <v>16756</v>
      </c>
      <c r="H544" s="972">
        <v>35.402999999999999</v>
      </c>
      <c r="I544" s="972">
        <v>14.2705</v>
      </c>
      <c r="J544" s="972">
        <v>69</v>
      </c>
    </row>
    <row r="545" spans="1:10" ht="15.75" hidden="1">
      <c r="A545" s="972" t="s">
        <v>2417</v>
      </c>
      <c r="B545" s="972" t="s">
        <v>1834</v>
      </c>
      <c r="C545" s="972" t="s">
        <v>2298</v>
      </c>
      <c r="D545" s="972">
        <v>-5.4699999999999996E-4</v>
      </c>
      <c r="E545" s="972">
        <v>-7.1199999999999996E-4</v>
      </c>
      <c r="F545" s="972">
        <v>1.8699999999999999E-4</v>
      </c>
      <c r="G545" s="972">
        <v>16756</v>
      </c>
      <c r="H545" s="972">
        <v>35.402999999999999</v>
      </c>
      <c r="I545" s="972">
        <v>14.2705</v>
      </c>
      <c r="J545" s="972">
        <v>69</v>
      </c>
    </row>
    <row r="546" spans="1:10" ht="15.75">
      <c r="A546" s="972" t="s">
        <v>2417</v>
      </c>
      <c r="B546" s="972" t="s">
        <v>1834</v>
      </c>
      <c r="C546" s="972" t="s">
        <v>2299</v>
      </c>
      <c r="D546" s="972">
        <v>3.5980000000000001E-3</v>
      </c>
      <c r="E546" s="972">
        <v>6.1499999999999999E-4</v>
      </c>
      <c r="F546" s="972">
        <v>3.3000000000000003E-5</v>
      </c>
      <c r="G546" s="972">
        <v>16756</v>
      </c>
      <c r="H546" s="972">
        <v>35.402999999999999</v>
      </c>
      <c r="I546" s="972">
        <v>14.2705</v>
      </c>
      <c r="J546" s="972">
        <v>69</v>
      </c>
    </row>
    <row r="547" spans="1:10" ht="15.75" hidden="1">
      <c r="A547" s="972" t="s">
        <v>2417</v>
      </c>
      <c r="B547" s="972" t="s">
        <v>1834</v>
      </c>
      <c r="C547" s="972" t="s">
        <v>2300</v>
      </c>
      <c r="D547" s="972">
        <v>-6.7199999999999996E-4</v>
      </c>
      <c r="E547" s="972">
        <v>2.8E-5</v>
      </c>
      <c r="F547" s="972">
        <v>2.0900000000000001E-4</v>
      </c>
      <c r="G547" s="972">
        <v>16756</v>
      </c>
      <c r="H547" s="972">
        <v>35.402999999999999</v>
      </c>
      <c r="I547" s="972">
        <v>14.2705</v>
      </c>
      <c r="J547" s="972">
        <v>69</v>
      </c>
    </row>
    <row r="548" spans="1:10" ht="15.75" hidden="1">
      <c r="A548" s="972" t="s">
        <v>2417</v>
      </c>
      <c r="B548" s="972" t="s">
        <v>1834</v>
      </c>
      <c r="C548" s="972" t="s">
        <v>2301</v>
      </c>
      <c r="D548" s="972">
        <v>6.2299999999999996E-4</v>
      </c>
      <c r="E548" s="972">
        <v>-4.8570000000000002E-3</v>
      </c>
      <c r="F548" s="972">
        <v>6.9999999999999999E-6</v>
      </c>
      <c r="G548" s="972">
        <v>16756</v>
      </c>
      <c r="H548" s="972">
        <v>35.402999999999999</v>
      </c>
      <c r="I548" s="972">
        <v>14.2705</v>
      </c>
      <c r="J548" s="972">
        <v>69</v>
      </c>
    </row>
    <row r="549" spans="1:10" ht="15.75" hidden="1">
      <c r="A549" s="972" t="s">
        <v>2417</v>
      </c>
      <c r="B549" s="972" t="s">
        <v>1834</v>
      </c>
      <c r="C549" s="972" t="s">
        <v>2302</v>
      </c>
      <c r="D549" s="972">
        <v>-4.6299999999999996E-3</v>
      </c>
      <c r="E549" s="972">
        <v>-5.5599999999999996E-4</v>
      </c>
      <c r="F549" s="972">
        <v>-2.5999999999999998E-5</v>
      </c>
      <c r="G549" s="972">
        <v>16756</v>
      </c>
      <c r="H549" s="972">
        <v>35.402999999999999</v>
      </c>
      <c r="I549" s="972">
        <v>14.2705</v>
      </c>
      <c r="J549" s="972">
        <v>69</v>
      </c>
    </row>
    <row r="550" spans="1:10" ht="15.75" hidden="1">
      <c r="A550" s="972" t="s">
        <v>2417</v>
      </c>
      <c r="B550" s="972" t="s">
        <v>1834</v>
      </c>
      <c r="C550" s="972" t="s">
        <v>2303</v>
      </c>
      <c r="D550" s="972">
        <v>-2.92E-4</v>
      </c>
      <c r="E550" s="972">
        <v>6.0000000000000002E-6</v>
      </c>
      <c r="F550" s="972">
        <v>1.7799999999999999E-4</v>
      </c>
      <c r="G550" s="972">
        <v>16756</v>
      </c>
      <c r="H550" s="972">
        <v>35.402999999999999</v>
      </c>
      <c r="I550" s="972">
        <v>14.2705</v>
      </c>
      <c r="J550" s="972">
        <v>69</v>
      </c>
    </row>
    <row r="551" spans="1:10" ht="15.75" hidden="1">
      <c r="A551" s="972" t="s">
        <v>2417</v>
      </c>
      <c r="B551" s="972" t="s">
        <v>1834</v>
      </c>
      <c r="C551" s="972" t="s">
        <v>2304</v>
      </c>
      <c r="D551" s="972">
        <v>-2.7099999999999997E-4</v>
      </c>
      <c r="E551" s="972">
        <v>2.9789999999999999E-3</v>
      </c>
      <c r="F551" s="972">
        <v>-9.9999999999999995E-7</v>
      </c>
      <c r="G551" s="972">
        <v>16756</v>
      </c>
      <c r="H551" s="972">
        <v>35.402999999999999</v>
      </c>
      <c r="I551" s="972">
        <v>14.2705</v>
      </c>
      <c r="J551" s="972">
        <v>69</v>
      </c>
    </row>
    <row r="552" spans="1:10" ht="15.75" hidden="1">
      <c r="A552" s="972" t="s">
        <v>2417</v>
      </c>
      <c r="B552" s="972" t="s">
        <v>1834</v>
      </c>
      <c r="C552" s="972" t="s">
        <v>2305</v>
      </c>
      <c r="D552" s="972">
        <v>1.18E-4</v>
      </c>
      <c r="E552" s="972">
        <v>-6.9999999999999999E-6</v>
      </c>
      <c r="F552" s="972">
        <v>-1.94E-4</v>
      </c>
      <c r="G552" s="972">
        <v>16756</v>
      </c>
      <c r="H552" s="972">
        <v>35.402999999999999</v>
      </c>
      <c r="I552" s="972">
        <v>14.2705</v>
      </c>
      <c r="J552" s="972">
        <v>69</v>
      </c>
    </row>
    <row r="553" spans="1:10" ht="15.75" hidden="1">
      <c r="A553" s="972" t="s">
        <v>2417</v>
      </c>
      <c r="B553" s="972" t="s">
        <v>1834</v>
      </c>
      <c r="C553" s="972" t="s">
        <v>2306</v>
      </c>
      <c r="D553" s="972">
        <v>3.1640000000000001E-3</v>
      </c>
      <c r="E553" s="972">
        <v>3.3399999999999999E-4</v>
      </c>
      <c r="F553" s="972">
        <v>-9.9999999999999995E-7</v>
      </c>
      <c r="G553" s="972">
        <v>16756</v>
      </c>
      <c r="H553" s="972">
        <v>35.402999999999999</v>
      </c>
      <c r="I553" s="972">
        <v>14.2705</v>
      </c>
      <c r="J553" s="972">
        <v>69</v>
      </c>
    </row>
    <row r="554" spans="1:10" ht="15.75" hidden="1">
      <c r="A554" s="972" t="s">
        <v>2417</v>
      </c>
      <c r="B554" s="972" t="s">
        <v>1834</v>
      </c>
      <c r="C554" s="972" t="s">
        <v>2307</v>
      </c>
      <c r="D554" s="972">
        <v>-3.1199999999999999E-4</v>
      </c>
      <c r="E554" s="972">
        <v>-1.503E-3</v>
      </c>
      <c r="F554" s="972">
        <v>1.95E-4</v>
      </c>
      <c r="G554" s="972">
        <v>16756</v>
      </c>
      <c r="H554" s="972">
        <v>35.402999999999999</v>
      </c>
      <c r="I554" s="972">
        <v>14.2705</v>
      </c>
      <c r="J554" s="972">
        <v>69</v>
      </c>
    </row>
    <row r="555" spans="1:10" ht="15.75" hidden="1">
      <c r="A555" s="972" t="s">
        <v>2417</v>
      </c>
      <c r="B555" s="972" t="s">
        <v>1834</v>
      </c>
      <c r="C555" s="972" t="s">
        <v>2308</v>
      </c>
      <c r="D555" s="972">
        <v>-5.7499999999999999E-4</v>
      </c>
      <c r="E555" s="972">
        <v>4.0260000000000001E-3</v>
      </c>
      <c r="F555" s="972">
        <v>6.8999999999999997E-5</v>
      </c>
      <c r="G555" s="972">
        <v>16756</v>
      </c>
      <c r="H555" s="972">
        <v>35.402999999999999</v>
      </c>
      <c r="I555" s="972">
        <v>14.2705</v>
      </c>
      <c r="J555" s="972">
        <v>69</v>
      </c>
    </row>
    <row r="556" spans="1:10" ht="15.75" hidden="1">
      <c r="A556" s="972" t="s">
        <v>2417</v>
      </c>
      <c r="B556" s="972" t="s">
        <v>1834</v>
      </c>
      <c r="C556" s="972" t="s">
        <v>2309</v>
      </c>
      <c r="D556" s="972">
        <v>-4.1009999999999996E-3</v>
      </c>
      <c r="E556" s="972">
        <v>-3.77E-4</v>
      </c>
      <c r="F556" s="972">
        <v>-2.5999999999999998E-5</v>
      </c>
      <c r="G556" s="972">
        <v>16756</v>
      </c>
      <c r="H556" s="972">
        <v>35.402999999999999</v>
      </c>
      <c r="I556" s="972">
        <v>14.2705</v>
      </c>
      <c r="J556" s="972">
        <v>69</v>
      </c>
    </row>
    <row r="557" spans="1:10" ht="15.75" hidden="1">
      <c r="A557" s="972" t="s">
        <v>2417</v>
      </c>
      <c r="B557" s="972" t="s">
        <v>1834</v>
      </c>
      <c r="C557" s="972" t="s">
        <v>2310</v>
      </c>
      <c r="D557" s="972">
        <v>-6.9999999999999999E-6</v>
      </c>
      <c r="E557" s="972">
        <v>1.12E-4</v>
      </c>
      <c r="F557" s="972">
        <v>1.3899999999999999E-4</v>
      </c>
      <c r="G557" s="972">
        <v>16756</v>
      </c>
      <c r="H557" s="972">
        <v>35.402999999999999</v>
      </c>
      <c r="I557" s="972">
        <v>14.2705</v>
      </c>
      <c r="J557" s="972">
        <v>69</v>
      </c>
    </row>
    <row r="558" spans="1:10" ht="15.75" hidden="1">
      <c r="A558" s="972" t="s">
        <v>2417</v>
      </c>
      <c r="B558" s="972" t="s">
        <v>1834</v>
      </c>
      <c r="C558" s="972" t="s">
        <v>2311</v>
      </c>
      <c r="D558" s="972">
        <v>3.7100000000000002E-4</v>
      </c>
      <c r="E558" s="972">
        <v>-4.1710000000000002E-3</v>
      </c>
      <c r="F558" s="972">
        <v>9.0000000000000002E-6</v>
      </c>
      <c r="G558" s="972">
        <v>16756</v>
      </c>
      <c r="H558" s="972">
        <v>35.402999999999999</v>
      </c>
      <c r="I558" s="972">
        <v>14.2705</v>
      </c>
      <c r="J558" s="972">
        <v>69</v>
      </c>
    </row>
    <row r="559" spans="1:10" ht="15.75" hidden="1">
      <c r="A559" s="972" t="s">
        <v>2417</v>
      </c>
      <c r="B559" s="972" t="s">
        <v>1834</v>
      </c>
      <c r="C559" s="972" t="s">
        <v>2328</v>
      </c>
      <c r="D559" s="972">
        <v>8.5300000000000003E-4</v>
      </c>
      <c r="E559" s="972">
        <v>1.8E-5</v>
      </c>
      <c r="F559" s="972">
        <v>-2.3800000000000001E-4</v>
      </c>
      <c r="G559" s="972">
        <v>16756</v>
      </c>
      <c r="H559" s="972">
        <v>35.402999999999999</v>
      </c>
      <c r="I559" s="972">
        <v>14.2705</v>
      </c>
      <c r="J559" s="972">
        <v>69</v>
      </c>
    </row>
    <row r="560" spans="1:10" ht="15.75" hidden="1">
      <c r="A560" s="972" t="s">
        <v>2417</v>
      </c>
      <c r="B560" s="972" t="s">
        <v>1834</v>
      </c>
      <c r="C560" s="972" t="s">
        <v>2329</v>
      </c>
      <c r="D560" s="972">
        <v>4.2230000000000002E-3</v>
      </c>
      <c r="E560" s="972">
        <v>4.2400000000000001E-4</v>
      </c>
      <c r="F560" s="972">
        <v>4.1E-5</v>
      </c>
      <c r="G560" s="972">
        <v>16756</v>
      </c>
      <c r="H560" s="972">
        <v>35.402999999999999</v>
      </c>
      <c r="I560" s="972">
        <v>14.2705</v>
      </c>
      <c r="J560" s="972">
        <v>69</v>
      </c>
    </row>
    <row r="561" spans="1:10" ht="15.75" hidden="1">
      <c r="A561" s="972" t="s">
        <v>2417</v>
      </c>
      <c r="B561" s="972" t="s">
        <v>1834</v>
      </c>
      <c r="C561" s="972" t="s">
        <v>2330</v>
      </c>
      <c r="D561" s="972">
        <v>-3.6499999999999998E-4</v>
      </c>
      <c r="E561" s="972">
        <v>2.9320000000000001E-3</v>
      </c>
      <c r="F561" s="972">
        <v>7.9999999999999996E-6</v>
      </c>
      <c r="G561" s="972">
        <v>16756</v>
      </c>
      <c r="H561" s="972">
        <v>35.402999999999999</v>
      </c>
      <c r="I561" s="972">
        <v>14.2705</v>
      </c>
      <c r="J561" s="972">
        <v>69</v>
      </c>
    </row>
    <row r="562" spans="1:10" ht="15.75" hidden="1">
      <c r="A562" s="972" t="s">
        <v>2417</v>
      </c>
      <c r="B562" s="972" t="s">
        <v>1834</v>
      </c>
      <c r="C562" s="972" t="s">
        <v>2331</v>
      </c>
      <c r="D562" s="972">
        <v>1.03E-4</v>
      </c>
      <c r="E562" s="972">
        <v>8.3000000000000001E-4</v>
      </c>
      <c r="F562" s="972">
        <v>3.9999999999999998E-6</v>
      </c>
      <c r="G562" s="972">
        <v>16756</v>
      </c>
      <c r="H562" s="972">
        <v>35.402999999999999</v>
      </c>
      <c r="I562" s="972">
        <v>14.2705</v>
      </c>
      <c r="J562" s="972">
        <v>69</v>
      </c>
    </row>
    <row r="563" spans="1:10" ht="15.75" hidden="1">
      <c r="A563" s="972" t="s">
        <v>2417</v>
      </c>
      <c r="B563" s="972" t="s">
        <v>1834</v>
      </c>
      <c r="C563" s="972" t="s">
        <v>2332</v>
      </c>
      <c r="D563" s="972">
        <v>2.6059999999999998E-3</v>
      </c>
      <c r="E563" s="972">
        <v>1.2799999999999999E-4</v>
      </c>
      <c r="F563" s="972">
        <v>5.1999999999999997E-5</v>
      </c>
      <c r="G563" s="972">
        <v>16756</v>
      </c>
      <c r="H563" s="972">
        <v>35.402999999999999</v>
      </c>
      <c r="I563" s="972">
        <v>14.2705</v>
      </c>
      <c r="J563" s="972">
        <v>69</v>
      </c>
    </row>
    <row r="564" spans="1:10" ht="15.75" hidden="1">
      <c r="A564" s="972" t="s">
        <v>2417</v>
      </c>
      <c r="B564" s="972" t="s">
        <v>1834</v>
      </c>
      <c r="C564" s="972" t="s">
        <v>2387</v>
      </c>
      <c r="D564" s="972">
        <v>2.5500000000000002E-4</v>
      </c>
      <c r="E564" s="972">
        <v>-5.0200000000000002E-3</v>
      </c>
      <c r="F564" s="972">
        <v>4.1E-5</v>
      </c>
      <c r="G564" s="972">
        <v>16756</v>
      </c>
      <c r="H564" s="972">
        <v>35.402999999999999</v>
      </c>
      <c r="I564" s="972">
        <v>14.2705</v>
      </c>
      <c r="J564" s="972">
        <v>69</v>
      </c>
    </row>
    <row r="565" spans="1:10" ht="15.75" hidden="1">
      <c r="A565" s="972" t="s">
        <v>2417</v>
      </c>
      <c r="B565" s="972" t="s">
        <v>1834</v>
      </c>
      <c r="C565" s="972" t="s">
        <v>2388</v>
      </c>
      <c r="D565" s="972">
        <v>3.5130000000000001E-3</v>
      </c>
      <c r="E565" s="972">
        <v>1.0480000000000001E-3</v>
      </c>
      <c r="F565" s="972">
        <v>1.5899999999999999E-4</v>
      </c>
      <c r="G565" s="972">
        <v>16756</v>
      </c>
      <c r="H565" s="972">
        <v>35.402999999999999</v>
      </c>
      <c r="I565" s="972">
        <v>14.2705</v>
      </c>
      <c r="J565" s="972">
        <v>69</v>
      </c>
    </row>
    <row r="566" spans="1:10" ht="15.75" hidden="1">
      <c r="A566" s="972" t="s">
        <v>2417</v>
      </c>
      <c r="B566" s="972" t="s">
        <v>1834</v>
      </c>
      <c r="C566" s="972" t="s">
        <v>2389</v>
      </c>
      <c r="D566" s="972">
        <v>-3.163E-3</v>
      </c>
      <c r="E566" s="972">
        <v>3.5399999999999999E-4</v>
      </c>
      <c r="F566" s="972">
        <v>9.5000000000000005E-5</v>
      </c>
      <c r="G566" s="972">
        <v>16756</v>
      </c>
      <c r="H566" s="972">
        <v>35.402999999999999</v>
      </c>
      <c r="I566" s="972">
        <v>14.2705</v>
      </c>
      <c r="J566" s="972">
        <v>69</v>
      </c>
    </row>
    <row r="567" spans="1:10" ht="15.75" hidden="1">
      <c r="A567" s="972" t="s">
        <v>2417</v>
      </c>
      <c r="B567" s="972" t="s">
        <v>1834</v>
      </c>
      <c r="C567" s="972" t="s">
        <v>2390</v>
      </c>
      <c r="D567" s="972">
        <v>2.2230000000000001E-3</v>
      </c>
      <c r="E567" s="972">
        <v>-8.0199999999999998E-4</v>
      </c>
      <c r="F567" s="972">
        <v>-1.06E-4</v>
      </c>
      <c r="G567" s="972">
        <v>16756</v>
      </c>
      <c r="H567" s="972">
        <v>35.402999999999999</v>
      </c>
      <c r="I567" s="972">
        <v>14.2705</v>
      </c>
      <c r="J567" s="972">
        <v>69</v>
      </c>
    </row>
    <row r="568" spans="1:10" ht="15.75" hidden="1">
      <c r="A568" s="972" t="s">
        <v>2417</v>
      </c>
      <c r="B568" s="972" t="s">
        <v>1834</v>
      </c>
      <c r="C568" s="972" t="s">
        <v>2391</v>
      </c>
      <c r="D568" s="972">
        <v>-2.709E-3</v>
      </c>
      <c r="E568" s="972">
        <v>2.0690000000000001E-3</v>
      </c>
      <c r="F568" s="972">
        <v>4.6999999999999997E-5</v>
      </c>
      <c r="G568" s="972">
        <v>16756</v>
      </c>
      <c r="H568" s="972">
        <v>35.402999999999999</v>
      </c>
      <c r="I568" s="972">
        <v>14.2705</v>
      </c>
      <c r="J568" s="972">
        <v>69</v>
      </c>
    </row>
    <row r="569" spans="1:10" ht="15.75" hidden="1">
      <c r="A569" s="972" t="s">
        <v>2417</v>
      </c>
      <c r="B569" s="972" t="s">
        <v>1834</v>
      </c>
      <c r="C569" s="972" t="s">
        <v>2392</v>
      </c>
      <c r="D569" s="972">
        <v>-2.4120000000000001E-3</v>
      </c>
      <c r="E569" s="972">
        <v>-2.2539999999999999E-3</v>
      </c>
      <c r="F569" s="972">
        <v>2.6999999999999999E-5</v>
      </c>
      <c r="G569" s="972">
        <v>16756</v>
      </c>
      <c r="H569" s="972">
        <v>35.402999999999999</v>
      </c>
      <c r="I569" s="972">
        <v>14.2705</v>
      </c>
      <c r="J569" s="972">
        <v>69</v>
      </c>
    </row>
    <row r="570" spans="1:10" ht="15.75" hidden="1">
      <c r="A570" s="972" t="s">
        <v>2417</v>
      </c>
      <c r="B570" s="972" t="s">
        <v>1834</v>
      </c>
      <c r="C570" s="972" t="s">
        <v>2393</v>
      </c>
      <c r="D570" s="972">
        <v>-1.0690000000000001E-3</v>
      </c>
      <c r="E570" s="972">
        <v>1.5839999999999999E-3</v>
      </c>
      <c r="F570" s="972">
        <v>4.5000000000000003E-5</v>
      </c>
      <c r="G570" s="972">
        <v>16756</v>
      </c>
      <c r="H570" s="972">
        <v>35.402999999999999</v>
      </c>
      <c r="I570" s="972">
        <v>14.2705</v>
      </c>
      <c r="J570" s="972">
        <v>69</v>
      </c>
    </row>
    <row r="571" spans="1:10" ht="15.75" hidden="1">
      <c r="A571" s="972" t="s">
        <v>2417</v>
      </c>
      <c r="B571" s="972" t="s">
        <v>1834</v>
      </c>
      <c r="C571" s="972" t="s">
        <v>2394</v>
      </c>
      <c r="D571" s="972">
        <v>-1.291E-3</v>
      </c>
      <c r="E571" s="972">
        <v>-2.5140000000000002E-3</v>
      </c>
      <c r="F571" s="972">
        <v>1.2999999999999999E-5</v>
      </c>
      <c r="G571" s="972">
        <v>16756</v>
      </c>
      <c r="H571" s="972">
        <v>35.402999999999999</v>
      </c>
      <c r="I571" s="972">
        <v>14.2705</v>
      </c>
      <c r="J571" s="972">
        <v>69</v>
      </c>
    </row>
    <row r="572" spans="1:10" ht="15.75" hidden="1">
      <c r="A572" s="972" t="s">
        <v>2417</v>
      </c>
      <c r="B572" s="972" t="s">
        <v>1834</v>
      </c>
      <c r="C572" s="972" t="s">
        <v>2395</v>
      </c>
      <c r="D572" s="972">
        <v>4.3199999999999998E-4</v>
      </c>
      <c r="E572" s="972">
        <v>-7.0899999999999999E-4</v>
      </c>
      <c r="F572" s="972">
        <v>-4.6999999999999997E-5</v>
      </c>
      <c r="G572" s="972">
        <v>16756</v>
      </c>
      <c r="H572" s="972">
        <v>35.402999999999999</v>
      </c>
      <c r="I572" s="972">
        <v>14.2705</v>
      </c>
      <c r="J572" s="972">
        <v>69</v>
      </c>
    </row>
    <row r="573" spans="1:10" ht="15.75" hidden="1">
      <c r="A573" s="972" t="s">
        <v>2417</v>
      </c>
      <c r="B573" s="972" t="s">
        <v>1834</v>
      </c>
      <c r="C573" s="972" t="s">
        <v>2396</v>
      </c>
      <c r="D573" s="972">
        <v>5.9900000000000003E-4</v>
      </c>
      <c r="E573" s="972">
        <v>2.1310000000000001E-3</v>
      </c>
      <c r="F573" s="972">
        <v>-5.0000000000000004E-6</v>
      </c>
      <c r="G573" s="972">
        <v>16756</v>
      </c>
      <c r="H573" s="972">
        <v>35.402999999999999</v>
      </c>
      <c r="I573" s="972">
        <v>14.2705</v>
      </c>
      <c r="J573" s="972">
        <v>69</v>
      </c>
    </row>
    <row r="574" spans="1:10" ht="15.75" hidden="1">
      <c r="A574" s="972" t="s">
        <v>2418</v>
      </c>
      <c r="B574" s="972" t="s">
        <v>1834</v>
      </c>
      <c r="C574" s="972" t="s">
        <v>2297</v>
      </c>
      <c r="D574" s="972">
        <v>-6.1399999999999996E-4</v>
      </c>
      <c r="E574" s="972">
        <v>3.1840000000000002E-3</v>
      </c>
      <c r="F574" s="972">
        <v>3.1000000000000001E-5</v>
      </c>
      <c r="G574" s="972">
        <v>16757</v>
      </c>
      <c r="H574" s="972">
        <v>35.402999999999999</v>
      </c>
      <c r="I574" s="972">
        <v>14.2705</v>
      </c>
      <c r="J574" s="972">
        <v>65.599999999999994</v>
      </c>
    </row>
    <row r="575" spans="1:10" ht="15.75" hidden="1">
      <c r="A575" s="972" t="s">
        <v>2418</v>
      </c>
      <c r="B575" s="972" t="s">
        <v>1834</v>
      </c>
      <c r="C575" s="972" t="s">
        <v>2298</v>
      </c>
      <c r="D575" s="972">
        <v>-5.1900000000000004E-4</v>
      </c>
      <c r="E575" s="972">
        <v>-6.6699999999999995E-4</v>
      </c>
      <c r="F575" s="972">
        <v>1.7799999999999999E-4</v>
      </c>
      <c r="G575" s="972">
        <v>16757</v>
      </c>
      <c r="H575" s="972">
        <v>35.402999999999999</v>
      </c>
      <c r="I575" s="972">
        <v>14.2705</v>
      </c>
      <c r="J575" s="972">
        <v>65.599999999999994</v>
      </c>
    </row>
    <row r="576" spans="1:10" ht="15.75">
      <c r="A576" s="972" t="s">
        <v>2418</v>
      </c>
      <c r="B576" s="972" t="s">
        <v>1834</v>
      </c>
      <c r="C576" s="972" t="s">
        <v>2299</v>
      </c>
      <c r="D576" s="972">
        <v>3.3909999999999999E-3</v>
      </c>
      <c r="E576" s="972">
        <v>5.8299999999999997E-4</v>
      </c>
      <c r="F576" s="972">
        <v>3.1000000000000001E-5</v>
      </c>
      <c r="G576" s="972">
        <v>16757</v>
      </c>
      <c r="H576" s="972">
        <v>35.402999999999999</v>
      </c>
      <c r="I576" s="972">
        <v>14.2705</v>
      </c>
      <c r="J576" s="972">
        <v>65.599999999999994</v>
      </c>
    </row>
    <row r="577" spans="1:10" ht="15.75" hidden="1">
      <c r="A577" s="972" t="s">
        <v>2418</v>
      </c>
      <c r="B577" s="972" t="s">
        <v>1834</v>
      </c>
      <c r="C577" s="972" t="s">
        <v>2300</v>
      </c>
      <c r="D577" s="972">
        <v>-7.2599999999999997E-4</v>
      </c>
      <c r="E577" s="972">
        <v>2.9E-5</v>
      </c>
      <c r="F577" s="972">
        <v>2.2900000000000001E-4</v>
      </c>
      <c r="G577" s="972">
        <v>16757</v>
      </c>
      <c r="H577" s="972">
        <v>35.402999999999999</v>
      </c>
      <c r="I577" s="972">
        <v>14.2705</v>
      </c>
      <c r="J577" s="972">
        <v>65.599999999999994</v>
      </c>
    </row>
    <row r="578" spans="1:10" ht="15.75" hidden="1">
      <c r="A578" s="972" t="s">
        <v>2418</v>
      </c>
      <c r="B578" s="972" t="s">
        <v>1834</v>
      </c>
      <c r="C578" s="972" t="s">
        <v>2301</v>
      </c>
      <c r="D578" s="972">
        <v>6.5799999999999995E-4</v>
      </c>
      <c r="E578" s="972">
        <v>-5.1729999999999996E-3</v>
      </c>
      <c r="F578" s="972">
        <v>6.9999999999999999E-6</v>
      </c>
      <c r="G578" s="972">
        <v>16757</v>
      </c>
      <c r="H578" s="972">
        <v>35.402999999999999</v>
      </c>
      <c r="I578" s="972">
        <v>14.2705</v>
      </c>
      <c r="J578" s="972">
        <v>65.599999999999994</v>
      </c>
    </row>
    <row r="579" spans="1:10" ht="15.75" hidden="1">
      <c r="A579" s="972" t="s">
        <v>2418</v>
      </c>
      <c r="B579" s="972" t="s">
        <v>1834</v>
      </c>
      <c r="C579" s="972" t="s">
        <v>2302</v>
      </c>
      <c r="D579" s="972">
        <v>-4.9709999999999997E-3</v>
      </c>
      <c r="E579" s="972">
        <v>-6.0400000000000004E-4</v>
      </c>
      <c r="F579" s="972">
        <v>-2.9E-5</v>
      </c>
      <c r="G579" s="972">
        <v>16757</v>
      </c>
      <c r="H579" s="972">
        <v>35.402999999999999</v>
      </c>
      <c r="I579" s="972">
        <v>14.2705</v>
      </c>
      <c r="J579" s="972">
        <v>65.599999999999994</v>
      </c>
    </row>
    <row r="580" spans="1:10" ht="15.75" hidden="1">
      <c r="A580" s="972" t="s">
        <v>2418</v>
      </c>
      <c r="B580" s="972" t="s">
        <v>1834</v>
      </c>
      <c r="C580" s="972" t="s">
        <v>2303</v>
      </c>
      <c r="D580" s="972">
        <v>-1.7100000000000001E-4</v>
      </c>
      <c r="E580" s="972">
        <v>1.1E-5</v>
      </c>
      <c r="F580" s="972">
        <v>1.34E-4</v>
      </c>
      <c r="G580" s="972">
        <v>16757</v>
      </c>
      <c r="H580" s="972">
        <v>35.402999999999999</v>
      </c>
      <c r="I580" s="972">
        <v>14.2705</v>
      </c>
      <c r="J580" s="972">
        <v>65.599999999999994</v>
      </c>
    </row>
    <row r="581" spans="1:10" ht="15.75" hidden="1">
      <c r="A581" s="972" t="s">
        <v>2418</v>
      </c>
      <c r="B581" s="972" t="s">
        <v>1834</v>
      </c>
      <c r="C581" s="972" t="s">
        <v>2304</v>
      </c>
      <c r="D581" s="972">
        <v>-1.73E-4</v>
      </c>
      <c r="E581" s="972">
        <v>2.0119999999999999E-3</v>
      </c>
      <c r="F581" s="972">
        <v>-4.7459999999999997E-7</v>
      </c>
      <c r="G581" s="972">
        <v>16757</v>
      </c>
      <c r="H581" s="972">
        <v>35.402999999999999</v>
      </c>
      <c r="I581" s="972">
        <v>14.2705</v>
      </c>
      <c r="J581" s="972">
        <v>65.599999999999994</v>
      </c>
    </row>
    <row r="582" spans="1:10" ht="15.75" hidden="1">
      <c r="A582" s="972" t="s">
        <v>2418</v>
      </c>
      <c r="B582" s="972" t="s">
        <v>1834</v>
      </c>
      <c r="C582" s="972" t="s">
        <v>2305</v>
      </c>
      <c r="D582" s="972">
        <v>2.9799999999999998E-4</v>
      </c>
      <c r="E582" s="972">
        <v>-1.9999999999999999E-6</v>
      </c>
      <c r="F582" s="972">
        <v>-2.3800000000000001E-4</v>
      </c>
      <c r="G582" s="972">
        <v>16757</v>
      </c>
      <c r="H582" s="972">
        <v>35.402999999999999</v>
      </c>
      <c r="I582" s="972">
        <v>14.2705</v>
      </c>
      <c r="J582" s="972">
        <v>65.599999999999994</v>
      </c>
    </row>
    <row r="583" spans="1:10" ht="15.75" hidden="1">
      <c r="A583" s="972" t="s">
        <v>2418</v>
      </c>
      <c r="B583" s="972" t="s">
        <v>1834</v>
      </c>
      <c r="C583" s="972" t="s">
        <v>2306</v>
      </c>
      <c r="D583" s="972">
        <v>2.2390000000000001E-3</v>
      </c>
      <c r="E583" s="972">
        <v>2.43E-4</v>
      </c>
      <c r="F583" s="972">
        <v>-1.1E-5</v>
      </c>
      <c r="G583" s="972">
        <v>16757</v>
      </c>
      <c r="H583" s="972">
        <v>35.402999999999999</v>
      </c>
      <c r="I583" s="972">
        <v>14.2705</v>
      </c>
      <c r="J583" s="972">
        <v>65.599999999999994</v>
      </c>
    </row>
    <row r="584" spans="1:10" ht="15.75" hidden="1">
      <c r="A584" s="972" t="s">
        <v>2418</v>
      </c>
      <c r="B584" s="972" t="s">
        <v>1834</v>
      </c>
      <c r="C584" s="972" t="s">
        <v>2307</v>
      </c>
      <c r="D584" s="972">
        <v>-1.8799999999999999E-4</v>
      </c>
      <c r="E584" s="972">
        <v>-1.789E-3</v>
      </c>
      <c r="F584" s="972">
        <v>1.27E-4</v>
      </c>
      <c r="G584" s="972">
        <v>16757</v>
      </c>
      <c r="H584" s="972">
        <v>35.402999999999999</v>
      </c>
      <c r="I584" s="972">
        <v>14.2705</v>
      </c>
      <c r="J584" s="972">
        <v>65.599999999999994</v>
      </c>
    </row>
    <row r="585" spans="1:10" ht="15.75" hidden="1">
      <c r="A585" s="972" t="s">
        <v>2418</v>
      </c>
      <c r="B585" s="972" t="s">
        <v>1834</v>
      </c>
      <c r="C585" s="972" t="s">
        <v>2308</v>
      </c>
      <c r="D585" s="972">
        <v>-6.0999999999999997E-4</v>
      </c>
      <c r="E585" s="972">
        <v>4.7980000000000002E-3</v>
      </c>
      <c r="F585" s="972">
        <v>4.3000000000000002E-5</v>
      </c>
      <c r="G585" s="972">
        <v>16757</v>
      </c>
      <c r="H585" s="972">
        <v>35.402999999999999</v>
      </c>
      <c r="I585" s="972">
        <v>14.2705</v>
      </c>
      <c r="J585" s="972">
        <v>65.599999999999994</v>
      </c>
    </row>
    <row r="586" spans="1:10" ht="15.75" hidden="1">
      <c r="A586" s="972" t="s">
        <v>2418</v>
      </c>
      <c r="B586" s="972" t="s">
        <v>1834</v>
      </c>
      <c r="C586" s="972" t="s">
        <v>2309</v>
      </c>
      <c r="D586" s="972">
        <v>-4.9680000000000002E-3</v>
      </c>
      <c r="E586" s="972">
        <v>-4.6500000000000003E-4</v>
      </c>
      <c r="F586" s="972">
        <v>-2.5999999999999998E-5</v>
      </c>
      <c r="G586" s="972">
        <v>16757</v>
      </c>
      <c r="H586" s="972">
        <v>35.402999999999999</v>
      </c>
      <c r="I586" s="972">
        <v>14.2705</v>
      </c>
      <c r="J586" s="972">
        <v>65.599999999999994</v>
      </c>
    </row>
    <row r="587" spans="1:10" ht="15.75" hidden="1">
      <c r="A587" s="972" t="s">
        <v>2418</v>
      </c>
      <c r="B587" s="972" t="s">
        <v>1834</v>
      </c>
      <c r="C587" s="972" t="s">
        <v>2310</v>
      </c>
      <c r="D587" s="972">
        <v>-1.4200000000000001E-4</v>
      </c>
      <c r="E587" s="972">
        <v>8.7000000000000001E-5</v>
      </c>
      <c r="F587" s="972">
        <v>2.2100000000000001E-4</v>
      </c>
      <c r="G587" s="972">
        <v>16757</v>
      </c>
      <c r="H587" s="972">
        <v>35.402999999999999</v>
      </c>
      <c r="I587" s="972">
        <v>14.2705</v>
      </c>
      <c r="J587" s="972">
        <v>65.599999999999994</v>
      </c>
    </row>
    <row r="588" spans="1:10" ht="15.75" hidden="1">
      <c r="A588" s="972" t="s">
        <v>2418</v>
      </c>
      <c r="B588" s="972" t="s">
        <v>1834</v>
      </c>
      <c r="C588" s="972" t="s">
        <v>2311</v>
      </c>
      <c r="D588" s="972">
        <v>2.1699999999999999E-4</v>
      </c>
      <c r="E588" s="972">
        <v>-2.6259999999999999E-3</v>
      </c>
      <c r="F588" s="972">
        <v>9.0000000000000002E-6</v>
      </c>
      <c r="G588" s="972">
        <v>16757</v>
      </c>
      <c r="H588" s="972">
        <v>35.402999999999999</v>
      </c>
      <c r="I588" s="972">
        <v>14.2705</v>
      </c>
      <c r="J588" s="972">
        <v>65.599999999999994</v>
      </c>
    </row>
    <row r="589" spans="1:10" ht="15.75" hidden="1">
      <c r="A589" s="972" t="s">
        <v>2418</v>
      </c>
      <c r="B589" s="972" t="s">
        <v>1834</v>
      </c>
      <c r="C589" s="972" t="s">
        <v>2328</v>
      </c>
      <c r="D589" s="972">
        <v>6.6600000000000003E-4</v>
      </c>
      <c r="E589" s="972">
        <v>8.1000000000000004E-5</v>
      </c>
      <c r="F589" s="972">
        <v>-1.7200000000000001E-4</v>
      </c>
      <c r="G589" s="972">
        <v>16757</v>
      </c>
      <c r="H589" s="972">
        <v>35.402999999999999</v>
      </c>
      <c r="I589" s="972">
        <v>14.2705</v>
      </c>
      <c r="J589" s="972">
        <v>65.599999999999994</v>
      </c>
    </row>
    <row r="590" spans="1:10" ht="15.75" hidden="1">
      <c r="A590" s="972" t="s">
        <v>2418</v>
      </c>
      <c r="B590" s="972" t="s">
        <v>1834</v>
      </c>
      <c r="C590" s="972" t="s">
        <v>2329</v>
      </c>
      <c r="D590" s="972">
        <v>2.774E-3</v>
      </c>
      <c r="E590" s="972">
        <v>2.92E-4</v>
      </c>
      <c r="F590" s="972">
        <v>2.0000000000000002E-5</v>
      </c>
      <c r="G590" s="972">
        <v>16757</v>
      </c>
      <c r="H590" s="972">
        <v>35.402999999999999</v>
      </c>
      <c r="I590" s="972">
        <v>14.2705</v>
      </c>
      <c r="J590" s="972">
        <v>65.599999999999994</v>
      </c>
    </row>
    <row r="591" spans="1:10" ht="15.75" hidden="1">
      <c r="A591" s="972" t="s">
        <v>2418</v>
      </c>
      <c r="B591" s="972" t="s">
        <v>1834</v>
      </c>
      <c r="C591" s="972" t="s">
        <v>2330</v>
      </c>
      <c r="D591" s="972">
        <v>-4.4099999999999999E-4</v>
      </c>
      <c r="E591" s="972">
        <v>4.5630000000000002E-3</v>
      </c>
      <c r="F591" s="972">
        <v>-1.8E-5</v>
      </c>
      <c r="G591" s="972">
        <v>16757</v>
      </c>
      <c r="H591" s="972">
        <v>35.402999999999999</v>
      </c>
      <c r="I591" s="972">
        <v>14.2705</v>
      </c>
      <c r="J591" s="972">
        <v>65.599999999999994</v>
      </c>
    </row>
    <row r="592" spans="1:10" ht="15.75" hidden="1">
      <c r="A592" s="972" t="s">
        <v>2418</v>
      </c>
      <c r="B592" s="972" t="s">
        <v>1834</v>
      </c>
      <c r="C592" s="972" t="s">
        <v>2331</v>
      </c>
      <c r="D592" s="972">
        <v>-2.12E-4</v>
      </c>
      <c r="E592" s="972">
        <v>1.0399999999999999E-3</v>
      </c>
      <c r="F592" s="972">
        <v>1.34E-4</v>
      </c>
      <c r="G592" s="972">
        <v>16757</v>
      </c>
      <c r="H592" s="972">
        <v>35.402999999999999</v>
      </c>
      <c r="I592" s="972">
        <v>14.2705</v>
      </c>
      <c r="J592" s="972">
        <v>65.599999999999994</v>
      </c>
    </row>
    <row r="593" spans="1:10" ht="15.75" hidden="1">
      <c r="A593" s="972" t="s">
        <v>2418</v>
      </c>
      <c r="B593" s="972" t="s">
        <v>1834</v>
      </c>
      <c r="C593" s="972" t="s">
        <v>2332</v>
      </c>
      <c r="D593" s="972">
        <v>4.2770000000000004E-3</v>
      </c>
      <c r="E593" s="972">
        <v>3.1300000000000002E-4</v>
      </c>
      <c r="F593" s="972">
        <v>6.6000000000000005E-5</v>
      </c>
      <c r="G593" s="972">
        <v>16757</v>
      </c>
      <c r="H593" s="972">
        <v>35.402999999999999</v>
      </c>
      <c r="I593" s="972">
        <v>14.2705</v>
      </c>
      <c r="J593" s="972">
        <v>65.599999999999994</v>
      </c>
    </row>
    <row r="594" spans="1:10" ht="15.75" hidden="1">
      <c r="A594" s="972" t="s">
        <v>2418</v>
      </c>
      <c r="B594" s="972" t="s">
        <v>1834</v>
      </c>
      <c r="C594" s="972" t="s">
        <v>2387</v>
      </c>
      <c r="D594" s="972">
        <v>-9.6000000000000002E-5</v>
      </c>
      <c r="E594" s="972">
        <v>-3.3899999999999998E-3</v>
      </c>
      <c r="F594" s="972">
        <v>4.8000000000000001E-5</v>
      </c>
      <c r="G594" s="972">
        <v>16757</v>
      </c>
      <c r="H594" s="972">
        <v>35.402999999999999</v>
      </c>
      <c r="I594" s="972">
        <v>14.2705</v>
      </c>
      <c r="J594" s="972">
        <v>65.599999999999994</v>
      </c>
    </row>
    <row r="595" spans="1:10" ht="15.75" hidden="1">
      <c r="A595" s="972" t="s">
        <v>2418</v>
      </c>
      <c r="B595" s="972" t="s">
        <v>1834</v>
      </c>
      <c r="C595" s="972" t="s">
        <v>2388</v>
      </c>
      <c r="D595" s="972">
        <v>1.7160000000000001E-3</v>
      </c>
      <c r="E595" s="972">
        <v>1.291E-3</v>
      </c>
      <c r="F595" s="972">
        <v>1.13E-4</v>
      </c>
      <c r="G595" s="972">
        <v>16757</v>
      </c>
      <c r="H595" s="972">
        <v>35.402999999999999</v>
      </c>
      <c r="I595" s="972">
        <v>14.2705</v>
      </c>
      <c r="J595" s="972">
        <v>65.599999999999994</v>
      </c>
    </row>
    <row r="596" spans="1:10" ht="15.75" hidden="1">
      <c r="A596" s="972" t="s">
        <v>2418</v>
      </c>
      <c r="B596" s="972" t="s">
        <v>1834</v>
      </c>
      <c r="C596" s="972" t="s">
        <v>2389</v>
      </c>
      <c r="D596" s="972">
        <v>-3.6830000000000001E-3</v>
      </c>
      <c r="E596" s="972">
        <v>2.5119999999999999E-3</v>
      </c>
      <c r="F596" s="972">
        <v>7.6000000000000004E-5</v>
      </c>
      <c r="G596" s="972">
        <v>16757</v>
      </c>
      <c r="H596" s="972">
        <v>35.402999999999999</v>
      </c>
      <c r="I596" s="972">
        <v>14.2705</v>
      </c>
      <c r="J596" s="972">
        <v>65.599999999999994</v>
      </c>
    </row>
    <row r="597" spans="1:10" ht="15.75" hidden="1">
      <c r="A597" s="972" t="s">
        <v>2418</v>
      </c>
      <c r="B597" s="972" t="s">
        <v>1834</v>
      </c>
      <c r="C597" s="972" t="s">
        <v>2390</v>
      </c>
      <c r="D597" s="972">
        <v>3.728E-3</v>
      </c>
      <c r="E597" s="972">
        <v>1.2149999999999999E-3</v>
      </c>
      <c r="F597" s="972">
        <v>-5.3000000000000001E-5</v>
      </c>
      <c r="G597" s="972">
        <v>16757</v>
      </c>
      <c r="H597" s="972">
        <v>35.402999999999999</v>
      </c>
      <c r="I597" s="972">
        <v>14.2705</v>
      </c>
      <c r="J597" s="972">
        <v>65.599999999999994</v>
      </c>
    </row>
    <row r="598" spans="1:10" ht="15.75" hidden="1">
      <c r="A598" s="972" t="s">
        <v>2418</v>
      </c>
      <c r="B598" s="972" t="s">
        <v>1834</v>
      </c>
      <c r="C598" s="972" t="s">
        <v>2391</v>
      </c>
      <c r="D598" s="972">
        <v>-1.346E-3</v>
      </c>
      <c r="E598" s="972">
        <v>2.6229999999999999E-3</v>
      </c>
      <c r="F598" s="972">
        <v>4.6999999999999997E-5</v>
      </c>
      <c r="G598" s="972">
        <v>16757</v>
      </c>
      <c r="H598" s="972">
        <v>35.402999999999999</v>
      </c>
      <c r="I598" s="972">
        <v>14.2705</v>
      </c>
      <c r="J598" s="972">
        <v>65.599999999999994</v>
      </c>
    </row>
    <row r="599" spans="1:10" ht="15.75" hidden="1">
      <c r="A599" s="972" t="s">
        <v>2418</v>
      </c>
      <c r="B599" s="972" t="s">
        <v>1834</v>
      </c>
      <c r="C599" s="972" t="s">
        <v>2392</v>
      </c>
      <c r="D599" s="972">
        <v>-2.1949999999999999E-3</v>
      </c>
      <c r="E599" s="972">
        <v>-3.5230000000000001E-3</v>
      </c>
      <c r="F599" s="972">
        <v>7.9999999999999996E-6</v>
      </c>
      <c r="G599" s="972">
        <v>16757</v>
      </c>
      <c r="H599" s="972">
        <v>35.402999999999999</v>
      </c>
      <c r="I599" s="972">
        <v>14.2705</v>
      </c>
      <c r="J599" s="972">
        <v>65.599999999999994</v>
      </c>
    </row>
    <row r="600" spans="1:10" ht="15.75" hidden="1">
      <c r="A600" s="972" t="s">
        <v>2418</v>
      </c>
      <c r="B600" s="972" t="s">
        <v>1834</v>
      </c>
      <c r="C600" s="972" t="s">
        <v>2393</v>
      </c>
      <c r="D600" s="972">
        <v>3.6600000000000001E-4</v>
      </c>
      <c r="E600" s="972">
        <v>1.2520000000000001E-3</v>
      </c>
      <c r="F600" s="972">
        <v>4.6999999999999997E-5</v>
      </c>
      <c r="G600" s="972">
        <v>16757</v>
      </c>
      <c r="H600" s="972">
        <v>35.402999999999999</v>
      </c>
      <c r="I600" s="972">
        <v>14.2705</v>
      </c>
      <c r="J600" s="972">
        <v>65.599999999999994</v>
      </c>
    </row>
    <row r="601" spans="1:10" ht="15.75" hidden="1">
      <c r="A601" s="972" t="s">
        <v>2418</v>
      </c>
      <c r="B601" s="972" t="s">
        <v>1834</v>
      </c>
      <c r="C601" s="972" t="s">
        <v>2394</v>
      </c>
      <c r="D601" s="972">
        <v>-6.6699999999999995E-4</v>
      </c>
      <c r="E601" s="972">
        <v>-2.6280000000000001E-3</v>
      </c>
      <c r="F601" s="972">
        <v>6.9999999999999999E-6</v>
      </c>
      <c r="G601" s="972">
        <v>16757</v>
      </c>
      <c r="H601" s="972">
        <v>35.402999999999999</v>
      </c>
      <c r="I601" s="972">
        <v>14.2705</v>
      </c>
      <c r="J601" s="972">
        <v>65.599999999999994</v>
      </c>
    </row>
    <row r="602" spans="1:10" ht="15.75" hidden="1">
      <c r="A602" s="972" t="s">
        <v>2418</v>
      </c>
      <c r="B602" s="972" t="s">
        <v>1834</v>
      </c>
      <c r="C602" s="972" t="s">
        <v>2395</v>
      </c>
      <c r="D602" s="972">
        <v>-7.2199999999999999E-4</v>
      </c>
      <c r="E602" s="972">
        <v>-2.4699999999999999E-4</v>
      </c>
      <c r="F602" s="972">
        <v>-4.6999999999999997E-5</v>
      </c>
      <c r="G602" s="972">
        <v>16757</v>
      </c>
      <c r="H602" s="972">
        <v>35.402999999999999</v>
      </c>
      <c r="I602" s="972">
        <v>14.2705</v>
      </c>
      <c r="J602" s="972">
        <v>65.599999999999994</v>
      </c>
    </row>
    <row r="603" spans="1:10" ht="15.75" hidden="1">
      <c r="A603" s="972" t="s">
        <v>2418</v>
      </c>
      <c r="B603" s="972" t="s">
        <v>1834</v>
      </c>
      <c r="C603" s="972" t="s">
        <v>2396</v>
      </c>
      <c r="D603" s="972">
        <v>2.0900000000000001E-4</v>
      </c>
      <c r="E603" s="972">
        <v>1.7700000000000001E-3</v>
      </c>
      <c r="F603" s="972">
        <v>-9.9999999999999995E-7</v>
      </c>
      <c r="G603" s="972">
        <v>16757</v>
      </c>
      <c r="H603" s="972">
        <v>35.402999999999999</v>
      </c>
      <c r="I603" s="972">
        <v>14.2705</v>
      </c>
      <c r="J603" s="972">
        <v>65.599999999999994</v>
      </c>
    </row>
    <row r="604" spans="1:10" ht="15.75" hidden="1">
      <c r="A604" s="972" t="s">
        <v>2419</v>
      </c>
      <c r="B604" s="972" t="s">
        <v>1834</v>
      </c>
      <c r="C604" s="972" t="s">
        <v>2297</v>
      </c>
      <c r="D604" s="972">
        <v>-5.7200000000000003E-4</v>
      </c>
      <c r="E604" s="972">
        <v>2.9710000000000001E-3</v>
      </c>
      <c r="F604" s="972">
        <v>2.9E-5</v>
      </c>
      <c r="G604" s="972">
        <v>16758</v>
      </c>
      <c r="H604" s="972">
        <v>35.402999999999999</v>
      </c>
      <c r="I604" s="972">
        <v>14.2705</v>
      </c>
      <c r="J604" s="972">
        <v>62.2</v>
      </c>
    </row>
    <row r="605" spans="1:10" ht="15.75" hidden="1">
      <c r="A605" s="972" t="s">
        <v>2419</v>
      </c>
      <c r="B605" s="972" t="s">
        <v>1834</v>
      </c>
      <c r="C605" s="972" t="s">
        <v>2298</v>
      </c>
      <c r="D605" s="972">
        <v>-4.8999999999999998E-4</v>
      </c>
      <c r="E605" s="972">
        <v>-6.2399999999999999E-4</v>
      </c>
      <c r="F605" s="972">
        <v>1.6799999999999999E-4</v>
      </c>
      <c r="G605" s="972">
        <v>16758</v>
      </c>
      <c r="H605" s="972">
        <v>35.402999999999999</v>
      </c>
      <c r="I605" s="972">
        <v>14.2705</v>
      </c>
      <c r="J605" s="972">
        <v>62.2</v>
      </c>
    </row>
    <row r="606" spans="1:10" ht="15.75">
      <c r="A606" s="972" t="s">
        <v>2419</v>
      </c>
      <c r="B606" s="972" t="s">
        <v>1834</v>
      </c>
      <c r="C606" s="972" t="s">
        <v>2299</v>
      </c>
      <c r="D606" s="972">
        <v>3.1830000000000001E-3</v>
      </c>
      <c r="E606" s="972">
        <v>5.5000000000000003E-4</v>
      </c>
      <c r="F606" s="972">
        <v>3.0000000000000001E-5</v>
      </c>
      <c r="G606" s="972">
        <v>16758</v>
      </c>
      <c r="H606" s="972">
        <v>35.402999999999999</v>
      </c>
      <c r="I606" s="972">
        <v>14.2705</v>
      </c>
      <c r="J606" s="972">
        <v>62.2</v>
      </c>
    </row>
    <row r="607" spans="1:10" ht="15.75" hidden="1">
      <c r="A607" s="972" t="s">
        <v>2419</v>
      </c>
      <c r="B607" s="972" t="s">
        <v>1834</v>
      </c>
      <c r="C607" s="972" t="s">
        <v>2300</v>
      </c>
      <c r="D607" s="972">
        <v>-7.6900000000000004E-4</v>
      </c>
      <c r="E607" s="972">
        <v>2.9E-5</v>
      </c>
      <c r="F607" s="972">
        <v>2.4600000000000002E-4</v>
      </c>
      <c r="G607" s="972">
        <v>16758</v>
      </c>
      <c r="H607" s="972">
        <v>35.402999999999999</v>
      </c>
      <c r="I607" s="972">
        <v>14.2705</v>
      </c>
      <c r="J607" s="972">
        <v>62.2</v>
      </c>
    </row>
    <row r="608" spans="1:10" ht="15.75" hidden="1">
      <c r="A608" s="972" t="s">
        <v>2419</v>
      </c>
      <c r="B608" s="972" t="s">
        <v>1834</v>
      </c>
      <c r="C608" s="972" t="s">
        <v>2301</v>
      </c>
      <c r="D608" s="972">
        <v>6.8400000000000004E-4</v>
      </c>
      <c r="E608" s="972">
        <v>-5.4169999999999999E-3</v>
      </c>
      <c r="F608" s="972">
        <v>7.9999999999999996E-6</v>
      </c>
      <c r="G608" s="972">
        <v>16758</v>
      </c>
      <c r="H608" s="972">
        <v>35.402999999999999</v>
      </c>
      <c r="I608" s="972">
        <v>14.2705</v>
      </c>
      <c r="J608" s="972">
        <v>62.2</v>
      </c>
    </row>
    <row r="609" spans="1:10" ht="15.75" hidden="1">
      <c r="A609" s="972" t="s">
        <v>2419</v>
      </c>
      <c r="B609" s="972" t="s">
        <v>1834</v>
      </c>
      <c r="C609" s="972" t="s">
        <v>2302</v>
      </c>
      <c r="D609" s="972">
        <v>-5.2389999999999997E-3</v>
      </c>
      <c r="E609" s="972">
        <v>-6.4400000000000004E-4</v>
      </c>
      <c r="F609" s="972">
        <v>-3.1999999999999999E-5</v>
      </c>
      <c r="G609" s="972">
        <v>16758</v>
      </c>
      <c r="H609" s="972">
        <v>35.402999999999999</v>
      </c>
      <c r="I609" s="972">
        <v>14.2705</v>
      </c>
      <c r="J609" s="972">
        <v>62.2</v>
      </c>
    </row>
    <row r="610" spans="1:10" ht="15.75" hidden="1">
      <c r="A610" s="972" t="s">
        <v>2419</v>
      </c>
      <c r="B610" s="972" t="s">
        <v>1834</v>
      </c>
      <c r="C610" s="972" t="s">
        <v>2303</v>
      </c>
      <c r="D610" s="972">
        <v>-3.8000000000000002E-5</v>
      </c>
      <c r="E610" s="972">
        <v>1.5999999999999999E-5</v>
      </c>
      <c r="F610" s="972">
        <v>8.3999999999999995E-5</v>
      </c>
      <c r="G610" s="972">
        <v>16758</v>
      </c>
      <c r="H610" s="972">
        <v>35.402999999999999</v>
      </c>
      <c r="I610" s="972">
        <v>14.2705</v>
      </c>
      <c r="J610" s="972">
        <v>62.2</v>
      </c>
    </row>
    <row r="611" spans="1:10" ht="15.75" hidden="1">
      <c r="A611" s="972" t="s">
        <v>2419</v>
      </c>
      <c r="B611" s="972" t="s">
        <v>1834</v>
      </c>
      <c r="C611" s="972" t="s">
        <v>2304</v>
      </c>
      <c r="D611" s="972">
        <v>-6.7999999999999999E-5</v>
      </c>
      <c r="E611" s="972">
        <v>9.5799999999999998E-4</v>
      </c>
      <c r="F611" s="972">
        <v>9.9999999999999995E-7</v>
      </c>
      <c r="G611" s="972">
        <v>16758</v>
      </c>
      <c r="H611" s="972">
        <v>35.402999999999999</v>
      </c>
      <c r="I611" s="972">
        <v>14.2705</v>
      </c>
      <c r="J611" s="972">
        <v>62.2</v>
      </c>
    </row>
    <row r="612" spans="1:10" ht="15.75" hidden="1">
      <c r="A612" s="972" t="s">
        <v>2419</v>
      </c>
      <c r="B612" s="972" t="s">
        <v>1834</v>
      </c>
      <c r="C612" s="972" t="s">
        <v>2305</v>
      </c>
      <c r="D612" s="972">
        <v>4.4700000000000002E-4</v>
      </c>
      <c r="E612" s="972">
        <v>1.9999999999999999E-6</v>
      </c>
      <c r="F612" s="972">
        <v>-2.6499999999999999E-4</v>
      </c>
      <c r="G612" s="972">
        <v>16758</v>
      </c>
      <c r="H612" s="972">
        <v>35.402999999999999</v>
      </c>
      <c r="I612" s="972">
        <v>14.2705</v>
      </c>
      <c r="J612" s="972">
        <v>62.2</v>
      </c>
    </row>
    <row r="613" spans="1:10" ht="15.75" hidden="1">
      <c r="A613" s="972" t="s">
        <v>2419</v>
      </c>
      <c r="B613" s="972" t="s">
        <v>1834</v>
      </c>
      <c r="C613" s="972" t="s">
        <v>2306</v>
      </c>
      <c r="D613" s="972">
        <v>1.2149999999999999E-3</v>
      </c>
      <c r="E613" s="972">
        <v>1.4200000000000001E-4</v>
      </c>
      <c r="F613" s="972">
        <v>-1.9000000000000001E-5</v>
      </c>
      <c r="G613" s="972">
        <v>16758</v>
      </c>
      <c r="H613" s="972">
        <v>35.402999999999999</v>
      </c>
      <c r="I613" s="972">
        <v>14.2705</v>
      </c>
      <c r="J613" s="972">
        <v>62.2</v>
      </c>
    </row>
    <row r="614" spans="1:10" ht="15.75" hidden="1">
      <c r="A614" s="972" t="s">
        <v>2419</v>
      </c>
      <c r="B614" s="972" t="s">
        <v>1834</v>
      </c>
      <c r="C614" s="972" t="s">
        <v>2307</v>
      </c>
      <c r="D614" s="972">
        <v>-3.8999999999999999E-5</v>
      </c>
      <c r="E614" s="972">
        <v>-1.9400000000000001E-3</v>
      </c>
      <c r="F614" s="972">
        <v>4.1999999999999998E-5</v>
      </c>
      <c r="G614" s="972">
        <v>16758</v>
      </c>
      <c r="H614" s="972">
        <v>35.402999999999999</v>
      </c>
      <c r="I614" s="972">
        <v>14.2705</v>
      </c>
      <c r="J614" s="972">
        <v>62.2</v>
      </c>
    </row>
    <row r="615" spans="1:10" ht="15.75" hidden="1">
      <c r="A615" s="972" t="s">
        <v>2419</v>
      </c>
      <c r="B615" s="972" t="s">
        <v>1834</v>
      </c>
      <c r="C615" s="972" t="s">
        <v>2308</v>
      </c>
      <c r="D615" s="972">
        <v>-5.9599999999999996E-4</v>
      </c>
      <c r="E615" s="972">
        <v>5.2100000000000002E-3</v>
      </c>
      <c r="F615" s="972">
        <v>1.1E-5</v>
      </c>
      <c r="G615" s="972">
        <v>16758</v>
      </c>
      <c r="H615" s="972">
        <v>35.402999999999999</v>
      </c>
      <c r="I615" s="972">
        <v>14.2705</v>
      </c>
      <c r="J615" s="972">
        <v>62.2</v>
      </c>
    </row>
    <row r="616" spans="1:10" ht="15.75" hidden="1">
      <c r="A616" s="972" t="s">
        <v>2419</v>
      </c>
      <c r="B616" s="972" t="s">
        <v>1834</v>
      </c>
      <c r="C616" s="972" t="s">
        <v>2309</v>
      </c>
      <c r="D616" s="972">
        <v>-5.4640000000000001E-3</v>
      </c>
      <c r="E616" s="972">
        <v>-5.1800000000000001E-4</v>
      </c>
      <c r="F616" s="972">
        <v>-2.3E-5</v>
      </c>
      <c r="G616" s="972">
        <v>16758</v>
      </c>
      <c r="H616" s="972">
        <v>35.402999999999999</v>
      </c>
      <c r="I616" s="972">
        <v>14.2705</v>
      </c>
      <c r="J616" s="972">
        <v>62.2</v>
      </c>
    </row>
    <row r="617" spans="1:10" ht="15.75" hidden="1">
      <c r="A617" s="972" t="s">
        <v>2419</v>
      </c>
      <c r="B617" s="972" t="s">
        <v>1834</v>
      </c>
      <c r="C617" s="972" t="s">
        <v>2310</v>
      </c>
      <c r="D617" s="972">
        <v>-2.31E-4</v>
      </c>
      <c r="E617" s="972">
        <v>5.5000000000000002E-5</v>
      </c>
      <c r="F617" s="972">
        <v>2.61E-4</v>
      </c>
      <c r="G617" s="972">
        <v>16758</v>
      </c>
      <c r="H617" s="972">
        <v>35.402999999999999</v>
      </c>
      <c r="I617" s="972">
        <v>14.2705</v>
      </c>
      <c r="J617" s="972">
        <v>62.2</v>
      </c>
    </row>
    <row r="618" spans="1:10" ht="15.75" hidden="1">
      <c r="A618" s="972" t="s">
        <v>2419</v>
      </c>
      <c r="B618" s="972" t="s">
        <v>1834</v>
      </c>
      <c r="C618" s="972" t="s">
        <v>2311</v>
      </c>
      <c r="D618" s="972">
        <v>3.6000000000000001E-5</v>
      </c>
      <c r="E618" s="972">
        <v>-7.6099999999999996E-4</v>
      </c>
      <c r="F618" s="972">
        <v>6.9999999999999999E-6</v>
      </c>
      <c r="G618" s="972">
        <v>16758</v>
      </c>
      <c r="H618" s="972">
        <v>35.402999999999999</v>
      </c>
      <c r="I618" s="972">
        <v>14.2705</v>
      </c>
      <c r="J618" s="972">
        <v>62.2</v>
      </c>
    </row>
    <row r="619" spans="1:10" ht="15.75" hidden="1">
      <c r="A619" s="972" t="s">
        <v>2419</v>
      </c>
      <c r="B619" s="972" t="s">
        <v>1834</v>
      </c>
      <c r="C619" s="972" t="s">
        <v>2328</v>
      </c>
      <c r="D619" s="972">
        <v>3.7500000000000001E-4</v>
      </c>
      <c r="E619" s="972">
        <v>1.3300000000000001E-4</v>
      </c>
      <c r="F619" s="972">
        <v>-6.2000000000000003E-5</v>
      </c>
      <c r="G619" s="972">
        <v>16758</v>
      </c>
      <c r="H619" s="972">
        <v>35.402999999999999</v>
      </c>
      <c r="I619" s="972">
        <v>14.2705</v>
      </c>
      <c r="J619" s="972">
        <v>62.2</v>
      </c>
    </row>
    <row r="620" spans="1:10" ht="15.75" hidden="1">
      <c r="A620" s="972" t="s">
        <v>2419</v>
      </c>
      <c r="B620" s="972" t="s">
        <v>1834</v>
      </c>
      <c r="C620" s="972" t="s">
        <v>2329</v>
      </c>
      <c r="D620" s="972">
        <v>9.8900000000000008E-4</v>
      </c>
      <c r="E620" s="972">
        <v>1.2400000000000001E-4</v>
      </c>
      <c r="F620" s="972">
        <v>-5.0000000000000004E-6</v>
      </c>
      <c r="G620" s="972">
        <v>16758</v>
      </c>
      <c r="H620" s="972">
        <v>35.402999999999999</v>
      </c>
      <c r="I620" s="972">
        <v>14.2705</v>
      </c>
      <c r="J620" s="972">
        <v>62.2</v>
      </c>
    </row>
    <row r="621" spans="1:10" ht="15.75" hidden="1">
      <c r="A621" s="972" t="s">
        <v>2419</v>
      </c>
      <c r="B621" s="972" t="s">
        <v>1834</v>
      </c>
      <c r="C621" s="972" t="s">
        <v>2330</v>
      </c>
      <c r="D621" s="972">
        <v>-4.4000000000000002E-4</v>
      </c>
      <c r="E621" s="972">
        <v>5.3619999999999996E-3</v>
      </c>
      <c r="F621" s="972">
        <v>-3.8999999999999999E-5</v>
      </c>
      <c r="G621" s="972">
        <v>16758</v>
      </c>
      <c r="H621" s="972">
        <v>35.402999999999999</v>
      </c>
      <c r="I621" s="972">
        <v>14.2705</v>
      </c>
      <c r="J621" s="972">
        <v>62.2</v>
      </c>
    </row>
    <row r="622" spans="1:10" ht="15.75" hidden="1">
      <c r="A622" s="972" t="s">
        <v>2419</v>
      </c>
      <c r="B622" s="972" t="s">
        <v>1834</v>
      </c>
      <c r="C622" s="972" t="s">
        <v>2331</v>
      </c>
      <c r="D622" s="972">
        <v>-4.7600000000000002E-4</v>
      </c>
      <c r="E622" s="972">
        <v>1.0369999999999999E-3</v>
      </c>
      <c r="F622" s="972">
        <v>2.2100000000000001E-4</v>
      </c>
      <c r="G622" s="972">
        <v>16758</v>
      </c>
      <c r="H622" s="972">
        <v>35.402999999999999</v>
      </c>
      <c r="I622" s="972">
        <v>14.2705</v>
      </c>
      <c r="J622" s="972">
        <v>62.2</v>
      </c>
    </row>
    <row r="623" spans="1:10" ht="15.75" hidden="1">
      <c r="A623" s="972" t="s">
        <v>2419</v>
      </c>
      <c r="B623" s="972" t="s">
        <v>1834</v>
      </c>
      <c r="C623" s="972" t="s">
        <v>2332</v>
      </c>
      <c r="D623" s="972">
        <v>5.1850000000000004E-3</v>
      </c>
      <c r="E623" s="972">
        <v>4.44E-4</v>
      </c>
      <c r="F623" s="972">
        <v>5.8999999999999998E-5</v>
      </c>
      <c r="G623" s="972">
        <v>16758</v>
      </c>
      <c r="H623" s="972">
        <v>35.402999999999999</v>
      </c>
      <c r="I623" s="972">
        <v>14.2705</v>
      </c>
      <c r="J623" s="972">
        <v>62.2</v>
      </c>
    </row>
    <row r="624" spans="1:10" ht="15.75" hidden="1">
      <c r="A624" s="972" t="s">
        <v>2419</v>
      </c>
      <c r="B624" s="972" t="s">
        <v>1834</v>
      </c>
      <c r="C624" s="972" t="s">
        <v>2387</v>
      </c>
      <c r="D624" s="972">
        <v>-4.2400000000000001E-4</v>
      </c>
      <c r="E624" s="972">
        <v>-9.0600000000000001E-4</v>
      </c>
      <c r="F624" s="972">
        <v>3.6999999999999998E-5</v>
      </c>
      <c r="G624" s="972">
        <v>16758</v>
      </c>
      <c r="H624" s="972">
        <v>35.402999999999999</v>
      </c>
      <c r="I624" s="972">
        <v>14.2705</v>
      </c>
      <c r="J624" s="972">
        <v>62.2</v>
      </c>
    </row>
    <row r="625" spans="1:10" ht="15.75" hidden="1">
      <c r="A625" s="972" t="s">
        <v>2419</v>
      </c>
      <c r="B625" s="972" t="s">
        <v>1834</v>
      </c>
      <c r="C625" s="972" t="s">
        <v>2388</v>
      </c>
      <c r="D625" s="972">
        <v>-4.1800000000000002E-4</v>
      </c>
      <c r="E625" s="972">
        <v>1.139E-3</v>
      </c>
      <c r="F625" s="972">
        <v>2.3E-5</v>
      </c>
      <c r="G625" s="972">
        <v>16758</v>
      </c>
      <c r="H625" s="972">
        <v>35.402999999999999</v>
      </c>
      <c r="I625" s="972">
        <v>14.2705</v>
      </c>
      <c r="J625" s="972">
        <v>62.2</v>
      </c>
    </row>
    <row r="626" spans="1:10" ht="15.75" hidden="1">
      <c r="A626" s="972" t="s">
        <v>2419</v>
      </c>
      <c r="B626" s="972" t="s">
        <v>1834</v>
      </c>
      <c r="C626" s="972" t="s">
        <v>2389</v>
      </c>
      <c r="D626" s="972">
        <v>-3.143E-3</v>
      </c>
      <c r="E626" s="972">
        <v>3.8739999999999998E-3</v>
      </c>
      <c r="F626" s="972">
        <v>2.5999999999999998E-5</v>
      </c>
      <c r="G626" s="972">
        <v>16758</v>
      </c>
      <c r="H626" s="972">
        <v>35.402999999999999</v>
      </c>
      <c r="I626" s="972">
        <v>14.2705</v>
      </c>
      <c r="J626" s="972">
        <v>62.2</v>
      </c>
    </row>
    <row r="627" spans="1:10" ht="15.75" hidden="1">
      <c r="A627" s="972" t="s">
        <v>2419</v>
      </c>
      <c r="B627" s="972" t="s">
        <v>1834</v>
      </c>
      <c r="C627" s="972" t="s">
        <v>2390</v>
      </c>
      <c r="D627" s="972">
        <v>4.0870000000000004E-3</v>
      </c>
      <c r="E627" s="972">
        <v>2.9369999999999999E-3</v>
      </c>
      <c r="F627" s="972">
        <v>1.8E-5</v>
      </c>
      <c r="G627" s="972">
        <v>16758</v>
      </c>
      <c r="H627" s="972">
        <v>35.402999999999999</v>
      </c>
      <c r="I627" s="972">
        <v>14.2705</v>
      </c>
      <c r="J627" s="972">
        <v>62.2</v>
      </c>
    </row>
    <row r="628" spans="1:10" ht="15.75" hidden="1">
      <c r="A628" s="972" t="s">
        <v>2419</v>
      </c>
      <c r="B628" s="972" t="s">
        <v>1834</v>
      </c>
      <c r="C628" s="972" t="s">
        <v>2391</v>
      </c>
      <c r="D628" s="972">
        <v>6.0700000000000001E-4</v>
      </c>
      <c r="E628" s="972">
        <v>2.1410000000000001E-3</v>
      </c>
      <c r="F628" s="972">
        <v>3.0000000000000001E-5</v>
      </c>
      <c r="G628" s="972">
        <v>16758</v>
      </c>
      <c r="H628" s="972">
        <v>35.402999999999999</v>
      </c>
      <c r="I628" s="972">
        <v>14.2705</v>
      </c>
      <c r="J628" s="972">
        <v>62.2</v>
      </c>
    </row>
    <row r="629" spans="1:10" ht="15.75" hidden="1">
      <c r="A629" s="972" t="s">
        <v>2419</v>
      </c>
      <c r="B629" s="972" t="s">
        <v>1834</v>
      </c>
      <c r="C629" s="972" t="s">
        <v>2392</v>
      </c>
      <c r="D629" s="972">
        <v>-1.127E-3</v>
      </c>
      <c r="E629" s="972">
        <v>-3.4589999999999998E-3</v>
      </c>
      <c r="F629" s="972">
        <v>-6.9999999999999999E-6</v>
      </c>
      <c r="G629" s="972">
        <v>16758</v>
      </c>
      <c r="H629" s="972">
        <v>35.402999999999999</v>
      </c>
      <c r="I629" s="972">
        <v>14.2705</v>
      </c>
      <c r="J629" s="972">
        <v>62.2</v>
      </c>
    </row>
    <row r="630" spans="1:10" ht="15.75" hidden="1">
      <c r="A630" s="972" t="s">
        <v>2419</v>
      </c>
      <c r="B630" s="972" t="s">
        <v>1834</v>
      </c>
      <c r="C630" s="972" t="s">
        <v>2393</v>
      </c>
      <c r="D630" s="972">
        <v>1.8240000000000001E-3</v>
      </c>
      <c r="E630" s="972">
        <v>2.81E-4</v>
      </c>
      <c r="F630" s="972">
        <v>3.0000000000000001E-5</v>
      </c>
      <c r="G630" s="972">
        <v>16758</v>
      </c>
      <c r="H630" s="972">
        <v>35.402999999999999</v>
      </c>
      <c r="I630" s="972">
        <v>14.2705</v>
      </c>
      <c r="J630" s="972">
        <v>62.2</v>
      </c>
    </row>
    <row r="631" spans="1:10" ht="15.75" hidden="1">
      <c r="A631" s="972" t="s">
        <v>2419</v>
      </c>
      <c r="B631" s="972" t="s">
        <v>1834</v>
      </c>
      <c r="C631" s="972" t="s">
        <v>2394</v>
      </c>
      <c r="D631" s="972">
        <v>3.4000000000000002E-4</v>
      </c>
      <c r="E631" s="972">
        <v>-1.526E-3</v>
      </c>
      <c r="F631" s="972">
        <v>3.0000000000000001E-6</v>
      </c>
      <c r="G631" s="972">
        <v>16758</v>
      </c>
      <c r="H631" s="972">
        <v>35.402999999999999</v>
      </c>
      <c r="I631" s="972">
        <v>14.2705</v>
      </c>
      <c r="J631" s="972">
        <v>62.2</v>
      </c>
    </row>
    <row r="632" spans="1:10" ht="15.75" hidden="1">
      <c r="A632" s="972" t="s">
        <v>2419</v>
      </c>
      <c r="B632" s="972" t="s">
        <v>1834</v>
      </c>
      <c r="C632" s="972" t="s">
        <v>2395</v>
      </c>
      <c r="D632" s="972">
        <v>-1.6750000000000001E-3</v>
      </c>
      <c r="E632" s="972">
        <v>4.1199999999999999E-4</v>
      </c>
      <c r="F632" s="972">
        <v>-2.9E-5</v>
      </c>
      <c r="G632" s="972">
        <v>16758</v>
      </c>
      <c r="H632" s="972">
        <v>35.402999999999999</v>
      </c>
      <c r="I632" s="972">
        <v>14.2705</v>
      </c>
      <c r="J632" s="972">
        <v>62.2</v>
      </c>
    </row>
    <row r="633" spans="1:10" ht="15.75" hidden="1">
      <c r="A633" s="972" t="s">
        <v>2419</v>
      </c>
      <c r="B633" s="972" t="s">
        <v>1834</v>
      </c>
      <c r="C633" s="972" t="s">
        <v>2396</v>
      </c>
      <c r="D633" s="972">
        <v>-3.3799999999999998E-4</v>
      </c>
      <c r="E633" s="972">
        <v>4.95E-4</v>
      </c>
      <c r="F633" s="972">
        <v>-9.9999999999999995E-7</v>
      </c>
      <c r="G633" s="972">
        <v>16758</v>
      </c>
      <c r="H633" s="972">
        <v>35.402999999999999</v>
      </c>
      <c r="I633" s="972">
        <v>14.2705</v>
      </c>
      <c r="J633" s="972">
        <v>62.2</v>
      </c>
    </row>
    <row r="634" spans="1:10" ht="15.75" hidden="1">
      <c r="A634" s="972" t="s">
        <v>2420</v>
      </c>
      <c r="B634" s="972" t="s">
        <v>1834</v>
      </c>
      <c r="C634" s="972" t="s">
        <v>2297</v>
      </c>
      <c r="D634" s="972">
        <v>-5.31E-4</v>
      </c>
      <c r="E634" s="972">
        <v>2.7599999999999999E-3</v>
      </c>
      <c r="F634" s="972">
        <v>2.6999999999999999E-5</v>
      </c>
      <c r="G634" s="972">
        <v>16759</v>
      </c>
      <c r="H634" s="972">
        <v>35.402999999999999</v>
      </c>
      <c r="I634" s="972">
        <v>14.2705</v>
      </c>
      <c r="J634" s="972">
        <v>58.8</v>
      </c>
    </row>
    <row r="635" spans="1:10" ht="15.75" hidden="1">
      <c r="A635" s="972" t="s">
        <v>2420</v>
      </c>
      <c r="B635" s="972" t="s">
        <v>1834</v>
      </c>
      <c r="C635" s="972" t="s">
        <v>2298</v>
      </c>
      <c r="D635" s="972">
        <v>-4.6099999999999998E-4</v>
      </c>
      <c r="E635" s="972">
        <v>-5.8E-4</v>
      </c>
      <c r="F635" s="972">
        <v>1.5899999999999999E-4</v>
      </c>
      <c r="G635" s="972">
        <v>16759</v>
      </c>
      <c r="H635" s="972">
        <v>35.402999999999999</v>
      </c>
      <c r="I635" s="972">
        <v>14.2705</v>
      </c>
      <c r="J635" s="972">
        <v>58.8</v>
      </c>
    </row>
    <row r="636" spans="1:10" ht="15.75">
      <c r="A636" s="972" t="s">
        <v>2420</v>
      </c>
      <c r="B636" s="972" t="s">
        <v>1834</v>
      </c>
      <c r="C636" s="972" t="s">
        <v>2299</v>
      </c>
      <c r="D636" s="972">
        <v>2.9740000000000001E-3</v>
      </c>
      <c r="E636" s="972">
        <v>5.1699999999999999E-4</v>
      </c>
      <c r="F636" s="972">
        <v>2.8E-5</v>
      </c>
      <c r="G636" s="972">
        <v>16759</v>
      </c>
      <c r="H636" s="972">
        <v>35.402999999999999</v>
      </c>
      <c r="I636" s="972">
        <v>14.2705</v>
      </c>
      <c r="J636" s="972">
        <v>58.8</v>
      </c>
    </row>
    <row r="637" spans="1:10" ht="15.75" hidden="1">
      <c r="A637" s="972" t="s">
        <v>2420</v>
      </c>
      <c r="B637" s="972" t="s">
        <v>1834</v>
      </c>
      <c r="C637" s="972" t="s">
        <v>2300</v>
      </c>
      <c r="D637" s="972">
        <v>-8.0199999999999998E-4</v>
      </c>
      <c r="E637" s="972">
        <v>3.0000000000000001E-5</v>
      </c>
      <c r="F637" s="972">
        <v>2.5900000000000001E-4</v>
      </c>
      <c r="G637" s="972">
        <v>16759</v>
      </c>
      <c r="H637" s="972">
        <v>35.402999999999999</v>
      </c>
      <c r="I637" s="972">
        <v>14.2705</v>
      </c>
      <c r="J637" s="972">
        <v>58.8</v>
      </c>
    </row>
    <row r="638" spans="1:10" ht="15.75" hidden="1">
      <c r="A638" s="972" t="s">
        <v>2420</v>
      </c>
      <c r="B638" s="972" t="s">
        <v>1834</v>
      </c>
      <c r="C638" s="972" t="s">
        <v>2301</v>
      </c>
      <c r="D638" s="972">
        <v>7.0100000000000002E-4</v>
      </c>
      <c r="E638" s="972">
        <v>-5.5849999999999997E-3</v>
      </c>
      <c r="F638" s="972">
        <v>7.9999999999999996E-6</v>
      </c>
      <c r="G638" s="972">
        <v>16759</v>
      </c>
      <c r="H638" s="972">
        <v>35.402999999999999</v>
      </c>
      <c r="I638" s="972">
        <v>14.2705</v>
      </c>
      <c r="J638" s="972">
        <v>58.8</v>
      </c>
    </row>
    <row r="639" spans="1:10" ht="15.75" hidden="1">
      <c r="A639" s="972" t="s">
        <v>2420</v>
      </c>
      <c r="B639" s="972" t="s">
        <v>1834</v>
      </c>
      <c r="C639" s="972" t="s">
        <v>2302</v>
      </c>
      <c r="D639" s="972">
        <v>-5.4320000000000002E-3</v>
      </c>
      <c r="E639" s="972">
        <v>-6.7299999999999999E-4</v>
      </c>
      <c r="F639" s="972">
        <v>-3.4999999999999997E-5</v>
      </c>
      <c r="G639" s="972">
        <v>16759</v>
      </c>
      <c r="H639" s="972">
        <v>35.402999999999999</v>
      </c>
      <c r="I639" s="972">
        <v>14.2705</v>
      </c>
      <c r="J639" s="972">
        <v>58.8</v>
      </c>
    </row>
    <row r="640" spans="1:10" ht="15.75" hidden="1">
      <c r="A640" s="972" t="s">
        <v>2420</v>
      </c>
      <c r="B640" s="972" t="s">
        <v>1834</v>
      </c>
      <c r="C640" s="972" t="s">
        <v>2303</v>
      </c>
      <c r="D640" s="972">
        <v>1E-4</v>
      </c>
      <c r="E640" s="972">
        <v>2.0999999999999999E-5</v>
      </c>
      <c r="F640" s="972">
        <v>3.0000000000000001E-5</v>
      </c>
      <c r="G640" s="972">
        <v>16759</v>
      </c>
      <c r="H640" s="972">
        <v>35.402999999999999</v>
      </c>
      <c r="I640" s="972">
        <v>14.2705</v>
      </c>
      <c r="J640" s="972">
        <v>58.8</v>
      </c>
    </row>
    <row r="641" spans="1:10" ht="15.75" hidden="1">
      <c r="A641" s="972" t="s">
        <v>2420</v>
      </c>
      <c r="B641" s="972" t="s">
        <v>1834</v>
      </c>
      <c r="C641" s="972" t="s">
        <v>2304</v>
      </c>
      <c r="D641" s="972">
        <v>4.1999999999999998E-5</v>
      </c>
      <c r="E641" s="972">
        <v>-1.4300000000000001E-4</v>
      </c>
      <c r="F641" s="972">
        <v>9.9999999999999995E-7</v>
      </c>
      <c r="G641" s="972">
        <v>16759</v>
      </c>
      <c r="H641" s="972">
        <v>35.402999999999999</v>
      </c>
      <c r="I641" s="972">
        <v>14.2705</v>
      </c>
      <c r="J641" s="972">
        <v>58.8</v>
      </c>
    </row>
    <row r="642" spans="1:10" ht="15.75" hidden="1">
      <c r="A642" s="972" t="s">
        <v>2420</v>
      </c>
      <c r="B642" s="972" t="s">
        <v>1834</v>
      </c>
      <c r="C642" s="972" t="s">
        <v>2305</v>
      </c>
      <c r="D642" s="972">
        <v>5.5699999999999999E-4</v>
      </c>
      <c r="E642" s="972">
        <v>5.0000000000000004E-6</v>
      </c>
      <c r="F642" s="972">
        <v>-2.7E-4</v>
      </c>
      <c r="G642" s="972">
        <v>16759</v>
      </c>
      <c r="H642" s="972">
        <v>35.402999999999999</v>
      </c>
      <c r="I642" s="972">
        <v>14.2705</v>
      </c>
      <c r="J642" s="972">
        <v>58.8</v>
      </c>
    </row>
    <row r="643" spans="1:10" ht="15.75" hidden="1">
      <c r="A643" s="972" t="s">
        <v>2420</v>
      </c>
      <c r="B643" s="972" t="s">
        <v>1834</v>
      </c>
      <c r="C643" s="972" t="s">
        <v>2306</v>
      </c>
      <c r="D643" s="972">
        <v>1.34E-4</v>
      </c>
      <c r="E643" s="972">
        <v>3.4E-5</v>
      </c>
      <c r="F643" s="972">
        <v>-2.5999999999999998E-5</v>
      </c>
      <c r="G643" s="972">
        <v>16759</v>
      </c>
      <c r="H643" s="972">
        <v>35.402999999999999</v>
      </c>
      <c r="I643" s="972">
        <v>14.2705</v>
      </c>
      <c r="J643" s="972">
        <v>58.8</v>
      </c>
    </row>
    <row r="644" spans="1:10" ht="15.75" hidden="1">
      <c r="A644" s="972" t="s">
        <v>2420</v>
      </c>
      <c r="B644" s="972" t="s">
        <v>1834</v>
      </c>
      <c r="C644" s="972" t="s">
        <v>2307</v>
      </c>
      <c r="D644" s="972">
        <v>1.13E-4</v>
      </c>
      <c r="E644" s="972">
        <v>-1.9469999999999999E-3</v>
      </c>
      <c r="F644" s="972">
        <v>-4.6999999999999997E-5</v>
      </c>
      <c r="G644" s="972">
        <v>16759</v>
      </c>
      <c r="H644" s="972">
        <v>35.402999999999999</v>
      </c>
      <c r="I644" s="972">
        <v>14.2705</v>
      </c>
      <c r="J644" s="972">
        <v>58.8</v>
      </c>
    </row>
    <row r="645" spans="1:10" ht="15.75" hidden="1">
      <c r="A645" s="972" t="s">
        <v>2420</v>
      </c>
      <c r="B645" s="972" t="s">
        <v>1834</v>
      </c>
      <c r="C645" s="972" t="s">
        <v>2308</v>
      </c>
      <c r="D645" s="972">
        <v>-5.3799999999999996E-4</v>
      </c>
      <c r="E645" s="972">
        <v>5.2319999999999997E-3</v>
      </c>
      <c r="F645" s="972">
        <v>-2.3E-5</v>
      </c>
      <c r="G645" s="972">
        <v>16759</v>
      </c>
      <c r="H645" s="972">
        <v>35.402999999999999</v>
      </c>
      <c r="I645" s="972">
        <v>14.2705</v>
      </c>
      <c r="J645" s="972">
        <v>58.8</v>
      </c>
    </row>
    <row r="646" spans="1:10" ht="15.75" hidden="1">
      <c r="A646" s="972" t="s">
        <v>2420</v>
      </c>
      <c r="B646" s="972" t="s">
        <v>1834</v>
      </c>
      <c r="C646" s="972" t="s">
        <v>2309</v>
      </c>
      <c r="D646" s="972">
        <v>-5.5490000000000001E-3</v>
      </c>
      <c r="E646" s="972">
        <v>-5.3300000000000005E-4</v>
      </c>
      <c r="F646" s="972">
        <v>-1.9000000000000001E-5</v>
      </c>
      <c r="G646" s="972">
        <v>16759</v>
      </c>
      <c r="H646" s="972">
        <v>35.402999999999999</v>
      </c>
      <c r="I646" s="972">
        <v>14.2705</v>
      </c>
      <c r="J646" s="972">
        <v>58.8</v>
      </c>
    </row>
    <row r="647" spans="1:10" ht="15.75" hidden="1">
      <c r="A647" s="972" t="s">
        <v>2420</v>
      </c>
      <c r="B647" s="972" t="s">
        <v>1834</v>
      </c>
      <c r="C647" s="972" t="s">
        <v>2310</v>
      </c>
      <c r="D647" s="972">
        <v>-2.63E-4</v>
      </c>
      <c r="E647" s="972">
        <v>1.9000000000000001E-5</v>
      </c>
      <c r="F647" s="972">
        <v>2.5399999999999999E-4</v>
      </c>
      <c r="G647" s="972">
        <v>16759</v>
      </c>
      <c r="H647" s="972">
        <v>35.402999999999999</v>
      </c>
      <c r="I647" s="972">
        <v>14.2705</v>
      </c>
      <c r="J647" s="972">
        <v>58.8</v>
      </c>
    </row>
    <row r="648" spans="1:10" ht="15.75" hidden="1">
      <c r="A648" s="972" t="s">
        <v>2420</v>
      </c>
      <c r="B648" s="972" t="s">
        <v>1834</v>
      </c>
      <c r="C648" s="972" t="s">
        <v>2311</v>
      </c>
      <c r="D648" s="972">
        <v>-1.4799999999999999E-4</v>
      </c>
      <c r="E648" s="972">
        <v>1.194E-3</v>
      </c>
      <c r="F648" s="972">
        <v>3.9999999999999998E-6</v>
      </c>
      <c r="G648" s="972">
        <v>16759</v>
      </c>
      <c r="H648" s="972">
        <v>35.402999999999999</v>
      </c>
      <c r="I648" s="972">
        <v>14.2705</v>
      </c>
      <c r="J648" s="972">
        <v>58.8</v>
      </c>
    </row>
    <row r="649" spans="1:10" ht="15.75" hidden="1">
      <c r="A649" s="972" t="s">
        <v>2420</v>
      </c>
      <c r="B649" s="972" t="s">
        <v>1834</v>
      </c>
      <c r="C649" s="972" t="s">
        <v>2328</v>
      </c>
      <c r="D649" s="972">
        <v>3.4E-5</v>
      </c>
      <c r="E649" s="972">
        <v>1.64E-4</v>
      </c>
      <c r="F649" s="972">
        <v>6.3999999999999997E-5</v>
      </c>
      <c r="G649" s="972">
        <v>16759</v>
      </c>
      <c r="H649" s="972">
        <v>35.402999999999999</v>
      </c>
      <c r="I649" s="972">
        <v>14.2705</v>
      </c>
      <c r="J649" s="972">
        <v>58.8</v>
      </c>
    </row>
    <row r="650" spans="1:10" ht="15.75" hidden="1">
      <c r="A650" s="972" t="s">
        <v>2420</v>
      </c>
      <c r="B650" s="972" t="s">
        <v>1834</v>
      </c>
      <c r="C650" s="972" t="s">
        <v>2329</v>
      </c>
      <c r="D650" s="972">
        <v>-9.1600000000000004E-4</v>
      </c>
      <c r="E650" s="972">
        <v>-6.0999999999999999E-5</v>
      </c>
      <c r="F650" s="972">
        <v>-2.8E-5</v>
      </c>
      <c r="G650" s="972">
        <v>16759</v>
      </c>
      <c r="H650" s="972">
        <v>35.402999999999999</v>
      </c>
      <c r="I650" s="972">
        <v>14.2705</v>
      </c>
      <c r="J650" s="972">
        <v>58.8</v>
      </c>
    </row>
    <row r="651" spans="1:10" ht="15.75" hidden="1">
      <c r="A651" s="972" t="s">
        <v>2420</v>
      </c>
      <c r="B651" s="972" t="s">
        <v>1834</v>
      </c>
      <c r="C651" s="972" t="s">
        <v>2330</v>
      </c>
      <c r="D651" s="972">
        <v>-3.6299999999999999E-4</v>
      </c>
      <c r="E651" s="972">
        <v>5.1850000000000004E-3</v>
      </c>
      <c r="F651" s="972">
        <v>-4.8000000000000001E-5</v>
      </c>
      <c r="G651" s="972">
        <v>16759</v>
      </c>
      <c r="H651" s="972">
        <v>35.402999999999999</v>
      </c>
      <c r="I651" s="972">
        <v>14.2705</v>
      </c>
      <c r="J651" s="972">
        <v>58.8</v>
      </c>
    </row>
    <row r="652" spans="1:10" ht="15.75" hidden="1">
      <c r="A652" s="972" t="s">
        <v>2420</v>
      </c>
      <c r="B652" s="972" t="s">
        <v>1834</v>
      </c>
      <c r="C652" s="972" t="s">
        <v>2331</v>
      </c>
      <c r="D652" s="972">
        <v>-6.38E-4</v>
      </c>
      <c r="E652" s="972">
        <v>8.4400000000000002E-4</v>
      </c>
      <c r="F652" s="972">
        <v>2.3800000000000001E-4</v>
      </c>
      <c r="G652" s="972">
        <v>16759</v>
      </c>
      <c r="H652" s="972">
        <v>35.402999999999999</v>
      </c>
      <c r="I652" s="972">
        <v>14.2705</v>
      </c>
      <c r="J652" s="972">
        <v>58.8</v>
      </c>
    </row>
    <row r="653" spans="1:10" ht="15.75" hidden="1">
      <c r="A653" s="972" t="s">
        <v>2420</v>
      </c>
      <c r="B653" s="972" t="s">
        <v>1834</v>
      </c>
      <c r="C653" s="972" t="s">
        <v>2332</v>
      </c>
      <c r="D653" s="972">
        <v>5.1669999999999997E-3</v>
      </c>
      <c r="E653" s="972">
        <v>4.9600000000000002E-4</v>
      </c>
      <c r="F653" s="972">
        <v>3.4E-5</v>
      </c>
      <c r="G653" s="972">
        <v>16759</v>
      </c>
      <c r="H653" s="972">
        <v>35.402999999999999</v>
      </c>
      <c r="I653" s="972">
        <v>14.2705</v>
      </c>
      <c r="J653" s="972">
        <v>58.8</v>
      </c>
    </row>
    <row r="654" spans="1:10" ht="15.75" hidden="1">
      <c r="A654" s="972" t="s">
        <v>2420</v>
      </c>
      <c r="B654" s="972" t="s">
        <v>1834</v>
      </c>
      <c r="C654" s="972" t="s">
        <v>2387</v>
      </c>
      <c r="D654" s="972">
        <v>-6.4400000000000004E-4</v>
      </c>
      <c r="E654" s="972">
        <v>1.7949999999999999E-3</v>
      </c>
      <c r="F654" s="972">
        <v>1.2E-5</v>
      </c>
      <c r="G654" s="972">
        <v>16759</v>
      </c>
      <c r="H654" s="972">
        <v>35.402999999999999</v>
      </c>
      <c r="I654" s="972">
        <v>14.2705</v>
      </c>
      <c r="J654" s="972">
        <v>58.8</v>
      </c>
    </row>
    <row r="655" spans="1:10" ht="15.75" hidden="1">
      <c r="A655" s="972" t="s">
        <v>2420</v>
      </c>
      <c r="B655" s="972" t="s">
        <v>1834</v>
      </c>
      <c r="C655" s="972" t="s">
        <v>2388</v>
      </c>
      <c r="D655" s="972">
        <v>-2.3289999999999999E-3</v>
      </c>
      <c r="E655" s="972">
        <v>5.9699999999999998E-4</v>
      </c>
      <c r="F655" s="972">
        <v>-7.3999999999999996E-5</v>
      </c>
      <c r="G655" s="972">
        <v>16759</v>
      </c>
      <c r="H655" s="972">
        <v>35.402999999999999</v>
      </c>
      <c r="I655" s="972">
        <v>14.2705</v>
      </c>
      <c r="J655" s="972">
        <v>58.8</v>
      </c>
    </row>
    <row r="656" spans="1:10" ht="15.75" hidden="1">
      <c r="A656" s="972" t="s">
        <v>2420</v>
      </c>
      <c r="B656" s="972" t="s">
        <v>1834</v>
      </c>
      <c r="C656" s="972" t="s">
        <v>2389</v>
      </c>
      <c r="D656" s="972">
        <v>-1.6119999999999999E-3</v>
      </c>
      <c r="E656" s="972">
        <v>3.9280000000000001E-3</v>
      </c>
      <c r="F656" s="972">
        <v>-3.1999999999999999E-5</v>
      </c>
      <c r="G656" s="972">
        <v>16759</v>
      </c>
      <c r="H656" s="972">
        <v>35.402999999999999</v>
      </c>
      <c r="I656" s="972">
        <v>14.2705</v>
      </c>
      <c r="J656" s="972">
        <v>58.8</v>
      </c>
    </row>
    <row r="657" spans="1:10" ht="15.75" hidden="1">
      <c r="A657" s="972" t="s">
        <v>2420</v>
      </c>
      <c r="B657" s="972" t="s">
        <v>1834</v>
      </c>
      <c r="C657" s="972" t="s">
        <v>2390</v>
      </c>
      <c r="D657" s="972">
        <v>3.0980000000000001E-3</v>
      </c>
      <c r="E657" s="972">
        <v>3.7750000000000001E-3</v>
      </c>
      <c r="F657" s="972">
        <v>7.2999999999999999E-5</v>
      </c>
      <c r="G657" s="972">
        <v>16759</v>
      </c>
      <c r="H657" s="972">
        <v>35.402999999999999</v>
      </c>
      <c r="I657" s="972">
        <v>14.2705</v>
      </c>
      <c r="J657" s="972">
        <v>58.8</v>
      </c>
    </row>
    <row r="658" spans="1:10" ht="15.75" hidden="1">
      <c r="A658" s="972" t="s">
        <v>2420</v>
      </c>
      <c r="B658" s="972" t="s">
        <v>1834</v>
      </c>
      <c r="C658" s="972" t="s">
        <v>2391</v>
      </c>
      <c r="D658" s="972">
        <v>2.5569999999999998E-3</v>
      </c>
      <c r="E658" s="972">
        <v>6.9800000000000005E-4</v>
      </c>
      <c r="F658" s="972">
        <v>1.9999999999999999E-6</v>
      </c>
      <c r="G658" s="972">
        <v>16759</v>
      </c>
      <c r="H658" s="972">
        <v>35.402999999999999</v>
      </c>
      <c r="I658" s="972">
        <v>14.2705</v>
      </c>
      <c r="J658" s="972">
        <v>58.8</v>
      </c>
    </row>
    <row r="659" spans="1:10" ht="15.75" hidden="1">
      <c r="A659" s="972" t="s">
        <v>2420</v>
      </c>
      <c r="B659" s="972" t="s">
        <v>1834</v>
      </c>
      <c r="C659" s="972" t="s">
        <v>2392</v>
      </c>
      <c r="D659" s="972">
        <v>5.1500000000000005E-4</v>
      </c>
      <c r="E659" s="972">
        <v>-1.9650000000000002E-3</v>
      </c>
      <c r="F659" s="972">
        <v>-1.2E-5</v>
      </c>
      <c r="G659" s="972">
        <v>16759</v>
      </c>
      <c r="H659" s="972">
        <v>35.402999999999999</v>
      </c>
      <c r="I659" s="972">
        <v>14.2705</v>
      </c>
      <c r="J659" s="972">
        <v>58.8</v>
      </c>
    </row>
    <row r="660" spans="1:10" ht="15.75" hidden="1">
      <c r="A660" s="972" t="s">
        <v>2420</v>
      </c>
      <c r="B660" s="972" t="s">
        <v>1834</v>
      </c>
      <c r="C660" s="972" t="s">
        <v>2393</v>
      </c>
      <c r="D660" s="972">
        <v>2.735E-3</v>
      </c>
      <c r="E660" s="972">
        <v>-9.859999999999999E-4</v>
      </c>
      <c r="F660" s="972">
        <v>1.9999999999999999E-6</v>
      </c>
      <c r="G660" s="972">
        <v>16759</v>
      </c>
      <c r="H660" s="972">
        <v>35.402999999999999</v>
      </c>
      <c r="I660" s="972">
        <v>14.2705</v>
      </c>
      <c r="J660" s="972">
        <v>58.8</v>
      </c>
    </row>
    <row r="661" spans="1:10" ht="15.75" hidden="1">
      <c r="A661" s="972" t="s">
        <v>2420</v>
      </c>
      <c r="B661" s="972" t="s">
        <v>1834</v>
      </c>
      <c r="C661" s="972" t="s">
        <v>2394</v>
      </c>
      <c r="D661" s="972">
        <v>1.3680000000000001E-3</v>
      </c>
      <c r="E661" s="972">
        <v>4.1399999999999998E-4</v>
      </c>
      <c r="F661" s="972">
        <v>1.9999999999999999E-6</v>
      </c>
      <c r="G661" s="972">
        <v>16759</v>
      </c>
      <c r="H661" s="972">
        <v>35.402999999999999</v>
      </c>
      <c r="I661" s="972">
        <v>14.2705</v>
      </c>
      <c r="J661" s="972">
        <v>58.8</v>
      </c>
    </row>
    <row r="662" spans="1:10" ht="15.75" hidden="1">
      <c r="A662" s="972" t="s">
        <v>2420</v>
      </c>
      <c r="B662" s="972" t="s">
        <v>1834</v>
      </c>
      <c r="C662" s="972" t="s">
        <v>2395</v>
      </c>
      <c r="D662" s="972">
        <v>-1.9819999999999998E-3</v>
      </c>
      <c r="E662" s="972">
        <v>9.8799999999999995E-4</v>
      </c>
      <c r="F662" s="972">
        <v>-1.1619999999999999E-7</v>
      </c>
      <c r="G662" s="972">
        <v>16759</v>
      </c>
      <c r="H662" s="972">
        <v>35.402999999999999</v>
      </c>
      <c r="I662" s="972">
        <v>14.2705</v>
      </c>
      <c r="J662" s="972">
        <v>58.8</v>
      </c>
    </row>
    <row r="663" spans="1:10" ht="15.75" hidden="1">
      <c r="A663" s="972" t="s">
        <v>2420</v>
      </c>
      <c r="B663" s="972" t="s">
        <v>1834</v>
      </c>
      <c r="C663" s="972" t="s">
        <v>2396</v>
      </c>
      <c r="D663" s="972">
        <v>-8.0699999999999999E-4</v>
      </c>
      <c r="E663" s="972">
        <v>-1.1479999999999999E-3</v>
      </c>
      <c r="F663" s="972">
        <v>-1.9999999999999999E-6</v>
      </c>
      <c r="G663" s="972">
        <v>16759</v>
      </c>
      <c r="H663" s="972">
        <v>35.402999999999999</v>
      </c>
      <c r="I663" s="972">
        <v>14.2705</v>
      </c>
      <c r="J663" s="972">
        <v>58.8</v>
      </c>
    </row>
    <row r="664" spans="1:10" ht="15.75" hidden="1">
      <c r="A664" s="972" t="s">
        <v>2421</v>
      </c>
      <c r="B664" s="972" t="s">
        <v>1834</v>
      </c>
      <c r="C664" s="972" t="s">
        <v>2297</v>
      </c>
      <c r="D664" s="972">
        <v>-4.9100000000000001E-4</v>
      </c>
      <c r="E664" s="972">
        <v>2.5500000000000002E-3</v>
      </c>
      <c r="F664" s="972">
        <v>2.5999999999999998E-5</v>
      </c>
      <c r="G664" s="972">
        <v>16760</v>
      </c>
      <c r="H664" s="972">
        <v>35.402999999999999</v>
      </c>
      <c r="I664" s="972">
        <v>14.2705</v>
      </c>
      <c r="J664" s="972">
        <v>55.4</v>
      </c>
    </row>
    <row r="665" spans="1:10" ht="15.75" hidden="1">
      <c r="A665" s="972" t="s">
        <v>2421</v>
      </c>
      <c r="B665" s="972" t="s">
        <v>1834</v>
      </c>
      <c r="C665" s="972" t="s">
        <v>2298</v>
      </c>
      <c r="D665" s="972">
        <v>-4.3100000000000001E-4</v>
      </c>
      <c r="E665" s="972">
        <v>-5.3600000000000002E-4</v>
      </c>
      <c r="F665" s="972">
        <v>1.4899999999999999E-4</v>
      </c>
      <c r="G665" s="972">
        <v>16760</v>
      </c>
      <c r="H665" s="972">
        <v>35.402999999999999</v>
      </c>
      <c r="I665" s="972">
        <v>14.2705</v>
      </c>
      <c r="J665" s="972">
        <v>55.4</v>
      </c>
    </row>
    <row r="666" spans="1:10" ht="15.75">
      <c r="A666" s="972" t="s">
        <v>2421</v>
      </c>
      <c r="B666" s="972" t="s">
        <v>1834</v>
      </c>
      <c r="C666" s="972" t="s">
        <v>2299</v>
      </c>
      <c r="D666" s="972">
        <v>2.764E-3</v>
      </c>
      <c r="E666" s="972">
        <v>4.8299999999999998E-4</v>
      </c>
      <c r="F666" s="972">
        <v>2.5999999999999998E-5</v>
      </c>
      <c r="G666" s="972">
        <v>16760</v>
      </c>
      <c r="H666" s="972">
        <v>35.402999999999999</v>
      </c>
      <c r="I666" s="972">
        <v>14.2705</v>
      </c>
      <c r="J666" s="972">
        <v>55.4</v>
      </c>
    </row>
    <row r="667" spans="1:10" ht="15.75" hidden="1">
      <c r="A667" s="972" t="s">
        <v>2421</v>
      </c>
      <c r="B667" s="972" t="s">
        <v>1834</v>
      </c>
      <c r="C667" s="972" t="s">
        <v>2300</v>
      </c>
      <c r="D667" s="972">
        <v>-8.2299999999999995E-4</v>
      </c>
      <c r="E667" s="972">
        <v>3.0000000000000001E-5</v>
      </c>
      <c r="F667" s="972">
        <v>2.6899999999999998E-4</v>
      </c>
      <c r="G667" s="972">
        <v>16760</v>
      </c>
      <c r="H667" s="972">
        <v>35.402999999999999</v>
      </c>
      <c r="I667" s="972">
        <v>14.2705</v>
      </c>
      <c r="J667" s="972">
        <v>55.4</v>
      </c>
    </row>
    <row r="668" spans="1:10" ht="15.75" hidden="1">
      <c r="A668" s="972" t="s">
        <v>2421</v>
      </c>
      <c r="B668" s="972" t="s">
        <v>1834</v>
      </c>
      <c r="C668" s="972" t="s">
        <v>2301</v>
      </c>
      <c r="D668" s="972">
        <v>7.0899999999999999E-4</v>
      </c>
      <c r="E668" s="972">
        <v>-5.6759999999999996E-3</v>
      </c>
      <c r="F668" s="972">
        <v>7.9999999999999996E-6</v>
      </c>
      <c r="G668" s="972">
        <v>16760</v>
      </c>
      <c r="H668" s="972">
        <v>35.402999999999999</v>
      </c>
      <c r="I668" s="972">
        <v>14.2705</v>
      </c>
      <c r="J668" s="972">
        <v>55.4</v>
      </c>
    </row>
    <row r="669" spans="1:10" ht="15.75" hidden="1">
      <c r="A669" s="972" t="s">
        <v>2421</v>
      </c>
      <c r="B669" s="972" t="s">
        <v>1834</v>
      </c>
      <c r="C669" s="972" t="s">
        <v>2302</v>
      </c>
      <c r="D669" s="972">
        <v>-5.5490000000000001E-3</v>
      </c>
      <c r="E669" s="972">
        <v>-6.9300000000000004E-4</v>
      </c>
      <c r="F669" s="972">
        <v>-3.6999999999999998E-5</v>
      </c>
      <c r="G669" s="972">
        <v>16760</v>
      </c>
      <c r="H669" s="972">
        <v>35.402999999999999</v>
      </c>
      <c r="I669" s="972">
        <v>14.2705</v>
      </c>
      <c r="J669" s="972">
        <v>55.4</v>
      </c>
    </row>
    <row r="670" spans="1:10" ht="15.75" hidden="1">
      <c r="A670" s="972" t="s">
        <v>2421</v>
      </c>
      <c r="B670" s="972" t="s">
        <v>1834</v>
      </c>
      <c r="C670" s="972" t="s">
        <v>2303</v>
      </c>
      <c r="D670" s="972">
        <v>2.3800000000000001E-4</v>
      </c>
      <c r="E670" s="972">
        <v>2.5000000000000001E-5</v>
      </c>
      <c r="F670" s="972">
        <v>-2.5000000000000001E-5</v>
      </c>
      <c r="G670" s="972">
        <v>16760</v>
      </c>
      <c r="H670" s="972">
        <v>35.402999999999999</v>
      </c>
      <c r="I670" s="972">
        <v>14.2705</v>
      </c>
      <c r="J670" s="972">
        <v>55.4</v>
      </c>
    </row>
    <row r="671" spans="1:10" ht="15.75" hidden="1">
      <c r="A671" s="972" t="s">
        <v>2421</v>
      </c>
      <c r="B671" s="972" t="s">
        <v>1834</v>
      </c>
      <c r="C671" s="972" t="s">
        <v>2304</v>
      </c>
      <c r="D671" s="972">
        <v>1.5100000000000001E-4</v>
      </c>
      <c r="E671" s="972">
        <v>-1.248E-3</v>
      </c>
      <c r="F671" s="972">
        <v>1.9999999999999999E-6</v>
      </c>
      <c r="G671" s="972">
        <v>16760</v>
      </c>
      <c r="H671" s="972">
        <v>35.402999999999999</v>
      </c>
      <c r="I671" s="972">
        <v>14.2705</v>
      </c>
      <c r="J671" s="972">
        <v>55.4</v>
      </c>
    </row>
    <row r="672" spans="1:10" ht="15.75" hidden="1">
      <c r="A672" s="972" t="s">
        <v>2421</v>
      </c>
      <c r="B672" s="972" t="s">
        <v>1834</v>
      </c>
      <c r="C672" s="972" t="s">
        <v>2305</v>
      </c>
      <c r="D672" s="972">
        <v>6.2399999999999999E-4</v>
      </c>
      <c r="E672" s="972">
        <v>6.9999999999999999E-6</v>
      </c>
      <c r="F672" s="972">
        <v>-2.5500000000000002E-4</v>
      </c>
      <c r="G672" s="972">
        <v>16760</v>
      </c>
      <c r="H672" s="972">
        <v>35.402999999999999</v>
      </c>
      <c r="I672" s="972">
        <v>14.2705</v>
      </c>
      <c r="J672" s="972">
        <v>55.4</v>
      </c>
    </row>
    <row r="673" spans="1:10" ht="15.75" hidden="1">
      <c r="A673" s="972" t="s">
        <v>2421</v>
      </c>
      <c r="B673" s="972" t="s">
        <v>1834</v>
      </c>
      <c r="C673" s="972" t="s">
        <v>2306</v>
      </c>
      <c r="D673" s="972">
        <v>-9.6199999999999996E-4</v>
      </c>
      <c r="E673" s="972">
        <v>-7.7000000000000001E-5</v>
      </c>
      <c r="F673" s="972">
        <v>-3.0000000000000001E-5</v>
      </c>
      <c r="G673" s="972">
        <v>16760</v>
      </c>
      <c r="H673" s="972">
        <v>35.402999999999999</v>
      </c>
      <c r="I673" s="972">
        <v>14.2705</v>
      </c>
      <c r="J673" s="972">
        <v>55.4</v>
      </c>
    </row>
    <row r="674" spans="1:10" ht="15.75" hidden="1">
      <c r="A674" s="972" t="s">
        <v>2421</v>
      </c>
      <c r="B674" s="972" t="s">
        <v>1834</v>
      </c>
      <c r="C674" s="972" t="s">
        <v>2307</v>
      </c>
      <c r="D674" s="972">
        <v>2.5000000000000001E-4</v>
      </c>
      <c r="E674" s="972">
        <v>-1.8079999999999999E-3</v>
      </c>
      <c r="F674" s="972">
        <v>-1.3100000000000001E-4</v>
      </c>
      <c r="G674" s="972">
        <v>16760</v>
      </c>
      <c r="H674" s="972">
        <v>35.402999999999999</v>
      </c>
      <c r="I674" s="972">
        <v>14.2705</v>
      </c>
      <c r="J674" s="972">
        <v>55.4</v>
      </c>
    </row>
    <row r="675" spans="1:10" ht="15.75" hidden="1">
      <c r="A675" s="972" t="s">
        <v>2421</v>
      </c>
      <c r="B675" s="972" t="s">
        <v>1834</v>
      </c>
      <c r="C675" s="972" t="s">
        <v>2308</v>
      </c>
      <c r="D675" s="972">
        <v>-4.4200000000000001E-4</v>
      </c>
      <c r="E675" s="972">
        <v>4.8589999999999996E-3</v>
      </c>
      <c r="F675" s="972">
        <v>-5.3000000000000001E-5</v>
      </c>
      <c r="G675" s="972">
        <v>16760</v>
      </c>
      <c r="H675" s="972">
        <v>35.402999999999999</v>
      </c>
      <c r="I675" s="972">
        <v>14.2705</v>
      </c>
      <c r="J675" s="972">
        <v>55.4</v>
      </c>
    </row>
    <row r="676" spans="1:10" ht="15.75" hidden="1">
      <c r="A676" s="972" t="s">
        <v>2421</v>
      </c>
      <c r="B676" s="972" t="s">
        <v>1834</v>
      </c>
      <c r="C676" s="972" t="s">
        <v>2309</v>
      </c>
      <c r="D676" s="972">
        <v>-5.2160000000000002E-3</v>
      </c>
      <c r="E676" s="972">
        <v>-5.0699999999999996E-4</v>
      </c>
      <c r="F676" s="972">
        <v>-1.5E-5</v>
      </c>
      <c r="G676" s="972">
        <v>16760</v>
      </c>
      <c r="H676" s="972">
        <v>35.402999999999999</v>
      </c>
      <c r="I676" s="972">
        <v>14.2705</v>
      </c>
      <c r="J676" s="972">
        <v>55.4</v>
      </c>
    </row>
    <row r="677" spans="1:10" ht="15.75" hidden="1">
      <c r="A677" s="972" t="s">
        <v>2421</v>
      </c>
      <c r="B677" s="972" t="s">
        <v>1834</v>
      </c>
      <c r="C677" s="972" t="s">
        <v>2310</v>
      </c>
      <c r="D677" s="972">
        <v>-2.34E-4</v>
      </c>
      <c r="E677" s="972">
        <v>-1.7E-5</v>
      </c>
      <c r="F677" s="972">
        <v>2.0000000000000001E-4</v>
      </c>
      <c r="G677" s="972">
        <v>16760</v>
      </c>
      <c r="H677" s="972">
        <v>35.402999999999999</v>
      </c>
      <c r="I677" s="972">
        <v>14.2705</v>
      </c>
      <c r="J677" s="972">
        <v>55.4</v>
      </c>
    </row>
    <row r="678" spans="1:10" ht="15.75" hidden="1">
      <c r="A678" s="972" t="s">
        <v>2421</v>
      </c>
      <c r="B678" s="972" t="s">
        <v>1834</v>
      </c>
      <c r="C678" s="972" t="s">
        <v>2311</v>
      </c>
      <c r="D678" s="972">
        <v>-3.1399999999999999E-4</v>
      </c>
      <c r="E678" s="972">
        <v>2.996E-3</v>
      </c>
      <c r="F678" s="972">
        <v>-2.1190000000000001E-7</v>
      </c>
      <c r="G678" s="972">
        <v>16760</v>
      </c>
      <c r="H678" s="972">
        <v>35.402999999999999</v>
      </c>
      <c r="I678" s="972">
        <v>14.2705</v>
      </c>
      <c r="J678" s="972">
        <v>55.4</v>
      </c>
    </row>
    <row r="679" spans="1:10" ht="15.75" hidden="1">
      <c r="A679" s="972" t="s">
        <v>2421</v>
      </c>
      <c r="B679" s="972" t="s">
        <v>1834</v>
      </c>
      <c r="C679" s="972" t="s">
        <v>2328</v>
      </c>
      <c r="D679" s="972">
        <v>-2.9700000000000001E-4</v>
      </c>
      <c r="E679" s="972">
        <v>1.6899999999999999E-4</v>
      </c>
      <c r="F679" s="972">
        <v>1.74E-4</v>
      </c>
      <c r="G679" s="972">
        <v>16760</v>
      </c>
      <c r="H679" s="972">
        <v>35.402999999999999</v>
      </c>
      <c r="I679" s="972">
        <v>14.2705</v>
      </c>
      <c r="J679" s="972">
        <v>55.4</v>
      </c>
    </row>
    <row r="680" spans="1:10" ht="15.75" hidden="1">
      <c r="A680" s="972" t="s">
        <v>2421</v>
      </c>
      <c r="B680" s="972" t="s">
        <v>1834</v>
      </c>
      <c r="C680" s="972" t="s">
        <v>2329</v>
      </c>
      <c r="D680" s="972">
        <v>-2.7079999999999999E-3</v>
      </c>
      <c r="E680" s="972">
        <v>-2.3800000000000001E-4</v>
      </c>
      <c r="F680" s="972">
        <v>-4.3999999999999999E-5</v>
      </c>
      <c r="G680" s="972">
        <v>16760</v>
      </c>
      <c r="H680" s="972">
        <v>35.402999999999999</v>
      </c>
      <c r="I680" s="972">
        <v>14.2705</v>
      </c>
      <c r="J680" s="972">
        <v>55.4</v>
      </c>
    </row>
    <row r="681" spans="1:10" ht="15.75" hidden="1">
      <c r="A681" s="972" t="s">
        <v>2421</v>
      </c>
      <c r="B681" s="972" t="s">
        <v>1834</v>
      </c>
      <c r="C681" s="972" t="s">
        <v>2330</v>
      </c>
      <c r="D681" s="972">
        <v>-2.24E-4</v>
      </c>
      <c r="E681" s="972">
        <v>4.0639999999999999E-3</v>
      </c>
      <c r="F681" s="972">
        <v>-4.3000000000000002E-5</v>
      </c>
      <c r="G681" s="972">
        <v>16760</v>
      </c>
      <c r="H681" s="972">
        <v>35.402999999999999</v>
      </c>
      <c r="I681" s="972">
        <v>14.2705</v>
      </c>
      <c r="J681" s="972">
        <v>55.4</v>
      </c>
    </row>
    <row r="682" spans="1:10" ht="15.75" hidden="1">
      <c r="A682" s="972" t="s">
        <v>2421</v>
      </c>
      <c r="B682" s="972" t="s">
        <v>1834</v>
      </c>
      <c r="C682" s="972" t="s">
        <v>2331</v>
      </c>
      <c r="D682" s="972">
        <v>-6.69E-4</v>
      </c>
      <c r="E682" s="972">
        <v>5.2099999999999998E-4</v>
      </c>
      <c r="F682" s="972">
        <v>1.8000000000000001E-4</v>
      </c>
      <c r="G682" s="972">
        <v>16760</v>
      </c>
      <c r="H682" s="972">
        <v>35.402999999999999</v>
      </c>
      <c r="I682" s="972">
        <v>14.2705</v>
      </c>
      <c r="J682" s="972">
        <v>55.4</v>
      </c>
    </row>
    <row r="683" spans="1:10" ht="15.75" hidden="1">
      <c r="A683" s="972" t="s">
        <v>2421</v>
      </c>
      <c r="B683" s="972" t="s">
        <v>1834</v>
      </c>
      <c r="C683" s="972" t="s">
        <v>2332</v>
      </c>
      <c r="D683" s="972">
        <v>4.2259999999999997E-3</v>
      </c>
      <c r="E683" s="972">
        <v>4.5899999999999999E-4</v>
      </c>
      <c r="F683" s="972">
        <v>-9.9999999999999995E-7</v>
      </c>
      <c r="G683" s="972">
        <v>16760</v>
      </c>
      <c r="H683" s="972">
        <v>35.402999999999999</v>
      </c>
      <c r="I683" s="972">
        <v>14.2705</v>
      </c>
      <c r="J683" s="972">
        <v>55.4</v>
      </c>
    </row>
    <row r="684" spans="1:10" ht="15.75" hidden="1">
      <c r="A684" s="972" t="s">
        <v>2421</v>
      </c>
      <c r="B684" s="972" t="s">
        <v>1834</v>
      </c>
      <c r="C684" s="972" t="s">
        <v>2387</v>
      </c>
      <c r="D684" s="972">
        <v>-7.0500000000000001E-4</v>
      </c>
      <c r="E684" s="972">
        <v>4.0270000000000002E-3</v>
      </c>
      <c r="F684" s="972">
        <v>-1.9000000000000001E-5</v>
      </c>
      <c r="G684" s="972">
        <v>16760</v>
      </c>
      <c r="H684" s="972">
        <v>35.402999999999999</v>
      </c>
      <c r="I684" s="972">
        <v>14.2705</v>
      </c>
      <c r="J684" s="972">
        <v>55.4</v>
      </c>
    </row>
    <row r="685" spans="1:10" ht="15.75" hidden="1">
      <c r="A685" s="972" t="s">
        <v>2421</v>
      </c>
      <c r="B685" s="972" t="s">
        <v>1834</v>
      </c>
      <c r="C685" s="972" t="s">
        <v>2388</v>
      </c>
      <c r="D685" s="972">
        <v>-3.5620000000000001E-3</v>
      </c>
      <c r="E685" s="972">
        <v>-1.95E-4</v>
      </c>
      <c r="F685" s="972">
        <v>-1.37E-4</v>
      </c>
      <c r="G685" s="972">
        <v>16760</v>
      </c>
      <c r="H685" s="972">
        <v>35.402999999999999</v>
      </c>
      <c r="I685" s="972">
        <v>14.2705</v>
      </c>
      <c r="J685" s="972">
        <v>55.4</v>
      </c>
    </row>
    <row r="686" spans="1:10" ht="15.75" hidden="1">
      <c r="A686" s="972" t="s">
        <v>2421</v>
      </c>
      <c r="B686" s="972" t="s">
        <v>1834</v>
      </c>
      <c r="C686" s="972" t="s">
        <v>2389</v>
      </c>
      <c r="D686" s="972">
        <v>5.0699999999999996E-4</v>
      </c>
      <c r="E686" s="972">
        <v>2.601E-3</v>
      </c>
      <c r="F686" s="972">
        <v>-7.6000000000000004E-5</v>
      </c>
      <c r="G686" s="972">
        <v>16760</v>
      </c>
      <c r="H686" s="972">
        <v>35.402999999999999</v>
      </c>
      <c r="I686" s="972">
        <v>14.2705</v>
      </c>
      <c r="J686" s="972">
        <v>55.4</v>
      </c>
    </row>
    <row r="687" spans="1:10" ht="15.75" hidden="1">
      <c r="A687" s="972" t="s">
        <v>2421</v>
      </c>
      <c r="B687" s="972" t="s">
        <v>1834</v>
      </c>
      <c r="C687" s="972" t="s">
        <v>2390</v>
      </c>
      <c r="D687" s="972">
        <v>1.0219999999999999E-3</v>
      </c>
      <c r="E687" s="972">
        <v>3.3969999999999998E-3</v>
      </c>
      <c r="F687" s="972">
        <v>9.0000000000000006E-5</v>
      </c>
      <c r="G687" s="972">
        <v>16760</v>
      </c>
      <c r="H687" s="972">
        <v>35.402999999999999</v>
      </c>
      <c r="I687" s="972">
        <v>14.2705</v>
      </c>
      <c r="J687" s="972">
        <v>55.4</v>
      </c>
    </row>
    <row r="688" spans="1:10" ht="15.75" hidden="1">
      <c r="A688" s="972" t="s">
        <v>2421</v>
      </c>
      <c r="B688" s="972" t="s">
        <v>1834</v>
      </c>
      <c r="C688" s="972" t="s">
        <v>2391</v>
      </c>
      <c r="D688" s="972">
        <v>3.823E-3</v>
      </c>
      <c r="E688" s="972">
        <v>-1.212E-3</v>
      </c>
      <c r="F688" s="972">
        <v>-2.5999999999999998E-5</v>
      </c>
      <c r="G688" s="972">
        <v>16760</v>
      </c>
      <c r="H688" s="972">
        <v>35.402999999999999</v>
      </c>
      <c r="I688" s="972">
        <v>14.2705</v>
      </c>
      <c r="J688" s="972">
        <v>55.4</v>
      </c>
    </row>
    <row r="689" spans="1:10" ht="15.75" hidden="1">
      <c r="A689" s="972" t="s">
        <v>2421</v>
      </c>
      <c r="B689" s="972" t="s">
        <v>1834</v>
      </c>
      <c r="C689" s="972" t="s">
        <v>2392</v>
      </c>
      <c r="D689" s="972">
        <v>2.1779999999999998E-3</v>
      </c>
      <c r="E689" s="972">
        <v>4.7199999999999998E-4</v>
      </c>
      <c r="F689" s="972">
        <v>-9.0000000000000002E-6</v>
      </c>
      <c r="G689" s="972">
        <v>16760</v>
      </c>
      <c r="H689" s="972">
        <v>35.402999999999999</v>
      </c>
      <c r="I689" s="972">
        <v>14.2705</v>
      </c>
      <c r="J689" s="972">
        <v>55.4</v>
      </c>
    </row>
    <row r="690" spans="1:10" ht="15.75" hidden="1">
      <c r="A690" s="972" t="s">
        <v>2421</v>
      </c>
      <c r="B690" s="972" t="s">
        <v>1834</v>
      </c>
      <c r="C690" s="972" t="s">
        <v>2393</v>
      </c>
      <c r="D690" s="972">
        <v>2.643E-3</v>
      </c>
      <c r="E690" s="972">
        <v>-1.9949999999999998E-3</v>
      </c>
      <c r="F690" s="972">
        <v>-2.6999999999999999E-5</v>
      </c>
      <c r="G690" s="972">
        <v>16760</v>
      </c>
      <c r="H690" s="972">
        <v>35.402999999999999</v>
      </c>
      <c r="I690" s="972">
        <v>14.2705</v>
      </c>
      <c r="J690" s="972">
        <v>55.4</v>
      </c>
    </row>
    <row r="691" spans="1:10" ht="15.75" hidden="1">
      <c r="A691" s="972" t="s">
        <v>2421</v>
      </c>
      <c r="B691" s="972" t="s">
        <v>1834</v>
      </c>
      <c r="C691" s="972" t="s">
        <v>2394</v>
      </c>
      <c r="D691" s="972">
        <v>1.9650000000000002E-3</v>
      </c>
      <c r="E691" s="972">
        <v>2.359E-3</v>
      </c>
      <c r="F691" s="972">
        <v>-4.404E-7</v>
      </c>
      <c r="G691" s="972">
        <v>16760</v>
      </c>
      <c r="H691" s="972">
        <v>35.402999999999999</v>
      </c>
      <c r="I691" s="972">
        <v>14.2705</v>
      </c>
      <c r="J691" s="972">
        <v>55.4</v>
      </c>
    </row>
    <row r="692" spans="1:10" ht="15.75" hidden="1">
      <c r="A692" s="972" t="s">
        <v>2421</v>
      </c>
      <c r="B692" s="972" t="s">
        <v>1834</v>
      </c>
      <c r="C692" s="972" t="s">
        <v>2395</v>
      </c>
      <c r="D692" s="972">
        <v>-1.4040000000000001E-3</v>
      </c>
      <c r="E692" s="972">
        <v>1.1770000000000001E-3</v>
      </c>
      <c r="F692" s="972">
        <v>3.0000000000000001E-5</v>
      </c>
      <c r="G692" s="972">
        <v>16760</v>
      </c>
      <c r="H692" s="972">
        <v>35.402999999999999</v>
      </c>
      <c r="I692" s="972">
        <v>14.2705</v>
      </c>
      <c r="J692" s="972">
        <v>55.4</v>
      </c>
    </row>
    <row r="693" spans="1:10" ht="15.75" hidden="1">
      <c r="A693" s="972" t="s">
        <v>2421</v>
      </c>
      <c r="B693" s="972" t="s">
        <v>1834</v>
      </c>
      <c r="C693" s="972" t="s">
        <v>2396</v>
      </c>
      <c r="D693" s="972">
        <v>-9.4600000000000001E-4</v>
      </c>
      <c r="E693" s="972">
        <v>-2.3340000000000001E-3</v>
      </c>
      <c r="F693" s="972">
        <v>-3.0540000000000002E-7</v>
      </c>
      <c r="G693" s="972">
        <v>16760</v>
      </c>
      <c r="H693" s="972">
        <v>35.402999999999999</v>
      </c>
      <c r="I693" s="972">
        <v>14.2705</v>
      </c>
      <c r="J693" s="972">
        <v>55.4</v>
      </c>
    </row>
    <row r="694" spans="1:10" ht="15.75" hidden="1">
      <c r="A694" s="972" t="s">
        <v>2422</v>
      </c>
      <c r="B694" s="972" t="s">
        <v>1834</v>
      </c>
      <c r="C694" s="972" t="s">
        <v>2297</v>
      </c>
      <c r="D694" s="972">
        <v>-4.5100000000000001E-4</v>
      </c>
      <c r="E694" s="972">
        <v>2.3419999999999999E-3</v>
      </c>
      <c r="F694" s="972">
        <v>2.4000000000000001E-5</v>
      </c>
      <c r="G694" s="972">
        <v>16761</v>
      </c>
      <c r="H694" s="972">
        <v>35.402999999999999</v>
      </c>
      <c r="I694" s="972">
        <v>14.2705</v>
      </c>
      <c r="J694" s="972">
        <v>52</v>
      </c>
    </row>
    <row r="695" spans="1:10" ht="15.75" hidden="1">
      <c r="A695" s="972" t="s">
        <v>2422</v>
      </c>
      <c r="B695" s="972" t="s">
        <v>1834</v>
      </c>
      <c r="C695" s="972" t="s">
        <v>2298</v>
      </c>
      <c r="D695" s="972">
        <v>-4.0099999999999999E-4</v>
      </c>
      <c r="E695" s="972">
        <v>-4.9299999999999995E-4</v>
      </c>
      <c r="F695" s="972">
        <v>1.3899999999999999E-4</v>
      </c>
      <c r="G695" s="972">
        <v>16761</v>
      </c>
      <c r="H695" s="972">
        <v>35.402999999999999</v>
      </c>
      <c r="I695" s="972">
        <v>14.2705</v>
      </c>
      <c r="J695" s="972">
        <v>52</v>
      </c>
    </row>
    <row r="696" spans="1:10" ht="15.75">
      <c r="A696" s="972" t="s">
        <v>2422</v>
      </c>
      <c r="B696" s="972" t="s">
        <v>1834</v>
      </c>
      <c r="C696" s="972" t="s">
        <v>2299</v>
      </c>
      <c r="D696" s="972">
        <v>2.555E-3</v>
      </c>
      <c r="E696" s="972">
        <v>4.4900000000000002E-4</v>
      </c>
      <c r="F696" s="972">
        <v>2.5000000000000001E-5</v>
      </c>
      <c r="G696" s="972">
        <v>16761</v>
      </c>
      <c r="H696" s="972">
        <v>35.402999999999999</v>
      </c>
      <c r="I696" s="972">
        <v>14.2705</v>
      </c>
      <c r="J696" s="972">
        <v>52</v>
      </c>
    </row>
    <row r="697" spans="1:10" ht="15.75" hidden="1">
      <c r="A697" s="972" t="s">
        <v>2422</v>
      </c>
      <c r="B697" s="972" t="s">
        <v>1834</v>
      </c>
      <c r="C697" s="972" t="s">
        <v>2300</v>
      </c>
      <c r="D697" s="972">
        <v>-8.3199999999999995E-4</v>
      </c>
      <c r="E697" s="972">
        <v>3.0000000000000001E-5</v>
      </c>
      <c r="F697" s="972">
        <v>2.7399999999999999E-4</v>
      </c>
      <c r="G697" s="972">
        <v>16761</v>
      </c>
      <c r="H697" s="972">
        <v>35.402999999999999</v>
      </c>
      <c r="I697" s="972">
        <v>14.2705</v>
      </c>
      <c r="J697" s="972">
        <v>52</v>
      </c>
    </row>
    <row r="698" spans="1:10" ht="15.75" hidden="1">
      <c r="A698" s="972" t="s">
        <v>2422</v>
      </c>
      <c r="B698" s="972" t="s">
        <v>1834</v>
      </c>
      <c r="C698" s="972" t="s">
        <v>2301</v>
      </c>
      <c r="D698" s="972">
        <v>7.0699999999999995E-4</v>
      </c>
      <c r="E698" s="972">
        <v>-5.6909999999999999E-3</v>
      </c>
      <c r="F698" s="972">
        <v>7.9999999999999996E-6</v>
      </c>
      <c r="G698" s="972">
        <v>16761</v>
      </c>
      <c r="H698" s="972">
        <v>35.402999999999999</v>
      </c>
      <c r="I698" s="972">
        <v>14.2705</v>
      </c>
      <c r="J698" s="972">
        <v>52</v>
      </c>
    </row>
    <row r="699" spans="1:10" ht="15.75" hidden="1">
      <c r="A699" s="972" t="s">
        <v>2422</v>
      </c>
      <c r="B699" s="972" t="s">
        <v>1834</v>
      </c>
      <c r="C699" s="972" t="s">
        <v>2302</v>
      </c>
      <c r="D699" s="972">
        <v>-5.5880000000000001E-3</v>
      </c>
      <c r="E699" s="972">
        <v>-7.0299999999999996E-4</v>
      </c>
      <c r="F699" s="972">
        <v>-3.8999999999999999E-5</v>
      </c>
      <c r="G699" s="972">
        <v>16761</v>
      </c>
      <c r="H699" s="972">
        <v>35.402999999999999</v>
      </c>
      <c r="I699" s="972">
        <v>14.2705</v>
      </c>
      <c r="J699" s="972">
        <v>52</v>
      </c>
    </row>
    <row r="700" spans="1:10" ht="15.75" hidden="1">
      <c r="A700" s="972" t="s">
        <v>2422</v>
      </c>
      <c r="B700" s="972" t="s">
        <v>1834</v>
      </c>
      <c r="C700" s="972" t="s">
        <v>2303</v>
      </c>
      <c r="D700" s="972">
        <v>3.7199999999999999E-4</v>
      </c>
      <c r="E700" s="972">
        <v>2.9E-5</v>
      </c>
      <c r="F700" s="972">
        <v>-7.8999999999999996E-5</v>
      </c>
      <c r="G700" s="972">
        <v>16761</v>
      </c>
      <c r="H700" s="972">
        <v>35.402999999999999</v>
      </c>
      <c r="I700" s="972">
        <v>14.2705</v>
      </c>
      <c r="J700" s="972">
        <v>52</v>
      </c>
    </row>
    <row r="701" spans="1:10" ht="15.75" hidden="1">
      <c r="A701" s="972" t="s">
        <v>2422</v>
      </c>
      <c r="B701" s="972" t="s">
        <v>1834</v>
      </c>
      <c r="C701" s="972" t="s">
        <v>2304</v>
      </c>
      <c r="D701" s="972">
        <v>2.5599999999999999E-4</v>
      </c>
      <c r="E701" s="972">
        <v>-2.313E-3</v>
      </c>
      <c r="F701" s="972">
        <v>3.0000000000000001E-6</v>
      </c>
      <c r="G701" s="972">
        <v>16761</v>
      </c>
      <c r="H701" s="972">
        <v>35.402999999999999</v>
      </c>
      <c r="I701" s="972">
        <v>14.2705</v>
      </c>
      <c r="J701" s="972">
        <v>52</v>
      </c>
    </row>
    <row r="702" spans="1:10" ht="15.75" hidden="1">
      <c r="A702" s="972" t="s">
        <v>2422</v>
      </c>
      <c r="B702" s="972" t="s">
        <v>1834</v>
      </c>
      <c r="C702" s="972" t="s">
        <v>2305</v>
      </c>
      <c r="D702" s="972">
        <v>6.4599999999999998E-4</v>
      </c>
      <c r="E702" s="972">
        <v>7.9999999999999996E-6</v>
      </c>
      <c r="F702" s="972">
        <v>-2.2000000000000001E-4</v>
      </c>
      <c r="G702" s="972">
        <v>16761</v>
      </c>
      <c r="H702" s="972">
        <v>35.402999999999999</v>
      </c>
      <c r="I702" s="972">
        <v>14.2705</v>
      </c>
      <c r="J702" s="972">
        <v>52</v>
      </c>
    </row>
    <row r="703" spans="1:10" ht="15.75" hidden="1">
      <c r="A703" s="972" t="s">
        <v>2422</v>
      </c>
      <c r="B703" s="972" t="s">
        <v>1834</v>
      </c>
      <c r="C703" s="972" t="s">
        <v>2306</v>
      </c>
      <c r="D703" s="972">
        <v>-2.0309999999999998E-3</v>
      </c>
      <c r="E703" s="972">
        <v>-1.85E-4</v>
      </c>
      <c r="F703" s="972">
        <v>-3.1999999999999999E-5</v>
      </c>
      <c r="G703" s="972">
        <v>16761</v>
      </c>
      <c r="H703" s="972">
        <v>35.402999999999999</v>
      </c>
      <c r="I703" s="972">
        <v>14.2705</v>
      </c>
      <c r="J703" s="972">
        <v>52</v>
      </c>
    </row>
    <row r="704" spans="1:10" ht="15.75" hidden="1">
      <c r="A704" s="972" t="s">
        <v>2422</v>
      </c>
      <c r="B704" s="972" t="s">
        <v>1834</v>
      </c>
      <c r="C704" s="972" t="s">
        <v>2307</v>
      </c>
      <c r="D704" s="972">
        <v>3.5300000000000002E-4</v>
      </c>
      <c r="E704" s="972">
        <v>-1.534E-3</v>
      </c>
      <c r="F704" s="972">
        <v>-1.9799999999999999E-4</v>
      </c>
      <c r="G704" s="972">
        <v>16761</v>
      </c>
      <c r="H704" s="972">
        <v>35.402999999999999</v>
      </c>
      <c r="I704" s="972">
        <v>14.2705</v>
      </c>
      <c r="J704" s="972">
        <v>52</v>
      </c>
    </row>
    <row r="705" spans="1:10" ht="15.75" hidden="1">
      <c r="A705" s="972" t="s">
        <v>2422</v>
      </c>
      <c r="B705" s="972" t="s">
        <v>1834</v>
      </c>
      <c r="C705" s="972" t="s">
        <v>2308</v>
      </c>
      <c r="D705" s="972">
        <v>-3.1799999999999998E-4</v>
      </c>
      <c r="E705" s="972">
        <v>4.1200000000000004E-3</v>
      </c>
      <c r="F705" s="972">
        <v>-7.7000000000000001E-5</v>
      </c>
      <c r="G705" s="972">
        <v>16761</v>
      </c>
      <c r="H705" s="972">
        <v>35.402999999999999</v>
      </c>
      <c r="I705" s="972">
        <v>14.2705</v>
      </c>
      <c r="J705" s="972">
        <v>52</v>
      </c>
    </row>
    <row r="706" spans="1:10" ht="15.75" hidden="1">
      <c r="A706" s="972" t="s">
        <v>2422</v>
      </c>
      <c r="B706" s="972" t="s">
        <v>1834</v>
      </c>
      <c r="C706" s="972" t="s">
        <v>2309</v>
      </c>
      <c r="D706" s="972">
        <v>-4.4869999999999997E-3</v>
      </c>
      <c r="E706" s="972">
        <v>-4.44E-4</v>
      </c>
      <c r="F706" s="972">
        <v>-1.0000000000000001E-5</v>
      </c>
      <c r="G706" s="972">
        <v>16761</v>
      </c>
      <c r="H706" s="972">
        <v>35.402999999999999</v>
      </c>
      <c r="I706" s="972">
        <v>14.2705</v>
      </c>
      <c r="J706" s="972">
        <v>52</v>
      </c>
    </row>
    <row r="707" spans="1:10" ht="15.75" hidden="1">
      <c r="A707" s="972" t="s">
        <v>2422</v>
      </c>
      <c r="B707" s="972" t="s">
        <v>1834</v>
      </c>
      <c r="C707" s="972" t="s">
        <v>2310</v>
      </c>
      <c r="D707" s="972">
        <v>-1.55E-4</v>
      </c>
      <c r="E707" s="972">
        <v>-5.0000000000000002E-5</v>
      </c>
      <c r="F707" s="972">
        <v>1.0900000000000001E-4</v>
      </c>
      <c r="G707" s="972">
        <v>16761</v>
      </c>
      <c r="H707" s="972">
        <v>35.402999999999999</v>
      </c>
      <c r="I707" s="972">
        <v>14.2705</v>
      </c>
      <c r="J707" s="972">
        <v>52</v>
      </c>
    </row>
    <row r="708" spans="1:10" ht="15.75" hidden="1">
      <c r="A708" s="972" t="s">
        <v>2422</v>
      </c>
      <c r="B708" s="972" t="s">
        <v>1834</v>
      </c>
      <c r="C708" s="972" t="s">
        <v>2311</v>
      </c>
      <c r="D708" s="972">
        <v>-4.4000000000000002E-4</v>
      </c>
      <c r="E708" s="972">
        <v>4.4229999999999998E-3</v>
      </c>
      <c r="F708" s="972">
        <v>-3.9999999999999998E-6</v>
      </c>
      <c r="G708" s="972">
        <v>16761</v>
      </c>
      <c r="H708" s="972">
        <v>35.402999999999999</v>
      </c>
      <c r="I708" s="972">
        <v>14.2705</v>
      </c>
      <c r="J708" s="972">
        <v>52</v>
      </c>
    </row>
    <row r="709" spans="1:10" ht="15.75" hidden="1">
      <c r="A709" s="972" t="s">
        <v>2422</v>
      </c>
      <c r="B709" s="972" t="s">
        <v>1834</v>
      </c>
      <c r="C709" s="972" t="s">
        <v>2328</v>
      </c>
      <c r="D709" s="972">
        <v>-5.6400000000000005E-4</v>
      </c>
      <c r="E709" s="972">
        <v>1.45E-4</v>
      </c>
      <c r="F709" s="972">
        <v>2.4000000000000001E-4</v>
      </c>
      <c r="G709" s="972">
        <v>16761</v>
      </c>
      <c r="H709" s="972">
        <v>35.402999999999999</v>
      </c>
      <c r="I709" s="972">
        <v>14.2705</v>
      </c>
      <c r="J709" s="972">
        <v>52</v>
      </c>
    </row>
    <row r="710" spans="1:10" ht="15.75" hidden="1">
      <c r="A710" s="972" t="s">
        <v>2422</v>
      </c>
      <c r="B710" s="972" t="s">
        <v>1834</v>
      </c>
      <c r="C710" s="972" t="s">
        <v>2329</v>
      </c>
      <c r="D710" s="972">
        <v>-4.1679999999999998E-3</v>
      </c>
      <c r="E710" s="972">
        <v>-3.86E-4</v>
      </c>
      <c r="F710" s="972">
        <v>-5.0000000000000002E-5</v>
      </c>
      <c r="G710" s="972">
        <v>16761</v>
      </c>
      <c r="H710" s="972">
        <v>35.402999999999999</v>
      </c>
      <c r="I710" s="972">
        <v>14.2705</v>
      </c>
      <c r="J710" s="972">
        <v>52</v>
      </c>
    </row>
    <row r="711" spans="1:10" ht="15.75" hidden="1">
      <c r="A711" s="972" t="s">
        <v>2422</v>
      </c>
      <c r="B711" s="972" t="s">
        <v>1834</v>
      </c>
      <c r="C711" s="972" t="s">
        <v>2330</v>
      </c>
      <c r="D711" s="972">
        <v>-4.3999999999999999E-5</v>
      </c>
      <c r="E711" s="972">
        <v>2.2030000000000001E-3</v>
      </c>
      <c r="F711" s="972">
        <v>-2.5000000000000001E-5</v>
      </c>
      <c r="G711" s="972">
        <v>16761</v>
      </c>
      <c r="H711" s="972">
        <v>35.402999999999999</v>
      </c>
      <c r="I711" s="972">
        <v>14.2705</v>
      </c>
      <c r="J711" s="972">
        <v>52</v>
      </c>
    </row>
    <row r="712" spans="1:10" ht="15.75" hidden="1">
      <c r="A712" s="972" t="s">
        <v>2422</v>
      </c>
      <c r="B712" s="972" t="s">
        <v>1834</v>
      </c>
      <c r="C712" s="972" t="s">
        <v>2331</v>
      </c>
      <c r="D712" s="972">
        <v>-5.6800000000000004E-4</v>
      </c>
      <c r="E712" s="972">
        <v>1.36E-4</v>
      </c>
      <c r="F712" s="972">
        <v>6.4999999999999994E-5</v>
      </c>
      <c r="G712" s="972">
        <v>16761</v>
      </c>
      <c r="H712" s="972">
        <v>35.402999999999999</v>
      </c>
      <c r="I712" s="972">
        <v>14.2705</v>
      </c>
      <c r="J712" s="972">
        <v>52</v>
      </c>
    </row>
    <row r="713" spans="1:10" ht="15.75" hidden="1">
      <c r="A713" s="972" t="s">
        <v>2422</v>
      </c>
      <c r="B713" s="972" t="s">
        <v>1834</v>
      </c>
      <c r="C713" s="972" t="s">
        <v>2332</v>
      </c>
      <c r="D713" s="972">
        <v>2.5249999999999999E-3</v>
      </c>
      <c r="E713" s="972">
        <v>3.4099999999999999E-4</v>
      </c>
      <c r="F713" s="972">
        <v>-3.3000000000000003E-5</v>
      </c>
      <c r="G713" s="972">
        <v>16761</v>
      </c>
      <c r="H713" s="972">
        <v>35.402999999999999</v>
      </c>
      <c r="I713" s="972">
        <v>14.2705</v>
      </c>
      <c r="J713" s="972">
        <v>52</v>
      </c>
    </row>
    <row r="714" spans="1:10" ht="15.75" hidden="1">
      <c r="A714" s="972" t="s">
        <v>2422</v>
      </c>
      <c r="B714" s="972" t="s">
        <v>1834</v>
      </c>
      <c r="C714" s="972" t="s">
        <v>2387</v>
      </c>
      <c r="D714" s="972">
        <v>-5.9999999999999995E-4</v>
      </c>
      <c r="E714" s="972">
        <v>5.2290000000000001E-3</v>
      </c>
      <c r="F714" s="972">
        <v>-4.3999999999999999E-5</v>
      </c>
      <c r="G714" s="972">
        <v>16761</v>
      </c>
      <c r="H714" s="972">
        <v>35.402999999999999</v>
      </c>
      <c r="I714" s="972">
        <v>14.2705</v>
      </c>
      <c r="J714" s="972">
        <v>52</v>
      </c>
    </row>
    <row r="715" spans="1:10" ht="15.75" hidden="1">
      <c r="A715" s="972" t="s">
        <v>2422</v>
      </c>
      <c r="B715" s="972" t="s">
        <v>1834</v>
      </c>
      <c r="C715" s="972" t="s">
        <v>2388</v>
      </c>
      <c r="D715" s="972">
        <v>-3.8830000000000002E-3</v>
      </c>
      <c r="E715" s="972">
        <v>-9.9400000000000009E-4</v>
      </c>
      <c r="F715" s="972">
        <v>-1.4200000000000001E-4</v>
      </c>
      <c r="G715" s="972">
        <v>16761</v>
      </c>
      <c r="H715" s="972">
        <v>35.402999999999999</v>
      </c>
      <c r="I715" s="972">
        <v>14.2705</v>
      </c>
      <c r="J715" s="972">
        <v>52</v>
      </c>
    </row>
    <row r="716" spans="1:10" ht="15.75" hidden="1">
      <c r="A716" s="972" t="s">
        <v>2422</v>
      </c>
      <c r="B716" s="972" t="s">
        <v>1834</v>
      </c>
      <c r="C716" s="972" t="s">
        <v>2389</v>
      </c>
      <c r="D716" s="972">
        <v>2.5829999999999998E-3</v>
      </c>
      <c r="E716" s="972">
        <v>3.1700000000000001E-4</v>
      </c>
      <c r="F716" s="972">
        <v>-8.7000000000000001E-5</v>
      </c>
      <c r="G716" s="972">
        <v>16761</v>
      </c>
      <c r="H716" s="972">
        <v>35.402999999999999</v>
      </c>
      <c r="I716" s="972">
        <v>14.2705</v>
      </c>
      <c r="J716" s="972">
        <v>52</v>
      </c>
    </row>
    <row r="717" spans="1:10" ht="15.75" hidden="1">
      <c r="A717" s="972" t="s">
        <v>2422</v>
      </c>
      <c r="B717" s="972" t="s">
        <v>1834</v>
      </c>
      <c r="C717" s="972" t="s">
        <v>2390</v>
      </c>
      <c r="D717" s="972">
        <v>-1.4679999999999999E-3</v>
      </c>
      <c r="E717" s="972">
        <v>1.8580000000000001E-3</v>
      </c>
      <c r="F717" s="972">
        <v>6.7999999999999999E-5</v>
      </c>
      <c r="G717" s="972">
        <v>16761</v>
      </c>
      <c r="H717" s="972">
        <v>35.402999999999999</v>
      </c>
      <c r="I717" s="972">
        <v>14.2705</v>
      </c>
      <c r="J717" s="972">
        <v>52</v>
      </c>
    </row>
    <row r="718" spans="1:10" ht="15.75" hidden="1">
      <c r="A718" s="972" t="s">
        <v>2422</v>
      </c>
      <c r="B718" s="972" t="s">
        <v>1834</v>
      </c>
      <c r="C718" s="972" t="s">
        <v>2391</v>
      </c>
      <c r="D718" s="972">
        <v>3.8639999999999998E-3</v>
      </c>
      <c r="E718" s="972">
        <v>-2.8219999999999999E-3</v>
      </c>
      <c r="F718" s="972">
        <v>-4.3999999999999999E-5</v>
      </c>
      <c r="G718" s="972">
        <v>16761</v>
      </c>
      <c r="H718" s="972">
        <v>35.402999999999999</v>
      </c>
      <c r="I718" s="972">
        <v>14.2705</v>
      </c>
      <c r="J718" s="972">
        <v>52</v>
      </c>
    </row>
    <row r="719" spans="1:10" ht="15.75" hidden="1">
      <c r="A719" s="972" t="s">
        <v>2422</v>
      </c>
      <c r="B719" s="972" t="s">
        <v>1834</v>
      </c>
      <c r="C719" s="972" t="s">
        <v>2392</v>
      </c>
      <c r="D719" s="972">
        <v>3.2000000000000002E-3</v>
      </c>
      <c r="E719" s="972">
        <v>2.9060000000000002E-3</v>
      </c>
      <c r="F719" s="972">
        <v>-5.0000000000000004E-6</v>
      </c>
      <c r="G719" s="972">
        <v>16761</v>
      </c>
      <c r="H719" s="972">
        <v>35.402999999999999</v>
      </c>
      <c r="I719" s="972">
        <v>14.2705</v>
      </c>
      <c r="J719" s="972">
        <v>52</v>
      </c>
    </row>
    <row r="720" spans="1:10" ht="15.75" hidden="1">
      <c r="A720" s="972" t="s">
        <v>2422</v>
      </c>
      <c r="B720" s="972" t="s">
        <v>1834</v>
      </c>
      <c r="C720" s="972" t="s">
        <v>2393</v>
      </c>
      <c r="D720" s="972">
        <v>1.415E-3</v>
      </c>
      <c r="E720" s="972">
        <v>-2.2039999999999998E-3</v>
      </c>
      <c r="F720" s="972">
        <v>-4.6999999999999997E-5</v>
      </c>
      <c r="G720" s="972">
        <v>16761</v>
      </c>
      <c r="H720" s="972">
        <v>35.402999999999999</v>
      </c>
      <c r="I720" s="972">
        <v>14.2705</v>
      </c>
      <c r="J720" s="972">
        <v>52</v>
      </c>
    </row>
    <row r="721" spans="1:10" ht="15.75" hidden="1">
      <c r="A721" s="972" t="s">
        <v>2422</v>
      </c>
      <c r="B721" s="972" t="s">
        <v>1834</v>
      </c>
      <c r="C721" s="972" t="s">
        <v>2394</v>
      </c>
      <c r="D721" s="972">
        <v>1.7669999999999999E-3</v>
      </c>
      <c r="E721" s="972">
        <v>3.3400000000000001E-3</v>
      </c>
      <c r="F721" s="972">
        <v>-7.9999999999999996E-6</v>
      </c>
      <c r="G721" s="972">
        <v>16761</v>
      </c>
      <c r="H721" s="972">
        <v>35.402999999999999</v>
      </c>
      <c r="I721" s="972">
        <v>14.2705</v>
      </c>
      <c r="J721" s="972">
        <v>52</v>
      </c>
    </row>
    <row r="722" spans="1:10" ht="15.75" hidden="1">
      <c r="A722" s="972" t="s">
        <v>2422</v>
      </c>
      <c r="B722" s="972" t="s">
        <v>1834</v>
      </c>
      <c r="C722" s="972" t="s">
        <v>2395</v>
      </c>
      <c r="D722" s="972">
        <v>-6.0999999999999999E-5</v>
      </c>
      <c r="E722" s="972">
        <v>8.0400000000000003E-4</v>
      </c>
      <c r="F722" s="972">
        <v>5.0000000000000002E-5</v>
      </c>
      <c r="G722" s="972">
        <v>16761</v>
      </c>
      <c r="H722" s="972">
        <v>35.402999999999999</v>
      </c>
      <c r="I722" s="972">
        <v>14.2705</v>
      </c>
      <c r="J722" s="972">
        <v>52</v>
      </c>
    </row>
    <row r="723" spans="1:10" ht="15.75" hidden="1">
      <c r="A723" s="972" t="s">
        <v>2422</v>
      </c>
      <c r="B723" s="972" t="s">
        <v>1834</v>
      </c>
      <c r="C723" s="972" t="s">
        <v>2396</v>
      </c>
      <c r="D723" s="972">
        <v>-6.1399999999999996E-4</v>
      </c>
      <c r="E723" s="972">
        <v>-2.3500000000000001E-3</v>
      </c>
      <c r="F723" s="972">
        <v>6.0000000000000002E-6</v>
      </c>
      <c r="G723" s="972">
        <v>16761</v>
      </c>
      <c r="H723" s="972">
        <v>35.402999999999999</v>
      </c>
      <c r="I723" s="972">
        <v>14.2705</v>
      </c>
      <c r="J723" s="972">
        <v>52</v>
      </c>
    </row>
    <row r="724" spans="1:10" ht="15.75" hidden="1">
      <c r="A724" s="972" t="s">
        <v>2423</v>
      </c>
      <c r="B724" s="972" t="s">
        <v>1834</v>
      </c>
      <c r="C724" s="972" t="s">
        <v>2297</v>
      </c>
      <c r="D724" s="972">
        <v>-4.1100000000000002E-4</v>
      </c>
      <c r="E724" s="972">
        <v>2.137E-3</v>
      </c>
      <c r="F724" s="972">
        <v>2.1999999999999999E-5</v>
      </c>
      <c r="G724" s="972">
        <v>16762</v>
      </c>
      <c r="H724" s="972">
        <v>35.402999999999999</v>
      </c>
      <c r="I724" s="972">
        <v>14.2705</v>
      </c>
      <c r="J724" s="972">
        <v>48.6</v>
      </c>
    </row>
    <row r="725" spans="1:10" ht="15.75" hidden="1">
      <c r="A725" s="972" t="s">
        <v>2423</v>
      </c>
      <c r="B725" s="972" t="s">
        <v>1834</v>
      </c>
      <c r="C725" s="972" t="s">
        <v>2298</v>
      </c>
      <c r="D725" s="972">
        <v>-3.7100000000000002E-4</v>
      </c>
      <c r="E725" s="972">
        <v>-4.4999999999999999E-4</v>
      </c>
      <c r="F725" s="972">
        <v>1.2899999999999999E-4</v>
      </c>
      <c r="G725" s="972">
        <v>16762</v>
      </c>
      <c r="H725" s="972">
        <v>35.402999999999999</v>
      </c>
      <c r="I725" s="972">
        <v>14.2705</v>
      </c>
      <c r="J725" s="972">
        <v>48.6</v>
      </c>
    </row>
    <row r="726" spans="1:10" ht="15.75">
      <c r="A726" s="972" t="s">
        <v>2423</v>
      </c>
      <c r="B726" s="972" t="s">
        <v>1834</v>
      </c>
      <c r="C726" s="972" t="s">
        <v>2299</v>
      </c>
      <c r="D726" s="972">
        <v>2.346E-3</v>
      </c>
      <c r="E726" s="972">
        <v>4.15E-4</v>
      </c>
      <c r="F726" s="972">
        <v>2.3E-5</v>
      </c>
      <c r="G726" s="972">
        <v>16762</v>
      </c>
      <c r="H726" s="972">
        <v>35.402999999999999</v>
      </c>
      <c r="I726" s="972">
        <v>14.2705</v>
      </c>
      <c r="J726" s="972">
        <v>48.6</v>
      </c>
    </row>
    <row r="727" spans="1:10" ht="15.75" hidden="1">
      <c r="A727" s="972" t="s">
        <v>2423</v>
      </c>
      <c r="B727" s="972" t="s">
        <v>1834</v>
      </c>
      <c r="C727" s="972" t="s">
        <v>2300</v>
      </c>
      <c r="D727" s="972">
        <v>-8.3000000000000001E-4</v>
      </c>
      <c r="E727" s="972">
        <v>3.0000000000000001E-5</v>
      </c>
      <c r="F727" s="972">
        <v>2.7500000000000002E-4</v>
      </c>
      <c r="G727" s="972">
        <v>16762</v>
      </c>
      <c r="H727" s="972">
        <v>35.402999999999999</v>
      </c>
      <c r="I727" s="972">
        <v>14.2705</v>
      </c>
      <c r="J727" s="972">
        <v>48.6</v>
      </c>
    </row>
    <row r="728" spans="1:10" ht="15.75" hidden="1">
      <c r="A728" s="972" t="s">
        <v>2423</v>
      </c>
      <c r="B728" s="972" t="s">
        <v>1834</v>
      </c>
      <c r="C728" s="972" t="s">
        <v>2301</v>
      </c>
      <c r="D728" s="972">
        <v>6.9700000000000003E-4</v>
      </c>
      <c r="E728" s="972">
        <v>-5.6299999999999996E-3</v>
      </c>
      <c r="F728" s="972">
        <v>7.9999999999999996E-6</v>
      </c>
      <c r="G728" s="972">
        <v>16762</v>
      </c>
      <c r="H728" s="972">
        <v>35.402999999999999</v>
      </c>
      <c r="I728" s="972">
        <v>14.2705</v>
      </c>
      <c r="J728" s="972">
        <v>48.6</v>
      </c>
    </row>
    <row r="729" spans="1:10" ht="15.75" hidden="1">
      <c r="A729" s="972" t="s">
        <v>2423</v>
      </c>
      <c r="B729" s="972" t="s">
        <v>1834</v>
      </c>
      <c r="C729" s="972" t="s">
        <v>2302</v>
      </c>
      <c r="D729" s="972">
        <v>-5.5510000000000004E-3</v>
      </c>
      <c r="E729" s="972">
        <v>-7.0299999999999996E-4</v>
      </c>
      <c r="F729" s="972">
        <v>-4.0000000000000003E-5</v>
      </c>
      <c r="G729" s="972">
        <v>16762</v>
      </c>
      <c r="H729" s="972">
        <v>35.402999999999999</v>
      </c>
      <c r="I729" s="972">
        <v>14.2705</v>
      </c>
      <c r="J729" s="972">
        <v>48.6</v>
      </c>
    </row>
    <row r="730" spans="1:10" ht="15.75" hidden="1">
      <c r="A730" s="972" t="s">
        <v>2423</v>
      </c>
      <c r="B730" s="972" t="s">
        <v>1834</v>
      </c>
      <c r="C730" s="972" t="s">
        <v>2303</v>
      </c>
      <c r="D730" s="972">
        <v>4.9399999999999997E-4</v>
      </c>
      <c r="E730" s="972">
        <v>3.1999999999999999E-5</v>
      </c>
      <c r="F730" s="972">
        <v>-1.2999999999999999E-4</v>
      </c>
      <c r="G730" s="972">
        <v>16762</v>
      </c>
      <c r="H730" s="972">
        <v>35.402999999999999</v>
      </c>
      <c r="I730" s="972">
        <v>14.2705</v>
      </c>
      <c r="J730" s="972">
        <v>48.6</v>
      </c>
    </row>
    <row r="731" spans="1:10" ht="15.75" hidden="1">
      <c r="A731" s="972" t="s">
        <v>2423</v>
      </c>
      <c r="B731" s="972" t="s">
        <v>1834</v>
      </c>
      <c r="C731" s="972" t="s">
        <v>2304</v>
      </c>
      <c r="D731" s="972">
        <v>3.5300000000000002E-4</v>
      </c>
      <c r="E731" s="972">
        <v>-3.297E-3</v>
      </c>
      <c r="F731" s="972">
        <v>3.9999999999999998E-6</v>
      </c>
      <c r="G731" s="972">
        <v>16762</v>
      </c>
      <c r="H731" s="972">
        <v>35.402999999999999</v>
      </c>
      <c r="I731" s="972">
        <v>14.2705</v>
      </c>
      <c r="J731" s="972">
        <v>48.6</v>
      </c>
    </row>
    <row r="732" spans="1:10" ht="15.75" hidden="1">
      <c r="A732" s="972" t="s">
        <v>2423</v>
      </c>
      <c r="B732" s="972" t="s">
        <v>1834</v>
      </c>
      <c r="C732" s="972" t="s">
        <v>2305</v>
      </c>
      <c r="D732" s="972">
        <v>6.2600000000000004E-4</v>
      </c>
      <c r="E732" s="972">
        <v>7.9999999999999996E-6</v>
      </c>
      <c r="F732" s="972">
        <v>-1.6799999999999999E-4</v>
      </c>
      <c r="G732" s="972">
        <v>16762</v>
      </c>
      <c r="H732" s="972">
        <v>35.402999999999999</v>
      </c>
      <c r="I732" s="972">
        <v>14.2705</v>
      </c>
      <c r="J732" s="972">
        <v>48.6</v>
      </c>
    </row>
    <row r="733" spans="1:10" ht="15.75" hidden="1">
      <c r="A733" s="972" t="s">
        <v>2423</v>
      </c>
      <c r="B733" s="972" t="s">
        <v>1834</v>
      </c>
      <c r="C733" s="972" t="s">
        <v>2306</v>
      </c>
      <c r="D733" s="972">
        <v>-3.0309999999999998E-3</v>
      </c>
      <c r="E733" s="972">
        <v>-2.8600000000000001E-4</v>
      </c>
      <c r="F733" s="972">
        <v>-3.1999999999999999E-5</v>
      </c>
      <c r="G733" s="972">
        <v>16762</v>
      </c>
      <c r="H733" s="972">
        <v>35.402999999999999</v>
      </c>
      <c r="I733" s="972">
        <v>14.2705</v>
      </c>
      <c r="J733" s="972">
        <v>48.6</v>
      </c>
    </row>
    <row r="734" spans="1:10" ht="15.75" hidden="1">
      <c r="A734" s="972" t="s">
        <v>2423</v>
      </c>
      <c r="B734" s="972" t="s">
        <v>1834</v>
      </c>
      <c r="C734" s="972" t="s">
        <v>2307</v>
      </c>
      <c r="D734" s="972">
        <v>4.08E-4</v>
      </c>
      <c r="E734" s="972">
        <v>-1.147E-3</v>
      </c>
      <c r="F734" s="972">
        <v>-2.4000000000000001E-4</v>
      </c>
      <c r="G734" s="972">
        <v>16762</v>
      </c>
      <c r="H734" s="972">
        <v>35.402999999999999</v>
      </c>
      <c r="I734" s="972">
        <v>14.2705</v>
      </c>
      <c r="J734" s="972">
        <v>48.6</v>
      </c>
    </row>
    <row r="735" spans="1:10" ht="15.75" hidden="1">
      <c r="A735" s="972" t="s">
        <v>2423</v>
      </c>
      <c r="B735" s="972" t="s">
        <v>1834</v>
      </c>
      <c r="C735" s="972" t="s">
        <v>2308</v>
      </c>
      <c r="D735" s="972">
        <v>-1.7899999999999999E-4</v>
      </c>
      <c r="E735" s="972">
        <v>3.0690000000000001E-3</v>
      </c>
      <c r="F735" s="972">
        <v>-9.1000000000000003E-5</v>
      </c>
      <c r="G735" s="972">
        <v>16762</v>
      </c>
      <c r="H735" s="972">
        <v>35.402999999999999</v>
      </c>
      <c r="I735" s="972">
        <v>14.2705</v>
      </c>
      <c r="J735" s="972">
        <v>48.6</v>
      </c>
    </row>
    <row r="736" spans="1:10" ht="15.75" hidden="1">
      <c r="A736" s="972" t="s">
        <v>2423</v>
      </c>
      <c r="B736" s="972" t="s">
        <v>1834</v>
      </c>
      <c r="C736" s="972" t="s">
        <v>2309</v>
      </c>
      <c r="D736" s="972">
        <v>-3.418E-3</v>
      </c>
      <c r="E736" s="972">
        <v>-3.4600000000000001E-4</v>
      </c>
      <c r="F736" s="972">
        <v>-5.0000000000000004E-6</v>
      </c>
      <c r="G736" s="972">
        <v>16762</v>
      </c>
      <c r="H736" s="972">
        <v>35.402999999999999</v>
      </c>
      <c r="I736" s="972">
        <v>14.2705</v>
      </c>
      <c r="J736" s="972">
        <v>48.6</v>
      </c>
    </row>
    <row r="737" spans="1:10" ht="15.75" hidden="1">
      <c r="A737" s="972" t="s">
        <v>2423</v>
      </c>
      <c r="B737" s="972" t="s">
        <v>1834</v>
      </c>
      <c r="C737" s="972" t="s">
        <v>2310</v>
      </c>
      <c r="D737" s="972">
        <v>-4.6999999999999997E-5</v>
      </c>
      <c r="E737" s="972">
        <v>-7.6000000000000004E-5</v>
      </c>
      <c r="F737" s="972">
        <v>-1.9999999999999999E-6</v>
      </c>
      <c r="G737" s="972">
        <v>16762</v>
      </c>
      <c r="H737" s="972">
        <v>35.402999999999999</v>
      </c>
      <c r="I737" s="972">
        <v>14.2705</v>
      </c>
      <c r="J737" s="972">
        <v>48.6</v>
      </c>
    </row>
    <row r="738" spans="1:10" ht="15.75" hidden="1">
      <c r="A738" s="972" t="s">
        <v>2423</v>
      </c>
      <c r="B738" s="972" t="s">
        <v>1834</v>
      </c>
      <c r="C738" s="972" t="s">
        <v>2311</v>
      </c>
      <c r="D738" s="972">
        <v>-5.1199999999999998E-4</v>
      </c>
      <c r="E738" s="972">
        <v>5.2989999999999999E-3</v>
      </c>
      <c r="F738" s="972">
        <v>-7.9999999999999996E-6</v>
      </c>
      <c r="G738" s="972">
        <v>16762</v>
      </c>
      <c r="H738" s="972">
        <v>35.402999999999999</v>
      </c>
      <c r="I738" s="972">
        <v>14.2705</v>
      </c>
      <c r="J738" s="972">
        <v>48.6</v>
      </c>
    </row>
    <row r="739" spans="1:10" ht="15.75" hidden="1">
      <c r="A739" s="972" t="s">
        <v>2423</v>
      </c>
      <c r="B739" s="972" t="s">
        <v>1834</v>
      </c>
      <c r="C739" s="972" t="s">
        <v>2328</v>
      </c>
      <c r="D739" s="972">
        <v>-7.27E-4</v>
      </c>
      <c r="E739" s="972">
        <v>9.8999999999999994E-5</v>
      </c>
      <c r="F739" s="972">
        <v>2.4699999999999999E-4</v>
      </c>
      <c r="G739" s="972">
        <v>16762</v>
      </c>
      <c r="H739" s="972">
        <v>35.402999999999999</v>
      </c>
      <c r="I739" s="972">
        <v>14.2705</v>
      </c>
      <c r="J739" s="972">
        <v>48.6</v>
      </c>
    </row>
    <row r="740" spans="1:10" ht="15.75" hidden="1">
      <c r="A740" s="972" t="s">
        <v>2423</v>
      </c>
      <c r="B740" s="972" t="s">
        <v>1834</v>
      </c>
      <c r="C740" s="972" t="s">
        <v>2329</v>
      </c>
      <c r="D740" s="972">
        <v>-5.1159999999999999E-3</v>
      </c>
      <c r="E740" s="972">
        <v>-4.86E-4</v>
      </c>
      <c r="F740" s="972">
        <v>-4.6E-5</v>
      </c>
      <c r="G740" s="972">
        <v>16762</v>
      </c>
      <c r="H740" s="972">
        <v>35.402999999999999</v>
      </c>
      <c r="I740" s="972">
        <v>14.2705</v>
      </c>
      <c r="J740" s="972">
        <v>48.6</v>
      </c>
    </row>
    <row r="741" spans="1:10" ht="15.75" hidden="1">
      <c r="A741" s="972" t="s">
        <v>2423</v>
      </c>
      <c r="B741" s="972" t="s">
        <v>1834</v>
      </c>
      <c r="C741" s="972" t="s">
        <v>2330</v>
      </c>
      <c r="D741" s="972">
        <v>1.45E-4</v>
      </c>
      <c r="E741" s="972">
        <v>-5.8E-5</v>
      </c>
      <c r="F741" s="972">
        <v>9.9999999999999995E-7</v>
      </c>
      <c r="G741" s="972">
        <v>16762</v>
      </c>
      <c r="H741" s="972">
        <v>35.402999999999999</v>
      </c>
      <c r="I741" s="972">
        <v>14.2705</v>
      </c>
      <c r="J741" s="972">
        <v>48.6</v>
      </c>
    </row>
    <row r="742" spans="1:10" ht="15.75" hidden="1">
      <c r="A742" s="972" t="s">
        <v>2423</v>
      </c>
      <c r="B742" s="972" t="s">
        <v>1834</v>
      </c>
      <c r="C742" s="972" t="s">
        <v>2331</v>
      </c>
      <c r="D742" s="972">
        <v>-3.6499999999999998E-4</v>
      </c>
      <c r="E742" s="972">
        <v>-2.4699999999999999E-4</v>
      </c>
      <c r="F742" s="972">
        <v>-6.8999999999999997E-5</v>
      </c>
      <c r="G742" s="972">
        <v>16762</v>
      </c>
      <c r="H742" s="972">
        <v>35.402999999999999</v>
      </c>
      <c r="I742" s="972">
        <v>14.2705</v>
      </c>
      <c r="J742" s="972">
        <v>48.6</v>
      </c>
    </row>
    <row r="743" spans="1:10" ht="15.75" hidden="1">
      <c r="A743" s="972" t="s">
        <v>2423</v>
      </c>
      <c r="B743" s="972" t="s">
        <v>1834</v>
      </c>
      <c r="C743" s="972" t="s">
        <v>2332</v>
      </c>
      <c r="D743" s="972">
        <v>3.6299999999999999E-4</v>
      </c>
      <c r="E743" s="972">
        <v>1.6000000000000001E-4</v>
      </c>
      <c r="F743" s="972">
        <v>-5.1E-5</v>
      </c>
      <c r="G743" s="972">
        <v>16762</v>
      </c>
      <c r="H743" s="972">
        <v>35.402999999999999</v>
      </c>
      <c r="I743" s="972">
        <v>14.2705</v>
      </c>
      <c r="J743" s="972">
        <v>48.6</v>
      </c>
    </row>
    <row r="744" spans="1:10" ht="15.75" hidden="1">
      <c r="A744" s="972" t="s">
        <v>2423</v>
      </c>
      <c r="B744" s="972" t="s">
        <v>1834</v>
      </c>
      <c r="C744" s="972" t="s">
        <v>2387</v>
      </c>
      <c r="D744" s="972">
        <v>-3.6299999999999999E-4</v>
      </c>
      <c r="E744" s="972">
        <v>5.1120000000000002E-3</v>
      </c>
      <c r="F744" s="972">
        <v>-5.1999999999999997E-5</v>
      </c>
      <c r="G744" s="972">
        <v>16762</v>
      </c>
      <c r="H744" s="972">
        <v>35.402999999999999</v>
      </c>
      <c r="I744" s="972">
        <v>14.2705</v>
      </c>
      <c r="J744" s="972">
        <v>48.6</v>
      </c>
    </row>
    <row r="745" spans="1:10" ht="15.75" hidden="1">
      <c r="A745" s="972" t="s">
        <v>2423</v>
      </c>
      <c r="B745" s="972" t="s">
        <v>1834</v>
      </c>
      <c r="C745" s="972" t="s">
        <v>2388</v>
      </c>
      <c r="D745" s="972">
        <v>-3.3149999999999998E-3</v>
      </c>
      <c r="E745" s="972">
        <v>-1.5319999999999999E-3</v>
      </c>
      <c r="F745" s="972">
        <v>-9.2E-5</v>
      </c>
      <c r="G745" s="972">
        <v>16762</v>
      </c>
      <c r="H745" s="972">
        <v>35.402999999999999</v>
      </c>
      <c r="I745" s="972">
        <v>14.2705</v>
      </c>
      <c r="J745" s="972">
        <v>48.6</v>
      </c>
    </row>
    <row r="746" spans="1:10" ht="15.75" hidden="1">
      <c r="A746" s="972" t="s">
        <v>2423</v>
      </c>
      <c r="B746" s="972" t="s">
        <v>1834</v>
      </c>
      <c r="C746" s="972" t="s">
        <v>2389</v>
      </c>
      <c r="D746" s="972">
        <v>3.9449999999999997E-3</v>
      </c>
      <c r="E746" s="972">
        <v>-2.1310000000000001E-3</v>
      </c>
      <c r="F746" s="972">
        <v>-6.3E-5</v>
      </c>
      <c r="G746" s="972">
        <v>16762</v>
      </c>
      <c r="H746" s="972">
        <v>35.402999999999999</v>
      </c>
      <c r="I746" s="972">
        <v>14.2705</v>
      </c>
      <c r="J746" s="972">
        <v>48.6</v>
      </c>
    </row>
    <row r="747" spans="1:10" ht="15.75" hidden="1">
      <c r="A747" s="972" t="s">
        <v>2423</v>
      </c>
      <c r="B747" s="972" t="s">
        <v>1834</v>
      </c>
      <c r="C747" s="972" t="s">
        <v>2390</v>
      </c>
      <c r="D747" s="972">
        <v>-3.5100000000000001E-3</v>
      </c>
      <c r="E747" s="972">
        <v>-3.79E-4</v>
      </c>
      <c r="F747" s="972">
        <v>2.3E-5</v>
      </c>
      <c r="G747" s="972">
        <v>16762</v>
      </c>
      <c r="H747" s="972">
        <v>35.402999999999999</v>
      </c>
      <c r="I747" s="972">
        <v>14.2705</v>
      </c>
      <c r="J747" s="972">
        <v>48.6</v>
      </c>
    </row>
    <row r="748" spans="1:10" ht="15.75" hidden="1">
      <c r="A748" s="972" t="s">
        <v>2423</v>
      </c>
      <c r="B748" s="972" t="s">
        <v>1834</v>
      </c>
      <c r="C748" s="972" t="s">
        <v>2391</v>
      </c>
      <c r="D748" s="972">
        <v>2.503E-3</v>
      </c>
      <c r="E748" s="972">
        <v>-3.382E-3</v>
      </c>
      <c r="F748" s="972">
        <v>-4.5000000000000003E-5</v>
      </c>
      <c r="G748" s="972">
        <v>16762</v>
      </c>
      <c r="H748" s="972">
        <v>35.402999999999999</v>
      </c>
      <c r="I748" s="972">
        <v>14.2705</v>
      </c>
      <c r="J748" s="972">
        <v>48.6</v>
      </c>
    </row>
    <row r="749" spans="1:10" ht="15.75" hidden="1">
      <c r="A749" s="972" t="s">
        <v>2423</v>
      </c>
      <c r="B749" s="972" t="s">
        <v>1834</v>
      </c>
      <c r="C749" s="972" t="s">
        <v>2392</v>
      </c>
      <c r="D749" s="972">
        <v>3.0669999999999998E-3</v>
      </c>
      <c r="E749" s="972">
        <v>4.2789999999999998E-3</v>
      </c>
      <c r="F749" s="972">
        <v>-7.9999999999999996E-6</v>
      </c>
      <c r="G749" s="972">
        <v>16762</v>
      </c>
      <c r="H749" s="972">
        <v>35.402999999999999</v>
      </c>
      <c r="I749" s="972">
        <v>14.2705</v>
      </c>
      <c r="J749" s="972">
        <v>48.6</v>
      </c>
    </row>
    <row r="750" spans="1:10" ht="15.75" hidden="1">
      <c r="A750" s="972" t="s">
        <v>2423</v>
      </c>
      <c r="B750" s="972" t="s">
        <v>1834</v>
      </c>
      <c r="C750" s="972" t="s">
        <v>2393</v>
      </c>
      <c r="D750" s="972">
        <v>-6.2E-4</v>
      </c>
      <c r="E750" s="972">
        <v>-1.351E-3</v>
      </c>
      <c r="F750" s="972">
        <v>-5.0000000000000002E-5</v>
      </c>
      <c r="G750" s="972">
        <v>16762</v>
      </c>
      <c r="H750" s="972">
        <v>35.402999999999999</v>
      </c>
      <c r="I750" s="972">
        <v>14.2705</v>
      </c>
      <c r="J750" s="972">
        <v>48.6</v>
      </c>
    </row>
    <row r="751" spans="1:10" ht="15.75" hidden="1">
      <c r="A751" s="972" t="s">
        <v>2423</v>
      </c>
      <c r="B751" s="972" t="s">
        <v>1834</v>
      </c>
      <c r="C751" s="972" t="s">
        <v>2394</v>
      </c>
      <c r="D751" s="972">
        <v>6.9700000000000003E-4</v>
      </c>
      <c r="E751" s="972">
        <v>2.709E-3</v>
      </c>
      <c r="F751" s="972">
        <v>-2.0000000000000002E-5</v>
      </c>
      <c r="G751" s="972">
        <v>16762</v>
      </c>
      <c r="H751" s="972">
        <v>35.402999999999999</v>
      </c>
      <c r="I751" s="972">
        <v>14.2705</v>
      </c>
      <c r="J751" s="972">
        <v>48.6</v>
      </c>
    </row>
    <row r="752" spans="1:10" ht="15.75" hidden="1">
      <c r="A752" s="972" t="s">
        <v>2423</v>
      </c>
      <c r="B752" s="972" t="s">
        <v>1834</v>
      </c>
      <c r="C752" s="972" t="s">
        <v>2395</v>
      </c>
      <c r="D752" s="972">
        <v>1.523E-3</v>
      </c>
      <c r="E752" s="972">
        <v>-4.6E-5</v>
      </c>
      <c r="F752" s="972">
        <v>5.1E-5</v>
      </c>
      <c r="G752" s="972">
        <v>16762</v>
      </c>
      <c r="H752" s="972">
        <v>35.402999999999999</v>
      </c>
      <c r="I752" s="972">
        <v>14.2705</v>
      </c>
      <c r="J752" s="972">
        <v>48.6</v>
      </c>
    </row>
    <row r="753" spans="1:10" ht="15.75" hidden="1">
      <c r="A753" s="972" t="s">
        <v>2423</v>
      </c>
      <c r="B753" s="972" t="s">
        <v>1834</v>
      </c>
      <c r="C753" s="972" t="s">
        <v>2396</v>
      </c>
      <c r="D753" s="972">
        <v>1.15E-4</v>
      </c>
      <c r="E753" s="972">
        <v>-1.0089999999999999E-3</v>
      </c>
      <c r="F753" s="972">
        <v>1.4E-5</v>
      </c>
      <c r="G753" s="972">
        <v>16762</v>
      </c>
      <c r="H753" s="972">
        <v>35.402999999999999</v>
      </c>
      <c r="I753" s="972">
        <v>14.2705</v>
      </c>
      <c r="J753" s="972">
        <v>48.6</v>
      </c>
    </row>
    <row r="754" spans="1:10" ht="15.75" hidden="1">
      <c r="A754" s="972" t="s">
        <v>2424</v>
      </c>
      <c r="B754" s="972" t="s">
        <v>1834</v>
      </c>
      <c r="C754" s="972" t="s">
        <v>2297</v>
      </c>
      <c r="D754" s="972">
        <v>-3.7199999999999999E-4</v>
      </c>
      <c r="E754" s="972">
        <v>1.936E-3</v>
      </c>
      <c r="F754" s="972">
        <v>2.0999999999999999E-5</v>
      </c>
      <c r="G754" s="972">
        <v>16763</v>
      </c>
      <c r="H754" s="972">
        <v>35.402999999999999</v>
      </c>
      <c r="I754" s="972">
        <v>14.2705</v>
      </c>
      <c r="J754" s="972">
        <v>45.2</v>
      </c>
    </row>
    <row r="755" spans="1:10" ht="15.75" hidden="1">
      <c r="A755" s="972" t="s">
        <v>2424</v>
      </c>
      <c r="B755" s="972" t="s">
        <v>1834</v>
      </c>
      <c r="C755" s="972" t="s">
        <v>2298</v>
      </c>
      <c r="D755" s="972">
        <v>-3.4000000000000002E-4</v>
      </c>
      <c r="E755" s="972">
        <v>-4.08E-4</v>
      </c>
      <c r="F755" s="972">
        <v>1.1900000000000001E-4</v>
      </c>
      <c r="G755" s="972">
        <v>16763</v>
      </c>
      <c r="H755" s="972">
        <v>35.402999999999999</v>
      </c>
      <c r="I755" s="972">
        <v>14.2705</v>
      </c>
      <c r="J755" s="972">
        <v>45.2</v>
      </c>
    </row>
    <row r="756" spans="1:10" ht="15.75">
      <c r="A756" s="972" t="s">
        <v>2424</v>
      </c>
      <c r="B756" s="972" t="s">
        <v>1834</v>
      </c>
      <c r="C756" s="972" t="s">
        <v>2299</v>
      </c>
      <c r="D756" s="972">
        <v>2.1389999999999998E-3</v>
      </c>
      <c r="E756" s="972">
        <v>3.8000000000000002E-4</v>
      </c>
      <c r="F756" s="972">
        <v>2.0999999999999999E-5</v>
      </c>
      <c r="G756" s="972">
        <v>16763</v>
      </c>
      <c r="H756" s="972">
        <v>35.402999999999999</v>
      </c>
      <c r="I756" s="972">
        <v>14.2705</v>
      </c>
      <c r="J756" s="972">
        <v>45.2</v>
      </c>
    </row>
    <row r="757" spans="1:10" ht="15.75" hidden="1">
      <c r="A757" s="972" t="s">
        <v>2424</v>
      </c>
      <c r="B757" s="972" t="s">
        <v>1834</v>
      </c>
      <c r="C757" s="972" t="s">
        <v>2300</v>
      </c>
      <c r="D757" s="972">
        <v>-8.1499999999999997E-4</v>
      </c>
      <c r="E757" s="972">
        <v>2.9E-5</v>
      </c>
      <c r="F757" s="972">
        <v>2.72E-4</v>
      </c>
      <c r="G757" s="972">
        <v>16763</v>
      </c>
      <c r="H757" s="972">
        <v>35.402999999999999</v>
      </c>
      <c r="I757" s="972">
        <v>14.2705</v>
      </c>
      <c r="J757" s="972">
        <v>45.2</v>
      </c>
    </row>
    <row r="758" spans="1:10" ht="15.75" hidden="1">
      <c r="A758" s="972" t="s">
        <v>2424</v>
      </c>
      <c r="B758" s="972" t="s">
        <v>1834</v>
      </c>
      <c r="C758" s="972" t="s">
        <v>2301</v>
      </c>
      <c r="D758" s="972">
        <v>6.78E-4</v>
      </c>
      <c r="E758" s="972">
        <v>-5.496E-3</v>
      </c>
      <c r="F758" s="972">
        <v>7.9999999999999996E-6</v>
      </c>
      <c r="G758" s="972">
        <v>16763</v>
      </c>
      <c r="H758" s="972">
        <v>35.402999999999999</v>
      </c>
      <c r="I758" s="972">
        <v>14.2705</v>
      </c>
      <c r="J758" s="972">
        <v>45.2</v>
      </c>
    </row>
    <row r="759" spans="1:10" ht="15.75" hidden="1">
      <c r="A759" s="972" t="s">
        <v>2424</v>
      </c>
      <c r="B759" s="972" t="s">
        <v>1834</v>
      </c>
      <c r="C759" s="972" t="s">
        <v>2302</v>
      </c>
      <c r="D759" s="972">
        <v>-5.4390000000000003E-3</v>
      </c>
      <c r="E759" s="972">
        <v>-6.9200000000000002E-4</v>
      </c>
      <c r="F759" s="972">
        <v>-4.1E-5</v>
      </c>
      <c r="G759" s="972">
        <v>16763</v>
      </c>
      <c r="H759" s="972">
        <v>35.402999999999999</v>
      </c>
      <c r="I759" s="972">
        <v>14.2705</v>
      </c>
      <c r="J759" s="972">
        <v>45.2</v>
      </c>
    </row>
    <row r="760" spans="1:10" ht="15.75" hidden="1">
      <c r="A760" s="972" t="s">
        <v>2424</v>
      </c>
      <c r="B760" s="972" t="s">
        <v>1834</v>
      </c>
      <c r="C760" s="972" t="s">
        <v>2303</v>
      </c>
      <c r="D760" s="972">
        <v>6.0099999999999997E-4</v>
      </c>
      <c r="E760" s="972">
        <v>3.4E-5</v>
      </c>
      <c r="F760" s="972">
        <v>-1.76E-4</v>
      </c>
      <c r="G760" s="972">
        <v>16763</v>
      </c>
      <c r="H760" s="972">
        <v>35.402999999999999</v>
      </c>
      <c r="I760" s="972">
        <v>14.2705</v>
      </c>
      <c r="J760" s="972">
        <v>45.2</v>
      </c>
    </row>
    <row r="761" spans="1:10" ht="15.75" hidden="1">
      <c r="A761" s="972" t="s">
        <v>2424</v>
      </c>
      <c r="B761" s="972" t="s">
        <v>1834</v>
      </c>
      <c r="C761" s="972" t="s">
        <v>2304</v>
      </c>
      <c r="D761" s="972">
        <v>4.3800000000000002E-4</v>
      </c>
      <c r="E761" s="972">
        <v>-4.1640000000000002E-3</v>
      </c>
      <c r="F761" s="972">
        <v>3.9999999999999998E-6</v>
      </c>
      <c r="G761" s="972">
        <v>16763</v>
      </c>
      <c r="H761" s="972">
        <v>35.402999999999999</v>
      </c>
      <c r="I761" s="972">
        <v>14.2705</v>
      </c>
      <c r="J761" s="972">
        <v>45.2</v>
      </c>
    </row>
    <row r="762" spans="1:10" ht="15.75" hidden="1">
      <c r="A762" s="972" t="s">
        <v>2424</v>
      </c>
      <c r="B762" s="972" t="s">
        <v>1834</v>
      </c>
      <c r="C762" s="972" t="s">
        <v>2305</v>
      </c>
      <c r="D762" s="972">
        <v>5.6800000000000004E-4</v>
      </c>
      <c r="E762" s="972">
        <v>6.9999999999999999E-6</v>
      </c>
      <c r="F762" s="972">
        <v>-1.02E-4</v>
      </c>
      <c r="G762" s="972">
        <v>16763</v>
      </c>
      <c r="H762" s="972">
        <v>35.402999999999999</v>
      </c>
      <c r="I762" s="972">
        <v>14.2705</v>
      </c>
      <c r="J762" s="972">
        <v>45.2</v>
      </c>
    </row>
    <row r="763" spans="1:10" ht="15.75" hidden="1">
      <c r="A763" s="972" t="s">
        <v>2424</v>
      </c>
      <c r="B763" s="972" t="s">
        <v>1834</v>
      </c>
      <c r="C763" s="972" t="s">
        <v>2306</v>
      </c>
      <c r="D763" s="972">
        <v>-3.9230000000000003E-3</v>
      </c>
      <c r="E763" s="972">
        <v>-3.77E-4</v>
      </c>
      <c r="F763" s="972">
        <v>-3.0000000000000001E-5</v>
      </c>
      <c r="G763" s="972">
        <v>16763</v>
      </c>
      <c r="H763" s="972">
        <v>35.402999999999999</v>
      </c>
      <c r="I763" s="972">
        <v>14.2705</v>
      </c>
      <c r="J763" s="972">
        <v>45.2</v>
      </c>
    </row>
    <row r="764" spans="1:10" ht="15.75" hidden="1">
      <c r="A764" s="972" t="s">
        <v>2424</v>
      </c>
      <c r="B764" s="972" t="s">
        <v>1834</v>
      </c>
      <c r="C764" s="972" t="s">
        <v>2307</v>
      </c>
      <c r="D764" s="972">
        <v>4.08E-4</v>
      </c>
      <c r="E764" s="972">
        <v>-6.7299999999999999E-4</v>
      </c>
      <c r="F764" s="972">
        <v>-2.5099999999999998E-4</v>
      </c>
      <c r="G764" s="972">
        <v>16763</v>
      </c>
      <c r="H764" s="972">
        <v>35.402999999999999</v>
      </c>
      <c r="I764" s="972">
        <v>14.2705</v>
      </c>
      <c r="J764" s="972">
        <v>45.2</v>
      </c>
    </row>
    <row r="765" spans="1:10" ht="15.75" hidden="1">
      <c r="A765" s="972" t="s">
        <v>2424</v>
      </c>
      <c r="B765" s="972" t="s">
        <v>1834</v>
      </c>
      <c r="C765" s="972" t="s">
        <v>2308</v>
      </c>
      <c r="D765" s="972">
        <v>-3.4999999999999997E-5</v>
      </c>
      <c r="E765" s="972">
        <v>1.7830000000000001E-3</v>
      </c>
      <c r="F765" s="972">
        <v>-9.3999999999999994E-5</v>
      </c>
      <c r="G765" s="972">
        <v>16763</v>
      </c>
      <c r="H765" s="972">
        <v>35.402999999999999</v>
      </c>
      <c r="I765" s="972">
        <v>14.2705</v>
      </c>
      <c r="J765" s="972">
        <v>45.2</v>
      </c>
    </row>
    <row r="766" spans="1:10" ht="15.75" hidden="1">
      <c r="A766" s="972" t="s">
        <v>2424</v>
      </c>
      <c r="B766" s="972" t="s">
        <v>1834</v>
      </c>
      <c r="C766" s="972" t="s">
        <v>2309</v>
      </c>
      <c r="D766" s="972">
        <v>-2.0869999999999999E-3</v>
      </c>
      <c r="E766" s="972">
        <v>-2.2100000000000001E-4</v>
      </c>
      <c r="F766" s="972">
        <v>-9.9999999999999995E-7</v>
      </c>
      <c r="G766" s="972">
        <v>16763</v>
      </c>
      <c r="H766" s="972">
        <v>35.402999999999999</v>
      </c>
      <c r="I766" s="972">
        <v>14.2705</v>
      </c>
      <c r="J766" s="972">
        <v>45.2</v>
      </c>
    </row>
    <row r="767" spans="1:10" ht="15.75" hidden="1">
      <c r="A767" s="972" t="s">
        <v>2424</v>
      </c>
      <c r="B767" s="972" t="s">
        <v>1834</v>
      </c>
      <c r="C767" s="972" t="s">
        <v>2310</v>
      </c>
      <c r="D767" s="972">
        <v>6.4999999999999994E-5</v>
      </c>
      <c r="E767" s="972">
        <v>-9.3999999999999994E-5</v>
      </c>
      <c r="F767" s="972">
        <v>-1.13E-4</v>
      </c>
      <c r="G767" s="972">
        <v>16763</v>
      </c>
      <c r="H767" s="972">
        <v>35.402999999999999</v>
      </c>
      <c r="I767" s="972">
        <v>14.2705</v>
      </c>
      <c r="J767" s="972">
        <v>45.2</v>
      </c>
    </row>
    <row r="768" spans="1:10" ht="15.75" hidden="1">
      <c r="A768" s="972" t="s">
        <v>2424</v>
      </c>
      <c r="B768" s="972" t="s">
        <v>1834</v>
      </c>
      <c r="C768" s="972" t="s">
        <v>2311</v>
      </c>
      <c r="D768" s="972">
        <v>-5.2099999999999998E-4</v>
      </c>
      <c r="E768" s="972">
        <v>5.5149999999999999E-3</v>
      </c>
      <c r="F768" s="972">
        <v>-1.0000000000000001E-5</v>
      </c>
      <c r="G768" s="972">
        <v>16763</v>
      </c>
      <c r="H768" s="972">
        <v>35.402999999999999</v>
      </c>
      <c r="I768" s="972">
        <v>14.2705</v>
      </c>
      <c r="J768" s="972">
        <v>45.2</v>
      </c>
    </row>
    <row r="769" spans="1:10" ht="15.75" hidden="1">
      <c r="A769" s="972" t="s">
        <v>2424</v>
      </c>
      <c r="B769" s="972" t="s">
        <v>1834</v>
      </c>
      <c r="C769" s="972" t="s">
        <v>2328</v>
      </c>
      <c r="D769" s="972">
        <v>-7.6599999999999997E-4</v>
      </c>
      <c r="E769" s="972">
        <v>3.8999999999999999E-5</v>
      </c>
      <c r="F769" s="972">
        <v>1.92E-4</v>
      </c>
      <c r="G769" s="972">
        <v>16763</v>
      </c>
      <c r="H769" s="972">
        <v>35.402999999999999</v>
      </c>
      <c r="I769" s="972">
        <v>14.2705</v>
      </c>
      <c r="J769" s="972">
        <v>45.2</v>
      </c>
    </row>
    <row r="770" spans="1:10" ht="15.75" hidden="1">
      <c r="A770" s="972" t="s">
        <v>2424</v>
      </c>
      <c r="B770" s="972" t="s">
        <v>1834</v>
      </c>
      <c r="C770" s="972" t="s">
        <v>2329</v>
      </c>
      <c r="D770" s="972">
        <v>-5.4330000000000003E-3</v>
      </c>
      <c r="E770" s="972">
        <v>-5.2800000000000004E-4</v>
      </c>
      <c r="F770" s="972">
        <v>-3.1999999999999999E-5</v>
      </c>
      <c r="G770" s="972">
        <v>16763</v>
      </c>
      <c r="H770" s="972">
        <v>35.402999999999999</v>
      </c>
      <c r="I770" s="972">
        <v>14.2705</v>
      </c>
      <c r="J770" s="972">
        <v>45.2</v>
      </c>
    </row>
    <row r="771" spans="1:10" ht="15.75" hidden="1">
      <c r="A771" s="972" t="s">
        <v>2424</v>
      </c>
      <c r="B771" s="972" t="s">
        <v>1834</v>
      </c>
      <c r="C771" s="972" t="s">
        <v>2330</v>
      </c>
      <c r="D771" s="972">
        <v>3.1399999999999999E-4</v>
      </c>
      <c r="E771" s="972">
        <v>-2.3080000000000002E-3</v>
      </c>
      <c r="F771" s="972">
        <v>2.6999999999999999E-5</v>
      </c>
      <c r="G771" s="972">
        <v>16763</v>
      </c>
      <c r="H771" s="972">
        <v>35.402999999999999</v>
      </c>
      <c r="I771" s="972">
        <v>14.2705</v>
      </c>
      <c r="J771" s="972">
        <v>45.2</v>
      </c>
    </row>
    <row r="772" spans="1:10" ht="15.75" hidden="1">
      <c r="A772" s="972" t="s">
        <v>2424</v>
      </c>
      <c r="B772" s="972" t="s">
        <v>1834</v>
      </c>
      <c r="C772" s="972" t="s">
        <v>2331</v>
      </c>
      <c r="D772" s="972">
        <v>-1.08E-4</v>
      </c>
      <c r="E772" s="972">
        <v>-5.8299999999999997E-4</v>
      </c>
      <c r="F772" s="972">
        <v>-1.8100000000000001E-4</v>
      </c>
      <c r="G772" s="972">
        <v>16763</v>
      </c>
      <c r="H772" s="972">
        <v>35.402999999999999</v>
      </c>
      <c r="I772" s="972">
        <v>14.2705</v>
      </c>
      <c r="J772" s="972">
        <v>45.2</v>
      </c>
    </row>
    <row r="773" spans="1:10" ht="15.75" hidden="1">
      <c r="A773" s="972" t="s">
        <v>2424</v>
      </c>
      <c r="B773" s="972" t="s">
        <v>1834</v>
      </c>
      <c r="C773" s="972" t="s">
        <v>2332</v>
      </c>
      <c r="D773" s="972">
        <v>-1.8749999999999999E-3</v>
      </c>
      <c r="E773" s="972">
        <v>-5.5000000000000002E-5</v>
      </c>
      <c r="F773" s="972">
        <v>-5.1E-5</v>
      </c>
      <c r="G773" s="972">
        <v>16763</v>
      </c>
      <c r="H773" s="972">
        <v>35.402999999999999</v>
      </c>
      <c r="I773" s="972">
        <v>14.2705</v>
      </c>
      <c r="J773" s="972">
        <v>45.2</v>
      </c>
    </row>
    <row r="774" spans="1:10" ht="15.75" hidden="1">
      <c r="A774" s="972" t="s">
        <v>2424</v>
      </c>
      <c r="B774" s="972" t="s">
        <v>1834</v>
      </c>
      <c r="C774" s="972" t="s">
        <v>2387</v>
      </c>
      <c r="D774" s="972">
        <v>-5.8999999999999998E-5</v>
      </c>
      <c r="E774" s="972">
        <v>3.728E-3</v>
      </c>
      <c r="F774" s="972">
        <v>-4.1E-5</v>
      </c>
      <c r="G774" s="972">
        <v>16763</v>
      </c>
      <c r="H774" s="972">
        <v>35.402999999999999</v>
      </c>
      <c r="I774" s="972">
        <v>14.2705</v>
      </c>
      <c r="J774" s="972">
        <v>45.2</v>
      </c>
    </row>
    <row r="775" spans="1:10" ht="15.75" hidden="1">
      <c r="A775" s="972" t="s">
        <v>2424</v>
      </c>
      <c r="B775" s="972" t="s">
        <v>1834</v>
      </c>
      <c r="C775" s="972" t="s">
        <v>2388</v>
      </c>
      <c r="D775" s="972">
        <v>-2.0820000000000001E-3</v>
      </c>
      <c r="E775" s="972">
        <v>-1.6069999999999999E-3</v>
      </c>
      <c r="F775" s="972">
        <v>-9.0000000000000002E-6</v>
      </c>
      <c r="G775" s="972">
        <v>16763</v>
      </c>
      <c r="H775" s="972">
        <v>35.402999999999999</v>
      </c>
      <c r="I775" s="972">
        <v>14.2705</v>
      </c>
      <c r="J775" s="972">
        <v>45.2</v>
      </c>
    </row>
    <row r="776" spans="1:10" ht="15.75" hidden="1">
      <c r="A776" s="972" t="s">
        <v>2424</v>
      </c>
      <c r="B776" s="972" t="s">
        <v>1834</v>
      </c>
      <c r="C776" s="972" t="s">
        <v>2389</v>
      </c>
      <c r="D776" s="972">
        <v>4.1200000000000004E-3</v>
      </c>
      <c r="E776" s="972">
        <v>-3.8570000000000002E-3</v>
      </c>
      <c r="F776" s="972">
        <v>-1.5999999999999999E-5</v>
      </c>
      <c r="G776" s="972">
        <v>16763</v>
      </c>
      <c r="H776" s="972">
        <v>35.402999999999999</v>
      </c>
      <c r="I776" s="972">
        <v>14.2705</v>
      </c>
      <c r="J776" s="972">
        <v>45.2</v>
      </c>
    </row>
    <row r="777" spans="1:10" ht="15.75" hidden="1">
      <c r="A777" s="972" t="s">
        <v>2424</v>
      </c>
      <c r="B777" s="972" t="s">
        <v>1834</v>
      </c>
      <c r="C777" s="972" t="s">
        <v>2390</v>
      </c>
      <c r="D777" s="972">
        <v>-4.3639999999999998E-3</v>
      </c>
      <c r="E777" s="972">
        <v>-2.5760000000000002E-3</v>
      </c>
      <c r="F777" s="972">
        <v>-2.0999999999999999E-5</v>
      </c>
      <c r="G777" s="972">
        <v>16763</v>
      </c>
      <c r="H777" s="972">
        <v>35.402999999999999</v>
      </c>
      <c r="I777" s="972">
        <v>14.2705</v>
      </c>
      <c r="J777" s="972">
        <v>45.2</v>
      </c>
    </row>
    <row r="778" spans="1:10" ht="15.75" hidden="1">
      <c r="A778" s="972" t="s">
        <v>2424</v>
      </c>
      <c r="B778" s="972" t="s">
        <v>1834</v>
      </c>
      <c r="C778" s="972" t="s">
        <v>2391</v>
      </c>
      <c r="D778" s="972">
        <v>6.8999999999999997E-5</v>
      </c>
      <c r="E778" s="972">
        <v>-2.503E-3</v>
      </c>
      <c r="F778" s="972">
        <v>-2.9E-5</v>
      </c>
      <c r="G778" s="972">
        <v>16763</v>
      </c>
      <c r="H778" s="972">
        <v>35.402999999999999</v>
      </c>
      <c r="I778" s="972">
        <v>14.2705</v>
      </c>
      <c r="J778" s="972">
        <v>45.2</v>
      </c>
    </row>
    <row r="779" spans="1:10" ht="15.75" hidden="1">
      <c r="A779" s="972" t="s">
        <v>2424</v>
      </c>
      <c r="B779" s="972" t="s">
        <v>1834</v>
      </c>
      <c r="C779" s="972" t="s">
        <v>2392</v>
      </c>
      <c r="D779" s="972">
        <v>1.663E-3</v>
      </c>
      <c r="E779" s="972">
        <v>3.8700000000000002E-3</v>
      </c>
      <c r="F779" s="972">
        <v>-1.5999999999999999E-5</v>
      </c>
      <c r="G779" s="972">
        <v>16763</v>
      </c>
      <c r="H779" s="972">
        <v>35.402999999999999</v>
      </c>
      <c r="I779" s="972">
        <v>14.2705</v>
      </c>
      <c r="J779" s="972">
        <v>45.2</v>
      </c>
    </row>
    <row r="780" spans="1:10" ht="15.75" hidden="1">
      <c r="A780" s="972" t="s">
        <v>2424</v>
      </c>
      <c r="B780" s="972" t="s">
        <v>1834</v>
      </c>
      <c r="C780" s="972" t="s">
        <v>2393</v>
      </c>
      <c r="D780" s="972">
        <v>-2.7070000000000002E-3</v>
      </c>
      <c r="E780" s="972">
        <v>3.3799999999999998E-4</v>
      </c>
      <c r="F780" s="972">
        <v>-3.3000000000000003E-5</v>
      </c>
      <c r="G780" s="972">
        <v>16763</v>
      </c>
      <c r="H780" s="972">
        <v>35.402999999999999</v>
      </c>
      <c r="I780" s="972">
        <v>14.2705</v>
      </c>
      <c r="J780" s="972">
        <v>45.2</v>
      </c>
    </row>
    <row r="781" spans="1:10" ht="15.75" hidden="1">
      <c r="A781" s="972" t="s">
        <v>2424</v>
      </c>
      <c r="B781" s="972" t="s">
        <v>1834</v>
      </c>
      <c r="C781" s="972" t="s">
        <v>2394</v>
      </c>
      <c r="D781" s="972">
        <v>-9.1699999999999995E-4</v>
      </c>
      <c r="E781" s="972">
        <v>5.3600000000000002E-4</v>
      </c>
      <c r="F781" s="972">
        <v>-2.5999999999999998E-5</v>
      </c>
      <c r="G781" s="972">
        <v>16763</v>
      </c>
      <c r="H781" s="972">
        <v>35.402999999999999</v>
      </c>
      <c r="I781" s="972">
        <v>14.2705</v>
      </c>
      <c r="J781" s="972">
        <v>45.2</v>
      </c>
    </row>
    <row r="782" spans="1:10" ht="15.75" hidden="1">
      <c r="A782" s="972" t="s">
        <v>2424</v>
      </c>
      <c r="B782" s="972" t="s">
        <v>1834</v>
      </c>
      <c r="C782" s="972" t="s">
        <v>2395</v>
      </c>
      <c r="D782" s="972">
        <v>2.5760000000000002E-3</v>
      </c>
      <c r="E782" s="972">
        <v>-1.0039999999999999E-3</v>
      </c>
      <c r="F782" s="972">
        <v>3.1000000000000001E-5</v>
      </c>
      <c r="G782" s="972">
        <v>16763</v>
      </c>
      <c r="H782" s="972">
        <v>35.402999999999999</v>
      </c>
      <c r="I782" s="972">
        <v>14.2705</v>
      </c>
      <c r="J782" s="972">
        <v>45.2</v>
      </c>
    </row>
    <row r="783" spans="1:10" ht="15.75" hidden="1">
      <c r="A783" s="972" t="s">
        <v>2424</v>
      </c>
      <c r="B783" s="972" t="s">
        <v>1834</v>
      </c>
      <c r="C783" s="972" t="s">
        <v>2396</v>
      </c>
      <c r="D783" s="972">
        <v>9.2299999999999999E-4</v>
      </c>
      <c r="E783" s="972">
        <v>1.1249999999999999E-3</v>
      </c>
      <c r="F783" s="972">
        <v>1.5E-5</v>
      </c>
      <c r="G783" s="972">
        <v>16763</v>
      </c>
      <c r="H783" s="972">
        <v>35.402999999999999</v>
      </c>
      <c r="I783" s="972">
        <v>14.2705</v>
      </c>
      <c r="J783" s="972">
        <v>45.2</v>
      </c>
    </row>
    <row r="784" spans="1:10" ht="15.75" hidden="1">
      <c r="A784" s="972" t="s">
        <v>2425</v>
      </c>
      <c r="B784" s="972" t="s">
        <v>1834</v>
      </c>
      <c r="C784" s="972" t="s">
        <v>2297</v>
      </c>
      <c r="D784" s="972">
        <v>-3.3399999999999999E-4</v>
      </c>
      <c r="E784" s="972">
        <v>1.7390000000000001E-3</v>
      </c>
      <c r="F784" s="972">
        <v>1.9000000000000001E-5</v>
      </c>
      <c r="G784" s="972">
        <v>16764</v>
      </c>
      <c r="H784" s="972">
        <v>35.402999999999999</v>
      </c>
      <c r="I784" s="972">
        <v>14.2705</v>
      </c>
      <c r="J784" s="972">
        <v>41.8</v>
      </c>
    </row>
    <row r="785" spans="1:10" ht="15.75" hidden="1">
      <c r="A785" s="972" t="s">
        <v>2425</v>
      </c>
      <c r="B785" s="972" t="s">
        <v>1834</v>
      </c>
      <c r="C785" s="972" t="s">
        <v>2298</v>
      </c>
      <c r="D785" s="972">
        <v>-3.1E-4</v>
      </c>
      <c r="E785" s="972">
        <v>-3.6699999999999998E-4</v>
      </c>
      <c r="F785" s="972">
        <v>1.08E-4</v>
      </c>
      <c r="G785" s="972">
        <v>16764</v>
      </c>
      <c r="H785" s="972">
        <v>35.402999999999999</v>
      </c>
      <c r="I785" s="972">
        <v>14.2705</v>
      </c>
      <c r="J785" s="972">
        <v>41.8</v>
      </c>
    </row>
    <row r="786" spans="1:10" ht="15.75">
      <c r="A786" s="972" t="s">
        <v>2425</v>
      </c>
      <c r="B786" s="972" t="s">
        <v>1834</v>
      </c>
      <c r="C786" s="972" t="s">
        <v>2299</v>
      </c>
      <c r="D786" s="972">
        <v>1.934E-3</v>
      </c>
      <c r="E786" s="972">
        <v>3.4499999999999998E-4</v>
      </c>
      <c r="F786" s="972">
        <v>2.0000000000000002E-5</v>
      </c>
      <c r="G786" s="972">
        <v>16764</v>
      </c>
      <c r="H786" s="972">
        <v>35.402999999999999</v>
      </c>
      <c r="I786" s="972">
        <v>14.2705</v>
      </c>
      <c r="J786" s="972">
        <v>41.8</v>
      </c>
    </row>
    <row r="787" spans="1:10" ht="15.75" hidden="1">
      <c r="A787" s="972" t="s">
        <v>2425</v>
      </c>
      <c r="B787" s="972" t="s">
        <v>1834</v>
      </c>
      <c r="C787" s="972" t="s">
        <v>2300</v>
      </c>
      <c r="D787" s="972">
        <v>-7.9000000000000001E-4</v>
      </c>
      <c r="E787" s="972">
        <v>2.8E-5</v>
      </c>
      <c r="F787" s="972">
        <v>2.6600000000000001E-4</v>
      </c>
      <c r="G787" s="972">
        <v>16764</v>
      </c>
      <c r="H787" s="972">
        <v>35.402999999999999</v>
      </c>
      <c r="I787" s="972">
        <v>14.2705</v>
      </c>
      <c r="J787" s="972">
        <v>41.8</v>
      </c>
    </row>
    <row r="788" spans="1:10" ht="15.75" hidden="1">
      <c r="A788" s="972" t="s">
        <v>2425</v>
      </c>
      <c r="B788" s="972" t="s">
        <v>1834</v>
      </c>
      <c r="C788" s="972" t="s">
        <v>2301</v>
      </c>
      <c r="D788" s="972">
        <v>6.5099999999999999E-4</v>
      </c>
      <c r="E788" s="972">
        <v>-5.2919999999999998E-3</v>
      </c>
      <c r="F788" s="972">
        <v>7.9999999999999996E-6</v>
      </c>
      <c r="G788" s="972">
        <v>16764</v>
      </c>
      <c r="H788" s="972">
        <v>35.402999999999999</v>
      </c>
      <c r="I788" s="972">
        <v>14.2705</v>
      </c>
      <c r="J788" s="972">
        <v>41.8</v>
      </c>
    </row>
    <row r="789" spans="1:10" ht="15.75" hidden="1">
      <c r="A789" s="972" t="s">
        <v>2425</v>
      </c>
      <c r="B789" s="972" t="s">
        <v>1834</v>
      </c>
      <c r="C789" s="972" t="s">
        <v>2302</v>
      </c>
      <c r="D789" s="972">
        <v>-5.2550000000000001E-3</v>
      </c>
      <c r="E789" s="972">
        <v>-6.7199999999999996E-4</v>
      </c>
      <c r="F789" s="972">
        <v>-4.1E-5</v>
      </c>
      <c r="G789" s="972">
        <v>16764</v>
      </c>
      <c r="H789" s="972">
        <v>35.402999999999999</v>
      </c>
      <c r="I789" s="972">
        <v>14.2705</v>
      </c>
      <c r="J789" s="972">
        <v>41.8</v>
      </c>
    </row>
    <row r="790" spans="1:10" ht="15.75" hidden="1">
      <c r="A790" s="972" t="s">
        <v>2425</v>
      </c>
      <c r="B790" s="972" t="s">
        <v>1834</v>
      </c>
      <c r="C790" s="972" t="s">
        <v>2303</v>
      </c>
      <c r="D790" s="972">
        <v>6.87E-4</v>
      </c>
      <c r="E790" s="972">
        <v>3.4999999999999997E-5</v>
      </c>
      <c r="F790" s="972">
        <v>-2.1499999999999999E-4</v>
      </c>
      <c r="G790" s="972">
        <v>16764</v>
      </c>
      <c r="H790" s="972">
        <v>35.402999999999999</v>
      </c>
      <c r="I790" s="972">
        <v>14.2705</v>
      </c>
      <c r="J790" s="972">
        <v>41.8</v>
      </c>
    </row>
    <row r="791" spans="1:10" ht="15.75" hidden="1">
      <c r="A791" s="972" t="s">
        <v>2425</v>
      </c>
      <c r="B791" s="972" t="s">
        <v>1834</v>
      </c>
      <c r="C791" s="972" t="s">
        <v>2304</v>
      </c>
      <c r="D791" s="972">
        <v>5.0799999999999999E-4</v>
      </c>
      <c r="E791" s="972">
        <v>-4.8799999999999998E-3</v>
      </c>
      <c r="F791" s="972">
        <v>3.9999999999999998E-6</v>
      </c>
      <c r="G791" s="972">
        <v>16764</v>
      </c>
      <c r="H791" s="972">
        <v>35.402999999999999</v>
      </c>
      <c r="I791" s="972">
        <v>14.2705</v>
      </c>
      <c r="J791" s="972">
        <v>41.8</v>
      </c>
    </row>
    <row r="792" spans="1:10" ht="15.75" hidden="1">
      <c r="A792" s="972" t="s">
        <v>2425</v>
      </c>
      <c r="B792" s="972" t="s">
        <v>1834</v>
      </c>
      <c r="C792" s="972" t="s">
        <v>2305</v>
      </c>
      <c r="D792" s="972">
        <v>4.8200000000000001E-4</v>
      </c>
      <c r="E792" s="972">
        <v>6.0000000000000002E-6</v>
      </c>
      <c r="F792" s="972">
        <v>-2.8E-5</v>
      </c>
      <c r="G792" s="972">
        <v>16764</v>
      </c>
      <c r="H792" s="972">
        <v>35.402999999999999</v>
      </c>
      <c r="I792" s="972">
        <v>14.2705</v>
      </c>
      <c r="J792" s="972">
        <v>41.8</v>
      </c>
    </row>
    <row r="793" spans="1:10" ht="15.75" hidden="1">
      <c r="A793" s="972" t="s">
        <v>2425</v>
      </c>
      <c r="B793" s="972" t="s">
        <v>1834</v>
      </c>
      <c r="C793" s="972" t="s">
        <v>2306</v>
      </c>
      <c r="D793" s="972">
        <v>-4.6719999999999999E-3</v>
      </c>
      <c r="E793" s="972">
        <v>-4.55E-4</v>
      </c>
      <c r="F793" s="972">
        <v>-2.5999999999999998E-5</v>
      </c>
      <c r="G793" s="972">
        <v>16764</v>
      </c>
      <c r="H793" s="972">
        <v>35.402999999999999</v>
      </c>
      <c r="I793" s="972">
        <v>14.2705</v>
      </c>
      <c r="J793" s="972">
        <v>41.8</v>
      </c>
    </row>
    <row r="794" spans="1:10" ht="15.75" hidden="1">
      <c r="A794" s="972" t="s">
        <v>2425</v>
      </c>
      <c r="B794" s="972" t="s">
        <v>1834</v>
      </c>
      <c r="C794" s="972" t="s">
        <v>2307</v>
      </c>
      <c r="D794" s="972">
        <v>3.5199999999999999E-4</v>
      </c>
      <c r="E794" s="972">
        <v>-1.4999999999999999E-4</v>
      </c>
      <c r="F794" s="972">
        <v>-2.31E-4</v>
      </c>
      <c r="G794" s="972">
        <v>16764</v>
      </c>
      <c r="H794" s="972">
        <v>35.402999999999999</v>
      </c>
      <c r="I794" s="972">
        <v>14.2705</v>
      </c>
      <c r="J794" s="972">
        <v>41.8</v>
      </c>
    </row>
    <row r="795" spans="1:10" ht="15.75" hidden="1">
      <c r="A795" s="972" t="s">
        <v>2425</v>
      </c>
      <c r="B795" s="972" t="s">
        <v>1834</v>
      </c>
      <c r="C795" s="972" t="s">
        <v>2308</v>
      </c>
      <c r="D795" s="972">
        <v>1.03E-4</v>
      </c>
      <c r="E795" s="972">
        <v>3.6000000000000002E-4</v>
      </c>
      <c r="F795" s="972">
        <v>-8.5000000000000006E-5</v>
      </c>
      <c r="G795" s="972">
        <v>16764</v>
      </c>
      <c r="H795" s="972">
        <v>35.402999999999999</v>
      </c>
      <c r="I795" s="972">
        <v>14.2705</v>
      </c>
      <c r="J795" s="972">
        <v>41.8</v>
      </c>
    </row>
    <row r="796" spans="1:10" ht="15.75" hidden="1">
      <c r="A796" s="972" t="s">
        <v>2425</v>
      </c>
      <c r="B796" s="972" t="s">
        <v>1834</v>
      </c>
      <c r="C796" s="972" t="s">
        <v>2309</v>
      </c>
      <c r="D796" s="972">
        <v>-5.9400000000000002E-4</v>
      </c>
      <c r="E796" s="972">
        <v>-7.8999999999999996E-5</v>
      </c>
      <c r="F796" s="972">
        <v>1.9999999999999999E-6</v>
      </c>
      <c r="G796" s="972">
        <v>16764</v>
      </c>
      <c r="H796" s="972">
        <v>35.402999999999999</v>
      </c>
      <c r="I796" s="972">
        <v>14.2705</v>
      </c>
      <c r="J796" s="972">
        <v>41.8</v>
      </c>
    </row>
    <row r="797" spans="1:10" ht="15.75" hidden="1">
      <c r="A797" s="972" t="s">
        <v>2425</v>
      </c>
      <c r="B797" s="972" t="s">
        <v>1834</v>
      </c>
      <c r="C797" s="972" t="s">
        <v>2310</v>
      </c>
      <c r="D797" s="972">
        <v>1.54E-4</v>
      </c>
      <c r="E797" s="972">
        <v>-1.03E-4</v>
      </c>
      <c r="F797" s="972">
        <v>-2.03E-4</v>
      </c>
      <c r="G797" s="972">
        <v>16764</v>
      </c>
      <c r="H797" s="972">
        <v>35.402999999999999</v>
      </c>
      <c r="I797" s="972">
        <v>14.2705</v>
      </c>
      <c r="J797" s="972">
        <v>41.8</v>
      </c>
    </row>
    <row r="798" spans="1:10" ht="15.75" hidden="1">
      <c r="A798" s="972" t="s">
        <v>2425</v>
      </c>
      <c r="B798" s="972" t="s">
        <v>1834</v>
      </c>
      <c r="C798" s="972" t="s">
        <v>2311</v>
      </c>
      <c r="D798" s="972">
        <v>-4.6500000000000003E-4</v>
      </c>
      <c r="E798" s="972">
        <v>5.0419999999999996E-3</v>
      </c>
      <c r="F798" s="972">
        <v>-1.0000000000000001E-5</v>
      </c>
      <c r="G798" s="972">
        <v>16764</v>
      </c>
      <c r="H798" s="972">
        <v>35.402999999999999</v>
      </c>
      <c r="I798" s="972">
        <v>14.2705</v>
      </c>
      <c r="J798" s="972">
        <v>41.8</v>
      </c>
    </row>
    <row r="799" spans="1:10" ht="15.75" hidden="1">
      <c r="A799" s="972" t="s">
        <v>2425</v>
      </c>
      <c r="B799" s="972" t="s">
        <v>1834</v>
      </c>
      <c r="C799" s="972" t="s">
        <v>2328</v>
      </c>
      <c r="D799" s="972">
        <v>-6.87E-4</v>
      </c>
      <c r="E799" s="972">
        <v>-2.1999999999999999E-5</v>
      </c>
      <c r="F799" s="972">
        <v>8.8999999999999995E-5</v>
      </c>
      <c r="G799" s="972">
        <v>16764</v>
      </c>
      <c r="H799" s="972">
        <v>35.402999999999999</v>
      </c>
      <c r="I799" s="972">
        <v>14.2705</v>
      </c>
      <c r="J799" s="972">
        <v>41.8</v>
      </c>
    </row>
    <row r="800" spans="1:10" ht="15.75" hidden="1">
      <c r="A800" s="972" t="s">
        <v>2425</v>
      </c>
      <c r="B800" s="972" t="s">
        <v>1834</v>
      </c>
      <c r="C800" s="972" t="s">
        <v>2329</v>
      </c>
      <c r="D800" s="972">
        <v>-5.0769999999999999E-3</v>
      </c>
      <c r="E800" s="972">
        <v>-5.0500000000000002E-4</v>
      </c>
      <c r="F800" s="972">
        <v>-1.2999999999999999E-5</v>
      </c>
      <c r="G800" s="972">
        <v>16764</v>
      </c>
      <c r="H800" s="972">
        <v>35.402999999999999</v>
      </c>
      <c r="I800" s="972">
        <v>14.2705</v>
      </c>
      <c r="J800" s="972">
        <v>41.8</v>
      </c>
    </row>
    <row r="801" spans="1:10" ht="15.75" hidden="1">
      <c r="A801" s="972" t="s">
        <v>2425</v>
      </c>
      <c r="B801" s="972" t="s">
        <v>1834</v>
      </c>
      <c r="C801" s="972" t="s">
        <v>2330</v>
      </c>
      <c r="D801" s="972">
        <v>4.35E-4</v>
      </c>
      <c r="E801" s="972">
        <v>-4.1359999999999999E-3</v>
      </c>
      <c r="F801" s="972">
        <v>4.3999999999999999E-5</v>
      </c>
      <c r="G801" s="972">
        <v>16764</v>
      </c>
      <c r="H801" s="972">
        <v>35.402999999999999</v>
      </c>
      <c r="I801" s="972">
        <v>14.2705</v>
      </c>
      <c r="J801" s="972">
        <v>41.8</v>
      </c>
    </row>
    <row r="802" spans="1:10" ht="15.75" hidden="1">
      <c r="A802" s="972" t="s">
        <v>2425</v>
      </c>
      <c r="B802" s="972" t="s">
        <v>1834</v>
      </c>
      <c r="C802" s="972" t="s">
        <v>2331</v>
      </c>
      <c r="D802" s="972">
        <v>1.4300000000000001E-4</v>
      </c>
      <c r="E802" s="972">
        <v>-8.3900000000000001E-4</v>
      </c>
      <c r="F802" s="972">
        <v>-2.3599999999999999E-4</v>
      </c>
      <c r="G802" s="972">
        <v>16764</v>
      </c>
      <c r="H802" s="972">
        <v>35.402999999999999</v>
      </c>
      <c r="I802" s="972">
        <v>14.2705</v>
      </c>
      <c r="J802" s="972">
        <v>41.8</v>
      </c>
    </row>
    <row r="803" spans="1:10" ht="15.75" hidden="1">
      <c r="A803" s="972" t="s">
        <v>2425</v>
      </c>
      <c r="B803" s="972" t="s">
        <v>1834</v>
      </c>
      <c r="C803" s="972" t="s">
        <v>2332</v>
      </c>
      <c r="D803" s="972">
        <v>-3.7850000000000002E-3</v>
      </c>
      <c r="E803" s="972">
        <v>-2.6600000000000001E-4</v>
      </c>
      <c r="F803" s="972">
        <v>-3.3000000000000003E-5</v>
      </c>
      <c r="G803" s="972">
        <v>16764</v>
      </c>
      <c r="H803" s="972">
        <v>35.402999999999999</v>
      </c>
      <c r="I803" s="972">
        <v>14.2705</v>
      </c>
      <c r="J803" s="972">
        <v>41.8</v>
      </c>
    </row>
    <row r="804" spans="1:10" ht="15.75" hidden="1">
      <c r="A804" s="972" t="s">
        <v>2425</v>
      </c>
      <c r="B804" s="972" t="s">
        <v>1834</v>
      </c>
      <c r="C804" s="972" t="s">
        <v>2387</v>
      </c>
      <c r="D804" s="972">
        <v>2.42E-4</v>
      </c>
      <c r="E804" s="972">
        <v>1.444E-3</v>
      </c>
      <c r="F804" s="972">
        <v>-1.4E-5</v>
      </c>
      <c r="G804" s="972">
        <v>16764</v>
      </c>
      <c r="H804" s="972">
        <v>35.402999999999999</v>
      </c>
      <c r="I804" s="972">
        <v>14.2705</v>
      </c>
      <c r="J804" s="972">
        <v>41.8</v>
      </c>
    </row>
    <row r="805" spans="1:10" ht="15.75" hidden="1">
      <c r="A805" s="972" t="s">
        <v>2425</v>
      </c>
      <c r="B805" s="972" t="s">
        <v>1834</v>
      </c>
      <c r="C805" s="972" t="s">
        <v>2388</v>
      </c>
      <c r="D805" s="972">
        <v>-5.13E-4</v>
      </c>
      <c r="E805" s="972">
        <v>-1.1670000000000001E-3</v>
      </c>
      <c r="F805" s="972">
        <v>7.2000000000000002E-5</v>
      </c>
      <c r="G805" s="972">
        <v>16764</v>
      </c>
      <c r="H805" s="972">
        <v>35.402999999999999</v>
      </c>
      <c r="I805" s="972">
        <v>14.2705</v>
      </c>
      <c r="J805" s="972">
        <v>41.8</v>
      </c>
    </row>
    <row r="806" spans="1:10" ht="15.75" hidden="1">
      <c r="A806" s="972" t="s">
        <v>2425</v>
      </c>
      <c r="B806" s="972" t="s">
        <v>1834</v>
      </c>
      <c r="C806" s="972" t="s">
        <v>2389</v>
      </c>
      <c r="D806" s="972">
        <v>3.016E-3</v>
      </c>
      <c r="E806" s="972">
        <v>-4.2189999999999997E-3</v>
      </c>
      <c r="F806" s="972">
        <v>3.6000000000000001E-5</v>
      </c>
      <c r="G806" s="972">
        <v>16764</v>
      </c>
      <c r="H806" s="972">
        <v>35.402999999999999</v>
      </c>
      <c r="I806" s="972">
        <v>14.2705</v>
      </c>
      <c r="J806" s="972">
        <v>41.8</v>
      </c>
    </row>
    <row r="807" spans="1:10" ht="15.75" hidden="1">
      <c r="A807" s="972" t="s">
        <v>2425</v>
      </c>
      <c r="B807" s="972" t="s">
        <v>1834</v>
      </c>
      <c r="C807" s="972" t="s">
        <v>2390</v>
      </c>
      <c r="D807" s="972">
        <v>-3.7169999999999998E-3</v>
      </c>
      <c r="E807" s="972">
        <v>-3.9639999999999996E-3</v>
      </c>
      <c r="F807" s="972">
        <v>-4.6999999999999997E-5</v>
      </c>
      <c r="G807" s="972">
        <v>16764</v>
      </c>
      <c r="H807" s="972">
        <v>35.402999999999999</v>
      </c>
      <c r="I807" s="972">
        <v>14.2705</v>
      </c>
      <c r="J807" s="972">
        <v>41.8</v>
      </c>
    </row>
    <row r="808" spans="1:10" ht="15.75" hidden="1">
      <c r="A808" s="972" t="s">
        <v>2425</v>
      </c>
      <c r="B808" s="972" t="s">
        <v>1834</v>
      </c>
      <c r="C808" s="972" t="s">
        <v>2391</v>
      </c>
      <c r="D808" s="972">
        <v>-2.64E-3</v>
      </c>
      <c r="E808" s="972">
        <v>-3.9800000000000002E-4</v>
      </c>
      <c r="F808" s="972">
        <v>-1.9999999999999999E-6</v>
      </c>
      <c r="G808" s="972">
        <v>16764</v>
      </c>
      <c r="H808" s="972">
        <v>35.402999999999999</v>
      </c>
      <c r="I808" s="972">
        <v>14.2705</v>
      </c>
      <c r="J808" s="972">
        <v>41.8</v>
      </c>
    </row>
    <row r="809" spans="1:10" ht="15.75" hidden="1">
      <c r="A809" s="972" t="s">
        <v>2425</v>
      </c>
      <c r="B809" s="972" t="s">
        <v>1834</v>
      </c>
      <c r="C809" s="972" t="s">
        <v>2392</v>
      </c>
      <c r="D809" s="972">
        <v>-5.9900000000000003E-4</v>
      </c>
      <c r="E809" s="972">
        <v>1.6739999999999999E-3</v>
      </c>
      <c r="F809" s="972">
        <v>-2.0000000000000002E-5</v>
      </c>
      <c r="G809" s="972">
        <v>16764</v>
      </c>
      <c r="H809" s="972">
        <v>35.402999999999999</v>
      </c>
      <c r="I809" s="972">
        <v>14.2705</v>
      </c>
      <c r="J809" s="972">
        <v>41.8</v>
      </c>
    </row>
    <row r="810" spans="1:10" ht="15.75" hidden="1">
      <c r="A810" s="972" t="s">
        <v>2425</v>
      </c>
      <c r="B810" s="972" t="s">
        <v>1834</v>
      </c>
      <c r="C810" s="972" t="s">
        <v>2393</v>
      </c>
      <c r="D810" s="972">
        <v>-3.8890000000000001E-3</v>
      </c>
      <c r="E810" s="972">
        <v>2.1429999999999999E-3</v>
      </c>
      <c r="F810" s="972">
        <v>-9.9999999999999995E-7</v>
      </c>
      <c r="G810" s="972">
        <v>16764</v>
      </c>
      <c r="H810" s="972">
        <v>35.402999999999999</v>
      </c>
      <c r="I810" s="972">
        <v>14.2705</v>
      </c>
      <c r="J810" s="972">
        <v>41.8</v>
      </c>
    </row>
    <row r="811" spans="1:10" ht="15.75" hidden="1">
      <c r="A811" s="972" t="s">
        <v>2425</v>
      </c>
      <c r="B811" s="972" t="s">
        <v>1834</v>
      </c>
      <c r="C811" s="972" t="s">
        <v>2394</v>
      </c>
      <c r="D811" s="972">
        <v>-2.3890000000000001E-3</v>
      </c>
      <c r="E811" s="972">
        <v>-2.261E-3</v>
      </c>
      <c r="F811" s="972">
        <v>-1.8E-5</v>
      </c>
      <c r="G811" s="972">
        <v>16764</v>
      </c>
      <c r="H811" s="972">
        <v>35.402999999999999</v>
      </c>
      <c r="I811" s="972">
        <v>14.2705</v>
      </c>
      <c r="J811" s="972">
        <v>41.8</v>
      </c>
    </row>
    <row r="812" spans="1:10" ht="15.75" hidden="1">
      <c r="A812" s="972" t="s">
        <v>2425</v>
      </c>
      <c r="B812" s="972" t="s">
        <v>1834</v>
      </c>
      <c r="C812" s="972" t="s">
        <v>2395</v>
      </c>
      <c r="D812" s="972">
        <v>2.3990000000000001E-3</v>
      </c>
      <c r="E812" s="972">
        <v>-1.542E-3</v>
      </c>
      <c r="F812" s="972">
        <v>-3.9999999999999998E-6</v>
      </c>
      <c r="G812" s="972">
        <v>16764</v>
      </c>
      <c r="H812" s="972">
        <v>35.402999999999999</v>
      </c>
      <c r="I812" s="972">
        <v>14.2705</v>
      </c>
      <c r="J812" s="972">
        <v>41.8</v>
      </c>
    </row>
    <row r="813" spans="1:10" ht="15.75" hidden="1">
      <c r="A813" s="972" t="s">
        <v>2425</v>
      </c>
      <c r="B813" s="972" t="s">
        <v>1834</v>
      </c>
      <c r="C813" s="972" t="s">
        <v>2396</v>
      </c>
      <c r="D813" s="972">
        <v>1.354E-3</v>
      </c>
      <c r="E813" s="972">
        <v>2.882E-3</v>
      </c>
      <c r="F813" s="972">
        <v>5.0000000000000004E-6</v>
      </c>
      <c r="G813" s="972">
        <v>16764</v>
      </c>
      <c r="H813" s="972">
        <v>35.402999999999999</v>
      </c>
      <c r="I813" s="972">
        <v>14.2705</v>
      </c>
      <c r="J813" s="972">
        <v>41.8</v>
      </c>
    </row>
    <row r="814" spans="1:10" ht="15.75" hidden="1">
      <c r="A814" s="972" t="s">
        <v>2426</v>
      </c>
      <c r="B814" s="972" t="s">
        <v>1834</v>
      </c>
      <c r="C814" s="972" t="s">
        <v>2297</v>
      </c>
      <c r="D814" s="972">
        <v>-2.9700000000000001E-4</v>
      </c>
      <c r="E814" s="972">
        <v>1.547E-3</v>
      </c>
      <c r="F814" s="972">
        <v>1.7E-5</v>
      </c>
      <c r="G814" s="972">
        <v>16765</v>
      </c>
      <c r="H814" s="972">
        <v>35.402999999999999</v>
      </c>
      <c r="I814" s="972">
        <v>14.2705</v>
      </c>
      <c r="J814" s="972">
        <v>38.4</v>
      </c>
    </row>
    <row r="815" spans="1:10" ht="15.75" hidden="1">
      <c r="A815" s="972" t="s">
        <v>2426</v>
      </c>
      <c r="B815" s="972" t="s">
        <v>1834</v>
      </c>
      <c r="C815" s="972" t="s">
        <v>2298</v>
      </c>
      <c r="D815" s="972">
        <v>-2.7900000000000001E-4</v>
      </c>
      <c r="E815" s="972">
        <v>-3.2699999999999998E-4</v>
      </c>
      <c r="F815" s="972">
        <v>9.7999999999999997E-5</v>
      </c>
      <c r="G815" s="972">
        <v>16765</v>
      </c>
      <c r="H815" s="972">
        <v>35.402999999999999</v>
      </c>
      <c r="I815" s="972">
        <v>14.2705</v>
      </c>
      <c r="J815" s="972">
        <v>38.4</v>
      </c>
    </row>
    <row r="816" spans="1:10" ht="15.75">
      <c r="A816" s="972" t="s">
        <v>2426</v>
      </c>
      <c r="B816" s="972" t="s">
        <v>1834</v>
      </c>
      <c r="C816" s="972" t="s">
        <v>2299</v>
      </c>
      <c r="D816" s="972">
        <v>1.732E-3</v>
      </c>
      <c r="E816" s="972">
        <v>3.1100000000000002E-4</v>
      </c>
      <c r="F816" s="972">
        <v>1.8E-5</v>
      </c>
      <c r="G816" s="972">
        <v>16765</v>
      </c>
      <c r="H816" s="972">
        <v>35.402999999999999</v>
      </c>
      <c r="I816" s="972">
        <v>14.2705</v>
      </c>
      <c r="J816" s="972">
        <v>38.4</v>
      </c>
    </row>
    <row r="817" spans="1:10" ht="15.75" hidden="1">
      <c r="A817" s="972" t="s">
        <v>2426</v>
      </c>
      <c r="B817" s="972" t="s">
        <v>1834</v>
      </c>
      <c r="C817" s="972" t="s">
        <v>2300</v>
      </c>
      <c r="D817" s="972">
        <v>-7.5299999999999998E-4</v>
      </c>
      <c r="E817" s="972">
        <v>2.6999999999999999E-5</v>
      </c>
      <c r="F817" s="972">
        <v>2.5500000000000002E-4</v>
      </c>
      <c r="G817" s="972">
        <v>16765</v>
      </c>
      <c r="H817" s="972">
        <v>35.402999999999999</v>
      </c>
      <c r="I817" s="972">
        <v>14.2705</v>
      </c>
      <c r="J817" s="972">
        <v>38.4</v>
      </c>
    </row>
    <row r="818" spans="1:10" ht="15.75" hidden="1">
      <c r="A818" s="972" t="s">
        <v>2426</v>
      </c>
      <c r="B818" s="972" t="s">
        <v>1834</v>
      </c>
      <c r="C818" s="972" t="s">
        <v>2301</v>
      </c>
      <c r="D818" s="972">
        <v>6.1700000000000004E-4</v>
      </c>
      <c r="E818" s="972">
        <v>-5.0229999999999997E-3</v>
      </c>
      <c r="F818" s="972">
        <v>6.9999999999999999E-6</v>
      </c>
      <c r="G818" s="972">
        <v>16765</v>
      </c>
      <c r="H818" s="972">
        <v>35.402999999999999</v>
      </c>
      <c r="I818" s="972">
        <v>14.2705</v>
      </c>
      <c r="J818" s="972">
        <v>38.4</v>
      </c>
    </row>
    <row r="819" spans="1:10" ht="15.75" hidden="1">
      <c r="A819" s="972" t="s">
        <v>2426</v>
      </c>
      <c r="B819" s="972" t="s">
        <v>1834</v>
      </c>
      <c r="C819" s="972" t="s">
        <v>2302</v>
      </c>
      <c r="D819" s="972">
        <v>-5.0049999999999999E-3</v>
      </c>
      <c r="E819" s="972">
        <v>-6.4300000000000002E-4</v>
      </c>
      <c r="F819" s="972">
        <v>-4.0000000000000003E-5</v>
      </c>
      <c r="G819" s="972">
        <v>16765</v>
      </c>
      <c r="H819" s="972">
        <v>35.402999999999999</v>
      </c>
      <c r="I819" s="972">
        <v>14.2705</v>
      </c>
      <c r="J819" s="972">
        <v>38.4</v>
      </c>
    </row>
    <row r="820" spans="1:10" ht="15.75" hidden="1">
      <c r="A820" s="972" t="s">
        <v>2426</v>
      </c>
      <c r="B820" s="972" t="s">
        <v>1834</v>
      </c>
      <c r="C820" s="972" t="s">
        <v>2303</v>
      </c>
      <c r="D820" s="972">
        <v>7.5000000000000002E-4</v>
      </c>
      <c r="E820" s="972">
        <v>3.4999999999999997E-5</v>
      </c>
      <c r="F820" s="972">
        <v>-2.4600000000000002E-4</v>
      </c>
      <c r="G820" s="972">
        <v>16765</v>
      </c>
      <c r="H820" s="972">
        <v>35.402999999999999</v>
      </c>
      <c r="I820" s="972">
        <v>14.2705</v>
      </c>
      <c r="J820" s="972">
        <v>38.4</v>
      </c>
    </row>
    <row r="821" spans="1:10" ht="15.75" hidden="1">
      <c r="A821" s="972" t="s">
        <v>2426</v>
      </c>
      <c r="B821" s="972" t="s">
        <v>1834</v>
      </c>
      <c r="C821" s="972" t="s">
        <v>2304</v>
      </c>
      <c r="D821" s="972">
        <v>5.5999999999999995E-4</v>
      </c>
      <c r="E821" s="972">
        <v>-5.4190000000000002E-3</v>
      </c>
      <c r="F821" s="972">
        <v>3.9999999999999998E-6</v>
      </c>
      <c r="G821" s="972">
        <v>16765</v>
      </c>
      <c r="H821" s="972">
        <v>35.402999999999999</v>
      </c>
      <c r="I821" s="972">
        <v>14.2705</v>
      </c>
      <c r="J821" s="972">
        <v>38.4</v>
      </c>
    </row>
    <row r="822" spans="1:10" ht="15.75" hidden="1">
      <c r="A822" s="972" t="s">
        <v>2426</v>
      </c>
      <c r="B822" s="972" t="s">
        <v>1834</v>
      </c>
      <c r="C822" s="972" t="s">
        <v>2305</v>
      </c>
      <c r="D822" s="972">
        <v>3.7599999999999998E-4</v>
      </c>
      <c r="E822" s="972">
        <v>5.0000000000000004E-6</v>
      </c>
      <c r="F822" s="972">
        <v>4.8000000000000001E-5</v>
      </c>
      <c r="G822" s="972">
        <v>16765</v>
      </c>
      <c r="H822" s="972">
        <v>35.402999999999999</v>
      </c>
      <c r="I822" s="972">
        <v>14.2705</v>
      </c>
      <c r="J822" s="972">
        <v>38.4</v>
      </c>
    </row>
    <row r="823" spans="1:10" ht="15.75" hidden="1">
      <c r="A823" s="972" t="s">
        <v>2426</v>
      </c>
      <c r="B823" s="972" t="s">
        <v>1834</v>
      </c>
      <c r="C823" s="972" t="s">
        <v>2306</v>
      </c>
      <c r="D823" s="972">
        <v>-5.2500000000000003E-3</v>
      </c>
      <c r="E823" s="972">
        <v>-5.1500000000000005E-4</v>
      </c>
      <c r="F823" s="972">
        <v>-2.1999999999999999E-5</v>
      </c>
      <c r="G823" s="972">
        <v>16765</v>
      </c>
      <c r="H823" s="972">
        <v>35.402999999999999</v>
      </c>
      <c r="I823" s="972">
        <v>14.2705</v>
      </c>
      <c r="J823" s="972">
        <v>38.4</v>
      </c>
    </row>
    <row r="824" spans="1:10" ht="15.75" hidden="1">
      <c r="A824" s="972" t="s">
        <v>2426</v>
      </c>
      <c r="B824" s="972" t="s">
        <v>1834</v>
      </c>
      <c r="C824" s="972" t="s">
        <v>2307</v>
      </c>
      <c r="D824" s="972">
        <v>2.4600000000000002E-4</v>
      </c>
      <c r="E824" s="972">
        <v>3.8499999999999998E-4</v>
      </c>
      <c r="F824" s="972">
        <v>-1.8100000000000001E-4</v>
      </c>
      <c r="G824" s="972">
        <v>16765</v>
      </c>
      <c r="H824" s="972">
        <v>35.402999999999999</v>
      </c>
      <c r="I824" s="972">
        <v>14.2705</v>
      </c>
      <c r="J824" s="972">
        <v>38.4</v>
      </c>
    </row>
    <row r="825" spans="1:10" ht="15.75" hidden="1">
      <c r="A825" s="972" t="s">
        <v>2426</v>
      </c>
      <c r="B825" s="972" t="s">
        <v>1834</v>
      </c>
      <c r="C825" s="972" t="s">
        <v>2308</v>
      </c>
      <c r="D825" s="972">
        <v>2.2499999999999999E-4</v>
      </c>
      <c r="E825" s="972">
        <v>-1.096E-3</v>
      </c>
      <c r="F825" s="972">
        <v>-6.4999999999999994E-5</v>
      </c>
      <c r="G825" s="972">
        <v>16765</v>
      </c>
      <c r="H825" s="972">
        <v>35.402999999999999</v>
      </c>
      <c r="I825" s="972">
        <v>14.2705</v>
      </c>
      <c r="J825" s="972">
        <v>38.4</v>
      </c>
    </row>
    <row r="826" spans="1:10" ht="15.75" hidden="1">
      <c r="A826" s="972" t="s">
        <v>2426</v>
      </c>
      <c r="B826" s="972" t="s">
        <v>1834</v>
      </c>
      <c r="C826" s="972" t="s">
        <v>2309</v>
      </c>
      <c r="D826" s="972">
        <v>9.5100000000000002E-4</v>
      </c>
      <c r="E826" s="972">
        <v>7.1000000000000005E-5</v>
      </c>
      <c r="F826" s="972">
        <v>5.0000000000000004E-6</v>
      </c>
      <c r="G826" s="972">
        <v>16765</v>
      </c>
      <c r="H826" s="972">
        <v>35.402999999999999</v>
      </c>
      <c r="I826" s="972">
        <v>14.2705</v>
      </c>
      <c r="J826" s="972">
        <v>38.4</v>
      </c>
    </row>
    <row r="827" spans="1:10" ht="15.75" hidden="1">
      <c r="A827" s="972" t="s">
        <v>2426</v>
      </c>
      <c r="B827" s="972" t="s">
        <v>1834</v>
      </c>
      <c r="C827" s="972" t="s">
        <v>2310</v>
      </c>
      <c r="D827" s="972">
        <v>2.0000000000000001E-4</v>
      </c>
      <c r="E827" s="972">
        <v>-1.03E-4</v>
      </c>
      <c r="F827" s="972">
        <v>-2.5500000000000002E-4</v>
      </c>
      <c r="G827" s="972">
        <v>16765</v>
      </c>
      <c r="H827" s="972">
        <v>35.402999999999999</v>
      </c>
      <c r="I827" s="972">
        <v>14.2705</v>
      </c>
      <c r="J827" s="972">
        <v>38.4</v>
      </c>
    </row>
    <row r="828" spans="1:10" ht="15.75" hidden="1">
      <c r="A828" s="972" t="s">
        <v>2426</v>
      </c>
      <c r="B828" s="972" t="s">
        <v>1834</v>
      </c>
      <c r="C828" s="972" t="s">
        <v>2311</v>
      </c>
      <c r="D828" s="972">
        <v>-3.5100000000000002E-4</v>
      </c>
      <c r="E828" s="972">
        <v>3.9399999999999999E-3</v>
      </c>
      <c r="F828" s="972">
        <v>-7.9999999999999996E-6</v>
      </c>
      <c r="G828" s="972">
        <v>16765</v>
      </c>
      <c r="H828" s="972">
        <v>35.402999999999999</v>
      </c>
      <c r="I828" s="972">
        <v>14.2705</v>
      </c>
      <c r="J828" s="972">
        <v>38.4</v>
      </c>
    </row>
    <row r="829" spans="1:10" ht="15.75" hidden="1">
      <c r="A829" s="972" t="s">
        <v>2426</v>
      </c>
      <c r="B829" s="972" t="s">
        <v>1834</v>
      </c>
      <c r="C829" s="972" t="s">
        <v>2328</v>
      </c>
      <c r="D829" s="972">
        <v>-5.1400000000000003E-4</v>
      </c>
      <c r="E829" s="972">
        <v>-7.6000000000000004E-5</v>
      </c>
      <c r="F829" s="972">
        <v>-3.6000000000000001E-5</v>
      </c>
      <c r="G829" s="972">
        <v>16765</v>
      </c>
      <c r="H829" s="972">
        <v>35.402999999999999</v>
      </c>
      <c r="I829" s="972">
        <v>14.2705</v>
      </c>
      <c r="J829" s="972">
        <v>38.4</v>
      </c>
    </row>
    <row r="830" spans="1:10" ht="15.75" hidden="1">
      <c r="A830" s="972" t="s">
        <v>2426</v>
      </c>
      <c r="B830" s="972" t="s">
        <v>1834</v>
      </c>
      <c r="C830" s="972" t="s">
        <v>2329</v>
      </c>
      <c r="D830" s="972">
        <v>-4.0870000000000004E-3</v>
      </c>
      <c r="E830" s="972">
        <v>-4.2099999999999999E-4</v>
      </c>
      <c r="F830" s="972">
        <v>6.0000000000000002E-6</v>
      </c>
      <c r="G830" s="972">
        <v>16765</v>
      </c>
      <c r="H830" s="972">
        <v>35.402999999999999</v>
      </c>
      <c r="I830" s="972">
        <v>14.2705</v>
      </c>
      <c r="J830" s="972">
        <v>38.4</v>
      </c>
    </row>
    <row r="831" spans="1:10" ht="15.75" hidden="1">
      <c r="A831" s="972" t="s">
        <v>2426</v>
      </c>
      <c r="B831" s="972" t="s">
        <v>1834</v>
      </c>
      <c r="C831" s="972" t="s">
        <v>2330</v>
      </c>
      <c r="D831" s="972">
        <v>4.8500000000000003E-4</v>
      </c>
      <c r="E831" s="972">
        <v>-5.2110000000000004E-3</v>
      </c>
      <c r="F831" s="972">
        <v>4.8999999999999998E-5</v>
      </c>
      <c r="G831" s="972">
        <v>16765</v>
      </c>
      <c r="H831" s="972">
        <v>35.402999999999999</v>
      </c>
      <c r="I831" s="972">
        <v>14.2705</v>
      </c>
      <c r="J831" s="972">
        <v>38.4</v>
      </c>
    </row>
    <row r="832" spans="1:10" ht="15.75" hidden="1">
      <c r="A832" s="972" t="s">
        <v>2426</v>
      </c>
      <c r="B832" s="972" t="s">
        <v>1834</v>
      </c>
      <c r="C832" s="972" t="s">
        <v>2331</v>
      </c>
      <c r="D832" s="972">
        <v>3.3399999999999999E-4</v>
      </c>
      <c r="E832" s="972">
        <v>-9.7999999999999997E-4</v>
      </c>
      <c r="F832" s="972">
        <v>-2.1599999999999999E-4</v>
      </c>
      <c r="G832" s="972">
        <v>16765</v>
      </c>
      <c r="H832" s="972">
        <v>35.402999999999999</v>
      </c>
      <c r="I832" s="972">
        <v>14.2705</v>
      </c>
      <c r="J832" s="972">
        <v>38.4</v>
      </c>
    </row>
    <row r="833" spans="1:10" ht="15.75" hidden="1">
      <c r="A833" s="972" t="s">
        <v>2426</v>
      </c>
      <c r="B833" s="972" t="s">
        <v>1834</v>
      </c>
      <c r="C833" s="972" t="s">
        <v>2332</v>
      </c>
      <c r="D833" s="972">
        <v>-5.019E-3</v>
      </c>
      <c r="E833" s="972">
        <v>-4.3800000000000002E-4</v>
      </c>
      <c r="F833" s="972">
        <v>-5.0000000000000004E-6</v>
      </c>
      <c r="G833" s="972">
        <v>16765</v>
      </c>
      <c r="H833" s="972">
        <v>35.402999999999999</v>
      </c>
      <c r="I833" s="972">
        <v>14.2705</v>
      </c>
      <c r="J833" s="972">
        <v>38.4</v>
      </c>
    </row>
    <row r="834" spans="1:10" ht="15.75" hidden="1">
      <c r="A834" s="972" t="s">
        <v>2426</v>
      </c>
      <c r="B834" s="972" t="s">
        <v>1834</v>
      </c>
      <c r="C834" s="972" t="s">
        <v>2387</v>
      </c>
      <c r="D834" s="972">
        <v>4.8299999999999998E-4</v>
      </c>
      <c r="E834" s="972">
        <v>-1.1609999999999999E-3</v>
      </c>
      <c r="F834" s="972">
        <v>1.9000000000000001E-5</v>
      </c>
      <c r="G834" s="972">
        <v>16765</v>
      </c>
      <c r="H834" s="972">
        <v>35.402999999999999</v>
      </c>
      <c r="I834" s="972">
        <v>14.2705</v>
      </c>
      <c r="J834" s="972">
        <v>38.4</v>
      </c>
    </row>
    <row r="835" spans="1:10" ht="15.75" hidden="1">
      <c r="A835" s="972" t="s">
        <v>2426</v>
      </c>
      <c r="B835" s="972" t="s">
        <v>1834</v>
      </c>
      <c r="C835" s="972" t="s">
        <v>2388</v>
      </c>
      <c r="D835" s="972">
        <v>1.0690000000000001E-3</v>
      </c>
      <c r="E835" s="972">
        <v>-3.3500000000000001E-4</v>
      </c>
      <c r="F835" s="972">
        <v>1.1900000000000001E-4</v>
      </c>
      <c r="G835" s="972">
        <v>16765</v>
      </c>
      <c r="H835" s="972">
        <v>35.402999999999999</v>
      </c>
      <c r="I835" s="972">
        <v>14.2705</v>
      </c>
      <c r="J835" s="972">
        <v>38.4</v>
      </c>
    </row>
    <row r="836" spans="1:10" ht="15.75" hidden="1">
      <c r="A836" s="972" t="s">
        <v>2426</v>
      </c>
      <c r="B836" s="972" t="s">
        <v>1834</v>
      </c>
      <c r="C836" s="972" t="s">
        <v>2389</v>
      </c>
      <c r="D836" s="972">
        <v>9.8799999999999995E-4</v>
      </c>
      <c r="E836" s="972">
        <v>-3.075E-3</v>
      </c>
      <c r="F836" s="972">
        <v>7.2000000000000002E-5</v>
      </c>
      <c r="G836" s="972">
        <v>16765</v>
      </c>
      <c r="H836" s="972">
        <v>35.402999999999999</v>
      </c>
      <c r="I836" s="972">
        <v>14.2705</v>
      </c>
      <c r="J836" s="972">
        <v>38.4</v>
      </c>
    </row>
    <row r="837" spans="1:10" ht="15.75" hidden="1">
      <c r="A837" s="972" t="s">
        <v>2426</v>
      </c>
      <c r="B837" s="972" t="s">
        <v>1834</v>
      </c>
      <c r="C837" s="972" t="s">
        <v>2390</v>
      </c>
      <c r="D837" s="972">
        <v>-1.8320000000000001E-3</v>
      </c>
      <c r="E837" s="972">
        <v>-4.0130000000000001E-3</v>
      </c>
      <c r="F837" s="972">
        <v>-5.1E-5</v>
      </c>
      <c r="G837" s="972">
        <v>16765</v>
      </c>
      <c r="H837" s="972">
        <v>35.402999999999999</v>
      </c>
      <c r="I837" s="972">
        <v>14.2705</v>
      </c>
      <c r="J837" s="972">
        <v>38.4</v>
      </c>
    </row>
    <row r="838" spans="1:10" ht="15.75" hidden="1">
      <c r="A838" s="972" t="s">
        <v>2426</v>
      </c>
      <c r="B838" s="972" t="s">
        <v>1834</v>
      </c>
      <c r="C838" s="972" t="s">
        <v>2391</v>
      </c>
      <c r="D838" s="972">
        <v>-4.5919999999999997E-3</v>
      </c>
      <c r="E838" s="972">
        <v>2.1120000000000002E-3</v>
      </c>
      <c r="F838" s="972">
        <v>2.5999999999999998E-5</v>
      </c>
      <c r="G838" s="972">
        <v>16765</v>
      </c>
      <c r="H838" s="972">
        <v>35.402999999999999</v>
      </c>
      <c r="I838" s="972">
        <v>14.2705</v>
      </c>
      <c r="J838" s="972">
        <v>38.4</v>
      </c>
    </row>
    <row r="839" spans="1:10" ht="15.75" hidden="1">
      <c r="A839" s="972" t="s">
        <v>2426</v>
      </c>
      <c r="B839" s="972" t="s">
        <v>1834</v>
      </c>
      <c r="C839" s="972" t="s">
        <v>2392</v>
      </c>
      <c r="D839" s="972">
        <v>-2.8540000000000002E-3</v>
      </c>
      <c r="E839" s="972">
        <v>-1.4840000000000001E-3</v>
      </c>
      <c r="F839" s="972">
        <v>-9.0000000000000002E-6</v>
      </c>
      <c r="G839" s="972">
        <v>16765</v>
      </c>
      <c r="H839" s="972">
        <v>35.402999999999999</v>
      </c>
      <c r="I839" s="972">
        <v>14.2705</v>
      </c>
      <c r="J839" s="972">
        <v>38.4</v>
      </c>
    </row>
    <row r="840" spans="1:10" ht="15.75" hidden="1">
      <c r="A840" s="972" t="s">
        <v>2426</v>
      </c>
      <c r="B840" s="972" t="s">
        <v>1834</v>
      </c>
      <c r="C840" s="972" t="s">
        <v>2393</v>
      </c>
      <c r="D840" s="972">
        <v>-3.4099999999999998E-3</v>
      </c>
      <c r="E840" s="972">
        <v>3.1099999999999999E-3</v>
      </c>
      <c r="F840" s="972">
        <v>3.1999999999999999E-5</v>
      </c>
      <c r="G840" s="972">
        <v>16765</v>
      </c>
      <c r="H840" s="972">
        <v>35.402999999999999</v>
      </c>
      <c r="I840" s="972">
        <v>14.2705</v>
      </c>
      <c r="J840" s="972">
        <v>38.4</v>
      </c>
    </row>
    <row r="841" spans="1:10" ht="15.75" hidden="1">
      <c r="A841" s="972" t="s">
        <v>2426</v>
      </c>
      <c r="B841" s="972" t="s">
        <v>1834</v>
      </c>
      <c r="C841" s="972" t="s">
        <v>2394</v>
      </c>
      <c r="D841" s="972">
        <v>-2.921E-3</v>
      </c>
      <c r="E841" s="972">
        <v>-4.2220000000000001E-3</v>
      </c>
      <c r="F841" s="972">
        <v>7.9999999999999996E-6</v>
      </c>
      <c r="G841" s="972">
        <v>16765</v>
      </c>
      <c r="H841" s="972">
        <v>35.402999999999999</v>
      </c>
      <c r="I841" s="972">
        <v>14.2705</v>
      </c>
      <c r="J841" s="972">
        <v>38.4</v>
      </c>
    </row>
    <row r="842" spans="1:10" ht="15.75" hidden="1">
      <c r="A842" s="972" t="s">
        <v>2426</v>
      </c>
      <c r="B842" s="972" t="s">
        <v>1834</v>
      </c>
      <c r="C842" s="972" t="s">
        <v>2395</v>
      </c>
      <c r="D842" s="972">
        <v>7.8100000000000001E-4</v>
      </c>
      <c r="E842" s="972">
        <v>-1.24E-3</v>
      </c>
      <c r="F842" s="972">
        <v>-3.8999999999999999E-5</v>
      </c>
      <c r="G842" s="972">
        <v>16765</v>
      </c>
      <c r="H842" s="972">
        <v>35.402999999999999</v>
      </c>
      <c r="I842" s="972">
        <v>14.2705</v>
      </c>
      <c r="J842" s="972">
        <v>38.4</v>
      </c>
    </row>
    <row r="843" spans="1:10" ht="15.75" hidden="1">
      <c r="A843" s="972" t="s">
        <v>2426</v>
      </c>
      <c r="B843" s="972" t="s">
        <v>1834</v>
      </c>
      <c r="C843" s="972" t="s">
        <v>2396</v>
      </c>
      <c r="D843" s="972">
        <v>1.0380000000000001E-3</v>
      </c>
      <c r="E843" s="972">
        <v>3.0409999999999999E-3</v>
      </c>
      <c r="F843" s="972">
        <v>-1.4E-5</v>
      </c>
      <c r="G843" s="972">
        <v>16765</v>
      </c>
      <c r="H843" s="972">
        <v>35.402999999999999</v>
      </c>
      <c r="I843" s="972">
        <v>14.2705</v>
      </c>
      <c r="J843" s="972">
        <v>38.4</v>
      </c>
    </row>
    <row r="844" spans="1:10" ht="15.75" hidden="1">
      <c r="A844" s="972" t="s">
        <v>2427</v>
      </c>
      <c r="B844" s="972" t="s">
        <v>1834</v>
      </c>
      <c r="C844" s="972" t="s">
        <v>2297</v>
      </c>
      <c r="D844" s="972">
        <v>-2.6200000000000003E-4</v>
      </c>
      <c r="E844" s="972">
        <v>1.361E-3</v>
      </c>
      <c r="F844" s="972">
        <v>1.5E-5</v>
      </c>
      <c r="G844" s="972">
        <v>16766</v>
      </c>
      <c r="H844" s="972">
        <v>35.402999999999999</v>
      </c>
      <c r="I844" s="972">
        <v>14.2705</v>
      </c>
      <c r="J844" s="972">
        <v>35</v>
      </c>
    </row>
    <row r="845" spans="1:10" ht="15.75" hidden="1">
      <c r="A845" s="972" t="s">
        <v>2427</v>
      </c>
      <c r="B845" s="972" t="s">
        <v>1834</v>
      </c>
      <c r="C845" s="972" t="s">
        <v>2298</v>
      </c>
      <c r="D845" s="972">
        <v>-2.4899999999999998E-4</v>
      </c>
      <c r="E845" s="972">
        <v>-2.8800000000000001E-4</v>
      </c>
      <c r="F845" s="972">
        <v>8.7999999999999998E-5</v>
      </c>
      <c r="G845" s="972">
        <v>16766</v>
      </c>
      <c r="H845" s="972">
        <v>35.402999999999999</v>
      </c>
      <c r="I845" s="972">
        <v>14.2705</v>
      </c>
      <c r="J845" s="972">
        <v>35</v>
      </c>
    </row>
    <row r="846" spans="1:10" ht="15.75">
      <c r="A846" s="972" t="s">
        <v>2427</v>
      </c>
      <c r="B846" s="972" t="s">
        <v>1834</v>
      </c>
      <c r="C846" s="972" t="s">
        <v>2299</v>
      </c>
      <c r="D846" s="972">
        <v>1.5349999999999999E-3</v>
      </c>
      <c r="E846" s="972">
        <v>2.7700000000000001E-4</v>
      </c>
      <c r="F846" s="972">
        <v>1.5999999999999999E-5</v>
      </c>
      <c r="G846" s="972">
        <v>16766</v>
      </c>
      <c r="H846" s="972">
        <v>35.402999999999999</v>
      </c>
      <c r="I846" s="972">
        <v>14.2705</v>
      </c>
      <c r="J846" s="972">
        <v>35</v>
      </c>
    </row>
    <row r="847" spans="1:10" ht="15.75" hidden="1">
      <c r="A847" s="972" t="s">
        <v>2427</v>
      </c>
      <c r="B847" s="972" t="s">
        <v>1834</v>
      </c>
      <c r="C847" s="972" t="s">
        <v>2300</v>
      </c>
      <c r="D847" s="972">
        <v>-7.0600000000000003E-4</v>
      </c>
      <c r="E847" s="972">
        <v>2.5999999999999998E-5</v>
      </c>
      <c r="F847" s="972">
        <v>2.41E-4</v>
      </c>
      <c r="G847" s="972">
        <v>16766</v>
      </c>
      <c r="H847" s="972">
        <v>35.402999999999999</v>
      </c>
      <c r="I847" s="972">
        <v>14.2705</v>
      </c>
      <c r="J847" s="972">
        <v>35</v>
      </c>
    </row>
    <row r="848" spans="1:10" ht="15.75" hidden="1">
      <c r="A848" s="972" t="s">
        <v>2427</v>
      </c>
      <c r="B848" s="972" t="s">
        <v>1834</v>
      </c>
      <c r="C848" s="972" t="s">
        <v>2301</v>
      </c>
      <c r="D848" s="972">
        <v>5.7499999999999999E-4</v>
      </c>
      <c r="E848" s="972">
        <v>-4.6940000000000003E-3</v>
      </c>
      <c r="F848" s="972">
        <v>6.9999999999999999E-6</v>
      </c>
      <c r="G848" s="972">
        <v>16766</v>
      </c>
      <c r="H848" s="972">
        <v>35.402999999999999</v>
      </c>
      <c r="I848" s="972">
        <v>14.2705</v>
      </c>
      <c r="J848" s="972">
        <v>35</v>
      </c>
    </row>
    <row r="849" spans="1:10" ht="15.75" hidden="1">
      <c r="A849" s="972" t="s">
        <v>2427</v>
      </c>
      <c r="B849" s="972" t="s">
        <v>1834</v>
      </c>
      <c r="C849" s="972" t="s">
        <v>2302</v>
      </c>
      <c r="D849" s="972">
        <v>-4.692E-3</v>
      </c>
      <c r="E849" s="972">
        <v>-6.0499999999999996E-4</v>
      </c>
      <c r="F849" s="972">
        <v>-3.8999999999999999E-5</v>
      </c>
      <c r="G849" s="972">
        <v>16766</v>
      </c>
      <c r="H849" s="972">
        <v>35.402999999999999</v>
      </c>
      <c r="I849" s="972">
        <v>14.2705</v>
      </c>
      <c r="J849" s="972">
        <v>35</v>
      </c>
    </row>
    <row r="850" spans="1:10" ht="15.75" hidden="1">
      <c r="A850" s="972" t="s">
        <v>2427</v>
      </c>
      <c r="B850" s="972" t="s">
        <v>1834</v>
      </c>
      <c r="C850" s="972" t="s">
        <v>2303</v>
      </c>
      <c r="D850" s="972">
        <v>7.8700000000000005E-4</v>
      </c>
      <c r="E850" s="972">
        <v>3.4E-5</v>
      </c>
      <c r="F850" s="972">
        <v>-2.6699999999999998E-4</v>
      </c>
      <c r="G850" s="972">
        <v>16766</v>
      </c>
      <c r="H850" s="972">
        <v>35.402999999999999</v>
      </c>
      <c r="I850" s="972">
        <v>14.2705</v>
      </c>
      <c r="J850" s="972">
        <v>35</v>
      </c>
    </row>
    <row r="851" spans="1:10" ht="15.75" hidden="1">
      <c r="A851" s="972" t="s">
        <v>2427</v>
      </c>
      <c r="B851" s="972" t="s">
        <v>1834</v>
      </c>
      <c r="C851" s="972" t="s">
        <v>2304</v>
      </c>
      <c r="D851" s="972">
        <v>5.9299999999999999E-4</v>
      </c>
      <c r="E851" s="972">
        <v>-5.7609999999999996E-3</v>
      </c>
      <c r="F851" s="972">
        <v>3.9999999999999998E-6</v>
      </c>
      <c r="G851" s="972">
        <v>16766</v>
      </c>
      <c r="H851" s="972">
        <v>35.402999999999999</v>
      </c>
      <c r="I851" s="972">
        <v>14.2705</v>
      </c>
      <c r="J851" s="972">
        <v>35</v>
      </c>
    </row>
    <row r="852" spans="1:10" ht="15.75" hidden="1">
      <c r="A852" s="972" t="s">
        <v>2427</v>
      </c>
      <c r="B852" s="972" t="s">
        <v>1834</v>
      </c>
      <c r="C852" s="972" t="s">
        <v>2305</v>
      </c>
      <c r="D852" s="972">
        <v>2.6200000000000003E-4</v>
      </c>
      <c r="E852" s="972">
        <v>3.9999999999999998E-6</v>
      </c>
      <c r="F852" s="972">
        <v>1.2E-4</v>
      </c>
      <c r="G852" s="972">
        <v>16766</v>
      </c>
      <c r="H852" s="972">
        <v>35.402999999999999</v>
      </c>
      <c r="I852" s="972">
        <v>14.2705</v>
      </c>
      <c r="J852" s="972">
        <v>35</v>
      </c>
    </row>
    <row r="853" spans="1:10" ht="15.75" hidden="1">
      <c r="A853" s="972" t="s">
        <v>2427</v>
      </c>
      <c r="B853" s="972" t="s">
        <v>1834</v>
      </c>
      <c r="C853" s="972" t="s">
        <v>2306</v>
      </c>
      <c r="D853" s="972">
        <v>-5.6360000000000004E-3</v>
      </c>
      <c r="E853" s="972">
        <v>-5.5599999999999996E-4</v>
      </c>
      <c r="F853" s="972">
        <v>-1.7E-5</v>
      </c>
      <c r="G853" s="972">
        <v>16766</v>
      </c>
      <c r="H853" s="972">
        <v>35.402999999999999</v>
      </c>
      <c r="I853" s="972">
        <v>14.2705</v>
      </c>
      <c r="J853" s="972">
        <v>35</v>
      </c>
    </row>
    <row r="854" spans="1:10" ht="15.75" hidden="1">
      <c r="A854" s="972" t="s">
        <v>2427</v>
      </c>
      <c r="B854" s="972" t="s">
        <v>1834</v>
      </c>
      <c r="C854" s="972" t="s">
        <v>2307</v>
      </c>
      <c r="D854" s="972">
        <v>1.0399999999999999E-4</v>
      </c>
      <c r="E854" s="972">
        <v>8.9300000000000002E-4</v>
      </c>
      <c r="F854" s="972">
        <v>-1.08E-4</v>
      </c>
      <c r="G854" s="972">
        <v>16766</v>
      </c>
      <c r="H854" s="972">
        <v>35.402999999999999</v>
      </c>
      <c r="I854" s="972">
        <v>14.2705</v>
      </c>
      <c r="J854" s="972">
        <v>35</v>
      </c>
    </row>
    <row r="855" spans="1:10" ht="15.75" hidden="1">
      <c r="A855" s="972" t="s">
        <v>2427</v>
      </c>
      <c r="B855" s="972" t="s">
        <v>1834</v>
      </c>
      <c r="C855" s="972" t="s">
        <v>2308</v>
      </c>
      <c r="D855" s="972">
        <v>3.2400000000000001E-4</v>
      </c>
      <c r="E855" s="972">
        <v>-2.477E-3</v>
      </c>
      <c r="F855" s="972">
        <v>-3.6000000000000001E-5</v>
      </c>
      <c r="G855" s="972">
        <v>16766</v>
      </c>
      <c r="H855" s="972">
        <v>35.402999999999999</v>
      </c>
      <c r="I855" s="972">
        <v>14.2705</v>
      </c>
      <c r="J855" s="972">
        <v>35</v>
      </c>
    </row>
    <row r="856" spans="1:10" ht="15.75" hidden="1">
      <c r="A856" s="972" t="s">
        <v>2427</v>
      </c>
      <c r="B856" s="972" t="s">
        <v>1834</v>
      </c>
      <c r="C856" s="972" t="s">
        <v>2309</v>
      </c>
      <c r="D856" s="972">
        <v>2.4320000000000001E-3</v>
      </c>
      <c r="E856" s="972">
        <v>2.1699999999999999E-4</v>
      </c>
      <c r="F856" s="972">
        <v>6.9999999999999999E-6</v>
      </c>
      <c r="G856" s="972">
        <v>16766</v>
      </c>
      <c r="H856" s="972">
        <v>35.402999999999999</v>
      </c>
      <c r="I856" s="972">
        <v>14.2705</v>
      </c>
      <c r="J856" s="972">
        <v>35</v>
      </c>
    </row>
    <row r="857" spans="1:10" ht="15.75" hidden="1">
      <c r="A857" s="972" t="s">
        <v>2427</v>
      </c>
      <c r="B857" s="972" t="s">
        <v>1834</v>
      </c>
      <c r="C857" s="972" t="s">
        <v>2310</v>
      </c>
      <c r="D857" s="972">
        <v>1.9100000000000001E-4</v>
      </c>
      <c r="E857" s="972">
        <v>-9.2999999999999997E-5</v>
      </c>
      <c r="F857" s="972">
        <v>-2.61E-4</v>
      </c>
      <c r="G857" s="972">
        <v>16766</v>
      </c>
      <c r="H857" s="972">
        <v>35.402999999999999</v>
      </c>
      <c r="I857" s="972">
        <v>14.2705</v>
      </c>
      <c r="J857" s="972">
        <v>35</v>
      </c>
    </row>
    <row r="858" spans="1:10" ht="15.75" hidden="1">
      <c r="A858" s="972" t="s">
        <v>2427</v>
      </c>
      <c r="B858" s="972" t="s">
        <v>1834</v>
      </c>
      <c r="C858" s="972" t="s">
        <v>2311</v>
      </c>
      <c r="D858" s="972">
        <v>-1.93E-4</v>
      </c>
      <c r="E858" s="972">
        <v>2.3410000000000002E-3</v>
      </c>
      <c r="F858" s="972">
        <v>-5.0000000000000004E-6</v>
      </c>
      <c r="G858" s="972">
        <v>16766</v>
      </c>
      <c r="H858" s="972">
        <v>35.402999999999999</v>
      </c>
      <c r="I858" s="972">
        <v>14.2705</v>
      </c>
      <c r="J858" s="972">
        <v>35</v>
      </c>
    </row>
    <row r="859" spans="1:10" ht="15.75" hidden="1">
      <c r="A859" s="972" t="s">
        <v>2427</v>
      </c>
      <c r="B859" s="972" t="s">
        <v>1834</v>
      </c>
      <c r="C859" s="972" t="s">
        <v>2328</v>
      </c>
      <c r="D859" s="972">
        <v>-2.8499999999999999E-4</v>
      </c>
      <c r="E859" s="972">
        <v>-1.17E-4</v>
      </c>
      <c r="F859" s="972">
        <v>-1.5200000000000001E-4</v>
      </c>
      <c r="G859" s="972">
        <v>16766</v>
      </c>
      <c r="H859" s="972">
        <v>35.402999999999999</v>
      </c>
      <c r="I859" s="972">
        <v>14.2705</v>
      </c>
      <c r="J859" s="972">
        <v>35</v>
      </c>
    </row>
    <row r="860" spans="1:10" ht="15.75" hidden="1">
      <c r="A860" s="972" t="s">
        <v>2427</v>
      </c>
      <c r="B860" s="972" t="s">
        <v>1834</v>
      </c>
      <c r="C860" s="972" t="s">
        <v>2329</v>
      </c>
      <c r="D860" s="972">
        <v>-2.5820000000000001E-3</v>
      </c>
      <c r="E860" s="972">
        <v>-2.8499999999999999E-4</v>
      </c>
      <c r="F860" s="972">
        <v>2.1999999999999999E-5</v>
      </c>
      <c r="G860" s="972">
        <v>16766</v>
      </c>
      <c r="H860" s="972">
        <v>35.402999999999999</v>
      </c>
      <c r="I860" s="972">
        <v>14.2705</v>
      </c>
      <c r="J860" s="972">
        <v>35</v>
      </c>
    </row>
    <row r="861" spans="1:10" ht="15.75" hidden="1">
      <c r="A861" s="972" t="s">
        <v>2427</v>
      </c>
      <c r="B861" s="972" t="s">
        <v>1834</v>
      </c>
      <c r="C861" s="972" t="s">
        <v>2330</v>
      </c>
      <c r="D861" s="972">
        <v>4.5300000000000001E-4</v>
      </c>
      <c r="E861" s="972">
        <v>-5.3340000000000002E-3</v>
      </c>
      <c r="F861" s="972">
        <v>3.8999999999999999E-5</v>
      </c>
      <c r="G861" s="972">
        <v>16766</v>
      </c>
      <c r="H861" s="972">
        <v>35.402999999999999</v>
      </c>
      <c r="I861" s="972">
        <v>14.2705</v>
      </c>
      <c r="J861" s="972">
        <v>35</v>
      </c>
    </row>
    <row r="862" spans="1:10" ht="15.75" hidden="1">
      <c r="A862" s="972" t="s">
        <v>2427</v>
      </c>
      <c r="B862" s="972" t="s">
        <v>1834</v>
      </c>
      <c r="C862" s="972" t="s">
        <v>2331</v>
      </c>
      <c r="D862" s="972">
        <v>4.2999999999999999E-4</v>
      </c>
      <c r="E862" s="972">
        <v>-9.6900000000000003E-4</v>
      </c>
      <c r="F862" s="972">
        <v>-1.2899999999999999E-4</v>
      </c>
      <c r="G862" s="972">
        <v>16766</v>
      </c>
      <c r="H862" s="972">
        <v>35.402999999999999</v>
      </c>
      <c r="I862" s="972">
        <v>14.2705</v>
      </c>
      <c r="J862" s="972">
        <v>35</v>
      </c>
    </row>
    <row r="863" spans="1:10" ht="15.75" hidden="1">
      <c r="A863" s="972" t="s">
        <v>2427</v>
      </c>
      <c r="B863" s="972" t="s">
        <v>1834</v>
      </c>
      <c r="C863" s="972" t="s">
        <v>2332</v>
      </c>
      <c r="D863" s="972">
        <v>-5.3429999999999997E-3</v>
      </c>
      <c r="E863" s="972">
        <v>-5.3499999999999999E-4</v>
      </c>
      <c r="F863" s="972">
        <v>2.0999999999999999E-5</v>
      </c>
      <c r="G863" s="972">
        <v>16766</v>
      </c>
      <c r="H863" s="972">
        <v>35.402999999999999</v>
      </c>
      <c r="I863" s="972">
        <v>14.2705</v>
      </c>
      <c r="J863" s="972">
        <v>35</v>
      </c>
    </row>
    <row r="864" spans="1:10" ht="15.75" hidden="1">
      <c r="A864" s="972" t="s">
        <v>2427</v>
      </c>
      <c r="B864" s="972" t="s">
        <v>1834</v>
      </c>
      <c r="C864" s="972" t="s">
        <v>2387</v>
      </c>
      <c r="D864" s="972">
        <v>6.2799999999999998E-4</v>
      </c>
      <c r="E864" s="972">
        <v>-3.4489999999999998E-3</v>
      </c>
      <c r="F864" s="972">
        <v>4.6E-5</v>
      </c>
      <c r="G864" s="972">
        <v>16766</v>
      </c>
      <c r="H864" s="972">
        <v>35.402999999999999</v>
      </c>
      <c r="I864" s="972">
        <v>14.2705</v>
      </c>
      <c r="J864" s="972">
        <v>35</v>
      </c>
    </row>
    <row r="865" spans="1:10" ht="15.75" hidden="1">
      <c r="A865" s="972" t="s">
        <v>2427</v>
      </c>
      <c r="B865" s="972" t="s">
        <v>1834</v>
      </c>
      <c r="C865" s="972" t="s">
        <v>2388</v>
      </c>
      <c r="D865" s="972">
        <v>2.415E-3</v>
      </c>
      <c r="E865" s="972">
        <v>6.1799999999999995E-4</v>
      </c>
      <c r="F865" s="972">
        <v>1.17E-4</v>
      </c>
      <c r="G865" s="972">
        <v>16766</v>
      </c>
      <c r="H865" s="972">
        <v>35.402999999999999</v>
      </c>
      <c r="I865" s="972">
        <v>14.2705</v>
      </c>
      <c r="J865" s="972">
        <v>35</v>
      </c>
    </row>
    <row r="866" spans="1:10" ht="15.75" hidden="1">
      <c r="A866" s="972" t="s">
        <v>2427</v>
      </c>
      <c r="B866" s="972" t="s">
        <v>1834</v>
      </c>
      <c r="C866" s="972" t="s">
        <v>2389</v>
      </c>
      <c r="D866" s="972">
        <v>-1.2780000000000001E-3</v>
      </c>
      <c r="E866" s="972">
        <v>-8.5800000000000004E-4</v>
      </c>
      <c r="F866" s="972">
        <v>8.1000000000000004E-5</v>
      </c>
      <c r="G866" s="972">
        <v>16766</v>
      </c>
      <c r="H866" s="972">
        <v>35.402999999999999</v>
      </c>
      <c r="I866" s="972">
        <v>14.2705</v>
      </c>
      <c r="J866" s="972">
        <v>35</v>
      </c>
    </row>
    <row r="867" spans="1:10" ht="15.75" hidden="1">
      <c r="A867" s="972" t="s">
        <v>2427</v>
      </c>
      <c r="B867" s="972" t="s">
        <v>1834</v>
      </c>
      <c r="C867" s="972" t="s">
        <v>2390</v>
      </c>
      <c r="D867" s="972">
        <v>5.4299999999999997E-4</v>
      </c>
      <c r="E867" s="972">
        <v>-2.6570000000000001E-3</v>
      </c>
      <c r="F867" s="972">
        <v>-4.1E-5</v>
      </c>
      <c r="G867" s="972">
        <v>16766</v>
      </c>
      <c r="H867" s="972">
        <v>35.402999999999999</v>
      </c>
      <c r="I867" s="972">
        <v>14.2705</v>
      </c>
      <c r="J867" s="972">
        <v>35</v>
      </c>
    </row>
    <row r="868" spans="1:10" ht="15.75" hidden="1">
      <c r="A868" s="972" t="s">
        <v>2427</v>
      </c>
      <c r="B868" s="972" t="s">
        <v>1834</v>
      </c>
      <c r="C868" s="972" t="s">
        <v>2391</v>
      </c>
      <c r="D868" s="972">
        <v>-4.9049999999999996E-3</v>
      </c>
      <c r="E868" s="972">
        <v>3.8860000000000001E-3</v>
      </c>
      <c r="F868" s="972">
        <v>4.5000000000000003E-5</v>
      </c>
      <c r="G868" s="972">
        <v>16766</v>
      </c>
      <c r="H868" s="972">
        <v>35.402999999999999</v>
      </c>
      <c r="I868" s="972">
        <v>14.2705</v>
      </c>
      <c r="J868" s="972">
        <v>35</v>
      </c>
    </row>
    <row r="869" spans="1:10" ht="15.75" hidden="1">
      <c r="A869" s="972" t="s">
        <v>2427</v>
      </c>
      <c r="B869" s="972" t="s">
        <v>1834</v>
      </c>
      <c r="C869" s="972" t="s">
        <v>2392</v>
      </c>
      <c r="D869" s="972">
        <v>-4.0940000000000004E-3</v>
      </c>
      <c r="E869" s="972">
        <v>-4.2079999999999999E-3</v>
      </c>
      <c r="F869" s="972">
        <v>1.8E-5</v>
      </c>
      <c r="G869" s="972">
        <v>16766</v>
      </c>
      <c r="H869" s="972">
        <v>35.402999999999999</v>
      </c>
      <c r="I869" s="972">
        <v>14.2705</v>
      </c>
      <c r="J869" s="972">
        <v>35</v>
      </c>
    </row>
    <row r="870" spans="1:10" ht="15.75" hidden="1">
      <c r="A870" s="972" t="s">
        <v>2427</v>
      </c>
      <c r="B870" s="972" t="s">
        <v>1834</v>
      </c>
      <c r="C870" s="972" t="s">
        <v>2393</v>
      </c>
      <c r="D870" s="972">
        <v>-1.14E-3</v>
      </c>
      <c r="E870" s="972">
        <v>2.5149999999999999E-3</v>
      </c>
      <c r="F870" s="972">
        <v>5.3999999999999998E-5</v>
      </c>
      <c r="G870" s="972">
        <v>16766</v>
      </c>
      <c r="H870" s="972">
        <v>35.402999999999999</v>
      </c>
      <c r="I870" s="972">
        <v>14.2705</v>
      </c>
      <c r="J870" s="972">
        <v>35</v>
      </c>
    </row>
    <row r="871" spans="1:10" ht="15.75" hidden="1">
      <c r="A871" s="972" t="s">
        <v>2427</v>
      </c>
      <c r="B871" s="972" t="s">
        <v>1834</v>
      </c>
      <c r="C871" s="972" t="s">
        <v>2394</v>
      </c>
      <c r="D871" s="972">
        <v>-1.9959999999999999E-3</v>
      </c>
      <c r="E871" s="972">
        <v>-4.0369999999999998E-3</v>
      </c>
      <c r="F871" s="972">
        <v>3.8000000000000002E-5</v>
      </c>
      <c r="G871" s="972">
        <v>16766</v>
      </c>
      <c r="H871" s="972">
        <v>35.402999999999999</v>
      </c>
      <c r="I871" s="972">
        <v>14.2705</v>
      </c>
      <c r="J871" s="972">
        <v>35</v>
      </c>
    </row>
    <row r="872" spans="1:10" ht="15.75" hidden="1">
      <c r="A872" s="972" t="s">
        <v>2427</v>
      </c>
      <c r="B872" s="972" t="s">
        <v>1834</v>
      </c>
      <c r="C872" s="972" t="s">
        <v>2395</v>
      </c>
      <c r="D872" s="972">
        <v>-1.7149999999999999E-3</v>
      </c>
      <c r="E872" s="972">
        <v>-9.0000000000000006E-5</v>
      </c>
      <c r="F872" s="972">
        <v>-5.8E-5</v>
      </c>
      <c r="G872" s="972">
        <v>16766</v>
      </c>
      <c r="H872" s="972">
        <v>35.402999999999999</v>
      </c>
      <c r="I872" s="972">
        <v>14.2705</v>
      </c>
      <c r="J872" s="972">
        <v>35</v>
      </c>
    </row>
    <row r="873" spans="1:10" ht="15.75" hidden="1">
      <c r="A873" s="972" t="s">
        <v>2427</v>
      </c>
      <c r="B873" s="972" t="s">
        <v>1834</v>
      </c>
      <c r="C873" s="972" t="s">
        <v>2396</v>
      </c>
      <c r="D873" s="972">
        <v>-4.3000000000000002E-5</v>
      </c>
      <c r="E873" s="972">
        <v>1.121E-3</v>
      </c>
      <c r="F873" s="972">
        <v>-2.8E-5</v>
      </c>
      <c r="G873" s="972">
        <v>16766</v>
      </c>
      <c r="H873" s="972">
        <v>35.402999999999999</v>
      </c>
      <c r="I873" s="972">
        <v>14.2705</v>
      </c>
      <c r="J873" s="972">
        <v>35</v>
      </c>
    </row>
    <row r="874" spans="1:10" ht="15.75" hidden="1">
      <c r="A874" s="972" t="s">
        <v>2428</v>
      </c>
      <c r="B874" s="972" t="s">
        <v>1834</v>
      </c>
      <c r="C874" s="972" t="s">
        <v>2297</v>
      </c>
      <c r="D874" s="972">
        <v>-2.2699999999999999E-4</v>
      </c>
      <c r="E874" s="972">
        <v>1.181E-3</v>
      </c>
      <c r="F874" s="972">
        <v>1.4E-5</v>
      </c>
      <c r="G874" s="972">
        <v>16767</v>
      </c>
      <c r="H874" s="972">
        <v>35.402999999999999</v>
      </c>
      <c r="I874" s="972">
        <v>14.2705</v>
      </c>
      <c r="J874" s="972">
        <v>31.6</v>
      </c>
    </row>
    <row r="875" spans="1:10" ht="15.75" hidden="1">
      <c r="A875" s="972" t="s">
        <v>2428</v>
      </c>
      <c r="B875" s="972" t="s">
        <v>1834</v>
      </c>
      <c r="C875" s="972" t="s">
        <v>2298</v>
      </c>
      <c r="D875" s="972">
        <v>-2.1900000000000001E-4</v>
      </c>
      <c r="E875" s="972">
        <v>-2.5000000000000001E-4</v>
      </c>
      <c r="F875" s="972">
        <v>7.7999999999999999E-5</v>
      </c>
      <c r="G875" s="972">
        <v>16767</v>
      </c>
      <c r="H875" s="972">
        <v>35.402999999999999</v>
      </c>
      <c r="I875" s="972">
        <v>14.2705</v>
      </c>
      <c r="J875" s="972">
        <v>31.6</v>
      </c>
    </row>
    <row r="876" spans="1:10" ht="15.75">
      <c r="A876" s="972" t="s">
        <v>2428</v>
      </c>
      <c r="B876" s="972" t="s">
        <v>1834</v>
      </c>
      <c r="C876" s="972" t="s">
        <v>2299</v>
      </c>
      <c r="D876" s="972">
        <v>1.3420000000000001E-3</v>
      </c>
      <c r="E876" s="972">
        <v>2.4399999999999999E-4</v>
      </c>
      <c r="F876" s="972">
        <v>1.4E-5</v>
      </c>
      <c r="G876" s="972">
        <v>16767</v>
      </c>
      <c r="H876" s="972">
        <v>35.402999999999999</v>
      </c>
      <c r="I876" s="972">
        <v>14.2705</v>
      </c>
      <c r="J876" s="972">
        <v>31.6</v>
      </c>
    </row>
    <row r="877" spans="1:10" ht="15.75" hidden="1">
      <c r="A877" s="972" t="s">
        <v>2428</v>
      </c>
      <c r="B877" s="972" t="s">
        <v>1834</v>
      </c>
      <c r="C877" s="972" t="s">
        <v>2300</v>
      </c>
      <c r="D877" s="972">
        <v>-6.5099999999999999E-4</v>
      </c>
      <c r="E877" s="972">
        <v>2.5000000000000001E-5</v>
      </c>
      <c r="F877" s="972">
        <v>2.24E-4</v>
      </c>
      <c r="G877" s="972">
        <v>16767</v>
      </c>
      <c r="H877" s="972">
        <v>35.402999999999999</v>
      </c>
      <c r="I877" s="972">
        <v>14.2705</v>
      </c>
      <c r="J877" s="972">
        <v>31.6</v>
      </c>
    </row>
    <row r="878" spans="1:10" ht="15.75" hidden="1">
      <c r="A878" s="972" t="s">
        <v>2428</v>
      </c>
      <c r="B878" s="972" t="s">
        <v>1834</v>
      </c>
      <c r="C878" s="972" t="s">
        <v>2301</v>
      </c>
      <c r="D878" s="972">
        <v>5.2700000000000002E-4</v>
      </c>
      <c r="E878" s="972">
        <v>-4.3109999999999997E-3</v>
      </c>
      <c r="F878" s="972">
        <v>6.0000000000000002E-6</v>
      </c>
      <c r="G878" s="972">
        <v>16767</v>
      </c>
      <c r="H878" s="972">
        <v>35.402999999999999</v>
      </c>
      <c r="I878" s="972">
        <v>14.2705</v>
      </c>
      <c r="J878" s="972">
        <v>31.6</v>
      </c>
    </row>
    <row r="879" spans="1:10" ht="15.75" hidden="1">
      <c r="A879" s="972" t="s">
        <v>2428</v>
      </c>
      <c r="B879" s="972" t="s">
        <v>1834</v>
      </c>
      <c r="C879" s="972" t="s">
        <v>2302</v>
      </c>
      <c r="D879" s="972">
        <v>-4.3239999999999997E-3</v>
      </c>
      <c r="E879" s="972">
        <v>-5.5999999999999995E-4</v>
      </c>
      <c r="F879" s="972">
        <v>-3.6999999999999998E-5</v>
      </c>
      <c r="G879" s="972">
        <v>16767</v>
      </c>
      <c r="H879" s="972">
        <v>35.402999999999999</v>
      </c>
      <c r="I879" s="972">
        <v>14.2705</v>
      </c>
      <c r="J879" s="972">
        <v>31.6</v>
      </c>
    </row>
    <row r="880" spans="1:10" ht="15.75" hidden="1">
      <c r="A880" s="972" t="s">
        <v>2428</v>
      </c>
      <c r="B880" s="972" t="s">
        <v>1834</v>
      </c>
      <c r="C880" s="972" t="s">
        <v>2303</v>
      </c>
      <c r="D880" s="972">
        <v>7.9699999999999997E-4</v>
      </c>
      <c r="E880" s="972">
        <v>3.1999999999999999E-5</v>
      </c>
      <c r="F880" s="972">
        <v>-2.7700000000000001E-4</v>
      </c>
      <c r="G880" s="972">
        <v>16767</v>
      </c>
      <c r="H880" s="972">
        <v>35.402999999999999</v>
      </c>
      <c r="I880" s="972">
        <v>14.2705</v>
      </c>
      <c r="J880" s="972">
        <v>31.6</v>
      </c>
    </row>
    <row r="881" spans="1:10" ht="15.75" hidden="1">
      <c r="A881" s="972" t="s">
        <v>2428</v>
      </c>
      <c r="B881" s="972" t="s">
        <v>1834</v>
      </c>
      <c r="C881" s="972" t="s">
        <v>2304</v>
      </c>
      <c r="D881" s="972">
        <v>6.0400000000000004E-4</v>
      </c>
      <c r="E881" s="972">
        <v>-5.8979999999999996E-3</v>
      </c>
      <c r="F881" s="972">
        <v>3.9999999999999998E-6</v>
      </c>
      <c r="G881" s="972">
        <v>16767</v>
      </c>
      <c r="H881" s="972">
        <v>35.402999999999999</v>
      </c>
      <c r="I881" s="972">
        <v>14.2705</v>
      </c>
      <c r="J881" s="972">
        <v>31.6</v>
      </c>
    </row>
    <row r="882" spans="1:10" ht="15.75" hidden="1">
      <c r="A882" s="972" t="s">
        <v>2428</v>
      </c>
      <c r="B882" s="972" t="s">
        <v>1834</v>
      </c>
      <c r="C882" s="972" t="s">
        <v>2305</v>
      </c>
      <c r="D882" s="972">
        <v>1.4899999999999999E-4</v>
      </c>
      <c r="E882" s="972">
        <v>3.9999999999999998E-6</v>
      </c>
      <c r="F882" s="972">
        <v>1.84E-4</v>
      </c>
      <c r="G882" s="972">
        <v>16767</v>
      </c>
      <c r="H882" s="972">
        <v>35.402999999999999</v>
      </c>
      <c r="I882" s="972">
        <v>14.2705</v>
      </c>
      <c r="J882" s="972">
        <v>31.6</v>
      </c>
    </row>
    <row r="883" spans="1:10" ht="15.75" hidden="1">
      <c r="A883" s="972" t="s">
        <v>2428</v>
      </c>
      <c r="B883" s="972" t="s">
        <v>1834</v>
      </c>
      <c r="C883" s="972" t="s">
        <v>2306</v>
      </c>
      <c r="D883" s="972">
        <v>-5.816E-3</v>
      </c>
      <c r="E883" s="972">
        <v>-5.7700000000000004E-4</v>
      </c>
      <c r="F883" s="972">
        <v>-1.2E-5</v>
      </c>
      <c r="G883" s="972">
        <v>16767</v>
      </c>
      <c r="H883" s="972">
        <v>35.402999999999999</v>
      </c>
      <c r="I883" s="972">
        <v>14.2705</v>
      </c>
      <c r="J883" s="972">
        <v>31.6</v>
      </c>
    </row>
    <row r="884" spans="1:10" ht="15.75" hidden="1">
      <c r="A884" s="972" t="s">
        <v>2428</v>
      </c>
      <c r="B884" s="972" t="s">
        <v>1834</v>
      </c>
      <c r="C884" s="972" t="s">
        <v>2307</v>
      </c>
      <c r="D884" s="972">
        <v>-5.7000000000000003E-5</v>
      </c>
      <c r="E884" s="972">
        <v>1.3370000000000001E-3</v>
      </c>
      <c r="F884" s="972">
        <v>-2.0999999999999999E-5</v>
      </c>
      <c r="G884" s="972">
        <v>16767</v>
      </c>
      <c r="H884" s="972">
        <v>35.402999999999999</v>
      </c>
      <c r="I884" s="972">
        <v>14.2705</v>
      </c>
      <c r="J884" s="972">
        <v>31.6</v>
      </c>
    </row>
    <row r="885" spans="1:10" ht="15.75" hidden="1">
      <c r="A885" s="972" t="s">
        <v>2428</v>
      </c>
      <c r="B885" s="972" t="s">
        <v>1834</v>
      </c>
      <c r="C885" s="972" t="s">
        <v>2308</v>
      </c>
      <c r="D885" s="972">
        <v>3.9599999999999998E-4</v>
      </c>
      <c r="E885" s="972">
        <v>-3.6809999999999998E-3</v>
      </c>
      <c r="F885" s="972">
        <v>-3.0000000000000001E-6</v>
      </c>
      <c r="G885" s="972">
        <v>16767</v>
      </c>
      <c r="H885" s="972">
        <v>35.402999999999999</v>
      </c>
      <c r="I885" s="972">
        <v>14.2705</v>
      </c>
      <c r="J885" s="972">
        <v>31.6</v>
      </c>
    </row>
    <row r="886" spans="1:10" ht="15.75" hidden="1">
      <c r="A886" s="972" t="s">
        <v>2428</v>
      </c>
      <c r="B886" s="972" t="s">
        <v>1834</v>
      </c>
      <c r="C886" s="972" t="s">
        <v>2309</v>
      </c>
      <c r="D886" s="972">
        <v>3.7399999999999998E-3</v>
      </c>
      <c r="E886" s="972">
        <v>3.48E-4</v>
      </c>
      <c r="F886" s="972">
        <v>1.0000000000000001E-5</v>
      </c>
      <c r="G886" s="972">
        <v>16767</v>
      </c>
      <c r="H886" s="972">
        <v>35.402999999999999</v>
      </c>
      <c r="I886" s="972">
        <v>14.2705</v>
      </c>
      <c r="J886" s="972">
        <v>31.6</v>
      </c>
    </row>
    <row r="887" spans="1:10" ht="15.75" hidden="1">
      <c r="A887" s="972" t="s">
        <v>2428</v>
      </c>
      <c r="B887" s="972" t="s">
        <v>1834</v>
      </c>
      <c r="C887" s="972" t="s">
        <v>2310</v>
      </c>
      <c r="D887" s="972">
        <v>1.27E-4</v>
      </c>
      <c r="E887" s="972">
        <v>-7.6000000000000004E-5</v>
      </c>
      <c r="F887" s="972">
        <v>-2.1900000000000001E-4</v>
      </c>
      <c r="G887" s="972">
        <v>16767</v>
      </c>
      <c r="H887" s="972">
        <v>35.402999999999999</v>
      </c>
      <c r="I887" s="972">
        <v>14.2705</v>
      </c>
      <c r="J887" s="972">
        <v>31.6</v>
      </c>
    </row>
    <row r="888" spans="1:10" ht="15.75" hidden="1">
      <c r="A888" s="972" t="s">
        <v>2428</v>
      </c>
      <c r="B888" s="972" t="s">
        <v>1834</v>
      </c>
      <c r="C888" s="972" t="s">
        <v>2311</v>
      </c>
      <c r="D888" s="972">
        <v>-9.0000000000000002E-6</v>
      </c>
      <c r="E888" s="972">
        <v>4.4099999999999999E-4</v>
      </c>
      <c r="F888" s="972">
        <v>-9.9999999999999995E-7</v>
      </c>
      <c r="G888" s="972">
        <v>16767</v>
      </c>
      <c r="H888" s="972">
        <v>35.402999999999999</v>
      </c>
      <c r="I888" s="972">
        <v>14.2705</v>
      </c>
      <c r="J888" s="972">
        <v>31.6</v>
      </c>
    </row>
    <row r="889" spans="1:10" ht="15.75" hidden="1">
      <c r="A889" s="972" t="s">
        <v>2428</v>
      </c>
      <c r="B889" s="972" t="s">
        <v>1834</v>
      </c>
      <c r="C889" s="972" t="s">
        <v>2328</v>
      </c>
      <c r="D889" s="972">
        <v>-4.3000000000000002E-5</v>
      </c>
      <c r="E889" s="972">
        <v>-1.45E-4</v>
      </c>
      <c r="F889" s="972">
        <v>-2.31E-4</v>
      </c>
      <c r="G889" s="972">
        <v>16767</v>
      </c>
      <c r="H889" s="972">
        <v>35.402999999999999</v>
      </c>
      <c r="I889" s="972">
        <v>14.2705</v>
      </c>
      <c r="J889" s="972">
        <v>31.6</v>
      </c>
    </row>
    <row r="890" spans="1:10" ht="15.75" hidden="1">
      <c r="A890" s="972" t="s">
        <v>2428</v>
      </c>
      <c r="B890" s="972" t="s">
        <v>1834</v>
      </c>
      <c r="C890" s="972" t="s">
        <v>2329</v>
      </c>
      <c r="D890" s="972">
        <v>-7.4299999999999995E-4</v>
      </c>
      <c r="E890" s="972">
        <v>-1.1E-4</v>
      </c>
      <c r="F890" s="972">
        <v>3.0000000000000001E-5</v>
      </c>
      <c r="G890" s="972">
        <v>16767</v>
      </c>
      <c r="H890" s="972">
        <v>35.402999999999999</v>
      </c>
      <c r="I890" s="972">
        <v>14.2705</v>
      </c>
      <c r="J890" s="972">
        <v>31.6</v>
      </c>
    </row>
    <row r="891" spans="1:10" ht="15.75" hidden="1">
      <c r="A891" s="972" t="s">
        <v>2428</v>
      </c>
      <c r="B891" s="972" t="s">
        <v>1834</v>
      </c>
      <c r="C891" s="972" t="s">
        <v>2330</v>
      </c>
      <c r="D891" s="972">
        <v>3.4200000000000002E-4</v>
      </c>
      <c r="E891" s="972">
        <v>-4.4799999999999996E-3</v>
      </c>
      <c r="F891" s="972">
        <v>1.7E-5</v>
      </c>
      <c r="G891" s="972">
        <v>16767</v>
      </c>
      <c r="H891" s="972">
        <v>35.402999999999999</v>
      </c>
      <c r="I891" s="972">
        <v>14.2705</v>
      </c>
      <c r="J891" s="972">
        <v>31.6</v>
      </c>
    </row>
    <row r="892" spans="1:10" ht="15.75" hidden="1">
      <c r="A892" s="972" t="s">
        <v>2428</v>
      </c>
      <c r="B892" s="972" t="s">
        <v>1834</v>
      </c>
      <c r="C892" s="972" t="s">
        <v>2331</v>
      </c>
      <c r="D892" s="972">
        <v>4.2499999999999998E-4</v>
      </c>
      <c r="E892" s="972">
        <v>-7.7399999999999995E-4</v>
      </c>
      <c r="F892" s="972">
        <v>-1.9999999999999999E-6</v>
      </c>
      <c r="G892" s="972">
        <v>16767</v>
      </c>
      <c r="H892" s="972">
        <v>35.402999999999999</v>
      </c>
      <c r="I892" s="972">
        <v>14.2705</v>
      </c>
      <c r="J892" s="972">
        <v>31.6</v>
      </c>
    </row>
    <row r="893" spans="1:10" ht="15.75" hidden="1">
      <c r="A893" s="972" t="s">
        <v>2428</v>
      </c>
      <c r="B893" s="972" t="s">
        <v>1834</v>
      </c>
      <c r="C893" s="972" t="s">
        <v>2332</v>
      </c>
      <c r="D893" s="972">
        <v>-4.6880000000000003E-3</v>
      </c>
      <c r="E893" s="972">
        <v>-5.3300000000000005E-4</v>
      </c>
      <c r="F893" s="972">
        <v>3.6999999999999998E-5</v>
      </c>
      <c r="G893" s="972">
        <v>16767</v>
      </c>
      <c r="H893" s="972">
        <v>35.402999999999999</v>
      </c>
      <c r="I893" s="972">
        <v>14.2705</v>
      </c>
      <c r="J893" s="972">
        <v>31.6</v>
      </c>
    </row>
    <row r="894" spans="1:10" ht="15.75" hidden="1">
      <c r="A894" s="972" t="s">
        <v>2428</v>
      </c>
      <c r="B894" s="972" t="s">
        <v>1834</v>
      </c>
      <c r="C894" s="972" t="s">
        <v>2387</v>
      </c>
      <c r="D894" s="972">
        <v>6.6299999999999996E-4</v>
      </c>
      <c r="E894" s="972">
        <v>-4.875E-3</v>
      </c>
      <c r="F894" s="972">
        <v>5.5999999999999999E-5</v>
      </c>
      <c r="G894" s="972">
        <v>16767</v>
      </c>
      <c r="H894" s="972">
        <v>35.402999999999999</v>
      </c>
      <c r="I894" s="972">
        <v>14.2705</v>
      </c>
      <c r="J894" s="972">
        <v>31.6</v>
      </c>
    </row>
    <row r="895" spans="1:10" ht="15.75" hidden="1">
      <c r="A895" s="972" t="s">
        <v>2428</v>
      </c>
      <c r="B895" s="972" t="s">
        <v>1834</v>
      </c>
      <c r="C895" s="972" t="s">
        <v>2388</v>
      </c>
      <c r="D895" s="972">
        <v>3.339E-3</v>
      </c>
      <c r="E895" s="972">
        <v>1.379E-3</v>
      </c>
      <c r="F895" s="972">
        <v>7.1000000000000005E-5</v>
      </c>
      <c r="G895" s="972">
        <v>16767</v>
      </c>
      <c r="H895" s="972">
        <v>35.402999999999999</v>
      </c>
      <c r="I895" s="972">
        <v>14.2705</v>
      </c>
      <c r="J895" s="972">
        <v>31.6</v>
      </c>
    </row>
    <row r="896" spans="1:10" ht="15.75" hidden="1">
      <c r="A896" s="972" t="s">
        <v>2428</v>
      </c>
      <c r="B896" s="972" t="s">
        <v>1834</v>
      </c>
      <c r="C896" s="972" t="s">
        <v>2389</v>
      </c>
      <c r="D896" s="972">
        <v>-3.019E-3</v>
      </c>
      <c r="E896" s="972">
        <v>1.593E-3</v>
      </c>
      <c r="F896" s="972">
        <v>5.8999999999999998E-5</v>
      </c>
      <c r="G896" s="972">
        <v>16767</v>
      </c>
      <c r="H896" s="972">
        <v>35.402999999999999</v>
      </c>
      <c r="I896" s="972">
        <v>14.2705</v>
      </c>
      <c r="J896" s="972">
        <v>31.6</v>
      </c>
    </row>
    <row r="897" spans="1:10" ht="15.75" hidden="1">
      <c r="A897" s="972" t="s">
        <v>2428</v>
      </c>
      <c r="B897" s="972" t="s">
        <v>1834</v>
      </c>
      <c r="C897" s="972" t="s">
        <v>2390</v>
      </c>
      <c r="D897" s="972">
        <v>2.49E-3</v>
      </c>
      <c r="E897" s="972">
        <v>-3.4299999999999999E-4</v>
      </c>
      <c r="F897" s="972">
        <v>-2.5999999999999998E-5</v>
      </c>
      <c r="G897" s="972">
        <v>16767</v>
      </c>
      <c r="H897" s="972">
        <v>35.402999999999999</v>
      </c>
      <c r="I897" s="972">
        <v>14.2705</v>
      </c>
      <c r="J897" s="972">
        <v>31.6</v>
      </c>
    </row>
    <row r="898" spans="1:10" ht="15.75" hidden="1">
      <c r="A898" s="972" t="s">
        <v>2428</v>
      </c>
      <c r="B898" s="972" t="s">
        <v>1834</v>
      </c>
      <c r="C898" s="972" t="s">
        <v>2391</v>
      </c>
      <c r="D898" s="972">
        <v>-3.2599999999999999E-3</v>
      </c>
      <c r="E898" s="972">
        <v>3.9820000000000003E-3</v>
      </c>
      <c r="F898" s="972">
        <v>4.6999999999999997E-5</v>
      </c>
      <c r="G898" s="972">
        <v>16767</v>
      </c>
      <c r="H898" s="972">
        <v>35.402999999999999</v>
      </c>
      <c r="I898" s="972">
        <v>14.2705</v>
      </c>
      <c r="J898" s="972">
        <v>31.6</v>
      </c>
    </row>
    <row r="899" spans="1:10" ht="15.75" hidden="1">
      <c r="A899" s="972" t="s">
        <v>2428</v>
      </c>
      <c r="B899" s="972" t="s">
        <v>1834</v>
      </c>
      <c r="C899" s="972" t="s">
        <v>2392</v>
      </c>
      <c r="D899" s="972">
        <v>-3.6250000000000002E-3</v>
      </c>
      <c r="E899" s="972">
        <v>-5.1310000000000001E-3</v>
      </c>
      <c r="F899" s="972">
        <v>4.3999999999999999E-5</v>
      </c>
      <c r="G899" s="972">
        <v>16767</v>
      </c>
      <c r="H899" s="972">
        <v>35.402999999999999</v>
      </c>
      <c r="I899" s="972">
        <v>14.2705</v>
      </c>
      <c r="J899" s="972">
        <v>31.6</v>
      </c>
    </row>
    <row r="900" spans="1:10" ht="15.75" hidden="1">
      <c r="A900" s="972" t="s">
        <v>2428</v>
      </c>
      <c r="B900" s="972" t="s">
        <v>1834</v>
      </c>
      <c r="C900" s="972" t="s">
        <v>2393</v>
      </c>
      <c r="D900" s="972">
        <v>2.1679999999999998E-3</v>
      </c>
      <c r="E900" s="972">
        <v>3.6000000000000002E-4</v>
      </c>
      <c r="F900" s="972">
        <v>5.3000000000000001E-5</v>
      </c>
      <c r="G900" s="972">
        <v>16767</v>
      </c>
      <c r="H900" s="972">
        <v>35.402999999999999</v>
      </c>
      <c r="I900" s="972">
        <v>14.2705</v>
      </c>
      <c r="J900" s="972">
        <v>31.6</v>
      </c>
    </row>
    <row r="901" spans="1:10" ht="15.75" hidden="1">
      <c r="A901" s="972" t="s">
        <v>2428</v>
      </c>
      <c r="B901" s="972" t="s">
        <v>1834</v>
      </c>
      <c r="C901" s="972" t="s">
        <v>2394</v>
      </c>
      <c r="D901" s="972">
        <v>2.3900000000000001E-4</v>
      </c>
      <c r="E901" s="972">
        <v>-1.3619999999999999E-3</v>
      </c>
      <c r="F901" s="972">
        <v>4.8999999999999998E-5</v>
      </c>
      <c r="G901" s="972">
        <v>16767</v>
      </c>
      <c r="H901" s="972">
        <v>35.402999999999999</v>
      </c>
      <c r="I901" s="972">
        <v>14.2705</v>
      </c>
      <c r="J901" s="972">
        <v>31.6</v>
      </c>
    </row>
    <row r="902" spans="1:10" ht="15.75" hidden="1">
      <c r="A902" s="972" t="s">
        <v>2428</v>
      </c>
      <c r="B902" s="972" t="s">
        <v>1834</v>
      </c>
      <c r="C902" s="972" t="s">
        <v>2395</v>
      </c>
      <c r="D902" s="972">
        <v>-3.7889999999999998E-3</v>
      </c>
      <c r="E902" s="972">
        <v>1.3470000000000001E-3</v>
      </c>
      <c r="F902" s="972">
        <v>-5.0000000000000002E-5</v>
      </c>
      <c r="G902" s="972">
        <v>16767</v>
      </c>
      <c r="H902" s="972">
        <v>35.402999999999999</v>
      </c>
      <c r="I902" s="972">
        <v>14.2705</v>
      </c>
      <c r="J902" s="972">
        <v>31.6</v>
      </c>
    </row>
    <row r="903" spans="1:10" ht="15.75" hidden="1">
      <c r="A903" s="972" t="s">
        <v>2428</v>
      </c>
      <c r="B903" s="972" t="s">
        <v>1834</v>
      </c>
      <c r="C903" s="972" t="s">
        <v>2396</v>
      </c>
      <c r="D903" s="972">
        <v>-1.397E-3</v>
      </c>
      <c r="E903" s="972">
        <v>-2.0409999999999998E-3</v>
      </c>
      <c r="F903" s="972">
        <v>-2.0999999999999999E-5</v>
      </c>
      <c r="G903" s="972">
        <v>16767</v>
      </c>
      <c r="H903" s="972">
        <v>35.402999999999999</v>
      </c>
      <c r="I903" s="972">
        <v>14.2705</v>
      </c>
      <c r="J903" s="972">
        <v>31.6</v>
      </c>
    </row>
    <row r="904" spans="1:10" ht="15.75" hidden="1">
      <c r="A904" s="972" t="s">
        <v>2429</v>
      </c>
      <c r="B904" s="972" t="s">
        <v>1834</v>
      </c>
      <c r="C904" s="972" t="s">
        <v>2297</v>
      </c>
      <c r="D904" s="972">
        <v>-1.94E-4</v>
      </c>
      <c r="E904" s="972">
        <v>1.0089999999999999E-3</v>
      </c>
      <c r="F904" s="972">
        <v>1.2E-5</v>
      </c>
      <c r="G904" s="972">
        <v>16768</v>
      </c>
      <c r="H904" s="972">
        <v>35.402999999999999</v>
      </c>
      <c r="I904" s="972">
        <v>14.2705</v>
      </c>
      <c r="J904" s="972">
        <v>28.2</v>
      </c>
    </row>
    <row r="905" spans="1:10" ht="15.75" hidden="1">
      <c r="A905" s="972" t="s">
        <v>2429</v>
      </c>
      <c r="B905" s="972" t="s">
        <v>1834</v>
      </c>
      <c r="C905" s="972" t="s">
        <v>2298</v>
      </c>
      <c r="D905" s="972">
        <v>-1.8900000000000001E-4</v>
      </c>
      <c r="E905" s="972">
        <v>-2.13E-4</v>
      </c>
      <c r="F905" s="972">
        <v>6.7999999999999999E-5</v>
      </c>
      <c r="G905" s="972">
        <v>16768</v>
      </c>
      <c r="H905" s="972">
        <v>35.402999999999999</v>
      </c>
      <c r="I905" s="972">
        <v>14.2705</v>
      </c>
      <c r="J905" s="972">
        <v>28.2</v>
      </c>
    </row>
    <row r="906" spans="1:10" ht="15.75">
      <c r="A906" s="972" t="s">
        <v>2429</v>
      </c>
      <c r="B906" s="972" t="s">
        <v>1834</v>
      </c>
      <c r="C906" s="972" t="s">
        <v>2299</v>
      </c>
      <c r="D906" s="972">
        <v>1.155E-3</v>
      </c>
      <c r="E906" s="972">
        <v>2.1100000000000001E-4</v>
      </c>
      <c r="F906" s="972">
        <v>1.2999999999999999E-5</v>
      </c>
      <c r="G906" s="972">
        <v>16768</v>
      </c>
      <c r="H906" s="972">
        <v>35.402999999999999</v>
      </c>
      <c r="I906" s="972">
        <v>14.2705</v>
      </c>
      <c r="J906" s="972">
        <v>28.2</v>
      </c>
    </row>
    <row r="907" spans="1:10" ht="15.75" hidden="1">
      <c r="A907" s="972" t="s">
        <v>2429</v>
      </c>
      <c r="B907" s="972" t="s">
        <v>1834</v>
      </c>
      <c r="C907" s="972" t="s">
        <v>2300</v>
      </c>
      <c r="D907" s="972">
        <v>-5.8699999999999996E-4</v>
      </c>
      <c r="E907" s="972">
        <v>2.3E-5</v>
      </c>
      <c r="F907" s="972">
        <v>2.04E-4</v>
      </c>
      <c r="G907" s="972">
        <v>16768</v>
      </c>
      <c r="H907" s="972">
        <v>35.402999999999999</v>
      </c>
      <c r="I907" s="972">
        <v>14.2705</v>
      </c>
      <c r="J907" s="972">
        <v>28.2</v>
      </c>
    </row>
    <row r="908" spans="1:10" ht="15.75" hidden="1">
      <c r="A908" s="972" t="s">
        <v>2429</v>
      </c>
      <c r="B908" s="972" t="s">
        <v>1834</v>
      </c>
      <c r="C908" s="972" t="s">
        <v>2301</v>
      </c>
      <c r="D908" s="972">
        <v>4.75E-4</v>
      </c>
      <c r="E908" s="972">
        <v>-3.8839999999999999E-3</v>
      </c>
      <c r="F908" s="972">
        <v>6.0000000000000002E-6</v>
      </c>
      <c r="G908" s="972">
        <v>16768</v>
      </c>
      <c r="H908" s="972">
        <v>35.402999999999999</v>
      </c>
      <c r="I908" s="972">
        <v>14.2705</v>
      </c>
      <c r="J908" s="972">
        <v>28.2</v>
      </c>
    </row>
    <row r="909" spans="1:10" ht="15.75" hidden="1">
      <c r="A909" s="972" t="s">
        <v>2429</v>
      </c>
      <c r="B909" s="972" t="s">
        <v>1834</v>
      </c>
      <c r="C909" s="972" t="s">
        <v>2302</v>
      </c>
      <c r="D909" s="972">
        <v>-3.9090000000000001E-3</v>
      </c>
      <c r="E909" s="972">
        <v>-5.0799999999999999E-4</v>
      </c>
      <c r="F909" s="972">
        <v>-3.4E-5</v>
      </c>
      <c r="G909" s="972">
        <v>16768</v>
      </c>
      <c r="H909" s="972">
        <v>35.402999999999999</v>
      </c>
      <c r="I909" s="972">
        <v>14.2705</v>
      </c>
      <c r="J909" s="972">
        <v>28.2</v>
      </c>
    </row>
    <row r="910" spans="1:10" ht="15.75" hidden="1">
      <c r="A910" s="972" t="s">
        <v>2429</v>
      </c>
      <c r="B910" s="972" t="s">
        <v>1834</v>
      </c>
      <c r="C910" s="972" t="s">
        <v>2303</v>
      </c>
      <c r="D910" s="972">
        <v>7.7899999999999996E-4</v>
      </c>
      <c r="E910" s="972">
        <v>2.8E-5</v>
      </c>
      <c r="F910" s="972">
        <v>-2.7700000000000001E-4</v>
      </c>
      <c r="G910" s="972">
        <v>16768</v>
      </c>
      <c r="H910" s="972">
        <v>35.402999999999999</v>
      </c>
      <c r="I910" s="972">
        <v>14.2705</v>
      </c>
      <c r="J910" s="972">
        <v>28.2</v>
      </c>
    </row>
    <row r="911" spans="1:10" ht="15.75" hidden="1">
      <c r="A911" s="972" t="s">
        <v>2429</v>
      </c>
      <c r="B911" s="972" t="s">
        <v>1834</v>
      </c>
      <c r="C911" s="972" t="s">
        <v>2304</v>
      </c>
      <c r="D911" s="972">
        <v>5.9500000000000004E-4</v>
      </c>
      <c r="E911" s="972">
        <v>-5.8259999999999996E-3</v>
      </c>
      <c r="F911" s="972">
        <v>3.0000000000000001E-6</v>
      </c>
      <c r="G911" s="972">
        <v>16768</v>
      </c>
      <c r="H911" s="972">
        <v>35.402999999999999</v>
      </c>
      <c r="I911" s="972">
        <v>14.2705</v>
      </c>
      <c r="J911" s="972">
        <v>28.2</v>
      </c>
    </row>
    <row r="912" spans="1:10" ht="15.75" hidden="1">
      <c r="A912" s="972" t="s">
        <v>2429</v>
      </c>
      <c r="B912" s="972" t="s">
        <v>1834</v>
      </c>
      <c r="C912" s="972" t="s">
        <v>2305</v>
      </c>
      <c r="D912" s="972">
        <v>4.8000000000000001E-5</v>
      </c>
      <c r="E912" s="972">
        <v>5.0000000000000004E-6</v>
      </c>
      <c r="F912" s="972">
        <v>2.34E-4</v>
      </c>
      <c r="G912" s="972">
        <v>16768</v>
      </c>
      <c r="H912" s="972">
        <v>35.402999999999999</v>
      </c>
      <c r="I912" s="972">
        <v>14.2705</v>
      </c>
      <c r="J912" s="972">
        <v>28.2</v>
      </c>
    </row>
    <row r="913" spans="1:10" ht="15.75" hidden="1">
      <c r="A913" s="972" t="s">
        <v>2429</v>
      </c>
      <c r="B913" s="972" t="s">
        <v>1834</v>
      </c>
      <c r="C913" s="972" t="s">
        <v>2306</v>
      </c>
      <c r="D913" s="972">
        <v>-5.7869999999999996E-3</v>
      </c>
      <c r="E913" s="972">
        <v>-5.7700000000000004E-4</v>
      </c>
      <c r="F913" s="972">
        <v>-7.9999999999999996E-6</v>
      </c>
      <c r="G913" s="972">
        <v>16768</v>
      </c>
      <c r="H913" s="972">
        <v>35.402999999999999</v>
      </c>
      <c r="I913" s="972">
        <v>14.2705</v>
      </c>
      <c r="J913" s="972">
        <v>28.2</v>
      </c>
    </row>
    <row r="914" spans="1:10" ht="15.75" hidden="1">
      <c r="A914" s="972" t="s">
        <v>2429</v>
      </c>
      <c r="B914" s="972" t="s">
        <v>1834</v>
      </c>
      <c r="C914" s="972" t="s">
        <v>2307</v>
      </c>
      <c r="D914" s="972">
        <v>-2.1599999999999999E-4</v>
      </c>
      <c r="E914" s="972">
        <v>1.6850000000000001E-3</v>
      </c>
      <c r="F914" s="972">
        <v>6.8999999999999997E-5</v>
      </c>
      <c r="G914" s="972">
        <v>16768</v>
      </c>
      <c r="H914" s="972">
        <v>35.402999999999999</v>
      </c>
      <c r="I914" s="972">
        <v>14.2705</v>
      </c>
      <c r="J914" s="972">
        <v>28.2</v>
      </c>
    </row>
    <row r="915" spans="1:10" ht="15.75" hidden="1">
      <c r="A915" s="972" t="s">
        <v>2429</v>
      </c>
      <c r="B915" s="972" t="s">
        <v>1834</v>
      </c>
      <c r="C915" s="972" t="s">
        <v>2308</v>
      </c>
      <c r="D915" s="972">
        <v>4.3899999999999999E-4</v>
      </c>
      <c r="E915" s="972">
        <v>-4.6220000000000002E-3</v>
      </c>
      <c r="F915" s="972">
        <v>3.1000000000000001E-5</v>
      </c>
      <c r="G915" s="972">
        <v>16768</v>
      </c>
      <c r="H915" s="972">
        <v>35.402999999999999</v>
      </c>
      <c r="I915" s="972">
        <v>14.2705</v>
      </c>
      <c r="J915" s="972">
        <v>28.2</v>
      </c>
    </row>
    <row r="916" spans="1:10" ht="15.75" hidden="1">
      <c r="A916" s="972" t="s">
        <v>2429</v>
      </c>
      <c r="B916" s="972" t="s">
        <v>1834</v>
      </c>
      <c r="C916" s="972" t="s">
        <v>2309</v>
      </c>
      <c r="D916" s="972">
        <v>4.7800000000000004E-3</v>
      </c>
      <c r="E916" s="972">
        <v>4.5600000000000003E-4</v>
      </c>
      <c r="F916" s="972">
        <v>1.2E-5</v>
      </c>
      <c r="G916" s="972">
        <v>16768</v>
      </c>
      <c r="H916" s="972">
        <v>35.402999999999999</v>
      </c>
      <c r="I916" s="972">
        <v>14.2705</v>
      </c>
      <c r="J916" s="972">
        <v>28.2</v>
      </c>
    </row>
    <row r="917" spans="1:10" ht="15.75" hidden="1">
      <c r="A917" s="972" t="s">
        <v>2429</v>
      </c>
      <c r="B917" s="972" t="s">
        <v>1834</v>
      </c>
      <c r="C917" s="972" t="s">
        <v>2310</v>
      </c>
      <c r="D917" s="972">
        <v>1.9000000000000001E-5</v>
      </c>
      <c r="E917" s="972">
        <v>-5.3000000000000001E-5</v>
      </c>
      <c r="F917" s="972">
        <v>-1.36E-4</v>
      </c>
      <c r="G917" s="972">
        <v>16768</v>
      </c>
      <c r="H917" s="972">
        <v>35.402999999999999</v>
      </c>
      <c r="I917" s="972">
        <v>14.2705</v>
      </c>
      <c r="J917" s="972">
        <v>28.2</v>
      </c>
    </row>
    <row r="918" spans="1:10" ht="15.75" hidden="1">
      <c r="A918" s="972" t="s">
        <v>2429</v>
      </c>
      <c r="B918" s="972" t="s">
        <v>1834</v>
      </c>
      <c r="C918" s="972" t="s">
        <v>2311</v>
      </c>
      <c r="D918" s="972">
        <v>1.7799999999999999E-4</v>
      </c>
      <c r="E918" s="972">
        <v>-1.529E-3</v>
      </c>
      <c r="F918" s="972">
        <v>3.9999999999999998E-6</v>
      </c>
      <c r="G918" s="972">
        <v>16768</v>
      </c>
      <c r="H918" s="972">
        <v>35.402999999999999</v>
      </c>
      <c r="I918" s="972">
        <v>14.2705</v>
      </c>
      <c r="J918" s="972">
        <v>28.2</v>
      </c>
    </row>
    <row r="919" spans="1:10" ht="15.75" hidden="1">
      <c r="A919" s="972" t="s">
        <v>2429</v>
      </c>
      <c r="B919" s="972" t="s">
        <v>1834</v>
      </c>
      <c r="C919" s="972" t="s">
        <v>2328</v>
      </c>
      <c r="D919" s="972">
        <v>1.7200000000000001E-4</v>
      </c>
      <c r="E919" s="972">
        <v>-1.6000000000000001E-4</v>
      </c>
      <c r="F919" s="972">
        <v>-2.52E-4</v>
      </c>
      <c r="G919" s="972">
        <v>16768</v>
      </c>
      <c r="H919" s="972">
        <v>35.402999999999999</v>
      </c>
      <c r="I919" s="972">
        <v>14.2705</v>
      </c>
      <c r="J919" s="972">
        <v>28.2</v>
      </c>
    </row>
    <row r="920" spans="1:10" ht="15.75" hidden="1">
      <c r="A920" s="972" t="s">
        <v>2429</v>
      </c>
      <c r="B920" s="972" t="s">
        <v>1834</v>
      </c>
      <c r="C920" s="972" t="s">
        <v>2329</v>
      </c>
      <c r="D920" s="972">
        <v>1.206E-3</v>
      </c>
      <c r="E920" s="972">
        <v>8.2999999999999998E-5</v>
      </c>
      <c r="F920" s="972">
        <v>3.0000000000000001E-5</v>
      </c>
      <c r="G920" s="972">
        <v>16768</v>
      </c>
      <c r="H920" s="972">
        <v>35.402999999999999</v>
      </c>
      <c r="I920" s="972">
        <v>14.2705</v>
      </c>
      <c r="J920" s="972">
        <v>28.2</v>
      </c>
    </row>
    <row r="921" spans="1:10" ht="15.75" hidden="1">
      <c r="A921" s="972" t="s">
        <v>2429</v>
      </c>
      <c r="B921" s="972" t="s">
        <v>1834</v>
      </c>
      <c r="C921" s="972" t="s">
        <v>2330</v>
      </c>
      <c r="D921" s="972">
        <v>1.65E-4</v>
      </c>
      <c r="E921" s="972">
        <v>-2.8029999999999999E-3</v>
      </c>
      <c r="F921" s="972">
        <v>-1.0000000000000001E-5</v>
      </c>
      <c r="G921" s="972">
        <v>16768</v>
      </c>
      <c r="H921" s="972">
        <v>35.402999999999999</v>
      </c>
      <c r="I921" s="972">
        <v>14.2705</v>
      </c>
      <c r="J921" s="972">
        <v>28.2</v>
      </c>
    </row>
    <row r="922" spans="1:10" ht="15.75" hidden="1">
      <c r="A922" s="972" t="s">
        <v>2429</v>
      </c>
      <c r="B922" s="972" t="s">
        <v>1834</v>
      </c>
      <c r="C922" s="972" t="s">
        <v>2331</v>
      </c>
      <c r="D922" s="972">
        <v>3.4200000000000002E-4</v>
      </c>
      <c r="E922" s="972">
        <v>-3.9500000000000001E-4</v>
      </c>
      <c r="F922" s="972">
        <v>1.25E-4</v>
      </c>
      <c r="G922" s="972">
        <v>16768</v>
      </c>
      <c r="H922" s="972">
        <v>35.402999999999999</v>
      </c>
      <c r="I922" s="972">
        <v>14.2705</v>
      </c>
      <c r="J922" s="972">
        <v>28.2</v>
      </c>
    </row>
    <row r="923" spans="1:10" ht="15.75" hidden="1">
      <c r="A923" s="972" t="s">
        <v>2429</v>
      </c>
      <c r="B923" s="972" t="s">
        <v>1834</v>
      </c>
      <c r="C923" s="972" t="s">
        <v>2332</v>
      </c>
      <c r="D923" s="972">
        <v>-3.1640000000000001E-3</v>
      </c>
      <c r="E923" s="972">
        <v>-4.2700000000000002E-4</v>
      </c>
      <c r="F923" s="972">
        <v>3.6000000000000001E-5</v>
      </c>
      <c r="G923" s="972">
        <v>16768</v>
      </c>
      <c r="H923" s="972">
        <v>35.402999999999999</v>
      </c>
      <c r="I923" s="972">
        <v>14.2705</v>
      </c>
      <c r="J923" s="972">
        <v>28.2</v>
      </c>
    </row>
    <row r="924" spans="1:10" ht="15.75" hidden="1">
      <c r="A924" s="972" t="s">
        <v>2429</v>
      </c>
      <c r="B924" s="972" t="s">
        <v>1834</v>
      </c>
      <c r="C924" s="972" t="s">
        <v>2387</v>
      </c>
      <c r="D924" s="972">
        <v>5.8200000000000005E-4</v>
      </c>
      <c r="E924" s="972">
        <v>-5.1079999999999997E-3</v>
      </c>
      <c r="F924" s="972">
        <v>4.5000000000000003E-5</v>
      </c>
      <c r="G924" s="972">
        <v>16768</v>
      </c>
      <c r="H924" s="972">
        <v>35.402999999999999</v>
      </c>
      <c r="I924" s="972">
        <v>14.2705</v>
      </c>
      <c r="J924" s="972">
        <v>28.2</v>
      </c>
    </row>
    <row r="925" spans="1:10" ht="15.75" hidden="1">
      <c r="A925" s="972" t="s">
        <v>2429</v>
      </c>
      <c r="B925" s="972" t="s">
        <v>1834</v>
      </c>
      <c r="C925" s="972" t="s">
        <v>2388</v>
      </c>
      <c r="D925" s="972">
        <v>3.676E-3</v>
      </c>
      <c r="E925" s="972">
        <v>1.7049999999999999E-3</v>
      </c>
      <c r="F925" s="972">
        <v>1.9999999999999999E-6</v>
      </c>
      <c r="G925" s="972">
        <v>16768</v>
      </c>
      <c r="H925" s="972">
        <v>35.402999999999999</v>
      </c>
      <c r="I925" s="972">
        <v>14.2705</v>
      </c>
      <c r="J925" s="972">
        <v>28.2</v>
      </c>
    </row>
    <row r="926" spans="1:10" ht="15.75" hidden="1">
      <c r="A926" s="972" t="s">
        <v>2429</v>
      </c>
      <c r="B926" s="972" t="s">
        <v>1834</v>
      </c>
      <c r="C926" s="972" t="s">
        <v>2389</v>
      </c>
      <c r="D926" s="972">
        <v>-3.7090000000000001E-3</v>
      </c>
      <c r="E926" s="972">
        <v>3.385E-3</v>
      </c>
      <c r="F926" s="972">
        <v>1.5999999999999999E-5</v>
      </c>
      <c r="G926" s="972">
        <v>16768</v>
      </c>
      <c r="H926" s="972">
        <v>35.402999999999999</v>
      </c>
      <c r="I926" s="972">
        <v>14.2705</v>
      </c>
      <c r="J926" s="972">
        <v>28.2</v>
      </c>
    </row>
    <row r="927" spans="1:10" ht="15.75" hidden="1">
      <c r="A927" s="972" t="s">
        <v>2429</v>
      </c>
      <c r="B927" s="972" t="s">
        <v>1834</v>
      </c>
      <c r="C927" s="972" t="s">
        <v>2390</v>
      </c>
      <c r="D927" s="972">
        <v>3.3440000000000002E-3</v>
      </c>
      <c r="E927" s="972">
        <v>2.1080000000000001E-3</v>
      </c>
      <c r="F927" s="972">
        <v>-1.0000000000000001E-5</v>
      </c>
      <c r="G927" s="972">
        <v>16768</v>
      </c>
      <c r="H927" s="972">
        <v>35.402999999999999</v>
      </c>
      <c r="I927" s="972">
        <v>14.2705</v>
      </c>
      <c r="J927" s="972">
        <v>28.2</v>
      </c>
    </row>
    <row r="928" spans="1:10" ht="15.75" hidden="1">
      <c r="A928" s="972" t="s">
        <v>2429</v>
      </c>
      <c r="B928" s="972" t="s">
        <v>1834</v>
      </c>
      <c r="C928" s="972" t="s">
        <v>2391</v>
      </c>
      <c r="D928" s="972">
        <v>-1.4899999999999999E-4</v>
      </c>
      <c r="E928" s="972">
        <v>2.1789999999999999E-3</v>
      </c>
      <c r="F928" s="972">
        <v>3.0000000000000001E-5</v>
      </c>
      <c r="G928" s="972">
        <v>16768</v>
      </c>
      <c r="H928" s="972">
        <v>35.402999999999999</v>
      </c>
      <c r="I928" s="972">
        <v>14.2705</v>
      </c>
      <c r="J928" s="972">
        <v>28.2</v>
      </c>
    </row>
    <row r="929" spans="1:10" ht="15.75" hidden="1">
      <c r="A929" s="972" t="s">
        <v>2429</v>
      </c>
      <c r="B929" s="972" t="s">
        <v>1834</v>
      </c>
      <c r="C929" s="972" t="s">
        <v>2392</v>
      </c>
      <c r="D929" s="972">
        <v>-1.4779999999999999E-3</v>
      </c>
      <c r="E929" s="972">
        <v>-3.6189999999999998E-3</v>
      </c>
      <c r="F929" s="972">
        <v>5.0000000000000002E-5</v>
      </c>
      <c r="G929" s="972">
        <v>16768</v>
      </c>
      <c r="H929" s="972">
        <v>35.402999999999999</v>
      </c>
      <c r="I929" s="972">
        <v>14.2705</v>
      </c>
      <c r="J929" s="972">
        <v>28.2</v>
      </c>
    </row>
    <row r="930" spans="1:10" ht="15.75" hidden="1">
      <c r="A930" s="972" t="s">
        <v>2429</v>
      </c>
      <c r="B930" s="972" t="s">
        <v>1834</v>
      </c>
      <c r="C930" s="972" t="s">
        <v>2393</v>
      </c>
      <c r="D930" s="972">
        <v>4.9979999999999998E-3</v>
      </c>
      <c r="E930" s="972">
        <v>-2.398E-3</v>
      </c>
      <c r="F930" s="972">
        <v>3.0000000000000001E-5</v>
      </c>
      <c r="G930" s="972">
        <v>16768</v>
      </c>
      <c r="H930" s="972">
        <v>35.402999999999999</v>
      </c>
      <c r="I930" s="972">
        <v>14.2705</v>
      </c>
      <c r="J930" s="972">
        <v>28.2</v>
      </c>
    </row>
    <row r="931" spans="1:10" ht="15.75" hidden="1">
      <c r="A931" s="972" t="s">
        <v>2429</v>
      </c>
      <c r="B931" s="972" t="s">
        <v>1834</v>
      </c>
      <c r="C931" s="972" t="s">
        <v>2394</v>
      </c>
      <c r="D931" s="972">
        <v>2.8289999999999999E-3</v>
      </c>
      <c r="E931" s="972">
        <v>2.6779999999999998E-3</v>
      </c>
      <c r="F931" s="972">
        <v>2.6999999999999999E-5</v>
      </c>
      <c r="G931" s="972">
        <v>16768</v>
      </c>
      <c r="H931" s="972">
        <v>35.402999999999999</v>
      </c>
      <c r="I931" s="972">
        <v>14.2705</v>
      </c>
      <c r="J931" s="972">
        <v>28.2</v>
      </c>
    </row>
    <row r="932" spans="1:10" ht="15.75" hidden="1">
      <c r="A932" s="972" t="s">
        <v>2429</v>
      </c>
      <c r="B932" s="972" t="s">
        <v>1834</v>
      </c>
      <c r="C932" s="972" t="s">
        <v>2395</v>
      </c>
      <c r="D932" s="972">
        <v>-3.9269999999999999E-3</v>
      </c>
      <c r="E932" s="972">
        <v>2.1069999999999999E-3</v>
      </c>
      <c r="F932" s="972">
        <v>-2.0999999999999999E-5</v>
      </c>
      <c r="G932" s="972">
        <v>16768</v>
      </c>
      <c r="H932" s="972">
        <v>35.402999999999999</v>
      </c>
      <c r="I932" s="972">
        <v>14.2705</v>
      </c>
      <c r="J932" s="972">
        <v>28.2</v>
      </c>
    </row>
    <row r="933" spans="1:10" ht="15.75" hidden="1">
      <c r="A933" s="972" t="s">
        <v>2429</v>
      </c>
      <c r="B933" s="972" t="s">
        <v>1834</v>
      </c>
      <c r="C933" s="972" t="s">
        <v>2396</v>
      </c>
      <c r="D933" s="972">
        <v>-2.14E-3</v>
      </c>
      <c r="E933" s="972">
        <v>-4.3990000000000001E-3</v>
      </c>
      <c r="F933" s="972">
        <v>5.0000000000000004E-6</v>
      </c>
      <c r="G933" s="972">
        <v>16768</v>
      </c>
      <c r="H933" s="972">
        <v>35.402999999999999</v>
      </c>
      <c r="I933" s="972">
        <v>14.2705</v>
      </c>
      <c r="J933" s="972">
        <v>28.2</v>
      </c>
    </row>
    <row r="934" spans="1:10" ht="15.75" hidden="1">
      <c r="A934" s="972" t="s">
        <v>2430</v>
      </c>
      <c r="B934" s="972" t="s">
        <v>1834</v>
      </c>
      <c r="C934" s="972" t="s">
        <v>2297</v>
      </c>
      <c r="D934" s="972">
        <v>-1.6200000000000001E-4</v>
      </c>
      <c r="E934" s="972">
        <v>8.4599999999999996E-4</v>
      </c>
      <c r="F934" s="972">
        <v>1.0000000000000001E-5</v>
      </c>
      <c r="G934" s="972">
        <v>16769</v>
      </c>
      <c r="H934" s="972">
        <v>35.402999999999999</v>
      </c>
      <c r="I934" s="972">
        <v>14.2705</v>
      </c>
      <c r="J934" s="972">
        <v>24.8</v>
      </c>
    </row>
    <row r="935" spans="1:10" ht="15.75" hidden="1">
      <c r="A935" s="972" t="s">
        <v>2430</v>
      </c>
      <c r="B935" s="972" t="s">
        <v>1834</v>
      </c>
      <c r="C935" s="972" t="s">
        <v>2298</v>
      </c>
      <c r="D935" s="972">
        <v>-1.6000000000000001E-4</v>
      </c>
      <c r="E935" s="972">
        <v>-1.7899999999999999E-4</v>
      </c>
      <c r="F935" s="972">
        <v>5.8E-5</v>
      </c>
      <c r="G935" s="972">
        <v>16769</v>
      </c>
      <c r="H935" s="972">
        <v>35.402999999999999</v>
      </c>
      <c r="I935" s="972">
        <v>14.2705</v>
      </c>
      <c r="J935" s="972">
        <v>24.8</v>
      </c>
    </row>
    <row r="936" spans="1:10" ht="15.75">
      <c r="A936" s="972" t="s">
        <v>2430</v>
      </c>
      <c r="B936" s="972" t="s">
        <v>1834</v>
      </c>
      <c r="C936" s="972" t="s">
        <v>2299</v>
      </c>
      <c r="D936" s="972">
        <v>9.7599999999999998E-4</v>
      </c>
      <c r="E936" s="972">
        <v>1.7899999999999999E-4</v>
      </c>
      <c r="F936" s="972">
        <v>1.1E-5</v>
      </c>
      <c r="G936" s="972">
        <v>16769</v>
      </c>
      <c r="H936" s="972">
        <v>35.402999999999999</v>
      </c>
      <c r="I936" s="972">
        <v>14.2705</v>
      </c>
      <c r="J936" s="972">
        <v>24.8</v>
      </c>
    </row>
    <row r="937" spans="1:10" ht="15.75" hidden="1">
      <c r="A937" s="972" t="s">
        <v>2430</v>
      </c>
      <c r="B937" s="972" t="s">
        <v>1834</v>
      </c>
      <c r="C937" s="972" t="s">
        <v>2300</v>
      </c>
      <c r="D937" s="972">
        <v>-5.1699999999999999E-4</v>
      </c>
      <c r="E937" s="972">
        <v>2.1999999999999999E-5</v>
      </c>
      <c r="F937" s="972">
        <v>1.8100000000000001E-4</v>
      </c>
      <c r="G937" s="972">
        <v>16769</v>
      </c>
      <c r="H937" s="972">
        <v>35.402999999999999</v>
      </c>
      <c r="I937" s="972">
        <v>14.2705</v>
      </c>
      <c r="J937" s="972">
        <v>24.8</v>
      </c>
    </row>
    <row r="938" spans="1:10" ht="15.75" hidden="1">
      <c r="A938" s="972" t="s">
        <v>2430</v>
      </c>
      <c r="B938" s="972" t="s">
        <v>1834</v>
      </c>
      <c r="C938" s="972" t="s">
        <v>2301</v>
      </c>
      <c r="D938" s="972">
        <v>4.17E-4</v>
      </c>
      <c r="E938" s="972">
        <v>-3.4220000000000001E-3</v>
      </c>
      <c r="F938" s="972">
        <v>5.0000000000000004E-6</v>
      </c>
      <c r="G938" s="972">
        <v>16769</v>
      </c>
      <c r="H938" s="972">
        <v>35.402999999999999</v>
      </c>
      <c r="I938" s="972">
        <v>14.2705</v>
      </c>
      <c r="J938" s="972">
        <v>24.8</v>
      </c>
    </row>
    <row r="939" spans="1:10" ht="15.75" hidden="1">
      <c r="A939" s="972" t="s">
        <v>2430</v>
      </c>
      <c r="B939" s="972" t="s">
        <v>1834</v>
      </c>
      <c r="C939" s="972" t="s">
        <v>2302</v>
      </c>
      <c r="D939" s="972">
        <v>-3.4559999999999999E-3</v>
      </c>
      <c r="E939" s="972">
        <v>-4.5100000000000001E-4</v>
      </c>
      <c r="F939" s="972">
        <v>-3.1000000000000001E-5</v>
      </c>
      <c r="G939" s="972">
        <v>16769</v>
      </c>
      <c r="H939" s="972">
        <v>35.402999999999999</v>
      </c>
      <c r="I939" s="972">
        <v>14.2705</v>
      </c>
      <c r="J939" s="972">
        <v>24.8</v>
      </c>
    </row>
    <row r="940" spans="1:10" ht="15.75" hidden="1">
      <c r="A940" s="972" t="s">
        <v>2430</v>
      </c>
      <c r="B940" s="972" t="s">
        <v>1834</v>
      </c>
      <c r="C940" s="972" t="s">
        <v>2303</v>
      </c>
      <c r="D940" s="972">
        <v>7.3399999999999995E-4</v>
      </c>
      <c r="E940" s="972">
        <v>2.4000000000000001E-5</v>
      </c>
      <c r="F940" s="972">
        <v>-2.6600000000000001E-4</v>
      </c>
      <c r="G940" s="972">
        <v>16769</v>
      </c>
      <c r="H940" s="972">
        <v>35.402999999999999</v>
      </c>
      <c r="I940" s="972">
        <v>14.2705</v>
      </c>
      <c r="J940" s="972">
        <v>24.8</v>
      </c>
    </row>
    <row r="941" spans="1:10" ht="15.75" hidden="1">
      <c r="A941" s="972" t="s">
        <v>2430</v>
      </c>
      <c r="B941" s="972" t="s">
        <v>1834</v>
      </c>
      <c r="C941" s="972" t="s">
        <v>2304</v>
      </c>
      <c r="D941" s="972">
        <v>5.6599999999999999E-4</v>
      </c>
      <c r="E941" s="972">
        <v>-5.5529999999999998E-3</v>
      </c>
      <c r="F941" s="972">
        <v>3.0000000000000001E-6</v>
      </c>
      <c r="G941" s="972">
        <v>16769</v>
      </c>
      <c r="H941" s="972">
        <v>35.402999999999999</v>
      </c>
      <c r="I941" s="972">
        <v>14.2705</v>
      </c>
      <c r="J941" s="972">
        <v>24.8</v>
      </c>
    </row>
    <row r="942" spans="1:10" ht="15.75" hidden="1">
      <c r="A942" s="972" t="s">
        <v>2430</v>
      </c>
      <c r="B942" s="972" t="s">
        <v>1834</v>
      </c>
      <c r="C942" s="972" t="s">
        <v>2305</v>
      </c>
      <c r="D942" s="972">
        <v>-3.4E-5</v>
      </c>
      <c r="E942" s="972">
        <v>6.0000000000000002E-6</v>
      </c>
      <c r="F942" s="972">
        <v>2.6699999999999998E-4</v>
      </c>
      <c r="G942" s="972">
        <v>16769</v>
      </c>
      <c r="H942" s="972">
        <v>35.402999999999999</v>
      </c>
      <c r="I942" s="972">
        <v>14.2705</v>
      </c>
      <c r="J942" s="972">
        <v>24.8</v>
      </c>
    </row>
    <row r="943" spans="1:10" ht="15.75" hidden="1">
      <c r="A943" s="972" t="s">
        <v>2430</v>
      </c>
      <c r="B943" s="972" t="s">
        <v>1834</v>
      </c>
      <c r="C943" s="972" t="s">
        <v>2306</v>
      </c>
      <c r="D943" s="972">
        <v>-5.5539999999999999E-3</v>
      </c>
      <c r="E943" s="972">
        <v>-5.5599999999999996E-4</v>
      </c>
      <c r="F943" s="972">
        <v>-5.0000000000000004E-6</v>
      </c>
      <c r="G943" s="972">
        <v>16769</v>
      </c>
      <c r="H943" s="972">
        <v>35.402999999999999</v>
      </c>
      <c r="I943" s="972">
        <v>14.2705</v>
      </c>
      <c r="J943" s="972">
        <v>24.8</v>
      </c>
    </row>
    <row r="944" spans="1:10" ht="15.75" hidden="1">
      <c r="A944" s="972" t="s">
        <v>2430</v>
      </c>
      <c r="B944" s="972" t="s">
        <v>1834</v>
      </c>
      <c r="C944" s="972" t="s">
        <v>2307</v>
      </c>
      <c r="D944" s="972">
        <v>-3.5300000000000002E-4</v>
      </c>
      <c r="E944" s="972">
        <v>1.9139999999999999E-3</v>
      </c>
      <c r="F944" s="972">
        <v>1.5100000000000001E-4</v>
      </c>
      <c r="G944" s="972">
        <v>16769</v>
      </c>
      <c r="H944" s="972">
        <v>35.402999999999999</v>
      </c>
      <c r="I944" s="972">
        <v>14.2705</v>
      </c>
      <c r="J944" s="972">
        <v>24.8</v>
      </c>
    </row>
    <row r="945" spans="1:10" ht="15.75" hidden="1">
      <c r="A945" s="972" t="s">
        <v>2430</v>
      </c>
      <c r="B945" s="972" t="s">
        <v>1834</v>
      </c>
      <c r="C945" s="972" t="s">
        <v>2308</v>
      </c>
      <c r="D945" s="972">
        <v>4.5300000000000001E-4</v>
      </c>
      <c r="E945" s="972">
        <v>-5.2329999999999998E-3</v>
      </c>
      <c r="F945" s="972">
        <v>6.0999999999999999E-5</v>
      </c>
      <c r="G945" s="972">
        <v>16769</v>
      </c>
      <c r="H945" s="972">
        <v>35.402999999999999</v>
      </c>
      <c r="I945" s="972">
        <v>14.2705</v>
      </c>
      <c r="J945" s="972">
        <v>24.8</v>
      </c>
    </row>
    <row r="946" spans="1:10" ht="15.75" hidden="1">
      <c r="A946" s="972" t="s">
        <v>2430</v>
      </c>
      <c r="B946" s="972" t="s">
        <v>1834</v>
      </c>
      <c r="C946" s="972" t="s">
        <v>2309</v>
      </c>
      <c r="D946" s="972">
        <v>5.4790000000000004E-3</v>
      </c>
      <c r="E946" s="972">
        <v>5.3200000000000003E-4</v>
      </c>
      <c r="F946" s="972">
        <v>1.4E-5</v>
      </c>
      <c r="G946" s="972">
        <v>16769</v>
      </c>
      <c r="H946" s="972">
        <v>35.402999999999999</v>
      </c>
      <c r="I946" s="972">
        <v>14.2705</v>
      </c>
      <c r="J946" s="972">
        <v>24.8</v>
      </c>
    </row>
    <row r="947" spans="1:10" ht="15.75" hidden="1">
      <c r="A947" s="972" t="s">
        <v>2430</v>
      </c>
      <c r="B947" s="972" t="s">
        <v>1834</v>
      </c>
      <c r="C947" s="972" t="s">
        <v>2310</v>
      </c>
      <c r="D947" s="972">
        <v>-1.12E-4</v>
      </c>
      <c r="E947" s="972">
        <v>-2.5999999999999998E-5</v>
      </c>
      <c r="F947" s="972">
        <v>-2.6999999999999999E-5</v>
      </c>
      <c r="G947" s="972">
        <v>16769</v>
      </c>
      <c r="H947" s="972">
        <v>35.402999999999999</v>
      </c>
      <c r="I947" s="972">
        <v>14.2705</v>
      </c>
      <c r="J947" s="972">
        <v>24.8</v>
      </c>
    </row>
    <row r="948" spans="1:10" ht="15.75" hidden="1">
      <c r="A948" s="972" t="s">
        <v>2430</v>
      </c>
      <c r="B948" s="972" t="s">
        <v>1834</v>
      </c>
      <c r="C948" s="972" t="s">
        <v>2311</v>
      </c>
      <c r="D948" s="972">
        <v>3.4600000000000001E-4</v>
      </c>
      <c r="E948" s="972">
        <v>-3.3310000000000002E-3</v>
      </c>
      <c r="F948" s="972">
        <v>7.9999999999999996E-6</v>
      </c>
      <c r="G948" s="972">
        <v>16769</v>
      </c>
      <c r="H948" s="972">
        <v>35.402999999999999</v>
      </c>
      <c r="I948" s="972">
        <v>14.2705</v>
      </c>
      <c r="J948" s="972">
        <v>24.8</v>
      </c>
    </row>
    <row r="949" spans="1:10" ht="15.75" hidden="1">
      <c r="A949" s="972" t="s">
        <v>2430</v>
      </c>
      <c r="B949" s="972" t="s">
        <v>1834</v>
      </c>
      <c r="C949" s="972" t="s">
        <v>2328</v>
      </c>
      <c r="D949" s="972">
        <v>3.3E-4</v>
      </c>
      <c r="E949" s="972">
        <v>-1.6100000000000001E-4</v>
      </c>
      <c r="F949" s="972">
        <v>-2.1000000000000001E-4</v>
      </c>
      <c r="G949" s="972">
        <v>16769</v>
      </c>
      <c r="H949" s="972">
        <v>35.402999999999999</v>
      </c>
      <c r="I949" s="972">
        <v>14.2705</v>
      </c>
      <c r="J949" s="972">
        <v>24.8</v>
      </c>
    </row>
    <row r="950" spans="1:10" ht="15.75" hidden="1">
      <c r="A950" s="972" t="s">
        <v>2430</v>
      </c>
      <c r="B950" s="972" t="s">
        <v>1834</v>
      </c>
      <c r="C950" s="972" t="s">
        <v>2329</v>
      </c>
      <c r="D950" s="972">
        <v>3.0300000000000001E-3</v>
      </c>
      <c r="E950" s="972">
        <v>2.7099999999999997E-4</v>
      </c>
      <c r="F950" s="972">
        <v>2.3E-5</v>
      </c>
      <c r="G950" s="972">
        <v>16769</v>
      </c>
      <c r="H950" s="972">
        <v>35.402999999999999</v>
      </c>
      <c r="I950" s="972">
        <v>14.2705</v>
      </c>
      <c r="J950" s="972">
        <v>24.8</v>
      </c>
    </row>
    <row r="951" spans="1:10" ht="15.75" hidden="1">
      <c r="A951" s="972" t="s">
        <v>2430</v>
      </c>
      <c r="B951" s="972" t="s">
        <v>1834</v>
      </c>
      <c r="C951" s="972" t="s">
        <v>2330</v>
      </c>
      <c r="D951" s="972">
        <v>-5.0000000000000002E-5</v>
      </c>
      <c r="E951" s="972">
        <v>-6.0400000000000004E-4</v>
      </c>
      <c r="F951" s="972">
        <v>-3.4E-5</v>
      </c>
      <c r="G951" s="972">
        <v>16769</v>
      </c>
      <c r="H951" s="972">
        <v>35.402999999999999</v>
      </c>
      <c r="I951" s="972">
        <v>14.2705</v>
      </c>
      <c r="J951" s="972">
        <v>24.8</v>
      </c>
    </row>
    <row r="952" spans="1:10" ht="15.75" hidden="1">
      <c r="A952" s="972" t="s">
        <v>2430</v>
      </c>
      <c r="B952" s="972" t="s">
        <v>1834</v>
      </c>
      <c r="C952" s="972" t="s">
        <v>2331</v>
      </c>
      <c r="D952" s="972">
        <v>2.23E-4</v>
      </c>
      <c r="E952" s="972">
        <v>1.07E-4</v>
      </c>
      <c r="F952" s="972">
        <v>2.13E-4</v>
      </c>
      <c r="G952" s="972">
        <v>16769</v>
      </c>
      <c r="H952" s="972">
        <v>35.402999999999999</v>
      </c>
      <c r="I952" s="972">
        <v>14.2705</v>
      </c>
      <c r="J952" s="972">
        <v>24.8</v>
      </c>
    </row>
    <row r="953" spans="1:10" ht="15.75" hidden="1">
      <c r="A953" s="972" t="s">
        <v>2430</v>
      </c>
      <c r="B953" s="972" t="s">
        <v>1834</v>
      </c>
      <c r="C953" s="972" t="s">
        <v>2332</v>
      </c>
      <c r="D953" s="972">
        <v>-1.0449999999999999E-3</v>
      </c>
      <c r="E953" s="972">
        <v>-2.32E-4</v>
      </c>
      <c r="F953" s="972">
        <v>2.0000000000000002E-5</v>
      </c>
      <c r="G953" s="972">
        <v>16769</v>
      </c>
      <c r="H953" s="972">
        <v>35.402999999999999</v>
      </c>
      <c r="I953" s="972">
        <v>14.2705</v>
      </c>
      <c r="J953" s="972">
        <v>24.8</v>
      </c>
    </row>
    <row r="954" spans="1:10" ht="15.75" hidden="1">
      <c r="A954" s="972" t="s">
        <v>2430</v>
      </c>
      <c r="B954" s="972" t="s">
        <v>1834</v>
      </c>
      <c r="C954" s="972" t="s">
        <v>2387</v>
      </c>
      <c r="D954" s="972">
        <v>3.8400000000000001E-4</v>
      </c>
      <c r="E954" s="972">
        <v>-4.091E-3</v>
      </c>
      <c r="F954" s="972">
        <v>1.7E-5</v>
      </c>
      <c r="G954" s="972">
        <v>16769</v>
      </c>
      <c r="H954" s="972">
        <v>35.402999999999999</v>
      </c>
      <c r="I954" s="972">
        <v>14.2705</v>
      </c>
      <c r="J954" s="972">
        <v>24.8</v>
      </c>
    </row>
    <row r="955" spans="1:10" ht="15.75" hidden="1">
      <c r="A955" s="972" t="s">
        <v>2430</v>
      </c>
      <c r="B955" s="972" t="s">
        <v>1834</v>
      </c>
      <c r="C955" s="972" t="s">
        <v>2388</v>
      </c>
      <c r="D955" s="972">
        <v>3.2599999999999999E-3</v>
      </c>
      <c r="E955" s="972">
        <v>1.516E-3</v>
      </c>
      <c r="F955" s="972">
        <v>-6.2000000000000003E-5</v>
      </c>
      <c r="G955" s="972">
        <v>16769</v>
      </c>
      <c r="H955" s="972">
        <v>35.402999999999999</v>
      </c>
      <c r="I955" s="972">
        <v>14.2705</v>
      </c>
      <c r="J955" s="972">
        <v>24.8</v>
      </c>
    </row>
    <row r="956" spans="1:10" ht="15.75" hidden="1">
      <c r="A956" s="972" t="s">
        <v>2430</v>
      </c>
      <c r="B956" s="972" t="s">
        <v>1834</v>
      </c>
      <c r="C956" s="972" t="s">
        <v>2389</v>
      </c>
      <c r="D956" s="972">
        <v>-3.2620000000000001E-3</v>
      </c>
      <c r="E956" s="972">
        <v>3.9420000000000002E-3</v>
      </c>
      <c r="F956" s="972">
        <v>-3.1999999999999999E-5</v>
      </c>
      <c r="G956" s="972">
        <v>16769</v>
      </c>
      <c r="H956" s="972">
        <v>35.402999999999999</v>
      </c>
      <c r="I956" s="972">
        <v>14.2705</v>
      </c>
      <c r="J956" s="972">
        <v>24.8</v>
      </c>
    </row>
    <row r="957" spans="1:10" ht="15.75" hidden="1">
      <c r="A957" s="972" t="s">
        <v>2430</v>
      </c>
      <c r="B957" s="972" t="s">
        <v>1834</v>
      </c>
      <c r="C957" s="972" t="s">
        <v>2390</v>
      </c>
      <c r="D957" s="972">
        <v>3.0049999999999999E-3</v>
      </c>
      <c r="E957" s="972">
        <v>3.803E-3</v>
      </c>
      <c r="F957" s="972">
        <v>7.9999999999999996E-6</v>
      </c>
      <c r="G957" s="972">
        <v>16769</v>
      </c>
      <c r="H957" s="972">
        <v>35.402999999999999</v>
      </c>
      <c r="I957" s="972">
        <v>14.2705</v>
      </c>
      <c r="J957" s="972">
        <v>24.8</v>
      </c>
    </row>
    <row r="958" spans="1:10" ht="15.75" hidden="1">
      <c r="A958" s="972" t="s">
        <v>2430</v>
      </c>
      <c r="B958" s="972" t="s">
        <v>1834</v>
      </c>
      <c r="C958" s="972" t="s">
        <v>2391</v>
      </c>
      <c r="D958" s="972">
        <v>3.2049999999999999E-3</v>
      </c>
      <c r="E958" s="972">
        <v>-7.7399999999999995E-4</v>
      </c>
      <c r="F958" s="972">
        <v>3.9099999999999999E-8</v>
      </c>
      <c r="G958" s="972">
        <v>16769</v>
      </c>
      <c r="H958" s="972">
        <v>35.402999999999999</v>
      </c>
      <c r="I958" s="972">
        <v>14.2705</v>
      </c>
      <c r="J958" s="972">
        <v>24.8</v>
      </c>
    </row>
    <row r="959" spans="1:10" ht="15.75" hidden="1">
      <c r="A959" s="972" t="s">
        <v>2430</v>
      </c>
      <c r="B959" s="972" t="s">
        <v>1834</v>
      </c>
      <c r="C959" s="972" t="s">
        <v>2392</v>
      </c>
      <c r="D959" s="972">
        <v>1.4630000000000001E-3</v>
      </c>
      <c r="E959" s="972">
        <v>-2.24E-4</v>
      </c>
      <c r="F959" s="972">
        <v>2.3E-5</v>
      </c>
      <c r="G959" s="972">
        <v>16769</v>
      </c>
      <c r="H959" s="972">
        <v>35.402999999999999</v>
      </c>
      <c r="I959" s="972">
        <v>14.2705</v>
      </c>
      <c r="J959" s="972">
        <v>24.8</v>
      </c>
    </row>
    <row r="960" spans="1:10" ht="15.75" hidden="1">
      <c r="A960" s="972" t="s">
        <v>2430</v>
      </c>
      <c r="B960" s="972" t="s">
        <v>1834</v>
      </c>
      <c r="C960" s="972" t="s">
        <v>2393</v>
      </c>
      <c r="D960" s="972">
        <v>5.6620000000000004E-3</v>
      </c>
      <c r="E960" s="972">
        <v>-4.1489999999999999E-3</v>
      </c>
      <c r="F960" s="972">
        <v>-6.0000000000000002E-6</v>
      </c>
      <c r="G960" s="972">
        <v>16769</v>
      </c>
      <c r="H960" s="972">
        <v>35.402999999999999</v>
      </c>
      <c r="I960" s="972">
        <v>14.2705</v>
      </c>
      <c r="J960" s="972">
        <v>24.8</v>
      </c>
    </row>
    <row r="961" spans="1:10" ht="15.75" hidden="1">
      <c r="A961" s="972" t="s">
        <v>2430</v>
      </c>
      <c r="B961" s="972" t="s">
        <v>1834</v>
      </c>
      <c r="C961" s="972" t="s">
        <v>2394</v>
      </c>
      <c r="D961" s="972">
        <v>4.3080000000000002E-3</v>
      </c>
      <c r="E961" s="972">
        <v>5.757E-3</v>
      </c>
      <c r="F961" s="972">
        <v>-1.9000000000000001E-5</v>
      </c>
      <c r="G961" s="972">
        <v>16769</v>
      </c>
      <c r="H961" s="972">
        <v>35.402999999999999</v>
      </c>
      <c r="I961" s="972">
        <v>14.2705</v>
      </c>
      <c r="J961" s="972">
        <v>24.8</v>
      </c>
    </row>
    <row r="962" spans="1:10" ht="15.75" hidden="1">
      <c r="A962" s="972" t="s">
        <v>2430</v>
      </c>
      <c r="B962" s="972" t="s">
        <v>1834</v>
      </c>
      <c r="C962" s="972" t="s">
        <v>2395</v>
      </c>
      <c r="D962" s="972">
        <v>-1.341E-3</v>
      </c>
      <c r="E962" s="972">
        <v>1.3680000000000001E-3</v>
      </c>
      <c r="F962" s="972">
        <v>1.5E-5</v>
      </c>
      <c r="G962" s="972">
        <v>16769</v>
      </c>
      <c r="H962" s="972">
        <v>35.402999999999999</v>
      </c>
      <c r="I962" s="972">
        <v>14.2705</v>
      </c>
      <c r="J962" s="972">
        <v>24.8</v>
      </c>
    </row>
    <row r="963" spans="1:10" ht="15.75" hidden="1">
      <c r="A963" s="972" t="s">
        <v>2430</v>
      </c>
      <c r="B963" s="972" t="s">
        <v>1834</v>
      </c>
      <c r="C963" s="972" t="s">
        <v>2396</v>
      </c>
      <c r="D963" s="972">
        <v>-1.4679999999999999E-3</v>
      </c>
      <c r="E963" s="972">
        <v>-3.7759999999999998E-3</v>
      </c>
      <c r="F963" s="972">
        <v>3.0000000000000001E-5</v>
      </c>
      <c r="G963" s="972">
        <v>16769</v>
      </c>
      <c r="H963" s="972">
        <v>35.402999999999999</v>
      </c>
      <c r="I963" s="972">
        <v>14.2705</v>
      </c>
      <c r="J963" s="972">
        <v>24.8</v>
      </c>
    </row>
    <row r="964" spans="1:10" ht="15.75" hidden="1">
      <c r="A964" s="972" t="s">
        <v>2431</v>
      </c>
      <c r="B964" s="972" t="s">
        <v>1834</v>
      </c>
      <c r="C964" s="972" t="s">
        <v>2297</v>
      </c>
      <c r="D964" s="972">
        <v>-1.3300000000000001E-4</v>
      </c>
      <c r="E964" s="972">
        <v>6.9099999999999999E-4</v>
      </c>
      <c r="F964" s="972">
        <v>7.9999999999999996E-6</v>
      </c>
      <c r="G964" s="972">
        <v>16770</v>
      </c>
      <c r="H964" s="972">
        <v>35.402999999999999</v>
      </c>
      <c r="I964" s="972">
        <v>14.2705</v>
      </c>
      <c r="J964" s="972">
        <v>21.4</v>
      </c>
    </row>
    <row r="965" spans="1:10" ht="15.75" hidden="1">
      <c r="A965" s="972" t="s">
        <v>2431</v>
      </c>
      <c r="B965" s="972" t="s">
        <v>1834</v>
      </c>
      <c r="C965" s="972" t="s">
        <v>2298</v>
      </c>
      <c r="D965" s="972">
        <v>-1.3200000000000001E-4</v>
      </c>
      <c r="E965" s="972">
        <v>-1.46E-4</v>
      </c>
      <c r="F965" s="972">
        <v>4.8000000000000001E-5</v>
      </c>
      <c r="G965" s="972">
        <v>16770</v>
      </c>
      <c r="H965" s="972">
        <v>35.402999999999999</v>
      </c>
      <c r="I965" s="972">
        <v>14.2705</v>
      </c>
      <c r="J965" s="972">
        <v>21.4</v>
      </c>
    </row>
    <row r="966" spans="1:10" ht="15.75">
      <c r="A966" s="972" t="s">
        <v>2431</v>
      </c>
      <c r="B966" s="972" t="s">
        <v>1834</v>
      </c>
      <c r="C966" s="972" t="s">
        <v>2299</v>
      </c>
      <c r="D966" s="972">
        <v>8.0500000000000005E-4</v>
      </c>
      <c r="E966" s="972">
        <v>1.4899999999999999E-4</v>
      </c>
      <c r="F966" s="972">
        <v>9.0000000000000002E-6</v>
      </c>
      <c r="G966" s="972">
        <v>16770</v>
      </c>
      <c r="H966" s="972">
        <v>35.402999999999999</v>
      </c>
      <c r="I966" s="972">
        <v>14.2705</v>
      </c>
      <c r="J966" s="972">
        <v>21.4</v>
      </c>
    </row>
    <row r="967" spans="1:10" ht="15.75" hidden="1">
      <c r="A967" s="972" t="s">
        <v>2431</v>
      </c>
      <c r="B967" s="972" t="s">
        <v>1834</v>
      </c>
      <c r="C967" s="972" t="s">
        <v>2300</v>
      </c>
      <c r="D967" s="972">
        <v>-4.4200000000000001E-4</v>
      </c>
      <c r="E967" s="972">
        <v>2.0000000000000002E-5</v>
      </c>
      <c r="F967" s="972">
        <v>1.56E-4</v>
      </c>
      <c r="G967" s="972">
        <v>16770</v>
      </c>
      <c r="H967" s="972">
        <v>35.402999999999999</v>
      </c>
      <c r="I967" s="972">
        <v>14.2705</v>
      </c>
      <c r="J967" s="972">
        <v>21.4</v>
      </c>
    </row>
    <row r="968" spans="1:10" ht="15.75" hidden="1">
      <c r="A968" s="972" t="s">
        <v>2431</v>
      </c>
      <c r="B968" s="972" t="s">
        <v>1834</v>
      </c>
      <c r="C968" s="972" t="s">
        <v>2301</v>
      </c>
      <c r="D968" s="972">
        <v>3.5799999999999997E-4</v>
      </c>
      <c r="E968" s="972">
        <v>-2.934E-3</v>
      </c>
      <c r="F968" s="972">
        <v>3.9999999999999998E-6</v>
      </c>
      <c r="G968" s="972">
        <v>16770</v>
      </c>
      <c r="H968" s="972">
        <v>35.402999999999999</v>
      </c>
      <c r="I968" s="972">
        <v>14.2705</v>
      </c>
      <c r="J968" s="972">
        <v>21.4</v>
      </c>
    </row>
    <row r="969" spans="1:10" ht="15.75" hidden="1">
      <c r="A969" s="972" t="s">
        <v>2431</v>
      </c>
      <c r="B969" s="972" t="s">
        <v>1834</v>
      </c>
      <c r="C969" s="972" t="s">
        <v>2302</v>
      </c>
      <c r="D969" s="972">
        <v>-2.9759999999999999E-3</v>
      </c>
      <c r="E969" s="972">
        <v>-3.8999999999999999E-4</v>
      </c>
      <c r="F969" s="972">
        <v>-2.8E-5</v>
      </c>
      <c r="G969" s="972">
        <v>16770</v>
      </c>
      <c r="H969" s="972">
        <v>35.402999999999999</v>
      </c>
      <c r="I969" s="972">
        <v>14.2705</v>
      </c>
      <c r="J969" s="972">
        <v>21.4</v>
      </c>
    </row>
    <row r="970" spans="1:10" ht="15.75" hidden="1">
      <c r="A970" s="972" t="s">
        <v>2431</v>
      </c>
      <c r="B970" s="972" t="s">
        <v>1834</v>
      </c>
      <c r="C970" s="972" t="s">
        <v>2303</v>
      </c>
      <c r="D970" s="972">
        <v>6.6500000000000001E-4</v>
      </c>
      <c r="E970" s="972">
        <v>1.9000000000000001E-5</v>
      </c>
      <c r="F970" s="972">
        <v>-2.4600000000000002E-4</v>
      </c>
      <c r="G970" s="972">
        <v>16770</v>
      </c>
      <c r="H970" s="972">
        <v>35.402999999999999</v>
      </c>
      <c r="I970" s="972">
        <v>14.2705</v>
      </c>
      <c r="J970" s="972">
        <v>21.4</v>
      </c>
    </row>
    <row r="971" spans="1:10" ht="15.75" hidden="1">
      <c r="A971" s="972" t="s">
        <v>2431</v>
      </c>
      <c r="B971" s="972" t="s">
        <v>1834</v>
      </c>
      <c r="C971" s="972" t="s">
        <v>2304</v>
      </c>
      <c r="D971" s="972">
        <v>5.1800000000000001E-4</v>
      </c>
      <c r="E971" s="972">
        <v>-5.097E-3</v>
      </c>
      <c r="F971" s="972">
        <v>1.9999999999999999E-6</v>
      </c>
      <c r="G971" s="972">
        <v>16770</v>
      </c>
      <c r="H971" s="972">
        <v>35.402999999999999</v>
      </c>
      <c r="I971" s="972">
        <v>14.2705</v>
      </c>
      <c r="J971" s="972">
        <v>21.4</v>
      </c>
    </row>
    <row r="972" spans="1:10" ht="15.75" hidden="1">
      <c r="A972" s="972" t="s">
        <v>2431</v>
      </c>
      <c r="B972" s="972" t="s">
        <v>1834</v>
      </c>
      <c r="C972" s="972" t="s">
        <v>2305</v>
      </c>
      <c r="D972" s="972">
        <v>-9.2E-5</v>
      </c>
      <c r="E972" s="972">
        <v>7.9999999999999996E-6</v>
      </c>
      <c r="F972" s="972">
        <v>2.7900000000000001E-4</v>
      </c>
      <c r="G972" s="972">
        <v>16770</v>
      </c>
      <c r="H972" s="972">
        <v>35.402999999999999</v>
      </c>
      <c r="I972" s="972">
        <v>14.2705</v>
      </c>
      <c r="J972" s="972">
        <v>21.4</v>
      </c>
    </row>
    <row r="973" spans="1:10" ht="15.75" hidden="1">
      <c r="A973" s="972" t="s">
        <v>2431</v>
      </c>
      <c r="B973" s="972" t="s">
        <v>1834</v>
      </c>
      <c r="C973" s="972" t="s">
        <v>2306</v>
      </c>
      <c r="D973" s="972">
        <v>-5.1330000000000004E-3</v>
      </c>
      <c r="E973" s="972">
        <v>-5.1699999999999999E-4</v>
      </c>
      <c r="F973" s="972">
        <v>-1.9999999999999999E-6</v>
      </c>
      <c r="G973" s="972">
        <v>16770</v>
      </c>
      <c r="H973" s="972">
        <v>35.402999999999999</v>
      </c>
      <c r="I973" s="972">
        <v>14.2705</v>
      </c>
      <c r="J973" s="972">
        <v>21.4</v>
      </c>
    </row>
    <row r="974" spans="1:10" ht="15.75" hidden="1">
      <c r="A974" s="972" t="s">
        <v>2431</v>
      </c>
      <c r="B974" s="972" t="s">
        <v>1834</v>
      </c>
      <c r="C974" s="972" t="s">
        <v>2307</v>
      </c>
      <c r="D974" s="972">
        <v>-4.5100000000000001E-4</v>
      </c>
      <c r="E974" s="972">
        <v>2.0100000000000001E-3</v>
      </c>
      <c r="F974" s="972">
        <v>2.14E-4</v>
      </c>
      <c r="G974" s="972">
        <v>16770</v>
      </c>
      <c r="H974" s="972">
        <v>35.402999999999999</v>
      </c>
      <c r="I974" s="972">
        <v>14.2705</v>
      </c>
      <c r="J974" s="972">
        <v>21.4</v>
      </c>
    </row>
    <row r="975" spans="1:10" ht="15.75" hidden="1">
      <c r="A975" s="972" t="s">
        <v>2431</v>
      </c>
      <c r="B975" s="972" t="s">
        <v>1834</v>
      </c>
      <c r="C975" s="972" t="s">
        <v>2308</v>
      </c>
      <c r="D975" s="972">
        <v>4.4099999999999999E-4</v>
      </c>
      <c r="E975" s="972">
        <v>-5.476E-3</v>
      </c>
      <c r="F975" s="972">
        <v>8.3999999999999995E-5</v>
      </c>
      <c r="G975" s="972">
        <v>16770</v>
      </c>
      <c r="H975" s="972">
        <v>35.402999999999999</v>
      </c>
      <c r="I975" s="972">
        <v>14.2705</v>
      </c>
      <c r="J975" s="972">
        <v>21.4</v>
      </c>
    </row>
    <row r="976" spans="1:10" ht="15.75" hidden="1">
      <c r="A976" s="972" t="s">
        <v>2431</v>
      </c>
      <c r="B976" s="972" t="s">
        <v>1834</v>
      </c>
      <c r="C976" s="972" t="s">
        <v>2309</v>
      </c>
      <c r="D976" s="972">
        <v>5.7920000000000003E-3</v>
      </c>
      <c r="E976" s="972">
        <v>5.6999999999999998E-4</v>
      </c>
      <c r="F976" s="972">
        <v>1.7E-5</v>
      </c>
      <c r="G976" s="972">
        <v>16770</v>
      </c>
      <c r="H976" s="972">
        <v>35.402999999999999</v>
      </c>
      <c r="I976" s="972">
        <v>14.2705</v>
      </c>
      <c r="J976" s="972">
        <v>21.4</v>
      </c>
    </row>
    <row r="977" spans="1:10" ht="15.75" hidden="1">
      <c r="A977" s="972" t="s">
        <v>2431</v>
      </c>
      <c r="B977" s="972" t="s">
        <v>1834</v>
      </c>
      <c r="C977" s="972" t="s">
        <v>2310</v>
      </c>
      <c r="D977" s="972">
        <v>-2.3900000000000001E-4</v>
      </c>
      <c r="E977" s="972">
        <v>3.0000000000000001E-6</v>
      </c>
      <c r="F977" s="972">
        <v>8.6000000000000003E-5</v>
      </c>
      <c r="G977" s="972">
        <v>16770</v>
      </c>
      <c r="H977" s="972">
        <v>35.402999999999999</v>
      </c>
      <c r="I977" s="972">
        <v>14.2705</v>
      </c>
      <c r="J977" s="972">
        <v>21.4</v>
      </c>
    </row>
    <row r="978" spans="1:10" ht="15.75" hidden="1">
      <c r="A978" s="972" t="s">
        <v>2431</v>
      </c>
      <c r="B978" s="972" t="s">
        <v>1834</v>
      </c>
      <c r="C978" s="972" t="s">
        <v>2311</v>
      </c>
      <c r="D978" s="972">
        <v>4.75E-4</v>
      </c>
      <c r="E978" s="972">
        <v>-4.7499999999999999E-3</v>
      </c>
      <c r="F978" s="972">
        <v>1.0000000000000001E-5</v>
      </c>
      <c r="G978" s="972">
        <v>16770</v>
      </c>
      <c r="H978" s="972">
        <v>35.402999999999999</v>
      </c>
      <c r="I978" s="972">
        <v>14.2705</v>
      </c>
      <c r="J978" s="972">
        <v>21.4</v>
      </c>
    </row>
    <row r="979" spans="1:10" ht="15.75" hidden="1">
      <c r="A979" s="972" t="s">
        <v>2431</v>
      </c>
      <c r="B979" s="972" t="s">
        <v>1834</v>
      </c>
      <c r="C979" s="972" t="s">
        <v>2328</v>
      </c>
      <c r="D979" s="972">
        <v>4.15E-4</v>
      </c>
      <c r="E979" s="972">
        <v>-1.4200000000000001E-4</v>
      </c>
      <c r="F979" s="972">
        <v>-1.16E-4</v>
      </c>
      <c r="G979" s="972">
        <v>16770</v>
      </c>
      <c r="H979" s="972">
        <v>35.402999999999999</v>
      </c>
      <c r="I979" s="972">
        <v>14.2705</v>
      </c>
      <c r="J979" s="972">
        <v>21.4</v>
      </c>
    </row>
    <row r="980" spans="1:10" ht="15.75" hidden="1">
      <c r="A980" s="972" t="s">
        <v>2431</v>
      </c>
      <c r="B980" s="972" t="s">
        <v>1834</v>
      </c>
      <c r="C980" s="972" t="s">
        <v>2329</v>
      </c>
      <c r="D980" s="972">
        <v>4.5110000000000003E-3</v>
      </c>
      <c r="E980" s="972">
        <v>4.2999999999999999E-4</v>
      </c>
      <c r="F980" s="972">
        <v>1.2E-5</v>
      </c>
      <c r="G980" s="972">
        <v>16770</v>
      </c>
      <c r="H980" s="972">
        <v>35.402999999999999</v>
      </c>
      <c r="I980" s="972">
        <v>14.2705</v>
      </c>
      <c r="J980" s="972">
        <v>21.4</v>
      </c>
    </row>
    <row r="981" spans="1:10" ht="15.75" hidden="1">
      <c r="A981" s="972" t="s">
        <v>2431</v>
      </c>
      <c r="B981" s="972" t="s">
        <v>1834</v>
      </c>
      <c r="C981" s="972" t="s">
        <v>2330</v>
      </c>
      <c r="D981" s="972">
        <v>-2.6600000000000001E-4</v>
      </c>
      <c r="E981" s="972">
        <v>1.725E-3</v>
      </c>
      <c r="F981" s="972">
        <v>-4.8000000000000001E-5</v>
      </c>
      <c r="G981" s="972">
        <v>16770</v>
      </c>
      <c r="H981" s="972">
        <v>35.402999999999999</v>
      </c>
      <c r="I981" s="972">
        <v>14.2705</v>
      </c>
      <c r="J981" s="972">
        <v>21.4</v>
      </c>
    </row>
    <row r="982" spans="1:10" ht="15.75" hidden="1">
      <c r="A982" s="972" t="s">
        <v>2431</v>
      </c>
      <c r="B982" s="972" t="s">
        <v>1834</v>
      </c>
      <c r="C982" s="972" t="s">
        <v>2331</v>
      </c>
      <c r="D982" s="972">
        <v>1.13E-4</v>
      </c>
      <c r="E982" s="972">
        <v>6.1200000000000002E-4</v>
      </c>
      <c r="F982" s="972">
        <v>2.34E-4</v>
      </c>
      <c r="G982" s="972">
        <v>16770</v>
      </c>
      <c r="H982" s="972">
        <v>35.402999999999999</v>
      </c>
      <c r="I982" s="972">
        <v>14.2705</v>
      </c>
      <c r="J982" s="972">
        <v>21.4</v>
      </c>
    </row>
    <row r="983" spans="1:10" ht="15.75" hidden="1">
      <c r="A983" s="972" t="s">
        <v>2431</v>
      </c>
      <c r="B983" s="972" t="s">
        <v>1834</v>
      </c>
      <c r="C983" s="972" t="s">
        <v>2332</v>
      </c>
      <c r="D983" s="972">
        <v>1.284E-3</v>
      </c>
      <c r="E983" s="972">
        <v>1.7E-5</v>
      </c>
      <c r="F983" s="972">
        <v>-3.9999999999999998E-6</v>
      </c>
      <c r="G983" s="972">
        <v>16770</v>
      </c>
      <c r="H983" s="972">
        <v>35.402999999999999</v>
      </c>
      <c r="I983" s="972">
        <v>14.2705</v>
      </c>
      <c r="J983" s="972">
        <v>21.4</v>
      </c>
    </row>
    <row r="984" spans="1:10" ht="15.75" hidden="1">
      <c r="A984" s="972" t="s">
        <v>2431</v>
      </c>
      <c r="B984" s="972" t="s">
        <v>1834</v>
      </c>
      <c r="C984" s="972" t="s">
        <v>2387</v>
      </c>
      <c r="D984" s="972">
        <v>7.7000000000000001E-5</v>
      </c>
      <c r="E984" s="972">
        <v>-2.0460000000000001E-3</v>
      </c>
      <c r="F984" s="972">
        <v>-1.8E-5</v>
      </c>
      <c r="G984" s="972">
        <v>16770</v>
      </c>
      <c r="H984" s="972">
        <v>35.402999999999999</v>
      </c>
      <c r="I984" s="972">
        <v>14.2705</v>
      </c>
      <c r="J984" s="972">
        <v>21.4</v>
      </c>
    </row>
    <row r="985" spans="1:10" ht="15.75" hidden="1">
      <c r="A985" s="972" t="s">
        <v>2431</v>
      </c>
      <c r="B985" s="972" t="s">
        <v>1834</v>
      </c>
      <c r="C985" s="972" t="s">
        <v>2388</v>
      </c>
      <c r="D985" s="972">
        <v>1.9849999999999998E-3</v>
      </c>
      <c r="E985" s="972">
        <v>9.1399999999999999E-4</v>
      </c>
      <c r="F985" s="972">
        <v>-9.6000000000000002E-5</v>
      </c>
      <c r="G985" s="972">
        <v>16770</v>
      </c>
      <c r="H985" s="972">
        <v>35.402999999999999</v>
      </c>
      <c r="I985" s="972">
        <v>14.2705</v>
      </c>
      <c r="J985" s="972">
        <v>21.4</v>
      </c>
    </row>
    <row r="986" spans="1:10" ht="15.75" hidden="1">
      <c r="A986" s="972" t="s">
        <v>2431</v>
      </c>
      <c r="B986" s="972" t="s">
        <v>1834</v>
      </c>
      <c r="C986" s="972" t="s">
        <v>2389</v>
      </c>
      <c r="D986" s="972">
        <v>-2.029E-3</v>
      </c>
      <c r="E986" s="972">
        <v>3.2130000000000001E-3</v>
      </c>
      <c r="F986" s="972">
        <v>-6.7999999999999999E-5</v>
      </c>
      <c r="G986" s="972">
        <v>16770</v>
      </c>
      <c r="H986" s="972">
        <v>35.402999999999999</v>
      </c>
      <c r="I986" s="972">
        <v>14.2705</v>
      </c>
      <c r="J986" s="972">
        <v>21.4</v>
      </c>
    </row>
    <row r="987" spans="1:10" ht="15.75" hidden="1">
      <c r="A987" s="972" t="s">
        <v>2431</v>
      </c>
      <c r="B987" s="972" t="s">
        <v>1834</v>
      </c>
      <c r="C987" s="972" t="s">
        <v>2390</v>
      </c>
      <c r="D987" s="972">
        <v>1.933E-3</v>
      </c>
      <c r="E987" s="972">
        <v>4.1310000000000001E-3</v>
      </c>
      <c r="F987" s="972">
        <v>2.8E-5</v>
      </c>
      <c r="G987" s="972">
        <v>16770</v>
      </c>
      <c r="H987" s="972">
        <v>35.402999999999999</v>
      </c>
      <c r="I987" s="972">
        <v>14.2705</v>
      </c>
      <c r="J987" s="972">
        <v>21.4</v>
      </c>
    </row>
    <row r="988" spans="1:10" ht="15.75" hidden="1">
      <c r="A988" s="972" t="s">
        <v>2431</v>
      </c>
      <c r="B988" s="972" t="s">
        <v>1834</v>
      </c>
      <c r="C988" s="972" t="s">
        <v>2391</v>
      </c>
      <c r="D988" s="972">
        <v>5.3239999999999997E-3</v>
      </c>
      <c r="E988" s="972">
        <v>-3.4259999999999998E-3</v>
      </c>
      <c r="F988" s="972">
        <v>-3.0000000000000001E-5</v>
      </c>
      <c r="G988" s="972">
        <v>16770</v>
      </c>
      <c r="H988" s="972">
        <v>35.402999999999999</v>
      </c>
      <c r="I988" s="972">
        <v>14.2705</v>
      </c>
      <c r="J988" s="972">
        <v>21.4</v>
      </c>
    </row>
    <row r="989" spans="1:10" ht="15.75" hidden="1">
      <c r="A989" s="972" t="s">
        <v>2431</v>
      </c>
      <c r="B989" s="972" t="s">
        <v>1834</v>
      </c>
      <c r="C989" s="972" t="s">
        <v>2392</v>
      </c>
      <c r="D989" s="972">
        <v>3.7950000000000002E-3</v>
      </c>
      <c r="E989" s="972">
        <v>3.4329999999999999E-3</v>
      </c>
      <c r="F989" s="972">
        <v>-2.5999999999999998E-5</v>
      </c>
      <c r="G989" s="972">
        <v>16770</v>
      </c>
      <c r="H989" s="972">
        <v>35.402999999999999</v>
      </c>
      <c r="I989" s="972">
        <v>14.2705</v>
      </c>
      <c r="J989" s="972">
        <v>21.4</v>
      </c>
    </row>
    <row r="990" spans="1:10" ht="15.75" hidden="1">
      <c r="A990" s="972" t="s">
        <v>2431</v>
      </c>
      <c r="B990" s="972" t="s">
        <v>1834</v>
      </c>
      <c r="C990" s="972" t="s">
        <v>2393</v>
      </c>
      <c r="D990" s="972">
        <v>3.2399999999999998E-3</v>
      </c>
      <c r="E990" s="972">
        <v>-3.4859999999999999E-3</v>
      </c>
      <c r="F990" s="972">
        <v>-3.8000000000000002E-5</v>
      </c>
      <c r="G990" s="972">
        <v>16770</v>
      </c>
      <c r="H990" s="972">
        <v>35.402999999999999</v>
      </c>
      <c r="I990" s="972">
        <v>14.2705</v>
      </c>
      <c r="J990" s="972">
        <v>21.4</v>
      </c>
    </row>
    <row r="991" spans="1:10" ht="15.75" hidden="1">
      <c r="A991" s="972" t="s">
        <v>2431</v>
      </c>
      <c r="B991" s="972" t="s">
        <v>1834</v>
      </c>
      <c r="C991" s="972" t="s">
        <v>2394</v>
      </c>
      <c r="D991" s="972">
        <v>3.4429999999999999E-3</v>
      </c>
      <c r="E991" s="972">
        <v>5.5389999999999997E-3</v>
      </c>
      <c r="F991" s="972">
        <v>-5.3999999999999998E-5</v>
      </c>
      <c r="G991" s="972">
        <v>16770</v>
      </c>
      <c r="H991" s="972">
        <v>35.402999999999999</v>
      </c>
      <c r="I991" s="972">
        <v>14.2705</v>
      </c>
      <c r="J991" s="972">
        <v>21.4</v>
      </c>
    </row>
    <row r="992" spans="1:10" ht="15.75" hidden="1">
      <c r="A992" s="972" t="s">
        <v>2431</v>
      </c>
      <c r="B992" s="972" t="s">
        <v>1834</v>
      </c>
      <c r="C992" s="972" t="s">
        <v>2395</v>
      </c>
      <c r="D992" s="972">
        <v>3.101E-3</v>
      </c>
      <c r="E992" s="972">
        <v>-8.0199999999999998E-4</v>
      </c>
      <c r="F992" s="972">
        <v>4.0000000000000003E-5</v>
      </c>
      <c r="G992" s="972">
        <v>16770</v>
      </c>
      <c r="H992" s="972">
        <v>35.402999999999999</v>
      </c>
      <c r="I992" s="972">
        <v>14.2705</v>
      </c>
      <c r="J992" s="972">
        <v>21.4</v>
      </c>
    </row>
    <row r="993" spans="1:10" ht="15.75" hidden="1">
      <c r="A993" s="972" t="s">
        <v>2431</v>
      </c>
      <c r="B993" s="972" t="s">
        <v>1834</v>
      </c>
      <c r="C993" s="972" t="s">
        <v>2396</v>
      </c>
      <c r="D993" s="972">
        <v>6.6E-4</v>
      </c>
      <c r="E993" s="972">
        <v>3.7300000000000001E-4</v>
      </c>
      <c r="F993" s="972">
        <v>2.6999999999999999E-5</v>
      </c>
      <c r="G993" s="972">
        <v>16770</v>
      </c>
      <c r="H993" s="972">
        <v>35.402999999999999</v>
      </c>
      <c r="I993" s="972">
        <v>14.2705</v>
      </c>
      <c r="J993" s="972">
        <v>21.4</v>
      </c>
    </row>
    <row r="994" spans="1:10" ht="15.75" hidden="1">
      <c r="A994" s="972" t="s">
        <v>2432</v>
      </c>
      <c r="B994" s="972" t="s">
        <v>1834</v>
      </c>
      <c r="C994" s="972" t="s">
        <v>2297</v>
      </c>
      <c r="D994" s="972">
        <v>-1.05E-4</v>
      </c>
      <c r="E994" s="972">
        <v>5.4799999999999998E-4</v>
      </c>
      <c r="F994" s="972">
        <v>6.9999999999999999E-6</v>
      </c>
      <c r="G994" s="972">
        <v>16771</v>
      </c>
      <c r="H994" s="972">
        <v>35.402999999999999</v>
      </c>
      <c r="I994" s="972">
        <v>14.2705</v>
      </c>
      <c r="J994" s="972">
        <v>18</v>
      </c>
    </row>
    <row r="995" spans="1:10" ht="15.75" hidden="1">
      <c r="A995" s="972" t="s">
        <v>2432</v>
      </c>
      <c r="B995" s="972" t="s">
        <v>1834</v>
      </c>
      <c r="C995" s="972" t="s">
        <v>2298</v>
      </c>
      <c r="D995" s="972">
        <v>-1.06E-4</v>
      </c>
      <c r="E995" s="972">
        <v>-1.16E-4</v>
      </c>
      <c r="F995" s="972">
        <v>3.8999999999999999E-5</v>
      </c>
      <c r="G995" s="972">
        <v>16771</v>
      </c>
      <c r="H995" s="972">
        <v>35.402999999999999</v>
      </c>
      <c r="I995" s="972">
        <v>14.2705</v>
      </c>
      <c r="J995" s="972">
        <v>18</v>
      </c>
    </row>
    <row r="996" spans="1:10" ht="15.75">
      <c r="A996" s="972" t="s">
        <v>2432</v>
      </c>
      <c r="B996" s="972" t="s">
        <v>1834</v>
      </c>
      <c r="C996" s="972" t="s">
        <v>2299</v>
      </c>
      <c r="D996" s="972">
        <v>6.4400000000000004E-4</v>
      </c>
      <c r="E996" s="972">
        <v>1.2E-4</v>
      </c>
      <c r="F996" s="972">
        <v>6.9999999999999999E-6</v>
      </c>
      <c r="G996" s="972">
        <v>16771</v>
      </c>
      <c r="H996" s="972">
        <v>35.402999999999999</v>
      </c>
      <c r="I996" s="972">
        <v>14.2705</v>
      </c>
      <c r="J996" s="972">
        <v>18</v>
      </c>
    </row>
    <row r="997" spans="1:10" ht="15.75" hidden="1">
      <c r="A997" s="972" t="s">
        <v>2432</v>
      </c>
      <c r="B997" s="972" t="s">
        <v>1834</v>
      </c>
      <c r="C997" s="972" t="s">
        <v>2300</v>
      </c>
      <c r="D997" s="972">
        <v>-3.6400000000000001E-4</v>
      </c>
      <c r="E997" s="972">
        <v>1.8E-5</v>
      </c>
      <c r="F997" s="972">
        <v>1.2999999999999999E-4</v>
      </c>
      <c r="G997" s="972">
        <v>16771</v>
      </c>
      <c r="H997" s="972">
        <v>35.402999999999999</v>
      </c>
      <c r="I997" s="972">
        <v>14.2705</v>
      </c>
      <c r="J997" s="972">
        <v>18</v>
      </c>
    </row>
    <row r="998" spans="1:10" ht="15.75" hidden="1">
      <c r="A998" s="972" t="s">
        <v>2432</v>
      </c>
      <c r="B998" s="972" t="s">
        <v>1834</v>
      </c>
      <c r="C998" s="972" t="s">
        <v>2301</v>
      </c>
      <c r="D998" s="972">
        <v>2.9599999999999998E-4</v>
      </c>
      <c r="E998" s="972">
        <v>-2.4320000000000001E-3</v>
      </c>
      <c r="F998" s="972">
        <v>3.0000000000000001E-6</v>
      </c>
      <c r="G998" s="972">
        <v>16771</v>
      </c>
      <c r="H998" s="972">
        <v>35.402999999999999</v>
      </c>
      <c r="I998" s="972">
        <v>14.2705</v>
      </c>
      <c r="J998" s="972">
        <v>18</v>
      </c>
    </row>
    <row r="999" spans="1:10" ht="15.75" hidden="1">
      <c r="A999" s="972" t="s">
        <v>2432</v>
      </c>
      <c r="B999" s="972" t="s">
        <v>1834</v>
      </c>
      <c r="C999" s="972" t="s">
        <v>2302</v>
      </c>
      <c r="D999" s="972">
        <v>-2.4789999999999999E-3</v>
      </c>
      <c r="E999" s="972">
        <v>-3.2699999999999998E-4</v>
      </c>
      <c r="F999" s="972">
        <v>-2.4000000000000001E-5</v>
      </c>
      <c r="G999" s="972">
        <v>16771</v>
      </c>
      <c r="H999" s="972">
        <v>35.402999999999999</v>
      </c>
      <c r="I999" s="972">
        <v>14.2705</v>
      </c>
      <c r="J999" s="972">
        <v>18</v>
      </c>
    </row>
    <row r="1000" spans="1:10" ht="15.75" hidden="1">
      <c r="A1000" s="972" t="s">
        <v>2432</v>
      </c>
      <c r="B1000" s="972" t="s">
        <v>1834</v>
      </c>
      <c r="C1000" s="972" t="s">
        <v>2303</v>
      </c>
      <c r="D1000" s="972">
        <v>5.7600000000000001E-4</v>
      </c>
      <c r="E1000" s="972">
        <v>1.2999999999999999E-5</v>
      </c>
      <c r="F1000" s="972">
        <v>-2.1699999999999999E-4</v>
      </c>
      <c r="G1000" s="972">
        <v>16771</v>
      </c>
      <c r="H1000" s="972">
        <v>35.402999999999999</v>
      </c>
      <c r="I1000" s="972">
        <v>14.2705</v>
      </c>
      <c r="J1000" s="972">
        <v>18</v>
      </c>
    </row>
    <row r="1001" spans="1:10" ht="15.75" hidden="1">
      <c r="A1001" s="972" t="s">
        <v>2432</v>
      </c>
      <c r="B1001" s="972" t="s">
        <v>1834</v>
      </c>
      <c r="C1001" s="972" t="s">
        <v>2304</v>
      </c>
      <c r="D1001" s="972">
        <v>4.5399999999999998E-4</v>
      </c>
      <c r="E1001" s="972">
        <v>-4.483E-3</v>
      </c>
      <c r="F1001" s="972">
        <v>1.9999999999999999E-6</v>
      </c>
      <c r="G1001" s="972">
        <v>16771</v>
      </c>
      <c r="H1001" s="972">
        <v>35.402999999999999</v>
      </c>
      <c r="I1001" s="972">
        <v>14.2705</v>
      </c>
      <c r="J1001" s="972">
        <v>18</v>
      </c>
    </row>
    <row r="1002" spans="1:10" ht="15.75" hidden="1">
      <c r="A1002" s="972" t="s">
        <v>2432</v>
      </c>
      <c r="B1002" s="972" t="s">
        <v>1834</v>
      </c>
      <c r="C1002" s="972" t="s">
        <v>2305</v>
      </c>
      <c r="D1002" s="972">
        <v>-1.2300000000000001E-4</v>
      </c>
      <c r="E1002" s="972">
        <v>1.1E-5</v>
      </c>
      <c r="F1002" s="972">
        <v>2.72E-4</v>
      </c>
      <c r="G1002" s="972">
        <v>16771</v>
      </c>
      <c r="H1002" s="972">
        <v>35.402999999999999</v>
      </c>
      <c r="I1002" s="972">
        <v>14.2705</v>
      </c>
      <c r="J1002" s="972">
        <v>18</v>
      </c>
    </row>
    <row r="1003" spans="1:10" ht="15.75" hidden="1">
      <c r="A1003" s="972" t="s">
        <v>2432</v>
      </c>
      <c r="B1003" s="972" t="s">
        <v>1834</v>
      </c>
      <c r="C1003" s="972" t="s">
        <v>2306</v>
      </c>
      <c r="D1003" s="972">
        <v>-4.5469999999999998E-3</v>
      </c>
      <c r="E1003" s="972">
        <v>-4.6099999999999998E-4</v>
      </c>
      <c r="F1003" s="972">
        <v>-9.9999999999999995E-7</v>
      </c>
      <c r="G1003" s="972">
        <v>16771</v>
      </c>
      <c r="H1003" s="972">
        <v>35.402999999999999</v>
      </c>
      <c r="I1003" s="972">
        <v>14.2705</v>
      </c>
      <c r="J1003" s="972">
        <v>18</v>
      </c>
    </row>
    <row r="1004" spans="1:10" ht="15.75" hidden="1">
      <c r="A1004" s="972" t="s">
        <v>2432</v>
      </c>
      <c r="B1004" s="972" t="s">
        <v>1834</v>
      </c>
      <c r="C1004" s="972" t="s">
        <v>2307</v>
      </c>
      <c r="D1004" s="972">
        <v>-4.9799999999999996E-4</v>
      </c>
      <c r="E1004" s="972">
        <v>1.9680000000000001E-3</v>
      </c>
      <c r="F1004" s="972">
        <v>2.52E-4</v>
      </c>
      <c r="G1004" s="972">
        <v>16771</v>
      </c>
      <c r="H1004" s="972">
        <v>35.402999999999999</v>
      </c>
      <c r="I1004" s="972">
        <v>14.2705</v>
      </c>
      <c r="J1004" s="972">
        <v>18</v>
      </c>
    </row>
    <row r="1005" spans="1:10" ht="15.75" hidden="1">
      <c r="A1005" s="972" t="s">
        <v>2432</v>
      </c>
      <c r="B1005" s="972" t="s">
        <v>1834</v>
      </c>
      <c r="C1005" s="972" t="s">
        <v>2308</v>
      </c>
      <c r="D1005" s="972">
        <v>4.06E-4</v>
      </c>
      <c r="E1005" s="972">
        <v>-5.3420000000000004E-3</v>
      </c>
      <c r="F1005" s="972">
        <v>9.7999999999999997E-5</v>
      </c>
      <c r="G1005" s="972">
        <v>16771</v>
      </c>
      <c r="H1005" s="972">
        <v>35.402999999999999</v>
      </c>
      <c r="I1005" s="972">
        <v>14.2705</v>
      </c>
      <c r="J1005" s="972">
        <v>18</v>
      </c>
    </row>
    <row r="1006" spans="1:10" ht="15.75" hidden="1">
      <c r="A1006" s="972" t="s">
        <v>2432</v>
      </c>
      <c r="B1006" s="972" t="s">
        <v>1834</v>
      </c>
      <c r="C1006" s="972" t="s">
        <v>2309</v>
      </c>
      <c r="D1006" s="972">
        <v>5.7039999999999999E-3</v>
      </c>
      <c r="E1006" s="972">
        <v>5.6999999999999998E-4</v>
      </c>
      <c r="F1006" s="972">
        <v>1.9000000000000001E-5</v>
      </c>
      <c r="G1006" s="972">
        <v>16771</v>
      </c>
      <c r="H1006" s="972">
        <v>35.402999999999999</v>
      </c>
      <c r="I1006" s="972">
        <v>14.2705</v>
      </c>
      <c r="J1006" s="972">
        <v>18</v>
      </c>
    </row>
    <row r="1007" spans="1:10" ht="15.75" hidden="1">
      <c r="A1007" s="972" t="s">
        <v>2432</v>
      </c>
      <c r="B1007" s="972" t="s">
        <v>1834</v>
      </c>
      <c r="C1007" s="972" t="s">
        <v>2310</v>
      </c>
      <c r="D1007" s="972">
        <v>-3.3799999999999998E-4</v>
      </c>
      <c r="E1007" s="972">
        <v>3.1999999999999999E-5</v>
      </c>
      <c r="F1007" s="972">
        <v>1.85E-4</v>
      </c>
      <c r="G1007" s="972">
        <v>16771</v>
      </c>
      <c r="H1007" s="972">
        <v>35.402999999999999</v>
      </c>
      <c r="I1007" s="972">
        <v>14.2705</v>
      </c>
      <c r="J1007" s="972">
        <v>18</v>
      </c>
    </row>
    <row r="1008" spans="1:10" ht="15.75" hidden="1">
      <c r="A1008" s="972" t="s">
        <v>2432</v>
      </c>
      <c r="B1008" s="972" t="s">
        <v>1834</v>
      </c>
      <c r="C1008" s="972" t="s">
        <v>2311</v>
      </c>
      <c r="D1008" s="972">
        <v>5.5000000000000003E-4</v>
      </c>
      <c r="E1008" s="972">
        <v>-5.6210000000000001E-3</v>
      </c>
      <c r="F1008" s="972">
        <v>1.1E-5</v>
      </c>
      <c r="G1008" s="972">
        <v>16771</v>
      </c>
      <c r="H1008" s="972">
        <v>35.402999999999999</v>
      </c>
      <c r="I1008" s="972">
        <v>14.2705</v>
      </c>
      <c r="J1008" s="972">
        <v>18</v>
      </c>
    </row>
    <row r="1009" spans="1:10" ht="15.75" hidden="1">
      <c r="A1009" s="972" t="s">
        <v>2432</v>
      </c>
      <c r="B1009" s="972" t="s">
        <v>1834</v>
      </c>
      <c r="C1009" s="972" t="s">
        <v>2328</v>
      </c>
      <c r="D1009" s="972">
        <v>4.2900000000000002E-4</v>
      </c>
      <c r="E1009" s="972">
        <v>-9.8999999999999994E-5</v>
      </c>
      <c r="F1009" s="972">
        <v>6.9999999999999999E-6</v>
      </c>
      <c r="G1009" s="972">
        <v>16771</v>
      </c>
      <c r="H1009" s="972">
        <v>35.402999999999999</v>
      </c>
      <c r="I1009" s="972">
        <v>14.2705</v>
      </c>
      <c r="J1009" s="972">
        <v>18</v>
      </c>
    </row>
    <row r="1010" spans="1:10" ht="15.75" hidden="1">
      <c r="A1010" s="972" t="s">
        <v>2432</v>
      </c>
      <c r="B1010" s="972" t="s">
        <v>1834</v>
      </c>
      <c r="C1010" s="972" t="s">
        <v>2329</v>
      </c>
      <c r="D1010" s="972">
        <v>5.4749999999999998E-3</v>
      </c>
      <c r="E1010" s="972">
        <v>5.3899999999999998E-4</v>
      </c>
      <c r="F1010" s="972">
        <v>-4.1559999999999999E-7</v>
      </c>
      <c r="G1010" s="972">
        <v>16771</v>
      </c>
      <c r="H1010" s="972">
        <v>35.402999999999999</v>
      </c>
      <c r="I1010" s="972">
        <v>14.2705</v>
      </c>
      <c r="J1010" s="972">
        <v>18</v>
      </c>
    </row>
    <row r="1011" spans="1:10" ht="15.75" hidden="1">
      <c r="A1011" s="972" t="s">
        <v>2432</v>
      </c>
      <c r="B1011" s="972" t="s">
        <v>1834</v>
      </c>
      <c r="C1011" s="972" t="s">
        <v>2330</v>
      </c>
      <c r="D1011" s="972">
        <v>-4.46E-4</v>
      </c>
      <c r="E1011" s="972">
        <v>3.7680000000000001E-3</v>
      </c>
      <c r="F1011" s="972">
        <v>-4.6999999999999997E-5</v>
      </c>
      <c r="G1011" s="972">
        <v>16771</v>
      </c>
      <c r="H1011" s="972">
        <v>35.402999999999999</v>
      </c>
      <c r="I1011" s="972">
        <v>14.2705</v>
      </c>
      <c r="J1011" s="972">
        <v>18</v>
      </c>
    </row>
    <row r="1012" spans="1:10" ht="15.75" hidden="1">
      <c r="A1012" s="972" t="s">
        <v>2432</v>
      </c>
      <c r="B1012" s="972" t="s">
        <v>1834</v>
      </c>
      <c r="C1012" s="972" t="s">
        <v>2331</v>
      </c>
      <c r="D1012" s="972">
        <v>4.1E-5</v>
      </c>
      <c r="E1012" s="972">
        <v>9.7999999999999997E-4</v>
      </c>
      <c r="F1012" s="972">
        <v>1.8200000000000001E-4</v>
      </c>
      <c r="G1012" s="972">
        <v>16771</v>
      </c>
      <c r="H1012" s="972">
        <v>35.402999999999999</v>
      </c>
      <c r="I1012" s="972">
        <v>14.2705</v>
      </c>
      <c r="J1012" s="972">
        <v>18</v>
      </c>
    </row>
    <row r="1013" spans="1:10" ht="15.75" hidden="1">
      <c r="A1013" s="972" t="s">
        <v>2432</v>
      </c>
      <c r="B1013" s="972" t="s">
        <v>1834</v>
      </c>
      <c r="C1013" s="972" t="s">
        <v>2332</v>
      </c>
      <c r="D1013" s="972">
        <v>3.3999999999999998E-3</v>
      </c>
      <c r="E1013" s="972">
        <v>2.6800000000000001E-4</v>
      </c>
      <c r="F1013" s="972">
        <v>-2.6999999999999999E-5</v>
      </c>
      <c r="G1013" s="972">
        <v>16771</v>
      </c>
      <c r="H1013" s="972">
        <v>35.402999999999999</v>
      </c>
      <c r="I1013" s="972">
        <v>14.2705</v>
      </c>
      <c r="J1013" s="972">
        <v>18</v>
      </c>
    </row>
    <row r="1014" spans="1:10" ht="15.75" hidden="1">
      <c r="A1014" s="972" t="s">
        <v>2432</v>
      </c>
      <c r="B1014" s="972" t="s">
        <v>1834</v>
      </c>
      <c r="C1014" s="972" t="s">
        <v>2387</v>
      </c>
      <c r="D1014" s="972">
        <v>-2.99E-4</v>
      </c>
      <c r="E1014" s="972">
        <v>5.6099999999999998E-4</v>
      </c>
      <c r="F1014" s="972">
        <v>-4.8000000000000001E-5</v>
      </c>
      <c r="G1014" s="972">
        <v>16771</v>
      </c>
      <c r="H1014" s="972">
        <v>35.402999999999999</v>
      </c>
      <c r="I1014" s="972">
        <v>14.2705</v>
      </c>
      <c r="J1014" s="972">
        <v>18</v>
      </c>
    </row>
    <row r="1015" spans="1:10" ht="15.75" hidden="1">
      <c r="A1015" s="972" t="s">
        <v>2432</v>
      </c>
      <c r="B1015" s="972" t="s">
        <v>1834</v>
      </c>
      <c r="C1015" s="972" t="s">
        <v>2388</v>
      </c>
      <c r="D1015" s="972">
        <v>-3.6000000000000001E-5</v>
      </c>
      <c r="E1015" s="972">
        <v>1.08E-4</v>
      </c>
      <c r="F1015" s="972">
        <v>-9.0000000000000006E-5</v>
      </c>
      <c r="G1015" s="972">
        <v>16771</v>
      </c>
      <c r="H1015" s="972">
        <v>35.402999999999999</v>
      </c>
      <c r="I1015" s="972">
        <v>14.2705</v>
      </c>
      <c r="J1015" s="972">
        <v>18</v>
      </c>
    </row>
    <row r="1016" spans="1:10" ht="15.75" hidden="1">
      <c r="A1016" s="972" t="s">
        <v>2432</v>
      </c>
      <c r="B1016" s="972" t="s">
        <v>1834</v>
      </c>
      <c r="C1016" s="972" t="s">
        <v>2389</v>
      </c>
      <c r="D1016" s="972">
        <v>-5.4000000000000001E-4</v>
      </c>
      <c r="E1016" s="972">
        <v>1.5950000000000001E-3</v>
      </c>
      <c r="F1016" s="972">
        <v>-7.8999999999999996E-5</v>
      </c>
      <c r="G1016" s="972">
        <v>16771</v>
      </c>
      <c r="H1016" s="972">
        <v>35.402999999999999</v>
      </c>
      <c r="I1016" s="972">
        <v>14.2705</v>
      </c>
      <c r="J1016" s="972">
        <v>18</v>
      </c>
    </row>
    <row r="1017" spans="1:10" ht="15.75" hidden="1">
      <c r="A1017" s="972" t="s">
        <v>2432</v>
      </c>
      <c r="B1017" s="972" t="s">
        <v>1834</v>
      </c>
      <c r="C1017" s="972" t="s">
        <v>2390</v>
      </c>
      <c r="D1017" s="972">
        <v>7.76E-4</v>
      </c>
      <c r="E1017" s="972">
        <v>3.0040000000000002E-3</v>
      </c>
      <c r="F1017" s="972">
        <v>4.6999999999999997E-5</v>
      </c>
      <c r="G1017" s="972">
        <v>16771</v>
      </c>
      <c r="H1017" s="972">
        <v>35.402999999999999</v>
      </c>
      <c r="I1017" s="972">
        <v>14.2705</v>
      </c>
      <c r="J1017" s="972">
        <v>18</v>
      </c>
    </row>
    <row r="1018" spans="1:10" ht="15.75" hidden="1">
      <c r="A1018" s="972" t="s">
        <v>2432</v>
      </c>
      <c r="B1018" s="972" t="s">
        <v>1834</v>
      </c>
      <c r="C1018" s="972" t="s">
        <v>2391</v>
      </c>
      <c r="D1018" s="972">
        <v>5.1980000000000004E-3</v>
      </c>
      <c r="E1018" s="972">
        <v>-4.3740000000000003E-3</v>
      </c>
      <c r="F1018" s="972">
        <v>-4.8000000000000001E-5</v>
      </c>
      <c r="G1018" s="972">
        <v>16771</v>
      </c>
      <c r="H1018" s="972">
        <v>35.402999999999999</v>
      </c>
      <c r="I1018" s="972">
        <v>14.2705</v>
      </c>
      <c r="J1018" s="972">
        <v>18</v>
      </c>
    </row>
    <row r="1019" spans="1:10" ht="15.75" hidden="1">
      <c r="A1019" s="972" t="s">
        <v>2432</v>
      </c>
      <c r="B1019" s="972" t="s">
        <v>1834</v>
      </c>
      <c r="C1019" s="972" t="s">
        <v>2392</v>
      </c>
      <c r="D1019" s="972">
        <v>4.3210000000000002E-3</v>
      </c>
      <c r="E1019" s="972">
        <v>5.4409999999999997E-3</v>
      </c>
      <c r="F1019" s="972">
        <v>-6.3999999999999997E-5</v>
      </c>
      <c r="G1019" s="972">
        <v>16771</v>
      </c>
      <c r="H1019" s="972">
        <v>35.402999999999999</v>
      </c>
      <c r="I1019" s="972">
        <v>14.2705</v>
      </c>
      <c r="J1019" s="972">
        <v>18</v>
      </c>
    </row>
    <row r="1020" spans="1:10" ht="15.75" hidden="1">
      <c r="A1020" s="972" t="s">
        <v>2432</v>
      </c>
      <c r="B1020" s="972" t="s">
        <v>1834</v>
      </c>
      <c r="C1020" s="972" t="s">
        <v>2393</v>
      </c>
      <c r="D1020" s="972">
        <v>-1.567E-3</v>
      </c>
      <c r="E1020" s="972">
        <v>-2.9E-4</v>
      </c>
      <c r="F1020" s="972">
        <v>-5.3999999999999998E-5</v>
      </c>
      <c r="G1020" s="972">
        <v>16771</v>
      </c>
      <c r="H1020" s="972">
        <v>35.402999999999999</v>
      </c>
      <c r="I1020" s="972">
        <v>14.2705</v>
      </c>
      <c r="J1020" s="972">
        <v>18</v>
      </c>
    </row>
    <row r="1021" spans="1:10" ht="15.75" hidden="1">
      <c r="A1021" s="972" t="s">
        <v>2432</v>
      </c>
      <c r="B1021" s="972" t="s">
        <v>1834</v>
      </c>
      <c r="C1021" s="972" t="s">
        <v>2394</v>
      </c>
      <c r="D1021" s="972">
        <v>1.7799999999999999E-4</v>
      </c>
      <c r="E1021" s="972">
        <v>1.366E-3</v>
      </c>
      <c r="F1021" s="972">
        <v>-4.6999999999999997E-5</v>
      </c>
      <c r="G1021" s="972">
        <v>16771</v>
      </c>
      <c r="H1021" s="972">
        <v>35.402999999999999</v>
      </c>
      <c r="I1021" s="972">
        <v>14.2705</v>
      </c>
      <c r="J1021" s="972">
        <v>18</v>
      </c>
    </row>
    <row r="1022" spans="1:10" ht="15.75" hidden="1">
      <c r="A1022" s="972" t="s">
        <v>2432</v>
      </c>
      <c r="B1022" s="972" t="s">
        <v>1834</v>
      </c>
      <c r="C1022" s="972" t="s">
        <v>2395</v>
      </c>
      <c r="D1022" s="972">
        <v>6.6220000000000003E-3</v>
      </c>
      <c r="E1022" s="972">
        <v>-3.0130000000000001E-3</v>
      </c>
      <c r="F1022" s="972">
        <v>4.6999999999999997E-5</v>
      </c>
      <c r="G1022" s="972">
        <v>16771</v>
      </c>
      <c r="H1022" s="972">
        <v>35.402999999999999</v>
      </c>
      <c r="I1022" s="972">
        <v>14.2705</v>
      </c>
      <c r="J1022" s="972">
        <v>18</v>
      </c>
    </row>
    <row r="1023" spans="1:10" ht="15.75" hidden="1">
      <c r="A1023" s="972" t="s">
        <v>2432</v>
      </c>
      <c r="B1023" s="972" t="s">
        <v>1834</v>
      </c>
      <c r="C1023" s="972" t="s">
        <v>2396</v>
      </c>
      <c r="D1023" s="972">
        <v>3.029E-3</v>
      </c>
      <c r="E1023" s="972">
        <v>5.5950000000000001E-3</v>
      </c>
      <c r="F1023" s="972">
        <v>-6.0000000000000002E-6</v>
      </c>
      <c r="G1023" s="972">
        <v>16771</v>
      </c>
      <c r="H1023" s="972">
        <v>35.402999999999999</v>
      </c>
      <c r="I1023" s="972">
        <v>14.2705</v>
      </c>
      <c r="J1023" s="972">
        <v>18</v>
      </c>
    </row>
    <row r="1024" spans="1:10" ht="15.75" hidden="1">
      <c r="A1024" s="972" t="s">
        <v>2433</v>
      </c>
      <c r="B1024" s="972" t="s">
        <v>1834</v>
      </c>
      <c r="C1024" s="972" t="s">
        <v>2297</v>
      </c>
      <c r="D1024" s="972">
        <v>-8.0000000000000007E-5</v>
      </c>
      <c r="E1024" s="972">
        <v>4.1599999999999997E-4</v>
      </c>
      <c r="F1024" s="972">
        <v>5.0000000000000004E-6</v>
      </c>
      <c r="G1024" s="972">
        <v>16772</v>
      </c>
      <c r="H1024" s="972">
        <v>35.402999999999999</v>
      </c>
      <c r="I1024" s="972">
        <v>14.2705</v>
      </c>
      <c r="J1024" s="972">
        <v>14.6</v>
      </c>
    </row>
    <row r="1025" spans="1:10" ht="15.75" hidden="1">
      <c r="A1025" s="972" t="s">
        <v>2433</v>
      </c>
      <c r="B1025" s="972" t="s">
        <v>1834</v>
      </c>
      <c r="C1025" s="972" t="s">
        <v>2298</v>
      </c>
      <c r="D1025" s="972">
        <v>-8.1000000000000004E-5</v>
      </c>
      <c r="E1025" s="972">
        <v>-8.7999999999999998E-5</v>
      </c>
      <c r="F1025" s="972">
        <v>3.0000000000000001E-5</v>
      </c>
      <c r="G1025" s="972">
        <v>16772</v>
      </c>
      <c r="H1025" s="972">
        <v>35.402999999999999</v>
      </c>
      <c r="I1025" s="972">
        <v>14.2705</v>
      </c>
      <c r="J1025" s="972">
        <v>14.6</v>
      </c>
    </row>
    <row r="1026" spans="1:10" ht="15.75">
      <c r="A1026" s="972" t="s">
        <v>2433</v>
      </c>
      <c r="B1026" s="972" t="s">
        <v>1834</v>
      </c>
      <c r="C1026" s="972" t="s">
        <v>2299</v>
      </c>
      <c r="D1026" s="972">
        <v>4.95E-4</v>
      </c>
      <c r="E1026" s="972">
        <v>9.2999999999999997E-5</v>
      </c>
      <c r="F1026" s="972">
        <v>6.0000000000000002E-6</v>
      </c>
      <c r="G1026" s="972">
        <v>16772</v>
      </c>
      <c r="H1026" s="972">
        <v>35.402999999999999</v>
      </c>
      <c r="I1026" s="972">
        <v>14.2705</v>
      </c>
      <c r="J1026" s="972">
        <v>14.6</v>
      </c>
    </row>
    <row r="1027" spans="1:10" ht="15.75" hidden="1">
      <c r="A1027" s="972" t="s">
        <v>2433</v>
      </c>
      <c r="B1027" s="972" t="s">
        <v>1834</v>
      </c>
      <c r="C1027" s="972" t="s">
        <v>2300</v>
      </c>
      <c r="D1027" s="972">
        <v>-2.8600000000000001E-4</v>
      </c>
      <c r="E1027" s="972">
        <v>1.5E-5</v>
      </c>
      <c r="F1027" s="972">
        <v>1.03E-4</v>
      </c>
      <c r="G1027" s="972">
        <v>16772</v>
      </c>
      <c r="H1027" s="972">
        <v>35.402999999999999</v>
      </c>
      <c r="I1027" s="972">
        <v>14.2705</v>
      </c>
      <c r="J1027" s="972">
        <v>14.6</v>
      </c>
    </row>
    <row r="1028" spans="1:10" ht="15.75" hidden="1">
      <c r="A1028" s="972" t="s">
        <v>2433</v>
      </c>
      <c r="B1028" s="972" t="s">
        <v>1834</v>
      </c>
      <c r="C1028" s="972" t="s">
        <v>2301</v>
      </c>
      <c r="D1028" s="972">
        <v>2.3499999999999999E-4</v>
      </c>
      <c r="E1028" s="972">
        <v>-1.931E-3</v>
      </c>
      <c r="F1028" s="972">
        <v>1.9999999999999999E-6</v>
      </c>
      <c r="G1028" s="972">
        <v>16772</v>
      </c>
      <c r="H1028" s="972">
        <v>35.402999999999999</v>
      </c>
      <c r="I1028" s="972">
        <v>14.2705</v>
      </c>
      <c r="J1028" s="972">
        <v>14.6</v>
      </c>
    </row>
    <row r="1029" spans="1:10" ht="15.75" hidden="1">
      <c r="A1029" s="972" t="s">
        <v>2433</v>
      </c>
      <c r="B1029" s="972" t="s">
        <v>1834</v>
      </c>
      <c r="C1029" s="972" t="s">
        <v>2302</v>
      </c>
      <c r="D1029" s="972">
        <v>-1.98E-3</v>
      </c>
      <c r="E1029" s="972">
        <v>-2.6200000000000003E-4</v>
      </c>
      <c r="F1029" s="972">
        <v>-2.0000000000000002E-5</v>
      </c>
      <c r="G1029" s="972">
        <v>16772</v>
      </c>
      <c r="H1029" s="972">
        <v>35.402999999999999</v>
      </c>
      <c r="I1029" s="972">
        <v>14.2705</v>
      </c>
      <c r="J1029" s="972">
        <v>14.6</v>
      </c>
    </row>
    <row r="1030" spans="1:10" ht="15.75" hidden="1">
      <c r="A1030" s="972" t="s">
        <v>2433</v>
      </c>
      <c r="B1030" s="972" t="s">
        <v>1834</v>
      </c>
      <c r="C1030" s="972" t="s">
        <v>2303</v>
      </c>
      <c r="D1030" s="972">
        <v>4.7199999999999998E-4</v>
      </c>
      <c r="E1030" s="972">
        <v>7.9999999999999996E-6</v>
      </c>
      <c r="F1030" s="972">
        <v>-1.8000000000000001E-4</v>
      </c>
      <c r="G1030" s="972">
        <v>16772</v>
      </c>
      <c r="H1030" s="972">
        <v>35.402999999999999</v>
      </c>
      <c r="I1030" s="972">
        <v>14.2705</v>
      </c>
      <c r="J1030" s="972">
        <v>14.6</v>
      </c>
    </row>
    <row r="1031" spans="1:10" ht="15.75" hidden="1">
      <c r="A1031" s="972" t="s">
        <v>2433</v>
      </c>
      <c r="B1031" s="972" t="s">
        <v>1834</v>
      </c>
      <c r="C1031" s="972" t="s">
        <v>2304</v>
      </c>
      <c r="D1031" s="972">
        <v>3.7800000000000003E-4</v>
      </c>
      <c r="E1031" s="972">
        <v>-3.748E-3</v>
      </c>
      <c r="F1031" s="972">
        <v>9.9999999999999995E-7</v>
      </c>
      <c r="G1031" s="972">
        <v>16772</v>
      </c>
      <c r="H1031" s="972">
        <v>35.402999999999999</v>
      </c>
      <c r="I1031" s="972">
        <v>14.2705</v>
      </c>
      <c r="J1031" s="972">
        <v>14.6</v>
      </c>
    </row>
    <row r="1032" spans="1:10" ht="15.75" hidden="1">
      <c r="A1032" s="972" t="s">
        <v>2433</v>
      </c>
      <c r="B1032" s="972" t="s">
        <v>1834</v>
      </c>
      <c r="C1032" s="972" t="s">
        <v>2305</v>
      </c>
      <c r="D1032" s="972">
        <v>-1.2799999999999999E-4</v>
      </c>
      <c r="E1032" s="972">
        <v>1.5E-5</v>
      </c>
      <c r="F1032" s="972">
        <v>2.4499999999999999E-4</v>
      </c>
      <c r="G1032" s="972">
        <v>16772</v>
      </c>
      <c r="H1032" s="972">
        <v>35.402999999999999</v>
      </c>
      <c r="I1032" s="972">
        <v>14.2705</v>
      </c>
      <c r="J1032" s="972">
        <v>14.6</v>
      </c>
    </row>
    <row r="1033" spans="1:10" ht="15.75" hidden="1">
      <c r="A1033" s="972" t="s">
        <v>2433</v>
      </c>
      <c r="B1033" s="972" t="s">
        <v>1834</v>
      </c>
      <c r="C1033" s="972" t="s">
        <v>2306</v>
      </c>
      <c r="D1033" s="972">
        <v>-3.8300000000000001E-3</v>
      </c>
      <c r="E1033" s="972">
        <v>-3.9100000000000002E-4</v>
      </c>
      <c r="F1033" s="972">
        <v>-3.9680000000000001E-7</v>
      </c>
      <c r="G1033" s="972">
        <v>16772</v>
      </c>
      <c r="H1033" s="972">
        <v>35.402999999999999</v>
      </c>
      <c r="I1033" s="972">
        <v>14.2705</v>
      </c>
      <c r="J1033" s="972">
        <v>14.6</v>
      </c>
    </row>
    <row r="1034" spans="1:10" ht="15.75" hidden="1">
      <c r="A1034" s="972" t="s">
        <v>2433</v>
      </c>
      <c r="B1034" s="972" t="s">
        <v>1834</v>
      </c>
      <c r="C1034" s="972" t="s">
        <v>2307</v>
      </c>
      <c r="D1034" s="972">
        <v>-4.8799999999999999E-4</v>
      </c>
      <c r="E1034" s="972">
        <v>1.799E-3</v>
      </c>
      <c r="F1034" s="972">
        <v>2.5999999999999998E-4</v>
      </c>
      <c r="G1034" s="972">
        <v>16772</v>
      </c>
      <c r="H1034" s="972">
        <v>35.402999999999999</v>
      </c>
      <c r="I1034" s="972">
        <v>14.2705</v>
      </c>
      <c r="J1034" s="972">
        <v>14.6</v>
      </c>
    </row>
    <row r="1035" spans="1:10" ht="15.75" hidden="1">
      <c r="A1035" s="972" t="s">
        <v>2433</v>
      </c>
      <c r="B1035" s="972" t="s">
        <v>1834</v>
      </c>
      <c r="C1035" s="972" t="s">
        <v>2308</v>
      </c>
      <c r="D1035" s="972">
        <v>3.5199999999999999E-4</v>
      </c>
      <c r="E1035" s="972">
        <v>-4.8549999999999999E-3</v>
      </c>
      <c r="F1035" s="972">
        <v>9.8999999999999994E-5</v>
      </c>
      <c r="G1035" s="972">
        <v>16772</v>
      </c>
      <c r="H1035" s="972">
        <v>35.402999999999999</v>
      </c>
      <c r="I1035" s="972">
        <v>14.2705</v>
      </c>
      <c r="J1035" s="972">
        <v>14.6</v>
      </c>
    </row>
    <row r="1036" spans="1:10" ht="15.75" hidden="1">
      <c r="A1036" s="972" t="s">
        <v>2433</v>
      </c>
      <c r="B1036" s="972" t="s">
        <v>1834</v>
      </c>
      <c r="C1036" s="972" t="s">
        <v>2309</v>
      </c>
      <c r="D1036" s="972">
        <v>5.2370000000000003E-3</v>
      </c>
      <c r="E1036" s="972">
        <v>5.3300000000000005E-4</v>
      </c>
      <c r="F1036" s="972">
        <v>2.0999999999999999E-5</v>
      </c>
      <c r="G1036" s="972">
        <v>16772</v>
      </c>
      <c r="H1036" s="972">
        <v>35.402999999999999</v>
      </c>
      <c r="I1036" s="972">
        <v>14.2705</v>
      </c>
      <c r="J1036" s="972">
        <v>14.6</v>
      </c>
    </row>
    <row r="1037" spans="1:10" ht="15.75" hidden="1">
      <c r="A1037" s="972" t="s">
        <v>2433</v>
      </c>
      <c r="B1037" s="972" t="s">
        <v>1834</v>
      </c>
      <c r="C1037" s="972" t="s">
        <v>2310</v>
      </c>
      <c r="D1037" s="972">
        <v>-3.86E-4</v>
      </c>
      <c r="E1037" s="972">
        <v>5.8E-5</v>
      </c>
      <c r="F1037" s="972">
        <v>2.52E-4</v>
      </c>
      <c r="G1037" s="972">
        <v>16772</v>
      </c>
      <c r="H1037" s="972">
        <v>35.402999999999999</v>
      </c>
      <c r="I1037" s="972">
        <v>14.2705</v>
      </c>
      <c r="J1037" s="972">
        <v>14.6</v>
      </c>
    </row>
    <row r="1038" spans="1:10" ht="15.75" hidden="1">
      <c r="A1038" s="972" t="s">
        <v>2433</v>
      </c>
      <c r="B1038" s="972" t="s">
        <v>1834</v>
      </c>
      <c r="C1038" s="972" t="s">
        <v>2311</v>
      </c>
      <c r="D1038" s="972">
        <v>5.6400000000000005E-4</v>
      </c>
      <c r="E1038" s="972">
        <v>-5.8529999999999997E-3</v>
      </c>
      <c r="F1038" s="972">
        <v>1.0000000000000001E-5</v>
      </c>
      <c r="G1038" s="972">
        <v>16772</v>
      </c>
      <c r="H1038" s="972">
        <v>35.402999999999999</v>
      </c>
      <c r="I1038" s="972">
        <v>14.2705</v>
      </c>
      <c r="J1038" s="972">
        <v>14.6</v>
      </c>
    </row>
    <row r="1039" spans="1:10" ht="15.75" hidden="1">
      <c r="A1039" s="972" t="s">
        <v>2433</v>
      </c>
      <c r="B1039" s="972" t="s">
        <v>1834</v>
      </c>
      <c r="C1039" s="972" t="s">
        <v>2328</v>
      </c>
      <c r="D1039" s="972">
        <v>3.9100000000000002E-4</v>
      </c>
      <c r="E1039" s="972">
        <v>-3.6000000000000001E-5</v>
      </c>
      <c r="F1039" s="972">
        <v>1.2899999999999999E-4</v>
      </c>
      <c r="G1039" s="972">
        <v>16772</v>
      </c>
      <c r="H1039" s="972">
        <v>35.402999999999999</v>
      </c>
      <c r="I1039" s="972">
        <v>14.2705</v>
      </c>
      <c r="J1039" s="972">
        <v>14.6</v>
      </c>
    </row>
    <row r="1040" spans="1:10" ht="15.75" hidden="1">
      <c r="A1040" s="972" t="s">
        <v>2433</v>
      </c>
      <c r="B1040" s="972" t="s">
        <v>1834</v>
      </c>
      <c r="C1040" s="972" t="s">
        <v>2329</v>
      </c>
      <c r="D1040" s="972">
        <v>5.8139999999999997E-3</v>
      </c>
      <c r="E1040" s="972">
        <v>5.8600000000000004E-4</v>
      </c>
      <c r="F1040" s="972">
        <v>-9.0000000000000002E-6</v>
      </c>
      <c r="G1040" s="972">
        <v>16772</v>
      </c>
      <c r="H1040" s="972">
        <v>35.402999999999999</v>
      </c>
      <c r="I1040" s="972">
        <v>14.2705</v>
      </c>
      <c r="J1040" s="972">
        <v>14.6</v>
      </c>
    </row>
    <row r="1041" spans="1:10" ht="15.75" hidden="1">
      <c r="A1041" s="972" t="s">
        <v>2433</v>
      </c>
      <c r="B1041" s="972" t="s">
        <v>1834</v>
      </c>
      <c r="C1041" s="972" t="s">
        <v>2330</v>
      </c>
      <c r="D1041" s="972">
        <v>-5.5900000000000004E-4</v>
      </c>
      <c r="E1041" s="972">
        <v>5.169E-3</v>
      </c>
      <c r="F1041" s="972">
        <v>-3.3000000000000003E-5</v>
      </c>
      <c r="G1041" s="972">
        <v>16772</v>
      </c>
      <c r="H1041" s="972">
        <v>35.402999999999999</v>
      </c>
      <c r="I1041" s="972">
        <v>14.2705</v>
      </c>
      <c r="J1041" s="972">
        <v>14.6</v>
      </c>
    </row>
    <row r="1042" spans="1:10" ht="15.75" hidden="1">
      <c r="A1042" s="972" t="s">
        <v>2433</v>
      </c>
      <c r="B1042" s="972" t="s">
        <v>1834</v>
      </c>
      <c r="C1042" s="972" t="s">
        <v>2331</v>
      </c>
      <c r="D1042" s="972">
        <v>3.9999999999999998E-6</v>
      </c>
      <c r="E1042" s="972">
        <v>1.1249999999999999E-3</v>
      </c>
      <c r="F1042" s="972">
        <v>7.4999999999999993E-5</v>
      </c>
      <c r="G1042" s="972">
        <v>16772</v>
      </c>
      <c r="H1042" s="972">
        <v>35.402999999999999</v>
      </c>
      <c r="I1042" s="972">
        <v>14.2705</v>
      </c>
      <c r="J1042" s="972">
        <v>14.6</v>
      </c>
    </row>
    <row r="1043" spans="1:10" ht="15.75" hidden="1">
      <c r="A1043" s="972" t="s">
        <v>2433</v>
      </c>
      <c r="B1043" s="972" t="s">
        <v>1834</v>
      </c>
      <c r="C1043" s="972" t="s">
        <v>2332</v>
      </c>
      <c r="D1043" s="972">
        <v>4.9309999999999996E-3</v>
      </c>
      <c r="E1043" s="972">
        <v>4.7199999999999998E-4</v>
      </c>
      <c r="F1043" s="972">
        <v>-3.8000000000000002E-5</v>
      </c>
      <c r="G1043" s="972">
        <v>16772</v>
      </c>
      <c r="H1043" s="972">
        <v>35.402999999999999</v>
      </c>
      <c r="I1043" s="972">
        <v>14.2705</v>
      </c>
      <c r="J1043" s="972">
        <v>14.6</v>
      </c>
    </row>
    <row r="1044" spans="1:10" ht="15.75" hidden="1">
      <c r="A1044" s="972" t="s">
        <v>2433</v>
      </c>
      <c r="B1044" s="972" t="s">
        <v>1834</v>
      </c>
      <c r="C1044" s="972" t="s">
        <v>2387</v>
      </c>
      <c r="D1044" s="972">
        <v>-6.5899999999999997E-4</v>
      </c>
      <c r="E1044" s="972">
        <v>3.1029999999999999E-3</v>
      </c>
      <c r="F1044" s="972">
        <v>-6.0000000000000002E-5</v>
      </c>
      <c r="G1044" s="972">
        <v>16772</v>
      </c>
      <c r="H1044" s="972">
        <v>35.402999999999999</v>
      </c>
      <c r="I1044" s="972">
        <v>14.2705</v>
      </c>
      <c r="J1044" s="972">
        <v>14.6</v>
      </c>
    </row>
    <row r="1045" spans="1:10" ht="15.75" hidden="1">
      <c r="A1045" s="972" t="s">
        <v>2433</v>
      </c>
      <c r="B1045" s="972" t="s">
        <v>1834</v>
      </c>
      <c r="C1045" s="972" t="s">
        <v>2388</v>
      </c>
      <c r="D1045" s="972">
        <v>-2.3210000000000001E-3</v>
      </c>
      <c r="E1045" s="972">
        <v>-6.96E-4</v>
      </c>
      <c r="F1045" s="972">
        <v>-5.0000000000000002E-5</v>
      </c>
      <c r="G1045" s="972">
        <v>16772</v>
      </c>
      <c r="H1045" s="972">
        <v>35.402999999999999</v>
      </c>
      <c r="I1045" s="972">
        <v>14.2705</v>
      </c>
      <c r="J1045" s="972">
        <v>14.6</v>
      </c>
    </row>
    <row r="1046" spans="1:10" ht="15.75" hidden="1">
      <c r="A1046" s="972" t="s">
        <v>2433</v>
      </c>
      <c r="B1046" s="972" t="s">
        <v>1834</v>
      </c>
      <c r="C1046" s="972" t="s">
        <v>2389</v>
      </c>
      <c r="D1046" s="972">
        <v>8.3299999999999997E-4</v>
      </c>
      <c r="E1046" s="972">
        <v>-3.68E-4</v>
      </c>
      <c r="F1046" s="972">
        <v>-6.2000000000000003E-5</v>
      </c>
      <c r="G1046" s="972">
        <v>16772</v>
      </c>
      <c r="H1046" s="972">
        <v>35.402999999999999</v>
      </c>
      <c r="I1046" s="972">
        <v>14.2705</v>
      </c>
      <c r="J1046" s="972">
        <v>14.6</v>
      </c>
    </row>
    <row r="1047" spans="1:10" ht="15.75" hidden="1">
      <c r="A1047" s="972" t="s">
        <v>2433</v>
      </c>
      <c r="B1047" s="972" t="s">
        <v>1834</v>
      </c>
      <c r="C1047" s="972" t="s">
        <v>2390</v>
      </c>
      <c r="D1047" s="972">
        <v>-1.4799999999999999E-4</v>
      </c>
      <c r="E1047" s="972">
        <v>8.7900000000000001E-4</v>
      </c>
      <c r="F1047" s="972">
        <v>5.5000000000000002E-5</v>
      </c>
      <c r="G1047" s="972">
        <v>16772</v>
      </c>
      <c r="H1047" s="972">
        <v>35.402999999999999</v>
      </c>
      <c r="I1047" s="972">
        <v>14.2705</v>
      </c>
      <c r="J1047" s="972">
        <v>14.6</v>
      </c>
    </row>
    <row r="1048" spans="1:10" ht="15.75" hidden="1">
      <c r="A1048" s="972" t="s">
        <v>2433</v>
      </c>
      <c r="B1048" s="972" t="s">
        <v>1834</v>
      </c>
      <c r="C1048" s="972" t="s">
        <v>2391</v>
      </c>
      <c r="D1048" s="972">
        <v>2.9020000000000001E-3</v>
      </c>
      <c r="E1048" s="972">
        <v>-3.1540000000000001E-3</v>
      </c>
      <c r="F1048" s="972">
        <v>-4.8000000000000001E-5</v>
      </c>
      <c r="G1048" s="972">
        <v>16772</v>
      </c>
      <c r="H1048" s="972">
        <v>35.402999999999999</v>
      </c>
      <c r="I1048" s="972">
        <v>14.2705</v>
      </c>
      <c r="J1048" s="972">
        <v>14.6</v>
      </c>
    </row>
    <row r="1049" spans="1:10" ht="15.75" hidden="1">
      <c r="A1049" s="972" t="s">
        <v>2433</v>
      </c>
      <c r="B1049" s="972" t="s">
        <v>1834</v>
      </c>
      <c r="C1049" s="972" t="s">
        <v>2392</v>
      </c>
      <c r="D1049" s="972">
        <v>2.8249999999999998E-3</v>
      </c>
      <c r="E1049" s="972">
        <v>4.7190000000000001E-3</v>
      </c>
      <c r="F1049" s="972">
        <v>-6.3999999999999997E-5</v>
      </c>
      <c r="G1049" s="972">
        <v>16772</v>
      </c>
      <c r="H1049" s="972">
        <v>35.402999999999999</v>
      </c>
      <c r="I1049" s="972">
        <v>14.2705</v>
      </c>
      <c r="J1049" s="972">
        <v>14.6</v>
      </c>
    </row>
    <row r="1050" spans="1:10" ht="15.75" hidden="1">
      <c r="A1050" s="972" t="s">
        <v>2433</v>
      </c>
      <c r="B1050" s="972" t="s">
        <v>1834</v>
      </c>
      <c r="C1050" s="972" t="s">
        <v>2393</v>
      </c>
      <c r="D1050" s="972">
        <v>-6.2880000000000002E-3</v>
      </c>
      <c r="E1050" s="972">
        <v>3.6670000000000001E-3</v>
      </c>
      <c r="F1050" s="972">
        <v>-4.8999999999999998E-5</v>
      </c>
      <c r="G1050" s="972">
        <v>16772</v>
      </c>
      <c r="H1050" s="972">
        <v>35.402999999999999</v>
      </c>
      <c r="I1050" s="972">
        <v>14.2705</v>
      </c>
      <c r="J1050" s="972">
        <v>14.6</v>
      </c>
    </row>
    <row r="1051" spans="1:10" ht="15.75" hidden="1">
      <c r="A1051" s="972" t="s">
        <v>2433</v>
      </c>
      <c r="B1051" s="972" t="s">
        <v>1834</v>
      </c>
      <c r="C1051" s="972" t="s">
        <v>2394</v>
      </c>
      <c r="D1051" s="972">
        <v>-3.849E-3</v>
      </c>
      <c r="E1051" s="972">
        <v>-4.5859999999999998E-3</v>
      </c>
      <c r="F1051" s="972">
        <v>-1.9999999999999999E-6</v>
      </c>
      <c r="G1051" s="972">
        <v>16772</v>
      </c>
      <c r="H1051" s="972">
        <v>35.402999999999999</v>
      </c>
      <c r="I1051" s="972">
        <v>14.2705</v>
      </c>
      <c r="J1051" s="972">
        <v>14.6</v>
      </c>
    </row>
    <row r="1052" spans="1:10" ht="15.75" hidden="1">
      <c r="A1052" s="972" t="s">
        <v>2433</v>
      </c>
      <c r="B1052" s="972" t="s">
        <v>1834</v>
      </c>
      <c r="C1052" s="972" t="s">
        <v>2395</v>
      </c>
      <c r="D1052" s="972">
        <v>5.7140000000000003E-3</v>
      </c>
      <c r="E1052" s="972">
        <v>-3.039E-3</v>
      </c>
      <c r="F1052" s="972">
        <v>4.0000000000000003E-5</v>
      </c>
      <c r="G1052" s="972">
        <v>16772</v>
      </c>
      <c r="H1052" s="972">
        <v>35.402999999999999</v>
      </c>
      <c r="I1052" s="972">
        <v>14.2705</v>
      </c>
      <c r="J1052" s="972">
        <v>14.6</v>
      </c>
    </row>
    <row r="1053" spans="1:10" ht="15.75" hidden="1">
      <c r="A1053" s="972" t="s">
        <v>2433</v>
      </c>
      <c r="B1053" s="972" t="s">
        <v>1834</v>
      </c>
      <c r="C1053" s="972" t="s">
        <v>2396</v>
      </c>
      <c r="D1053" s="972">
        <v>3.4759999999999999E-3</v>
      </c>
      <c r="E1053" s="972">
        <v>7.0089999999999996E-3</v>
      </c>
      <c r="F1053" s="972">
        <v>-3.3000000000000003E-5</v>
      </c>
      <c r="G1053" s="972">
        <v>16772</v>
      </c>
      <c r="H1053" s="972">
        <v>35.402999999999999</v>
      </c>
      <c r="I1053" s="972">
        <v>14.2705</v>
      </c>
      <c r="J1053" s="972">
        <v>14.6</v>
      </c>
    </row>
    <row r="1054" spans="1:10" ht="15.75" hidden="1">
      <c r="A1054" s="972" t="s">
        <v>2434</v>
      </c>
      <c r="B1054" s="972" t="s">
        <v>1834</v>
      </c>
      <c r="C1054" s="972" t="s">
        <v>2297</v>
      </c>
      <c r="D1054" s="972">
        <v>-5.7000000000000003E-5</v>
      </c>
      <c r="E1054" s="972">
        <v>2.9799999999999998E-4</v>
      </c>
      <c r="F1054" s="972">
        <v>3.9999999999999998E-6</v>
      </c>
      <c r="G1054" s="972">
        <v>16773</v>
      </c>
      <c r="H1054" s="972">
        <v>35.402999999999999</v>
      </c>
      <c r="I1054" s="972">
        <v>14.2705</v>
      </c>
      <c r="J1054" s="972">
        <v>11.2</v>
      </c>
    </row>
    <row r="1055" spans="1:10" ht="15.75" hidden="1">
      <c r="A1055" s="972" t="s">
        <v>2434</v>
      </c>
      <c r="B1055" s="972" t="s">
        <v>1834</v>
      </c>
      <c r="C1055" s="972" t="s">
        <v>2298</v>
      </c>
      <c r="D1055" s="972">
        <v>-5.8E-5</v>
      </c>
      <c r="E1055" s="972">
        <v>-6.2000000000000003E-5</v>
      </c>
      <c r="F1055" s="972">
        <v>2.1999999999999999E-5</v>
      </c>
      <c r="G1055" s="972">
        <v>16773</v>
      </c>
      <c r="H1055" s="972">
        <v>35.402999999999999</v>
      </c>
      <c r="I1055" s="972">
        <v>14.2705</v>
      </c>
      <c r="J1055" s="972">
        <v>11.2</v>
      </c>
    </row>
    <row r="1056" spans="1:10" ht="15.75">
      <c r="A1056" s="972" t="s">
        <v>2434</v>
      </c>
      <c r="B1056" s="972" t="s">
        <v>1834</v>
      </c>
      <c r="C1056" s="972" t="s">
        <v>2299</v>
      </c>
      <c r="D1056" s="972">
        <v>3.6000000000000002E-4</v>
      </c>
      <c r="E1056" s="972">
        <v>6.7999999999999999E-5</v>
      </c>
      <c r="F1056" s="972">
        <v>3.9999999999999998E-6</v>
      </c>
      <c r="G1056" s="972">
        <v>16773</v>
      </c>
      <c r="H1056" s="972">
        <v>35.402999999999999</v>
      </c>
      <c r="I1056" s="972">
        <v>14.2705</v>
      </c>
      <c r="J1056" s="972">
        <v>11.2</v>
      </c>
    </row>
    <row r="1057" spans="1:10" ht="15.75" hidden="1">
      <c r="A1057" s="972" t="s">
        <v>2434</v>
      </c>
      <c r="B1057" s="972" t="s">
        <v>1834</v>
      </c>
      <c r="C1057" s="972" t="s">
        <v>2300</v>
      </c>
      <c r="D1057" s="972">
        <v>-2.1100000000000001E-4</v>
      </c>
      <c r="E1057" s="972">
        <v>1.2999999999999999E-5</v>
      </c>
      <c r="F1057" s="972">
        <v>7.7000000000000001E-5</v>
      </c>
      <c r="G1057" s="972">
        <v>16773</v>
      </c>
      <c r="H1057" s="972">
        <v>35.402999999999999</v>
      </c>
      <c r="I1057" s="972">
        <v>14.2705</v>
      </c>
      <c r="J1057" s="972">
        <v>11.2</v>
      </c>
    </row>
    <row r="1058" spans="1:10" ht="15.75" hidden="1">
      <c r="A1058" s="972" t="s">
        <v>2434</v>
      </c>
      <c r="B1058" s="972" t="s">
        <v>1834</v>
      </c>
      <c r="C1058" s="972" t="s">
        <v>2301</v>
      </c>
      <c r="D1058" s="972">
        <v>1.75E-4</v>
      </c>
      <c r="E1058" s="972">
        <v>-1.444E-3</v>
      </c>
      <c r="F1058" s="972">
        <v>1.9999999999999999E-6</v>
      </c>
      <c r="G1058" s="972">
        <v>16773</v>
      </c>
      <c r="H1058" s="972">
        <v>35.402999999999999</v>
      </c>
      <c r="I1058" s="972">
        <v>14.2705</v>
      </c>
      <c r="J1058" s="972">
        <v>11.2</v>
      </c>
    </row>
    <row r="1059" spans="1:10" ht="15.75" hidden="1">
      <c r="A1059" s="972" t="s">
        <v>2434</v>
      </c>
      <c r="B1059" s="972" t="s">
        <v>1834</v>
      </c>
      <c r="C1059" s="972" t="s">
        <v>2302</v>
      </c>
      <c r="D1059" s="972">
        <v>-1.4920000000000001E-3</v>
      </c>
      <c r="E1059" s="972">
        <v>-1.9900000000000001E-4</v>
      </c>
      <c r="F1059" s="972">
        <v>-1.5999999999999999E-5</v>
      </c>
      <c r="G1059" s="972">
        <v>16773</v>
      </c>
      <c r="H1059" s="972">
        <v>35.402999999999999</v>
      </c>
      <c r="I1059" s="972">
        <v>14.2705</v>
      </c>
      <c r="J1059" s="972">
        <v>11.2</v>
      </c>
    </row>
    <row r="1060" spans="1:10" ht="15.75" hidden="1">
      <c r="A1060" s="972" t="s">
        <v>2434</v>
      </c>
      <c r="B1060" s="972" t="s">
        <v>1834</v>
      </c>
      <c r="C1060" s="972" t="s">
        <v>2303</v>
      </c>
      <c r="D1060" s="972">
        <v>3.6099999999999999E-4</v>
      </c>
      <c r="E1060" s="972">
        <v>3.0000000000000001E-6</v>
      </c>
      <c r="F1060" s="972">
        <v>-1.3999999999999999E-4</v>
      </c>
      <c r="G1060" s="972">
        <v>16773</v>
      </c>
      <c r="H1060" s="972">
        <v>35.402999999999999</v>
      </c>
      <c r="I1060" s="972">
        <v>14.2705</v>
      </c>
      <c r="J1060" s="972">
        <v>11.2</v>
      </c>
    </row>
    <row r="1061" spans="1:10" ht="15.75" hidden="1">
      <c r="A1061" s="972" t="s">
        <v>2434</v>
      </c>
      <c r="B1061" s="972" t="s">
        <v>1834</v>
      </c>
      <c r="C1061" s="972" t="s">
        <v>2304</v>
      </c>
      <c r="D1061" s="972">
        <v>2.9399999999999999E-4</v>
      </c>
      <c r="E1061" s="972">
        <v>-2.9329999999999998E-3</v>
      </c>
      <c r="F1061" s="972">
        <v>3.5989999999999999E-7</v>
      </c>
      <c r="G1061" s="972">
        <v>16773</v>
      </c>
      <c r="H1061" s="972">
        <v>35.402999999999999</v>
      </c>
      <c r="I1061" s="972">
        <v>14.2705</v>
      </c>
      <c r="J1061" s="972">
        <v>11.2</v>
      </c>
    </row>
    <row r="1062" spans="1:10" ht="15.75" hidden="1">
      <c r="A1062" s="972" t="s">
        <v>2434</v>
      </c>
      <c r="B1062" s="972" t="s">
        <v>1834</v>
      </c>
      <c r="C1062" s="972" t="s">
        <v>2305</v>
      </c>
      <c r="D1062" s="972">
        <v>-1.12E-4</v>
      </c>
      <c r="E1062" s="972">
        <v>1.8E-5</v>
      </c>
      <c r="F1062" s="972">
        <v>2.03E-4</v>
      </c>
      <c r="G1062" s="972">
        <v>16773</v>
      </c>
      <c r="H1062" s="972">
        <v>35.402999999999999</v>
      </c>
      <c r="I1062" s="972">
        <v>14.2705</v>
      </c>
      <c r="J1062" s="972">
        <v>11.2</v>
      </c>
    </row>
    <row r="1063" spans="1:10" ht="15.75" hidden="1">
      <c r="A1063" s="972" t="s">
        <v>2434</v>
      </c>
      <c r="B1063" s="972" t="s">
        <v>1834</v>
      </c>
      <c r="C1063" s="972" t="s">
        <v>2306</v>
      </c>
      <c r="D1063" s="972">
        <v>-3.026E-3</v>
      </c>
      <c r="E1063" s="972">
        <v>-3.1300000000000002E-4</v>
      </c>
      <c r="F1063" s="972">
        <v>-9.9999999999999995E-7</v>
      </c>
      <c r="G1063" s="972">
        <v>16773</v>
      </c>
      <c r="H1063" s="972">
        <v>35.402999999999999</v>
      </c>
      <c r="I1063" s="972">
        <v>14.2705</v>
      </c>
      <c r="J1063" s="972">
        <v>11.2</v>
      </c>
    </row>
    <row r="1064" spans="1:10" ht="15.75" hidden="1">
      <c r="A1064" s="972" t="s">
        <v>2434</v>
      </c>
      <c r="B1064" s="972" t="s">
        <v>1834</v>
      </c>
      <c r="C1064" s="972" t="s">
        <v>2307</v>
      </c>
      <c r="D1064" s="972">
        <v>-4.2700000000000002E-4</v>
      </c>
      <c r="E1064" s="972">
        <v>1.5200000000000001E-3</v>
      </c>
      <c r="F1064" s="972">
        <v>2.3800000000000001E-4</v>
      </c>
      <c r="G1064" s="972">
        <v>16773</v>
      </c>
      <c r="H1064" s="972">
        <v>35.402999999999999</v>
      </c>
      <c r="I1064" s="972">
        <v>14.2705</v>
      </c>
      <c r="J1064" s="972">
        <v>11.2</v>
      </c>
    </row>
    <row r="1065" spans="1:10" ht="15.75" hidden="1">
      <c r="A1065" s="972" t="s">
        <v>2434</v>
      </c>
      <c r="B1065" s="972" t="s">
        <v>1834</v>
      </c>
      <c r="C1065" s="972" t="s">
        <v>2308</v>
      </c>
      <c r="D1065" s="972">
        <v>2.8499999999999999E-4</v>
      </c>
      <c r="E1065" s="972">
        <v>-4.0720000000000001E-3</v>
      </c>
      <c r="F1065" s="972">
        <v>9.0000000000000006E-5</v>
      </c>
      <c r="G1065" s="972">
        <v>16773</v>
      </c>
      <c r="H1065" s="972">
        <v>35.402999999999999</v>
      </c>
      <c r="I1065" s="972">
        <v>14.2705</v>
      </c>
      <c r="J1065" s="972">
        <v>11.2</v>
      </c>
    </row>
    <row r="1066" spans="1:10" ht="15.75" hidden="1">
      <c r="A1066" s="972" t="s">
        <v>2434</v>
      </c>
      <c r="B1066" s="972" t="s">
        <v>1834</v>
      </c>
      <c r="C1066" s="972" t="s">
        <v>2309</v>
      </c>
      <c r="D1066" s="972">
        <v>4.4450000000000002E-3</v>
      </c>
      <c r="E1066" s="972">
        <v>4.6099999999999998E-4</v>
      </c>
      <c r="F1066" s="972">
        <v>2.0999999999999999E-5</v>
      </c>
      <c r="G1066" s="972">
        <v>16773</v>
      </c>
      <c r="H1066" s="972">
        <v>35.402999999999999</v>
      </c>
      <c r="I1066" s="972">
        <v>14.2705</v>
      </c>
      <c r="J1066" s="972">
        <v>11.2</v>
      </c>
    </row>
    <row r="1067" spans="1:10" ht="15.75" hidden="1">
      <c r="A1067" s="972" t="s">
        <v>2434</v>
      </c>
      <c r="B1067" s="972" t="s">
        <v>1834</v>
      </c>
      <c r="C1067" s="972" t="s">
        <v>2310</v>
      </c>
      <c r="D1067" s="972">
        <v>-3.7500000000000001E-4</v>
      </c>
      <c r="E1067" s="972">
        <v>7.7999999999999999E-5</v>
      </c>
      <c r="F1067" s="972">
        <v>2.7399999999999999E-4</v>
      </c>
      <c r="G1067" s="972">
        <v>16773</v>
      </c>
      <c r="H1067" s="972">
        <v>35.402999999999999</v>
      </c>
      <c r="I1067" s="972">
        <v>14.2705</v>
      </c>
      <c r="J1067" s="972">
        <v>11.2</v>
      </c>
    </row>
    <row r="1068" spans="1:10" ht="15.75" hidden="1">
      <c r="A1068" s="972" t="s">
        <v>2434</v>
      </c>
      <c r="B1068" s="972" t="s">
        <v>1834</v>
      </c>
      <c r="C1068" s="972" t="s">
        <v>2311</v>
      </c>
      <c r="D1068" s="972">
        <v>5.1599999999999997E-4</v>
      </c>
      <c r="E1068" s="972">
        <v>-5.4400000000000004E-3</v>
      </c>
      <c r="F1068" s="972">
        <v>6.9999999999999999E-6</v>
      </c>
      <c r="G1068" s="972">
        <v>16773</v>
      </c>
      <c r="H1068" s="972">
        <v>35.402999999999999</v>
      </c>
      <c r="I1068" s="972">
        <v>14.2705</v>
      </c>
      <c r="J1068" s="972">
        <v>11.2</v>
      </c>
    </row>
    <row r="1069" spans="1:10" ht="15.75" hidden="1">
      <c r="A1069" s="972" t="s">
        <v>2434</v>
      </c>
      <c r="B1069" s="972" t="s">
        <v>1834</v>
      </c>
      <c r="C1069" s="972" t="s">
        <v>2328</v>
      </c>
      <c r="D1069" s="972">
        <v>3.2899999999999997E-4</v>
      </c>
      <c r="E1069" s="972">
        <v>3.3000000000000003E-5</v>
      </c>
      <c r="F1069" s="972">
        <v>2.2100000000000001E-4</v>
      </c>
      <c r="G1069" s="972">
        <v>16773</v>
      </c>
      <c r="H1069" s="972">
        <v>35.402999999999999</v>
      </c>
      <c r="I1069" s="972">
        <v>14.2705</v>
      </c>
      <c r="J1069" s="972">
        <v>11.2</v>
      </c>
    </row>
    <row r="1070" spans="1:10" ht="15.75" hidden="1">
      <c r="A1070" s="972" t="s">
        <v>2434</v>
      </c>
      <c r="B1070" s="972" t="s">
        <v>1834</v>
      </c>
      <c r="C1070" s="972" t="s">
        <v>2329</v>
      </c>
      <c r="D1070" s="972">
        <v>5.5059999999999996E-3</v>
      </c>
      <c r="E1070" s="972">
        <v>5.6700000000000001E-4</v>
      </c>
      <c r="F1070" s="972">
        <v>-1.2999999999999999E-5</v>
      </c>
      <c r="G1070" s="972">
        <v>16773</v>
      </c>
      <c r="H1070" s="972">
        <v>35.402999999999999</v>
      </c>
      <c r="I1070" s="972">
        <v>14.2705</v>
      </c>
      <c r="J1070" s="972">
        <v>11.2</v>
      </c>
    </row>
    <row r="1071" spans="1:10" ht="15.75" hidden="1">
      <c r="A1071" s="972" t="s">
        <v>2434</v>
      </c>
      <c r="B1071" s="972" t="s">
        <v>1834</v>
      </c>
      <c r="C1071" s="972" t="s">
        <v>2330</v>
      </c>
      <c r="D1071" s="972">
        <v>-5.8299999999999997E-4</v>
      </c>
      <c r="E1071" s="972">
        <v>5.6969999999999998E-3</v>
      </c>
      <c r="F1071" s="972">
        <v>-9.0000000000000002E-6</v>
      </c>
      <c r="G1071" s="972">
        <v>16773</v>
      </c>
      <c r="H1071" s="972">
        <v>35.402999999999999</v>
      </c>
      <c r="I1071" s="972">
        <v>14.2705</v>
      </c>
      <c r="J1071" s="972">
        <v>11.2</v>
      </c>
    </row>
    <row r="1072" spans="1:10" ht="15.75" hidden="1">
      <c r="A1072" s="972" t="s">
        <v>2434</v>
      </c>
      <c r="B1072" s="972" t="s">
        <v>1834</v>
      </c>
      <c r="C1072" s="972" t="s">
        <v>2331</v>
      </c>
      <c r="D1072" s="972">
        <v>-2.0999999999999999E-5</v>
      </c>
      <c r="E1072" s="972">
        <v>1.07E-3</v>
      </c>
      <c r="F1072" s="972">
        <v>-5.3000000000000001E-5</v>
      </c>
      <c r="G1072" s="972">
        <v>16773</v>
      </c>
      <c r="H1072" s="972">
        <v>35.402999999999999</v>
      </c>
      <c r="I1072" s="972">
        <v>14.2705</v>
      </c>
      <c r="J1072" s="972">
        <v>11.2</v>
      </c>
    </row>
    <row r="1073" spans="1:10" ht="15.75" hidden="1">
      <c r="A1073" s="972" t="s">
        <v>2434</v>
      </c>
      <c r="B1073" s="972" t="s">
        <v>1834</v>
      </c>
      <c r="C1073" s="972" t="s">
        <v>2332</v>
      </c>
      <c r="D1073" s="972">
        <v>5.6290000000000003E-3</v>
      </c>
      <c r="E1073" s="972">
        <v>5.9299999999999999E-4</v>
      </c>
      <c r="F1073" s="972">
        <v>-3.3000000000000003E-5</v>
      </c>
      <c r="G1073" s="972">
        <v>16773</v>
      </c>
      <c r="H1073" s="972">
        <v>35.402999999999999</v>
      </c>
      <c r="I1073" s="972">
        <v>14.2705</v>
      </c>
      <c r="J1073" s="972">
        <v>11.2</v>
      </c>
    </row>
    <row r="1074" spans="1:10" ht="15.75" hidden="1">
      <c r="A1074" s="972" t="s">
        <v>2434</v>
      </c>
      <c r="B1074" s="972" t="s">
        <v>1834</v>
      </c>
      <c r="C1074" s="972" t="s">
        <v>2387</v>
      </c>
      <c r="D1074" s="972">
        <v>-8.8199999999999997E-4</v>
      </c>
      <c r="E1074" s="972">
        <v>4.9240000000000004E-3</v>
      </c>
      <c r="F1074" s="972">
        <v>-5.1E-5</v>
      </c>
      <c r="G1074" s="972">
        <v>16773</v>
      </c>
      <c r="H1074" s="972">
        <v>35.402999999999999</v>
      </c>
      <c r="I1074" s="972">
        <v>14.2705</v>
      </c>
      <c r="J1074" s="972">
        <v>11.2</v>
      </c>
    </row>
    <row r="1075" spans="1:10" ht="15.75" hidden="1">
      <c r="A1075" s="972" t="s">
        <v>2434</v>
      </c>
      <c r="B1075" s="972" t="s">
        <v>1834</v>
      </c>
      <c r="C1075" s="972" t="s">
        <v>2388</v>
      </c>
      <c r="D1075" s="972">
        <v>-4.0679999999999996E-3</v>
      </c>
      <c r="E1075" s="972">
        <v>-1.3649999999999999E-3</v>
      </c>
      <c r="F1075" s="972">
        <v>3.9999999999999998E-6</v>
      </c>
      <c r="G1075" s="972">
        <v>16773</v>
      </c>
      <c r="H1075" s="972">
        <v>35.402999999999999</v>
      </c>
      <c r="I1075" s="972">
        <v>14.2705</v>
      </c>
      <c r="J1075" s="972">
        <v>11.2</v>
      </c>
    </row>
    <row r="1076" spans="1:10" ht="15.75" hidden="1">
      <c r="A1076" s="972" t="s">
        <v>2434</v>
      </c>
      <c r="B1076" s="972" t="s">
        <v>1834</v>
      </c>
      <c r="C1076" s="972" t="s">
        <v>2389</v>
      </c>
      <c r="D1076" s="972">
        <v>2.0509999999999999E-3</v>
      </c>
      <c r="E1076" s="972">
        <v>-2.2599999999999999E-3</v>
      </c>
      <c r="F1076" s="972">
        <v>-2.4000000000000001E-5</v>
      </c>
      <c r="G1076" s="972">
        <v>16773</v>
      </c>
      <c r="H1076" s="972">
        <v>35.402999999999999</v>
      </c>
      <c r="I1076" s="972">
        <v>14.2705</v>
      </c>
      <c r="J1076" s="972">
        <v>11.2</v>
      </c>
    </row>
    <row r="1077" spans="1:10" ht="15.75" hidden="1">
      <c r="A1077" s="972" t="s">
        <v>2434</v>
      </c>
      <c r="B1077" s="972" t="s">
        <v>1834</v>
      </c>
      <c r="C1077" s="972" t="s">
        <v>2390</v>
      </c>
      <c r="D1077" s="972">
        <v>-1.0839999999999999E-3</v>
      </c>
      <c r="E1077" s="972">
        <v>-1.462E-3</v>
      </c>
      <c r="F1077" s="972">
        <v>4.6999999999999997E-5</v>
      </c>
      <c r="G1077" s="972">
        <v>16773</v>
      </c>
      <c r="H1077" s="972">
        <v>35.402999999999999</v>
      </c>
      <c r="I1077" s="972">
        <v>14.2705</v>
      </c>
      <c r="J1077" s="972">
        <v>11.2</v>
      </c>
    </row>
    <row r="1078" spans="1:10" ht="15.75" hidden="1">
      <c r="A1078" s="972" t="s">
        <v>2434</v>
      </c>
      <c r="B1078" s="972" t="s">
        <v>1834</v>
      </c>
      <c r="C1078" s="972" t="s">
        <v>2391</v>
      </c>
      <c r="D1078" s="972">
        <v>-3.5199999999999999E-4</v>
      </c>
      <c r="E1078" s="972">
        <v>-6.2200000000000005E-4</v>
      </c>
      <c r="F1078" s="972">
        <v>-2.9E-5</v>
      </c>
      <c r="G1078" s="972">
        <v>16773</v>
      </c>
      <c r="H1078" s="972">
        <v>35.402999999999999</v>
      </c>
      <c r="I1078" s="972">
        <v>14.2705</v>
      </c>
      <c r="J1078" s="972">
        <v>11.2</v>
      </c>
    </row>
    <row r="1079" spans="1:10" ht="15.75" hidden="1">
      <c r="A1079" s="972" t="s">
        <v>2434</v>
      </c>
      <c r="B1079" s="972" t="s">
        <v>1834</v>
      </c>
      <c r="C1079" s="972" t="s">
        <v>2392</v>
      </c>
      <c r="D1079" s="972">
        <v>3.21E-4</v>
      </c>
      <c r="E1079" s="972">
        <v>1.766E-3</v>
      </c>
      <c r="F1079" s="972">
        <v>-2.5999999999999998E-5</v>
      </c>
      <c r="G1079" s="972">
        <v>16773</v>
      </c>
      <c r="H1079" s="972">
        <v>35.402999999999999</v>
      </c>
      <c r="I1079" s="972">
        <v>14.2705</v>
      </c>
      <c r="J1079" s="972">
        <v>11.2</v>
      </c>
    </row>
    <row r="1080" spans="1:10" ht="15.75" hidden="1">
      <c r="A1080" s="972" t="s">
        <v>2434</v>
      </c>
      <c r="B1080" s="972" t="s">
        <v>1834</v>
      </c>
      <c r="C1080" s="972" t="s">
        <v>2393</v>
      </c>
      <c r="D1080" s="972">
        <v>-7.7609999999999997E-3</v>
      </c>
      <c r="E1080" s="972">
        <v>5.4380000000000001E-3</v>
      </c>
      <c r="F1080" s="972">
        <v>-2.6999999999999999E-5</v>
      </c>
      <c r="G1080" s="972">
        <v>16773</v>
      </c>
      <c r="H1080" s="972">
        <v>35.402999999999999</v>
      </c>
      <c r="I1080" s="972">
        <v>14.2705</v>
      </c>
      <c r="J1080" s="972">
        <v>11.2</v>
      </c>
    </row>
    <row r="1081" spans="1:10" ht="15.75" hidden="1">
      <c r="A1081" s="972" t="s">
        <v>2434</v>
      </c>
      <c r="B1081" s="972" t="s">
        <v>1834</v>
      </c>
      <c r="C1081" s="972" t="s">
        <v>2394</v>
      </c>
      <c r="D1081" s="972">
        <v>-5.8669999999999998E-3</v>
      </c>
      <c r="E1081" s="972">
        <v>-8.0090000000000005E-3</v>
      </c>
      <c r="F1081" s="972">
        <v>3.8000000000000002E-5</v>
      </c>
      <c r="G1081" s="972">
        <v>16773</v>
      </c>
      <c r="H1081" s="972">
        <v>35.402999999999999</v>
      </c>
      <c r="I1081" s="972">
        <v>14.2705</v>
      </c>
      <c r="J1081" s="972">
        <v>11.2</v>
      </c>
    </row>
    <row r="1082" spans="1:10" ht="15.75" hidden="1">
      <c r="A1082" s="972" t="s">
        <v>2434</v>
      </c>
      <c r="B1082" s="972" t="s">
        <v>1834</v>
      </c>
      <c r="C1082" s="972" t="s">
        <v>2395</v>
      </c>
      <c r="D1082" s="972">
        <v>-1.0820000000000001E-3</v>
      </c>
      <c r="E1082" s="972">
        <v>4.0900000000000002E-4</v>
      </c>
      <c r="F1082" s="972">
        <v>2.4000000000000001E-5</v>
      </c>
      <c r="G1082" s="972">
        <v>16773</v>
      </c>
      <c r="H1082" s="972">
        <v>35.402999999999999</v>
      </c>
      <c r="I1082" s="972">
        <v>14.2705</v>
      </c>
      <c r="J1082" s="972">
        <v>11.2</v>
      </c>
    </row>
    <row r="1083" spans="1:10" ht="15.75" hidden="1">
      <c r="A1083" s="972" t="s">
        <v>2434</v>
      </c>
      <c r="B1083" s="972" t="s">
        <v>1834</v>
      </c>
      <c r="C1083" s="972" t="s">
        <v>2396</v>
      </c>
      <c r="D1083" s="972">
        <v>4.0999999999999999E-4</v>
      </c>
      <c r="E1083" s="972">
        <v>9.4899999999999997E-4</v>
      </c>
      <c r="F1083" s="972">
        <v>-1.1E-5</v>
      </c>
      <c r="G1083" s="972">
        <v>16773</v>
      </c>
      <c r="H1083" s="972">
        <v>35.402999999999999</v>
      </c>
      <c r="I1083" s="972">
        <v>14.2705</v>
      </c>
      <c r="J1083" s="972">
        <v>11.2</v>
      </c>
    </row>
    <row r="1084" spans="1:10" ht="15.75" hidden="1">
      <c r="A1084" s="972" t="s">
        <v>2435</v>
      </c>
      <c r="B1084" s="972" t="s">
        <v>1834</v>
      </c>
      <c r="C1084" s="972" t="s">
        <v>2297</v>
      </c>
      <c r="D1084" s="972">
        <v>-3.6999999999999998E-5</v>
      </c>
      <c r="E1084" s="972">
        <v>1.9599999999999999E-4</v>
      </c>
      <c r="F1084" s="972">
        <v>3.0000000000000001E-6</v>
      </c>
      <c r="G1084" s="972">
        <v>16774</v>
      </c>
      <c r="H1084" s="972">
        <v>35.402999999999999</v>
      </c>
      <c r="I1084" s="972">
        <v>14.2705</v>
      </c>
      <c r="J1084" s="972">
        <v>7.8</v>
      </c>
    </row>
    <row r="1085" spans="1:10" ht="15.75" hidden="1">
      <c r="A1085" s="972" t="s">
        <v>2435</v>
      </c>
      <c r="B1085" s="972" t="s">
        <v>1834</v>
      </c>
      <c r="C1085" s="972" t="s">
        <v>2298</v>
      </c>
      <c r="D1085" s="972">
        <v>-3.8000000000000002E-5</v>
      </c>
      <c r="E1085" s="972">
        <v>-4.1E-5</v>
      </c>
      <c r="F1085" s="972">
        <v>1.4E-5</v>
      </c>
      <c r="G1085" s="972">
        <v>16774</v>
      </c>
      <c r="H1085" s="972">
        <v>35.402999999999999</v>
      </c>
      <c r="I1085" s="972">
        <v>14.2705</v>
      </c>
      <c r="J1085" s="972">
        <v>7.8</v>
      </c>
    </row>
    <row r="1086" spans="1:10" ht="15.75">
      <c r="A1086" s="972" t="s">
        <v>2435</v>
      </c>
      <c r="B1086" s="972" t="s">
        <v>1834</v>
      </c>
      <c r="C1086" s="972" t="s">
        <v>2299</v>
      </c>
      <c r="D1086" s="972">
        <v>2.4000000000000001E-4</v>
      </c>
      <c r="E1086" s="972">
        <v>4.6E-5</v>
      </c>
      <c r="F1086" s="972">
        <v>3.0000000000000001E-6</v>
      </c>
      <c r="G1086" s="972">
        <v>16774</v>
      </c>
      <c r="H1086" s="972">
        <v>35.402999999999999</v>
      </c>
      <c r="I1086" s="972">
        <v>14.2705</v>
      </c>
      <c r="J1086" s="972">
        <v>7.8</v>
      </c>
    </row>
    <row r="1087" spans="1:10" ht="15.75" hidden="1">
      <c r="A1087" s="972" t="s">
        <v>2435</v>
      </c>
      <c r="B1087" s="972" t="s">
        <v>1834</v>
      </c>
      <c r="C1087" s="972" t="s">
        <v>2300</v>
      </c>
      <c r="D1087" s="972">
        <v>-1.4200000000000001E-4</v>
      </c>
      <c r="E1087" s="972">
        <v>1.1E-5</v>
      </c>
      <c r="F1087" s="972">
        <v>5.1999999999999997E-5</v>
      </c>
      <c r="G1087" s="972">
        <v>16774</v>
      </c>
      <c r="H1087" s="972">
        <v>35.402999999999999</v>
      </c>
      <c r="I1087" s="972">
        <v>14.2705</v>
      </c>
      <c r="J1087" s="972">
        <v>7.8</v>
      </c>
    </row>
    <row r="1088" spans="1:10" ht="15.75" hidden="1">
      <c r="A1088" s="972" t="s">
        <v>2435</v>
      </c>
      <c r="B1088" s="972" t="s">
        <v>1834</v>
      </c>
      <c r="C1088" s="972" t="s">
        <v>2301</v>
      </c>
      <c r="D1088" s="972">
        <v>1.1900000000000001E-4</v>
      </c>
      <c r="E1088" s="972">
        <v>-9.8799999999999995E-4</v>
      </c>
      <c r="F1088" s="972">
        <v>9.9999999999999995E-7</v>
      </c>
      <c r="G1088" s="972">
        <v>16774</v>
      </c>
      <c r="H1088" s="972">
        <v>35.402999999999999</v>
      </c>
      <c r="I1088" s="972">
        <v>14.2705</v>
      </c>
      <c r="J1088" s="972">
        <v>7.8</v>
      </c>
    </row>
    <row r="1089" spans="1:10" ht="15.75" hidden="1">
      <c r="A1089" s="972" t="s">
        <v>2435</v>
      </c>
      <c r="B1089" s="972" t="s">
        <v>1834</v>
      </c>
      <c r="C1089" s="972" t="s">
        <v>2302</v>
      </c>
      <c r="D1089" s="972">
        <v>-1.0319999999999999E-3</v>
      </c>
      <c r="E1089" s="972">
        <v>-1.3999999999999999E-4</v>
      </c>
      <c r="F1089" s="972">
        <v>-1.1E-5</v>
      </c>
      <c r="G1089" s="972">
        <v>16774</v>
      </c>
      <c r="H1089" s="972">
        <v>35.402999999999999</v>
      </c>
      <c r="I1089" s="972">
        <v>14.2705</v>
      </c>
      <c r="J1089" s="972">
        <v>7.8</v>
      </c>
    </row>
    <row r="1090" spans="1:10" ht="15.75" hidden="1">
      <c r="A1090" s="972" t="s">
        <v>2435</v>
      </c>
      <c r="B1090" s="972" t="s">
        <v>1834</v>
      </c>
      <c r="C1090" s="972" t="s">
        <v>2303</v>
      </c>
      <c r="D1090" s="972">
        <v>2.4899999999999998E-4</v>
      </c>
      <c r="E1090" s="972">
        <v>-1.9999999999999999E-6</v>
      </c>
      <c r="F1090" s="972">
        <v>-9.7999999999999997E-5</v>
      </c>
      <c r="G1090" s="972">
        <v>16774</v>
      </c>
      <c r="H1090" s="972">
        <v>35.402999999999999</v>
      </c>
      <c r="I1090" s="972">
        <v>14.2705</v>
      </c>
      <c r="J1090" s="972">
        <v>7.8</v>
      </c>
    </row>
    <row r="1091" spans="1:10" ht="15.75" hidden="1">
      <c r="A1091" s="972" t="s">
        <v>2435</v>
      </c>
      <c r="B1091" s="972" t="s">
        <v>1834</v>
      </c>
      <c r="C1091" s="972" t="s">
        <v>2304</v>
      </c>
      <c r="D1091" s="972">
        <v>2.0699999999999999E-4</v>
      </c>
      <c r="E1091" s="972">
        <v>-2.0920000000000001E-3</v>
      </c>
      <c r="F1091" s="972">
        <v>-1.5370000000000001E-7</v>
      </c>
      <c r="G1091" s="972">
        <v>16774</v>
      </c>
      <c r="H1091" s="972">
        <v>35.402999999999999</v>
      </c>
      <c r="I1091" s="972">
        <v>14.2705</v>
      </c>
      <c r="J1091" s="972">
        <v>7.8</v>
      </c>
    </row>
    <row r="1092" spans="1:10" ht="15.75" hidden="1">
      <c r="A1092" s="972" t="s">
        <v>2435</v>
      </c>
      <c r="B1092" s="972" t="s">
        <v>1834</v>
      </c>
      <c r="C1092" s="972" t="s">
        <v>2305</v>
      </c>
      <c r="D1092" s="972">
        <v>-8.2000000000000001E-5</v>
      </c>
      <c r="E1092" s="972">
        <v>2.0999999999999999E-5</v>
      </c>
      <c r="F1092" s="972">
        <v>1.4999999999999999E-4</v>
      </c>
      <c r="G1092" s="972">
        <v>16774</v>
      </c>
      <c r="H1092" s="972">
        <v>35.402999999999999</v>
      </c>
      <c r="I1092" s="972">
        <v>14.2705</v>
      </c>
      <c r="J1092" s="972">
        <v>7.8</v>
      </c>
    </row>
    <row r="1093" spans="1:10" ht="15.75" hidden="1">
      <c r="A1093" s="972" t="s">
        <v>2435</v>
      </c>
      <c r="B1093" s="972" t="s">
        <v>1834</v>
      </c>
      <c r="C1093" s="972" t="s">
        <v>2306</v>
      </c>
      <c r="D1093" s="972">
        <v>-2.1849999999999999E-3</v>
      </c>
      <c r="E1093" s="972">
        <v>-2.2900000000000001E-4</v>
      </c>
      <c r="F1093" s="972">
        <v>-9.9999999999999995E-7</v>
      </c>
      <c r="G1093" s="972">
        <v>16774</v>
      </c>
      <c r="H1093" s="972">
        <v>35.402999999999999</v>
      </c>
      <c r="I1093" s="972">
        <v>14.2705</v>
      </c>
      <c r="J1093" s="972">
        <v>7.8</v>
      </c>
    </row>
    <row r="1094" spans="1:10" ht="15.75" hidden="1">
      <c r="A1094" s="972" t="s">
        <v>2435</v>
      </c>
      <c r="B1094" s="972" t="s">
        <v>1834</v>
      </c>
      <c r="C1094" s="972" t="s">
        <v>2307</v>
      </c>
      <c r="D1094" s="972">
        <v>-3.2600000000000001E-4</v>
      </c>
      <c r="E1094" s="972">
        <v>1.1640000000000001E-3</v>
      </c>
      <c r="F1094" s="972">
        <v>1.9100000000000001E-4</v>
      </c>
      <c r="G1094" s="972">
        <v>16774</v>
      </c>
      <c r="H1094" s="972">
        <v>35.402999999999999</v>
      </c>
      <c r="I1094" s="972">
        <v>14.2705</v>
      </c>
      <c r="J1094" s="972">
        <v>7.8</v>
      </c>
    </row>
    <row r="1095" spans="1:10" ht="15.75" hidden="1">
      <c r="A1095" s="972" t="s">
        <v>2435</v>
      </c>
      <c r="B1095" s="972" t="s">
        <v>1834</v>
      </c>
      <c r="C1095" s="972" t="s">
        <v>2308</v>
      </c>
      <c r="D1095" s="972">
        <v>2.1000000000000001E-4</v>
      </c>
      <c r="E1095" s="972">
        <v>-3.0790000000000001E-3</v>
      </c>
      <c r="F1095" s="972">
        <v>7.1000000000000005E-5</v>
      </c>
      <c r="G1095" s="972">
        <v>16774</v>
      </c>
      <c r="H1095" s="972">
        <v>35.402999999999999</v>
      </c>
      <c r="I1095" s="972">
        <v>14.2705</v>
      </c>
      <c r="J1095" s="972">
        <v>7.8</v>
      </c>
    </row>
    <row r="1096" spans="1:10" ht="15.75" hidden="1">
      <c r="A1096" s="972" t="s">
        <v>2435</v>
      </c>
      <c r="B1096" s="972" t="s">
        <v>1834</v>
      </c>
      <c r="C1096" s="972" t="s">
        <v>2309</v>
      </c>
      <c r="D1096" s="972">
        <v>3.4150000000000001E-3</v>
      </c>
      <c r="E1096" s="972">
        <v>3.6400000000000001E-4</v>
      </c>
      <c r="F1096" s="972">
        <v>1.9000000000000001E-5</v>
      </c>
      <c r="G1096" s="972">
        <v>16774</v>
      </c>
      <c r="H1096" s="972">
        <v>35.402999999999999</v>
      </c>
      <c r="I1096" s="972">
        <v>14.2705</v>
      </c>
      <c r="J1096" s="972">
        <v>7.8</v>
      </c>
    </row>
    <row r="1097" spans="1:10" ht="15.75" hidden="1">
      <c r="A1097" s="972" t="s">
        <v>2435</v>
      </c>
      <c r="B1097" s="972" t="s">
        <v>1834</v>
      </c>
      <c r="C1097" s="972" t="s">
        <v>2310</v>
      </c>
      <c r="D1097" s="972">
        <v>-3.0800000000000001E-4</v>
      </c>
      <c r="E1097" s="972">
        <v>9.1000000000000003E-5</v>
      </c>
      <c r="F1097" s="972">
        <v>2.5000000000000001E-4</v>
      </c>
      <c r="G1097" s="972">
        <v>16774</v>
      </c>
      <c r="H1097" s="972">
        <v>35.402999999999999</v>
      </c>
      <c r="I1097" s="972">
        <v>14.2705</v>
      </c>
      <c r="J1097" s="972">
        <v>7.8</v>
      </c>
    </row>
    <row r="1098" spans="1:10" ht="15.75" hidden="1">
      <c r="A1098" s="972" t="s">
        <v>2435</v>
      </c>
      <c r="B1098" s="972" t="s">
        <v>1834</v>
      </c>
      <c r="C1098" s="972" t="s">
        <v>2311</v>
      </c>
      <c r="D1098" s="972">
        <v>4.15E-4</v>
      </c>
      <c r="E1098" s="972">
        <v>-4.4679999999999997E-3</v>
      </c>
      <c r="F1098" s="972">
        <v>3.0000000000000001E-6</v>
      </c>
      <c r="G1098" s="972">
        <v>16774</v>
      </c>
      <c r="H1098" s="972">
        <v>35.402999999999999</v>
      </c>
      <c r="I1098" s="972">
        <v>14.2705</v>
      </c>
      <c r="J1098" s="972">
        <v>7.8</v>
      </c>
    </row>
    <row r="1099" spans="1:10" ht="15.75" hidden="1">
      <c r="A1099" s="972" t="s">
        <v>2435</v>
      </c>
      <c r="B1099" s="972" t="s">
        <v>1834</v>
      </c>
      <c r="C1099" s="972" t="s">
        <v>2328</v>
      </c>
      <c r="D1099" s="972">
        <v>2.6699999999999998E-4</v>
      </c>
      <c r="E1099" s="972">
        <v>8.7999999999999998E-5</v>
      </c>
      <c r="F1099" s="972">
        <v>2.5900000000000001E-4</v>
      </c>
      <c r="G1099" s="972">
        <v>16774</v>
      </c>
      <c r="H1099" s="972">
        <v>35.402999999999999</v>
      </c>
      <c r="I1099" s="972">
        <v>14.2705</v>
      </c>
      <c r="J1099" s="972">
        <v>7.8</v>
      </c>
    </row>
    <row r="1100" spans="1:10" ht="15.75" hidden="1">
      <c r="A1100" s="972" t="s">
        <v>2435</v>
      </c>
      <c r="B1100" s="972" t="s">
        <v>1834</v>
      </c>
      <c r="C1100" s="972" t="s">
        <v>2329</v>
      </c>
      <c r="D1100" s="972">
        <v>4.6179999999999997E-3</v>
      </c>
      <c r="E1100" s="972">
        <v>4.8799999999999999E-4</v>
      </c>
      <c r="F1100" s="972">
        <v>-1.1E-5</v>
      </c>
      <c r="G1100" s="972">
        <v>16774</v>
      </c>
      <c r="H1100" s="972">
        <v>35.402999999999999</v>
      </c>
      <c r="I1100" s="972">
        <v>14.2705</v>
      </c>
      <c r="J1100" s="972">
        <v>7.8</v>
      </c>
    </row>
    <row r="1101" spans="1:10" ht="15.75" hidden="1">
      <c r="A1101" s="972" t="s">
        <v>2435</v>
      </c>
      <c r="B1101" s="972" t="s">
        <v>1834</v>
      </c>
      <c r="C1101" s="972" t="s">
        <v>2330</v>
      </c>
      <c r="D1101" s="972">
        <v>-5.1800000000000001E-4</v>
      </c>
      <c r="E1101" s="972">
        <v>5.2900000000000004E-3</v>
      </c>
      <c r="F1101" s="972">
        <v>1.5999999999999999E-5</v>
      </c>
      <c r="G1101" s="972">
        <v>16774</v>
      </c>
      <c r="H1101" s="972">
        <v>35.402999999999999</v>
      </c>
      <c r="I1101" s="972">
        <v>14.2705</v>
      </c>
      <c r="J1101" s="972">
        <v>7.8</v>
      </c>
    </row>
    <row r="1102" spans="1:10" ht="15.75" hidden="1">
      <c r="A1102" s="972" t="s">
        <v>2435</v>
      </c>
      <c r="B1102" s="972" t="s">
        <v>1834</v>
      </c>
      <c r="C1102" s="972" t="s">
        <v>2331</v>
      </c>
      <c r="D1102" s="972">
        <v>-6.0000000000000002E-5</v>
      </c>
      <c r="E1102" s="972">
        <v>9.0300000000000005E-4</v>
      </c>
      <c r="F1102" s="972">
        <v>-1.6100000000000001E-4</v>
      </c>
      <c r="G1102" s="972">
        <v>16774</v>
      </c>
      <c r="H1102" s="972">
        <v>35.402999999999999</v>
      </c>
      <c r="I1102" s="972">
        <v>14.2705</v>
      </c>
      <c r="J1102" s="972">
        <v>7.8</v>
      </c>
    </row>
    <row r="1103" spans="1:10" ht="15.75" hidden="1">
      <c r="A1103" s="972" t="s">
        <v>2435</v>
      </c>
      <c r="B1103" s="972" t="s">
        <v>1834</v>
      </c>
      <c r="C1103" s="972" t="s">
        <v>2332</v>
      </c>
      <c r="D1103" s="972">
        <v>5.4099999999999999E-3</v>
      </c>
      <c r="E1103" s="972">
        <v>6.1600000000000001E-4</v>
      </c>
      <c r="F1103" s="972">
        <v>-1.4E-5</v>
      </c>
      <c r="G1103" s="972">
        <v>16774</v>
      </c>
      <c r="H1103" s="972">
        <v>35.402999999999999</v>
      </c>
      <c r="I1103" s="972">
        <v>14.2705</v>
      </c>
      <c r="J1103" s="972">
        <v>7.8</v>
      </c>
    </row>
    <row r="1104" spans="1:10" ht="15.75" hidden="1">
      <c r="A1104" s="972" t="s">
        <v>2435</v>
      </c>
      <c r="B1104" s="972" t="s">
        <v>1834</v>
      </c>
      <c r="C1104" s="972" t="s">
        <v>2387</v>
      </c>
      <c r="D1104" s="972">
        <v>-8.7500000000000002E-4</v>
      </c>
      <c r="E1104" s="972">
        <v>5.5370000000000003E-3</v>
      </c>
      <c r="F1104" s="972">
        <v>-2.4000000000000001E-5</v>
      </c>
      <c r="G1104" s="972">
        <v>16774</v>
      </c>
      <c r="H1104" s="972">
        <v>35.402999999999999</v>
      </c>
      <c r="I1104" s="972">
        <v>14.2705</v>
      </c>
      <c r="J1104" s="972">
        <v>7.8</v>
      </c>
    </row>
    <row r="1105" spans="1:10" ht="15.75" hidden="1">
      <c r="A1105" s="972" t="s">
        <v>2435</v>
      </c>
      <c r="B1105" s="972" t="s">
        <v>1834</v>
      </c>
      <c r="C1105" s="972" t="s">
        <v>2388</v>
      </c>
      <c r="D1105" s="972">
        <v>-4.5700000000000003E-3</v>
      </c>
      <c r="E1105" s="972">
        <v>-1.8E-3</v>
      </c>
      <c r="F1105" s="972">
        <v>4.8999999999999998E-5</v>
      </c>
      <c r="G1105" s="972">
        <v>16774</v>
      </c>
      <c r="H1105" s="972">
        <v>35.402999999999999</v>
      </c>
      <c r="I1105" s="972">
        <v>14.2705</v>
      </c>
      <c r="J1105" s="972">
        <v>7.8</v>
      </c>
    </row>
    <row r="1106" spans="1:10" ht="15.75" hidden="1">
      <c r="A1106" s="972" t="s">
        <v>2435</v>
      </c>
      <c r="B1106" s="972" t="s">
        <v>1834</v>
      </c>
      <c r="C1106" s="972" t="s">
        <v>2389</v>
      </c>
      <c r="D1106" s="972">
        <v>3.1480000000000002E-3</v>
      </c>
      <c r="E1106" s="972">
        <v>-3.7569999999999999E-3</v>
      </c>
      <c r="F1106" s="972">
        <v>2.0999999999999999E-5</v>
      </c>
      <c r="G1106" s="972">
        <v>16774</v>
      </c>
      <c r="H1106" s="972">
        <v>35.402999999999999</v>
      </c>
      <c r="I1106" s="972">
        <v>14.2705</v>
      </c>
      <c r="J1106" s="972">
        <v>7.8</v>
      </c>
    </row>
    <row r="1107" spans="1:10" ht="15.75" hidden="1">
      <c r="A1107" s="972" t="s">
        <v>2435</v>
      </c>
      <c r="B1107" s="972" t="s">
        <v>1834</v>
      </c>
      <c r="C1107" s="972" t="s">
        <v>2390</v>
      </c>
      <c r="D1107" s="972">
        <v>-2.369E-3</v>
      </c>
      <c r="E1107" s="972">
        <v>-3.2499999999999999E-3</v>
      </c>
      <c r="F1107" s="972">
        <v>2.1999999999999999E-5</v>
      </c>
      <c r="G1107" s="972">
        <v>16774</v>
      </c>
      <c r="H1107" s="972">
        <v>35.402999999999999</v>
      </c>
      <c r="I1107" s="972">
        <v>14.2705</v>
      </c>
      <c r="J1107" s="972">
        <v>7.8</v>
      </c>
    </row>
    <row r="1108" spans="1:10" ht="15.75" hidden="1">
      <c r="A1108" s="972" t="s">
        <v>2435</v>
      </c>
      <c r="B1108" s="972" t="s">
        <v>1834</v>
      </c>
      <c r="C1108" s="972" t="s">
        <v>2391</v>
      </c>
      <c r="D1108" s="972">
        <v>-2.9780000000000002E-3</v>
      </c>
      <c r="E1108" s="972">
        <v>1.6689999999999999E-3</v>
      </c>
      <c r="F1108" s="972">
        <v>1.9999999999999999E-6</v>
      </c>
      <c r="G1108" s="972">
        <v>16774</v>
      </c>
      <c r="H1108" s="972">
        <v>35.402999999999999</v>
      </c>
      <c r="I1108" s="972">
        <v>14.2705</v>
      </c>
      <c r="J1108" s="972">
        <v>7.8</v>
      </c>
    </row>
    <row r="1109" spans="1:10" ht="15.75" hidden="1">
      <c r="A1109" s="972" t="s">
        <v>2435</v>
      </c>
      <c r="B1109" s="972" t="s">
        <v>1834</v>
      </c>
      <c r="C1109" s="972" t="s">
        <v>2392</v>
      </c>
      <c r="D1109" s="972">
        <v>-1.6670000000000001E-3</v>
      </c>
      <c r="E1109" s="972">
        <v>-1.6639999999999999E-3</v>
      </c>
      <c r="F1109" s="972">
        <v>2.3E-5</v>
      </c>
      <c r="G1109" s="972">
        <v>16774</v>
      </c>
      <c r="H1109" s="972">
        <v>35.402999999999999</v>
      </c>
      <c r="I1109" s="972">
        <v>14.2705</v>
      </c>
      <c r="J1109" s="972">
        <v>7.8</v>
      </c>
    </row>
    <row r="1110" spans="1:10" ht="15.75" hidden="1">
      <c r="A1110" s="972" t="s">
        <v>2435</v>
      </c>
      <c r="B1110" s="972" t="s">
        <v>1834</v>
      </c>
      <c r="C1110" s="972" t="s">
        <v>2393</v>
      </c>
      <c r="D1110" s="972">
        <v>-4.411E-3</v>
      </c>
      <c r="E1110" s="972">
        <v>3.153E-3</v>
      </c>
      <c r="F1110" s="972">
        <v>6.0000000000000002E-6</v>
      </c>
      <c r="G1110" s="972">
        <v>16774</v>
      </c>
      <c r="H1110" s="972">
        <v>35.402999999999999</v>
      </c>
      <c r="I1110" s="972">
        <v>14.2705</v>
      </c>
      <c r="J1110" s="972">
        <v>7.8</v>
      </c>
    </row>
    <row r="1111" spans="1:10" ht="15.75" hidden="1">
      <c r="A1111" s="972" t="s">
        <v>2435</v>
      </c>
      <c r="B1111" s="972" t="s">
        <v>1834</v>
      </c>
      <c r="C1111" s="972" t="s">
        <v>2394</v>
      </c>
      <c r="D1111" s="972">
        <v>-3.9360000000000003E-3</v>
      </c>
      <c r="E1111" s="972">
        <v>-5.6010000000000001E-3</v>
      </c>
      <c r="F1111" s="972">
        <v>3.1999999999999999E-5</v>
      </c>
      <c r="G1111" s="972">
        <v>16774</v>
      </c>
      <c r="H1111" s="972">
        <v>35.402999999999999</v>
      </c>
      <c r="I1111" s="972">
        <v>14.2705</v>
      </c>
      <c r="J1111" s="972">
        <v>7.8</v>
      </c>
    </row>
    <row r="1112" spans="1:10" ht="15.75" hidden="1">
      <c r="A1112" s="972" t="s">
        <v>2435</v>
      </c>
      <c r="B1112" s="972" t="s">
        <v>1834</v>
      </c>
      <c r="C1112" s="972" t="s">
        <v>2395</v>
      </c>
      <c r="D1112" s="972">
        <v>-9.9780000000000008E-3</v>
      </c>
      <c r="E1112" s="972">
        <v>5.306E-3</v>
      </c>
      <c r="F1112" s="972">
        <v>-3.9999999999999998E-6</v>
      </c>
      <c r="G1112" s="972">
        <v>16774</v>
      </c>
      <c r="H1112" s="972">
        <v>35.402999999999999</v>
      </c>
      <c r="I1112" s="972">
        <v>14.2705</v>
      </c>
      <c r="J1112" s="972">
        <v>7.8</v>
      </c>
    </row>
    <row r="1113" spans="1:10" ht="15.75" hidden="1">
      <c r="A1113" s="972" t="s">
        <v>2435</v>
      </c>
      <c r="B1113" s="972" t="s">
        <v>1834</v>
      </c>
      <c r="C1113" s="972" t="s">
        <v>2396</v>
      </c>
      <c r="D1113" s="972">
        <v>-4.8219999999999999E-3</v>
      </c>
      <c r="E1113" s="972">
        <v>-9.4289999999999999E-3</v>
      </c>
      <c r="F1113" s="972">
        <v>4.0000000000000003E-5</v>
      </c>
      <c r="G1113" s="972">
        <v>16774</v>
      </c>
      <c r="H1113" s="972">
        <v>35.402999999999999</v>
      </c>
      <c r="I1113" s="972">
        <v>14.2705</v>
      </c>
      <c r="J1113" s="972">
        <v>7.8</v>
      </c>
    </row>
    <row r="1114" spans="1:10" ht="15.75" hidden="1">
      <c r="A1114" s="972" t="s">
        <v>2400</v>
      </c>
      <c r="B1114" s="972" t="s">
        <v>1834</v>
      </c>
      <c r="C1114" s="972" t="s">
        <v>2297</v>
      </c>
      <c r="D1114" s="972">
        <v>-2.0999999999999999E-5</v>
      </c>
      <c r="E1114" s="972">
        <v>1.1E-4</v>
      </c>
      <c r="F1114" s="972">
        <v>9.9999999999999995E-7</v>
      </c>
      <c r="G1114" s="972">
        <v>16775</v>
      </c>
      <c r="H1114" s="972">
        <v>35.4084</v>
      </c>
      <c r="I1114" s="972">
        <v>14.267899999999999</v>
      </c>
      <c r="J1114" s="972">
        <v>4.4000000000000004</v>
      </c>
    </row>
    <row r="1115" spans="1:10" ht="15.75" hidden="1">
      <c r="A1115" s="972" t="s">
        <v>2400</v>
      </c>
      <c r="B1115" s="972" t="s">
        <v>1834</v>
      </c>
      <c r="C1115" s="972" t="s">
        <v>2298</v>
      </c>
      <c r="D1115" s="972">
        <v>-2.1999999999999999E-5</v>
      </c>
      <c r="E1115" s="972">
        <v>-2.1999999999999999E-5</v>
      </c>
      <c r="F1115" s="972">
        <v>7.9999999999999996E-6</v>
      </c>
      <c r="G1115" s="972">
        <v>16775</v>
      </c>
      <c r="H1115" s="972">
        <v>35.4084</v>
      </c>
      <c r="I1115" s="972">
        <v>14.267899999999999</v>
      </c>
      <c r="J1115" s="972">
        <v>4.4000000000000004</v>
      </c>
    </row>
    <row r="1116" spans="1:10" ht="15.75">
      <c r="A1116" s="972" t="s">
        <v>2400</v>
      </c>
      <c r="B1116" s="972" t="s">
        <v>1834</v>
      </c>
      <c r="C1116" s="972" t="s">
        <v>2299</v>
      </c>
      <c r="D1116" s="972">
        <v>1.3799999999999999E-4</v>
      </c>
      <c r="E1116" s="972">
        <v>2.6999999999999999E-5</v>
      </c>
      <c r="F1116" s="972">
        <v>1.9999999999999999E-6</v>
      </c>
      <c r="G1116" s="972">
        <v>16775</v>
      </c>
      <c r="H1116" s="972">
        <v>35.4084</v>
      </c>
      <c r="I1116" s="972">
        <v>14.267899999999999</v>
      </c>
      <c r="J1116" s="972">
        <v>4.4000000000000004</v>
      </c>
    </row>
    <row r="1117" spans="1:10" ht="15.75" hidden="1">
      <c r="A1117" s="972" t="s">
        <v>2400</v>
      </c>
      <c r="B1117" s="972" t="s">
        <v>1834</v>
      </c>
      <c r="C1117" s="972" t="s">
        <v>2300</v>
      </c>
      <c r="D1117" s="972">
        <v>-8.2000000000000001E-5</v>
      </c>
      <c r="E1117" s="972">
        <v>9.0000000000000002E-6</v>
      </c>
      <c r="F1117" s="972">
        <v>2.9E-5</v>
      </c>
      <c r="G1117" s="972">
        <v>16775</v>
      </c>
      <c r="H1117" s="972">
        <v>35.4084</v>
      </c>
      <c r="I1117" s="972">
        <v>14.267899999999999</v>
      </c>
      <c r="J1117" s="972">
        <v>4.4000000000000004</v>
      </c>
    </row>
    <row r="1118" spans="1:10" ht="15.75" hidden="1">
      <c r="A1118" s="972" t="s">
        <v>2400</v>
      </c>
      <c r="B1118" s="972" t="s">
        <v>1834</v>
      </c>
      <c r="C1118" s="972" t="s">
        <v>2301</v>
      </c>
      <c r="D1118" s="972">
        <v>6.8999999999999997E-5</v>
      </c>
      <c r="E1118" s="972">
        <v>-5.8299999999999997E-4</v>
      </c>
      <c r="F1118" s="972">
        <v>4.1680000000000003E-7</v>
      </c>
      <c r="G1118" s="972">
        <v>16775</v>
      </c>
      <c r="H1118" s="972">
        <v>35.4084</v>
      </c>
      <c r="I1118" s="972">
        <v>14.267899999999999</v>
      </c>
      <c r="J1118" s="972">
        <v>4.4000000000000004</v>
      </c>
    </row>
    <row r="1119" spans="1:10" ht="15.75" hidden="1">
      <c r="A1119" s="972" t="s">
        <v>2400</v>
      </c>
      <c r="B1119" s="972" t="s">
        <v>1834</v>
      </c>
      <c r="C1119" s="972" t="s">
        <v>2302</v>
      </c>
      <c r="D1119" s="972">
        <v>-6.1899999999999998E-4</v>
      </c>
      <c r="E1119" s="972">
        <v>-8.6000000000000003E-5</v>
      </c>
      <c r="F1119" s="972">
        <v>-6.9999999999999999E-6</v>
      </c>
      <c r="G1119" s="972">
        <v>16775</v>
      </c>
      <c r="H1119" s="972">
        <v>35.4084</v>
      </c>
      <c r="I1119" s="972">
        <v>14.267899999999999</v>
      </c>
      <c r="J1119" s="972">
        <v>4.4000000000000004</v>
      </c>
    </row>
    <row r="1120" spans="1:10" ht="15.75" hidden="1">
      <c r="A1120" s="972" t="s">
        <v>2400</v>
      </c>
      <c r="B1120" s="972" t="s">
        <v>1834</v>
      </c>
      <c r="C1120" s="972" t="s">
        <v>2303</v>
      </c>
      <c r="D1120" s="972">
        <v>1.4799999999999999E-4</v>
      </c>
      <c r="E1120" s="972">
        <v>-6.0000000000000002E-6</v>
      </c>
      <c r="F1120" s="972">
        <v>-5.7000000000000003E-5</v>
      </c>
      <c r="G1120" s="972">
        <v>16775</v>
      </c>
      <c r="H1120" s="972">
        <v>35.4084</v>
      </c>
      <c r="I1120" s="972">
        <v>14.267899999999999</v>
      </c>
      <c r="J1120" s="972">
        <v>4.4000000000000004</v>
      </c>
    </row>
    <row r="1121" spans="1:10" ht="15.75" hidden="1">
      <c r="A1121" s="972" t="s">
        <v>2400</v>
      </c>
      <c r="B1121" s="972" t="s">
        <v>1834</v>
      </c>
      <c r="C1121" s="972" t="s">
        <v>2304</v>
      </c>
      <c r="D1121" s="972">
        <v>1.25E-4</v>
      </c>
      <c r="E1121" s="972">
        <v>-1.284E-3</v>
      </c>
      <c r="F1121" s="972">
        <v>-9.9999999999999995E-7</v>
      </c>
      <c r="G1121" s="972">
        <v>16775</v>
      </c>
      <c r="H1121" s="972">
        <v>35.4084</v>
      </c>
      <c r="I1121" s="972">
        <v>14.267899999999999</v>
      </c>
      <c r="J1121" s="972">
        <v>4.4000000000000004</v>
      </c>
    </row>
    <row r="1122" spans="1:10" ht="15.75" hidden="1">
      <c r="A1122" s="972" t="s">
        <v>2400</v>
      </c>
      <c r="B1122" s="972" t="s">
        <v>1834</v>
      </c>
      <c r="C1122" s="972" t="s">
        <v>2305</v>
      </c>
      <c r="D1122" s="972">
        <v>-4.8000000000000001E-5</v>
      </c>
      <c r="E1122" s="972">
        <v>2.1999999999999999E-5</v>
      </c>
      <c r="F1122" s="972">
        <v>9.2999999999999997E-5</v>
      </c>
      <c r="G1122" s="972">
        <v>16775</v>
      </c>
      <c r="H1122" s="972">
        <v>35.4084</v>
      </c>
      <c r="I1122" s="972">
        <v>14.267899999999999</v>
      </c>
      <c r="J1122" s="972">
        <v>4.4000000000000004</v>
      </c>
    </row>
    <row r="1123" spans="1:10" ht="15.75" hidden="1">
      <c r="A1123" s="972" t="s">
        <v>2400</v>
      </c>
      <c r="B1123" s="972" t="s">
        <v>1834</v>
      </c>
      <c r="C1123" s="972" t="s">
        <v>2306</v>
      </c>
      <c r="D1123" s="972">
        <v>-1.3649999999999999E-3</v>
      </c>
      <c r="E1123" s="972">
        <v>-1.47E-4</v>
      </c>
      <c r="F1123" s="972">
        <v>-9.9999999999999995E-7</v>
      </c>
      <c r="G1123" s="972">
        <v>16775</v>
      </c>
      <c r="H1123" s="972">
        <v>35.4084</v>
      </c>
      <c r="I1123" s="972">
        <v>14.267899999999999</v>
      </c>
      <c r="J1123" s="972">
        <v>4.4000000000000004</v>
      </c>
    </row>
    <row r="1124" spans="1:10" ht="15.75" hidden="1">
      <c r="A1124" s="972" t="s">
        <v>2400</v>
      </c>
      <c r="B1124" s="972" t="s">
        <v>1834</v>
      </c>
      <c r="C1124" s="972" t="s">
        <v>2307</v>
      </c>
      <c r="D1124" s="972">
        <v>-2.0599999999999999E-4</v>
      </c>
      <c r="E1124" s="972">
        <v>7.6999999999999996E-4</v>
      </c>
      <c r="F1124" s="972">
        <v>1.2799999999999999E-4</v>
      </c>
      <c r="G1124" s="972">
        <v>16775</v>
      </c>
      <c r="H1124" s="972">
        <v>35.4084</v>
      </c>
      <c r="I1124" s="972">
        <v>14.267899999999999</v>
      </c>
      <c r="J1124" s="972">
        <v>4.4000000000000004</v>
      </c>
    </row>
    <row r="1125" spans="1:10" ht="15.75" hidden="1">
      <c r="A1125" s="972" t="s">
        <v>2400</v>
      </c>
      <c r="B1125" s="972" t="s">
        <v>1834</v>
      </c>
      <c r="C1125" s="972" t="s">
        <v>2308</v>
      </c>
      <c r="D1125" s="972">
        <v>1.3200000000000001E-4</v>
      </c>
      <c r="E1125" s="972">
        <v>-1.99E-3</v>
      </c>
      <c r="F1125" s="972">
        <v>4.6E-5</v>
      </c>
      <c r="G1125" s="972">
        <v>16775</v>
      </c>
      <c r="H1125" s="972">
        <v>35.4084</v>
      </c>
      <c r="I1125" s="972">
        <v>14.267899999999999</v>
      </c>
      <c r="J1125" s="972">
        <v>4.4000000000000004</v>
      </c>
    </row>
    <row r="1126" spans="1:10" ht="15.75" hidden="1">
      <c r="A1126" s="972" t="s">
        <v>2400</v>
      </c>
      <c r="B1126" s="972" t="s">
        <v>1834</v>
      </c>
      <c r="C1126" s="972" t="s">
        <v>2309</v>
      </c>
      <c r="D1126" s="972">
        <v>2.2620000000000001E-3</v>
      </c>
      <c r="E1126" s="972">
        <v>2.5000000000000001E-4</v>
      </c>
      <c r="F1126" s="972">
        <v>1.5E-5</v>
      </c>
      <c r="G1126" s="972">
        <v>16775</v>
      </c>
      <c r="H1126" s="972">
        <v>35.4084</v>
      </c>
      <c r="I1126" s="972">
        <v>14.267899999999999</v>
      </c>
      <c r="J1126" s="972">
        <v>4.4000000000000004</v>
      </c>
    </row>
    <row r="1127" spans="1:10" ht="15.75" hidden="1">
      <c r="A1127" s="972" t="s">
        <v>2400</v>
      </c>
      <c r="B1127" s="972" t="s">
        <v>1834</v>
      </c>
      <c r="C1127" s="972" t="s">
        <v>2310</v>
      </c>
      <c r="D1127" s="972">
        <v>-2.02E-4</v>
      </c>
      <c r="E1127" s="972">
        <v>9.5000000000000005E-5</v>
      </c>
      <c r="F1127" s="972">
        <v>1.8799999999999999E-4</v>
      </c>
      <c r="G1127" s="972">
        <v>16775</v>
      </c>
      <c r="H1127" s="972">
        <v>35.4084</v>
      </c>
      <c r="I1127" s="972">
        <v>14.267899999999999</v>
      </c>
      <c r="J1127" s="972">
        <v>4.4000000000000004</v>
      </c>
    </row>
    <row r="1128" spans="1:10" ht="15.75" hidden="1">
      <c r="A1128" s="972" t="s">
        <v>2400</v>
      </c>
      <c r="B1128" s="972" t="s">
        <v>1834</v>
      </c>
      <c r="C1128" s="972" t="s">
        <v>2311</v>
      </c>
      <c r="D1128" s="972">
        <v>2.7999999999999998E-4</v>
      </c>
      <c r="E1128" s="972">
        <v>-3.107E-3</v>
      </c>
      <c r="F1128" s="972">
        <v>-9.9999999999999995E-7</v>
      </c>
      <c r="G1128" s="972">
        <v>16775</v>
      </c>
      <c r="H1128" s="972">
        <v>35.4084</v>
      </c>
      <c r="I1128" s="972">
        <v>14.267899999999999</v>
      </c>
      <c r="J1128" s="972">
        <v>4.4000000000000004</v>
      </c>
    </row>
    <row r="1129" spans="1:10" ht="15.75" hidden="1">
      <c r="A1129" s="972" t="s">
        <v>2400</v>
      </c>
      <c r="B1129" s="972" t="s">
        <v>1834</v>
      </c>
      <c r="C1129" s="972" t="s">
        <v>2328</v>
      </c>
      <c r="D1129" s="972">
        <v>2.1100000000000001E-4</v>
      </c>
      <c r="E1129" s="972">
        <v>1.2400000000000001E-4</v>
      </c>
      <c r="F1129" s="972">
        <v>2.3499999999999999E-4</v>
      </c>
      <c r="G1129" s="972">
        <v>16775</v>
      </c>
      <c r="H1129" s="972">
        <v>35.4084</v>
      </c>
      <c r="I1129" s="972">
        <v>14.267899999999999</v>
      </c>
      <c r="J1129" s="972">
        <v>4.4000000000000004</v>
      </c>
    </row>
    <row r="1130" spans="1:10" ht="15.75" hidden="1">
      <c r="A1130" s="972" t="s">
        <v>2400</v>
      </c>
      <c r="B1130" s="972" t="s">
        <v>1834</v>
      </c>
      <c r="C1130" s="972" t="s">
        <v>2329</v>
      </c>
      <c r="D1130" s="972">
        <v>3.3050000000000002E-3</v>
      </c>
      <c r="E1130" s="972">
        <v>3.6299999999999999E-4</v>
      </c>
      <c r="F1130" s="972">
        <v>-6.0000000000000002E-6</v>
      </c>
      <c r="G1130" s="972">
        <v>16775</v>
      </c>
      <c r="H1130" s="972">
        <v>35.4084</v>
      </c>
      <c r="I1130" s="972">
        <v>14.267899999999999</v>
      </c>
      <c r="J1130" s="972">
        <v>4.4000000000000004</v>
      </c>
    </row>
    <row r="1131" spans="1:10" ht="15.75" hidden="1">
      <c r="A1131" s="972" t="s">
        <v>2400</v>
      </c>
      <c r="B1131" s="972" t="s">
        <v>1834</v>
      </c>
      <c r="C1131" s="972" t="s">
        <v>2330</v>
      </c>
      <c r="D1131" s="972">
        <v>-3.77E-4</v>
      </c>
      <c r="E1131" s="972">
        <v>4.0759999999999998E-3</v>
      </c>
      <c r="F1131" s="972">
        <v>3.3000000000000003E-5</v>
      </c>
      <c r="G1131" s="972">
        <v>16775</v>
      </c>
      <c r="H1131" s="972">
        <v>35.4084</v>
      </c>
      <c r="I1131" s="972">
        <v>14.267899999999999</v>
      </c>
      <c r="J1131" s="972">
        <v>4.4000000000000004</v>
      </c>
    </row>
    <row r="1132" spans="1:10" ht="15.75" hidden="1">
      <c r="A1132" s="972" t="s">
        <v>2400</v>
      </c>
      <c r="B1132" s="972" t="s">
        <v>1834</v>
      </c>
      <c r="C1132" s="972" t="s">
        <v>2331</v>
      </c>
      <c r="D1132" s="972">
        <v>-1.0399999999999999E-4</v>
      </c>
      <c r="E1132" s="972">
        <v>6.4599999999999998E-4</v>
      </c>
      <c r="F1132" s="972">
        <v>-2.12E-4</v>
      </c>
      <c r="G1132" s="972">
        <v>16775</v>
      </c>
      <c r="H1132" s="972">
        <v>35.4084</v>
      </c>
      <c r="I1132" s="972">
        <v>14.267899999999999</v>
      </c>
      <c r="J1132" s="972">
        <v>4.4000000000000004</v>
      </c>
    </row>
    <row r="1133" spans="1:10" ht="15.75" hidden="1">
      <c r="A1133" s="972" t="s">
        <v>2400</v>
      </c>
      <c r="B1133" s="972" t="s">
        <v>1834</v>
      </c>
      <c r="C1133" s="972" t="s">
        <v>2332</v>
      </c>
      <c r="D1133" s="972">
        <v>4.3559999999999996E-3</v>
      </c>
      <c r="E1133" s="972">
        <v>5.3700000000000004E-4</v>
      </c>
      <c r="F1133" s="972">
        <v>9.0000000000000002E-6</v>
      </c>
      <c r="G1133" s="972">
        <v>16775</v>
      </c>
      <c r="H1133" s="972">
        <v>35.4084</v>
      </c>
      <c r="I1133" s="972">
        <v>14.267899999999999</v>
      </c>
      <c r="J1133" s="972">
        <v>4.4000000000000004</v>
      </c>
    </row>
    <row r="1134" spans="1:10" ht="15.75" hidden="1">
      <c r="A1134" s="972" t="s">
        <v>2400</v>
      </c>
      <c r="B1134" s="972" t="s">
        <v>1834</v>
      </c>
      <c r="C1134" s="972" t="s">
        <v>2387</v>
      </c>
      <c r="D1134" s="972">
        <v>-6.7000000000000002E-4</v>
      </c>
      <c r="E1134" s="972">
        <v>4.8589999999999996E-3</v>
      </c>
      <c r="F1134" s="972">
        <v>9.0000000000000002E-6</v>
      </c>
      <c r="G1134" s="972">
        <v>16775</v>
      </c>
      <c r="H1134" s="972">
        <v>35.4084</v>
      </c>
      <c r="I1134" s="972">
        <v>14.267899999999999</v>
      </c>
      <c r="J1134" s="972">
        <v>4.4000000000000004</v>
      </c>
    </row>
    <row r="1135" spans="1:10" ht="15.75" hidden="1">
      <c r="A1135" s="972" t="s">
        <v>2400</v>
      </c>
      <c r="B1135" s="972" t="s">
        <v>1834</v>
      </c>
      <c r="C1135" s="972" t="s">
        <v>2388</v>
      </c>
      <c r="D1135" s="972">
        <v>-3.8769999999999998E-3</v>
      </c>
      <c r="E1135" s="972">
        <v>-1.8159999999999999E-3</v>
      </c>
      <c r="F1135" s="972">
        <v>6.7999999999999999E-5</v>
      </c>
      <c r="G1135" s="972">
        <v>16775</v>
      </c>
      <c r="H1135" s="972">
        <v>35.4084</v>
      </c>
      <c r="I1135" s="972">
        <v>14.267899999999999</v>
      </c>
      <c r="J1135" s="972">
        <v>4.4000000000000004</v>
      </c>
    </row>
    <row r="1136" spans="1:10" ht="15.75" hidden="1">
      <c r="A1136" s="972" t="s">
        <v>2400</v>
      </c>
      <c r="B1136" s="972" t="s">
        <v>1834</v>
      </c>
      <c r="C1136" s="972" t="s">
        <v>2389</v>
      </c>
      <c r="D1136" s="972">
        <v>3.6740000000000002E-3</v>
      </c>
      <c r="E1136" s="972">
        <v>-4.2820000000000002E-3</v>
      </c>
      <c r="F1136" s="972">
        <v>5.3999999999999998E-5</v>
      </c>
      <c r="G1136" s="972">
        <v>16775</v>
      </c>
      <c r="H1136" s="972">
        <v>35.4084</v>
      </c>
      <c r="I1136" s="972">
        <v>14.267899999999999</v>
      </c>
      <c r="J1136" s="972">
        <v>4.4000000000000004</v>
      </c>
    </row>
    <row r="1137" spans="1:10" ht="15.75" hidden="1">
      <c r="A1137" s="972" t="s">
        <v>2400</v>
      </c>
      <c r="B1137" s="972" t="s">
        <v>1834</v>
      </c>
      <c r="C1137" s="972" t="s">
        <v>2390</v>
      </c>
      <c r="D1137" s="972">
        <v>-3.4090000000000001E-3</v>
      </c>
      <c r="E1137" s="972">
        <v>-3.986E-3</v>
      </c>
      <c r="F1137" s="972">
        <v>-1.2999999999999999E-5</v>
      </c>
      <c r="G1137" s="972">
        <v>16775</v>
      </c>
      <c r="H1137" s="972">
        <v>35.4084</v>
      </c>
      <c r="I1137" s="972">
        <v>14.267899999999999</v>
      </c>
      <c r="J1137" s="972">
        <v>4.4000000000000004</v>
      </c>
    </row>
    <row r="1138" spans="1:10" ht="15.75" hidden="1">
      <c r="A1138" s="972" t="s">
        <v>2400</v>
      </c>
      <c r="B1138" s="972" t="s">
        <v>1834</v>
      </c>
      <c r="C1138" s="972" t="s">
        <v>2391</v>
      </c>
      <c r="D1138" s="972">
        <v>-4.3049999999999998E-3</v>
      </c>
      <c r="E1138" s="972">
        <v>2.9380000000000001E-3</v>
      </c>
      <c r="F1138" s="972">
        <v>2.9E-5</v>
      </c>
      <c r="G1138" s="972">
        <v>16775</v>
      </c>
      <c r="H1138" s="972">
        <v>35.4084</v>
      </c>
      <c r="I1138" s="972">
        <v>14.267899999999999</v>
      </c>
      <c r="J1138" s="972">
        <v>4.4000000000000004</v>
      </c>
    </row>
    <row r="1139" spans="1:10" ht="15.75" hidden="1">
      <c r="A1139" s="972" t="s">
        <v>2400</v>
      </c>
      <c r="B1139" s="972" t="s">
        <v>1834</v>
      </c>
      <c r="C1139" s="972" t="s">
        <v>2392</v>
      </c>
      <c r="D1139" s="972">
        <v>-2.6310000000000001E-3</v>
      </c>
      <c r="E1139" s="972">
        <v>-4.0590000000000001E-3</v>
      </c>
      <c r="F1139" s="972">
        <v>5.5999999999999999E-5</v>
      </c>
      <c r="G1139" s="972">
        <v>16775</v>
      </c>
      <c r="H1139" s="972">
        <v>35.4084</v>
      </c>
      <c r="I1139" s="972">
        <v>14.267899999999999</v>
      </c>
      <c r="J1139" s="972">
        <v>4.4000000000000004</v>
      </c>
    </row>
    <row r="1140" spans="1:10" ht="15.75" hidden="1">
      <c r="A1140" s="972" t="s">
        <v>2400</v>
      </c>
      <c r="B1140" s="972" t="s">
        <v>1834</v>
      </c>
      <c r="C1140" s="972" t="s">
        <v>2393</v>
      </c>
      <c r="D1140" s="972">
        <v>1.5590000000000001E-3</v>
      </c>
      <c r="E1140" s="972">
        <v>-1.446E-3</v>
      </c>
      <c r="F1140" s="972">
        <v>3.3000000000000003E-5</v>
      </c>
      <c r="G1140" s="972">
        <v>16775</v>
      </c>
      <c r="H1140" s="972">
        <v>35.4084</v>
      </c>
      <c r="I1140" s="972">
        <v>14.267899999999999</v>
      </c>
      <c r="J1140" s="972">
        <v>4.4000000000000004</v>
      </c>
    </row>
    <row r="1141" spans="1:10" ht="15.75" hidden="1">
      <c r="A1141" s="972" t="s">
        <v>2400</v>
      </c>
      <c r="B1141" s="972" t="s">
        <v>1834</v>
      </c>
      <c r="C1141" s="972" t="s">
        <v>2394</v>
      </c>
      <c r="D1141" s="972">
        <v>6.3400000000000001E-4</v>
      </c>
      <c r="E1141" s="972">
        <v>9.4600000000000001E-4</v>
      </c>
      <c r="F1141" s="972">
        <v>-5.0000000000000004E-6</v>
      </c>
      <c r="G1141" s="972">
        <v>16775</v>
      </c>
      <c r="H1141" s="972">
        <v>35.4084</v>
      </c>
      <c r="I1141" s="972">
        <v>14.267899999999999</v>
      </c>
      <c r="J1141" s="972">
        <v>4.4000000000000004</v>
      </c>
    </row>
    <row r="1142" spans="1:10" ht="15.75" hidden="1">
      <c r="A1142" s="972" t="s">
        <v>2400</v>
      </c>
      <c r="B1142" s="972" t="s">
        <v>1834</v>
      </c>
      <c r="C1142" s="972" t="s">
        <v>2395</v>
      </c>
      <c r="D1142" s="972">
        <v>-1.1132E-2</v>
      </c>
      <c r="E1142" s="972">
        <v>5.5950000000000001E-3</v>
      </c>
      <c r="F1142" s="972">
        <v>-2.8E-5</v>
      </c>
      <c r="G1142" s="972">
        <v>16775</v>
      </c>
      <c r="H1142" s="972">
        <v>35.4084</v>
      </c>
      <c r="I1142" s="972">
        <v>14.267899999999999</v>
      </c>
      <c r="J1142" s="972">
        <v>4.4000000000000004</v>
      </c>
    </row>
    <row r="1143" spans="1:10" ht="15.75" hidden="1">
      <c r="A1143" s="972" t="s">
        <v>2400</v>
      </c>
      <c r="B1143" s="972" t="s">
        <v>1834</v>
      </c>
      <c r="C1143" s="972" t="s">
        <v>2396</v>
      </c>
      <c r="D1143" s="972">
        <v>-6.4339999999999996E-3</v>
      </c>
      <c r="E1143" s="972">
        <v>-1.1354E-2</v>
      </c>
      <c r="F1143" s="972">
        <v>3.1999999999999999E-5</v>
      </c>
      <c r="G1143" s="972">
        <v>16775</v>
      </c>
      <c r="H1143" s="972">
        <v>35.4084</v>
      </c>
      <c r="I1143" s="972">
        <v>14.267899999999999</v>
      </c>
      <c r="J1143" s="972">
        <v>4.4000000000000004</v>
      </c>
    </row>
    <row r="1144" spans="1:10" ht="15.75" hidden="1">
      <c r="A1144" s="972" t="s">
        <v>2436</v>
      </c>
      <c r="B1144" s="972" t="s">
        <v>1834</v>
      </c>
      <c r="C1144" s="972" t="s">
        <v>2297</v>
      </c>
      <c r="D1144" s="972">
        <v>-5.0000000000000004E-6</v>
      </c>
      <c r="E1144" s="972">
        <v>3.4E-5</v>
      </c>
      <c r="F1144" s="972">
        <v>4.2010000000000001E-7</v>
      </c>
      <c r="G1144" s="972">
        <v>16776</v>
      </c>
      <c r="H1144" s="972">
        <v>37.933199999999999</v>
      </c>
      <c r="I1144" s="972">
        <v>11.9895</v>
      </c>
      <c r="J1144" s="972">
        <v>0</v>
      </c>
    </row>
    <row r="1145" spans="1:10" ht="15.75" hidden="1">
      <c r="A1145" s="972" t="s">
        <v>2436</v>
      </c>
      <c r="B1145" s="972" t="s">
        <v>1834</v>
      </c>
      <c r="C1145" s="972" t="s">
        <v>2298</v>
      </c>
      <c r="D1145" s="972">
        <v>-9.9999999999999995E-7</v>
      </c>
      <c r="E1145" s="972">
        <v>-9.9999999999999995E-7</v>
      </c>
      <c r="F1145" s="972">
        <v>1.9999999999999999E-6</v>
      </c>
      <c r="G1145" s="972">
        <v>16776</v>
      </c>
      <c r="H1145" s="972">
        <v>37.933199999999999</v>
      </c>
      <c r="I1145" s="972">
        <v>11.9895</v>
      </c>
      <c r="J1145" s="972">
        <v>0</v>
      </c>
    </row>
    <row r="1146" spans="1:10" ht="15.75">
      <c r="A1146" s="972" t="s">
        <v>2436</v>
      </c>
      <c r="B1146" s="972" t="s">
        <v>1834</v>
      </c>
      <c r="C1146" s="972" t="s">
        <v>2299</v>
      </c>
      <c r="D1146" s="972">
        <v>4.5000000000000003E-5</v>
      </c>
      <c r="E1146" s="972">
        <v>1.0000000000000001E-5</v>
      </c>
      <c r="F1146" s="972">
        <v>9.9999999999999995E-7</v>
      </c>
      <c r="G1146" s="972">
        <v>16776</v>
      </c>
      <c r="H1146" s="972">
        <v>37.933199999999999</v>
      </c>
      <c r="I1146" s="972">
        <v>11.9895</v>
      </c>
      <c r="J1146" s="972">
        <v>0</v>
      </c>
    </row>
    <row r="1147" spans="1:10" ht="15.75" hidden="1">
      <c r="A1147" s="972" t="s">
        <v>2436</v>
      </c>
      <c r="B1147" s="972" t="s">
        <v>1834</v>
      </c>
      <c r="C1147" s="972" t="s">
        <v>2300</v>
      </c>
      <c r="D1147" s="972">
        <v>-6.0000000000000002E-6</v>
      </c>
      <c r="E1147" s="972">
        <v>2.5000000000000001E-5</v>
      </c>
      <c r="F1147" s="972">
        <v>7.9999999999999996E-6</v>
      </c>
      <c r="G1147" s="972">
        <v>16776</v>
      </c>
      <c r="H1147" s="972">
        <v>37.933199999999999</v>
      </c>
      <c r="I1147" s="972">
        <v>11.9895</v>
      </c>
      <c r="J1147" s="972">
        <v>0</v>
      </c>
    </row>
    <row r="1148" spans="1:10" ht="15.75" hidden="1">
      <c r="A1148" s="972" t="s">
        <v>2436</v>
      </c>
      <c r="B1148" s="972" t="s">
        <v>1834</v>
      </c>
      <c r="C1148" s="972" t="s">
        <v>2301</v>
      </c>
      <c r="D1148" s="972">
        <v>2.1999999999999999E-5</v>
      </c>
      <c r="E1148" s="972">
        <v>-1.84E-4</v>
      </c>
      <c r="F1148" s="972">
        <v>3.0769999999999997E-8</v>
      </c>
      <c r="G1148" s="972">
        <v>16776</v>
      </c>
      <c r="H1148" s="972">
        <v>37.933199999999999</v>
      </c>
      <c r="I1148" s="972">
        <v>11.9895</v>
      </c>
      <c r="J1148" s="972">
        <v>0</v>
      </c>
    </row>
    <row r="1149" spans="1:10" ht="15.75" hidden="1">
      <c r="A1149" s="972" t="s">
        <v>2436</v>
      </c>
      <c r="B1149" s="972" t="s">
        <v>1834</v>
      </c>
      <c r="C1149" s="972" t="s">
        <v>2302</v>
      </c>
      <c r="D1149" s="972">
        <v>-2.12E-4</v>
      </c>
      <c r="E1149" s="972">
        <v>-3.4999999999999997E-5</v>
      </c>
      <c r="F1149" s="972">
        <v>-1.9999999999999999E-6</v>
      </c>
      <c r="G1149" s="972">
        <v>16776</v>
      </c>
      <c r="H1149" s="972">
        <v>37.933199999999999</v>
      </c>
      <c r="I1149" s="972">
        <v>11.9895</v>
      </c>
      <c r="J1149" s="972">
        <v>0</v>
      </c>
    </row>
    <row r="1150" spans="1:10" ht="15.75" hidden="1">
      <c r="A1150" s="972" t="s">
        <v>2436</v>
      </c>
      <c r="B1150" s="972" t="s">
        <v>1834</v>
      </c>
      <c r="C1150" s="972" t="s">
        <v>2303</v>
      </c>
      <c r="D1150" s="972">
        <v>6.9999999999999999E-6</v>
      </c>
      <c r="E1150" s="972">
        <v>-4.8000000000000001E-5</v>
      </c>
      <c r="F1150" s="972">
        <v>-1.7E-5</v>
      </c>
      <c r="G1150" s="972">
        <v>16776</v>
      </c>
      <c r="H1150" s="972">
        <v>37.933199999999999</v>
      </c>
      <c r="I1150" s="972">
        <v>11.9895</v>
      </c>
      <c r="J1150" s="972">
        <v>0</v>
      </c>
    </row>
    <row r="1151" spans="1:10" ht="15.75" hidden="1">
      <c r="A1151" s="972" t="s">
        <v>2436</v>
      </c>
      <c r="B1151" s="972" t="s">
        <v>1834</v>
      </c>
      <c r="C1151" s="972" t="s">
        <v>2304</v>
      </c>
      <c r="D1151" s="972">
        <v>4.0000000000000003E-5</v>
      </c>
      <c r="E1151" s="972">
        <v>-4.2900000000000002E-4</v>
      </c>
      <c r="F1151" s="972">
        <v>-4.3490000000000001E-7</v>
      </c>
      <c r="G1151" s="972">
        <v>16776</v>
      </c>
      <c r="H1151" s="972">
        <v>37.933199999999999</v>
      </c>
      <c r="I1151" s="972">
        <v>11.9895</v>
      </c>
      <c r="J1151" s="972">
        <v>0</v>
      </c>
    </row>
    <row r="1152" spans="1:10" ht="15.75" hidden="1">
      <c r="A1152" s="972" t="s">
        <v>2436</v>
      </c>
      <c r="B1152" s="972" t="s">
        <v>1834</v>
      </c>
      <c r="C1152" s="972" t="s">
        <v>2305</v>
      </c>
      <c r="D1152" s="972">
        <v>5.8E-5</v>
      </c>
      <c r="E1152" s="972">
        <v>9.0000000000000006E-5</v>
      </c>
      <c r="F1152" s="972">
        <v>3.0000000000000001E-5</v>
      </c>
      <c r="G1152" s="972">
        <v>16776</v>
      </c>
      <c r="H1152" s="972">
        <v>37.933199999999999</v>
      </c>
      <c r="I1152" s="972">
        <v>11.9895</v>
      </c>
      <c r="J1152" s="972">
        <v>0</v>
      </c>
    </row>
    <row r="1153" spans="1:10" ht="15.75" hidden="1">
      <c r="A1153" s="972" t="s">
        <v>2436</v>
      </c>
      <c r="B1153" s="972" t="s">
        <v>1834</v>
      </c>
      <c r="C1153" s="972" t="s">
        <v>2306</v>
      </c>
      <c r="D1153" s="972">
        <v>-4.8899999999999996E-4</v>
      </c>
      <c r="E1153" s="972">
        <v>-5.5000000000000002E-5</v>
      </c>
      <c r="F1153" s="972">
        <v>-9.9999999999999995E-7</v>
      </c>
      <c r="G1153" s="972">
        <v>16776</v>
      </c>
      <c r="H1153" s="972">
        <v>37.933199999999999</v>
      </c>
      <c r="I1153" s="972">
        <v>11.9895</v>
      </c>
      <c r="J1153" s="972">
        <v>0</v>
      </c>
    </row>
    <row r="1154" spans="1:10" ht="15.75" hidden="1">
      <c r="A1154" s="972" t="s">
        <v>2436</v>
      </c>
      <c r="B1154" s="972" t="s">
        <v>1834</v>
      </c>
      <c r="C1154" s="972" t="s">
        <v>2307</v>
      </c>
      <c r="D1154" s="972">
        <v>3.8999999999999999E-5</v>
      </c>
      <c r="E1154" s="972">
        <v>4.0700000000000003E-4</v>
      </c>
      <c r="F1154" s="972">
        <v>4.6999999999999997E-5</v>
      </c>
      <c r="G1154" s="972">
        <v>16776</v>
      </c>
      <c r="H1154" s="972">
        <v>37.933199999999999</v>
      </c>
      <c r="I1154" s="972">
        <v>11.9895</v>
      </c>
      <c r="J1154" s="972">
        <v>0</v>
      </c>
    </row>
    <row r="1155" spans="1:10" ht="15.75" hidden="1">
      <c r="A1155" s="972" t="s">
        <v>2436</v>
      </c>
      <c r="B1155" s="972" t="s">
        <v>1834</v>
      </c>
      <c r="C1155" s="972" t="s">
        <v>2308</v>
      </c>
      <c r="D1155" s="972">
        <v>8.6000000000000003E-5</v>
      </c>
      <c r="E1155" s="972">
        <v>-6.6699999999999995E-4</v>
      </c>
      <c r="F1155" s="972">
        <v>1.5999999999999999E-5</v>
      </c>
      <c r="G1155" s="972">
        <v>16776</v>
      </c>
      <c r="H1155" s="972">
        <v>37.933199999999999</v>
      </c>
      <c r="I1155" s="972">
        <v>11.9895</v>
      </c>
      <c r="J1155" s="972">
        <v>0</v>
      </c>
    </row>
    <row r="1156" spans="1:10" ht="15.75" hidden="1">
      <c r="A1156" s="972" t="s">
        <v>2436</v>
      </c>
      <c r="B1156" s="972" t="s">
        <v>1834</v>
      </c>
      <c r="C1156" s="972" t="s">
        <v>2309</v>
      </c>
      <c r="D1156" s="972">
        <v>8.9700000000000001E-4</v>
      </c>
      <c r="E1156" s="972">
        <v>1.18E-4</v>
      </c>
      <c r="F1156" s="972">
        <v>6.9999999999999999E-6</v>
      </c>
      <c r="G1156" s="972">
        <v>16776</v>
      </c>
      <c r="H1156" s="972">
        <v>37.933199999999999</v>
      </c>
      <c r="I1156" s="972">
        <v>11.9895</v>
      </c>
      <c r="J1156" s="972">
        <v>0</v>
      </c>
    </row>
    <row r="1157" spans="1:10" ht="15.75" hidden="1">
      <c r="A1157" s="972" t="s">
        <v>2436</v>
      </c>
      <c r="B1157" s="972" t="s">
        <v>1834</v>
      </c>
      <c r="C1157" s="972" t="s">
        <v>2310</v>
      </c>
      <c r="D1157" s="972">
        <v>1.18E-4</v>
      </c>
      <c r="E1157" s="972">
        <v>2.7E-4</v>
      </c>
      <c r="F1157" s="972">
        <v>8.0000000000000007E-5</v>
      </c>
      <c r="G1157" s="972">
        <v>16776</v>
      </c>
      <c r="H1157" s="972">
        <v>37.933199999999999</v>
      </c>
      <c r="I1157" s="972">
        <v>11.9895</v>
      </c>
      <c r="J1157" s="972">
        <v>0</v>
      </c>
    </row>
    <row r="1158" spans="1:10" ht="15.75" hidden="1">
      <c r="A1158" s="972" t="s">
        <v>2436</v>
      </c>
      <c r="B1158" s="972" t="s">
        <v>1834</v>
      </c>
      <c r="C1158" s="972" t="s">
        <v>2311</v>
      </c>
      <c r="D1158" s="972">
        <v>1.05E-4</v>
      </c>
      <c r="E1158" s="972">
        <v>-1.2260000000000001E-3</v>
      </c>
      <c r="F1158" s="972">
        <v>-1.9999999999999999E-6</v>
      </c>
      <c r="G1158" s="972">
        <v>16776</v>
      </c>
      <c r="H1158" s="972">
        <v>37.933199999999999</v>
      </c>
      <c r="I1158" s="972">
        <v>11.9895</v>
      </c>
      <c r="J1158" s="972">
        <v>0</v>
      </c>
    </row>
    <row r="1159" spans="1:10" ht="15.75" hidden="1">
      <c r="A1159" s="972" t="s">
        <v>2436</v>
      </c>
      <c r="B1159" s="972" t="s">
        <v>1834</v>
      </c>
      <c r="C1159" s="972" t="s">
        <v>2328</v>
      </c>
      <c r="D1159" s="972">
        <v>4.0400000000000001E-4</v>
      </c>
      <c r="E1159" s="972">
        <v>4.3600000000000003E-4</v>
      </c>
      <c r="F1159" s="972">
        <v>1.2400000000000001E-4</v>
      </c>
      <c r="G1159" s="972">
        <v>16776</v>
      </c>
      <c r="H1159" s="972">
        <v>37.933199999999999</v>
      </c>
      <c r="I1159" s="972">
        <v>11.9895</v>
      </c>
      <c r="J1159" s="972">
        <v>0</v>
      </c>
    </row>
    <row r="1160" spans="1:10" ht="15.75" hidden="1">
      <c r="A1160" s="972" t="s">
        <v>2436</v>
      </c>
      <c r="B1160" s="972" t="s">
        <v>1834</v>
      </c>
      <c r="C1160" s="972" t="s">
        <v>2329</v>
      </c>
      <c r="D1160" s="972">
        <v>1.4400000000000001E-3</v>
      </c>
      <c r="E1160" s="972">
        <v>1.5699999999999999E-4</v>
      </c>
      <c r="F1160" s="972">
        <v>-3.2109999999999998E-7</v>
      </c>
      <c r="G1160" s="972">
        <v>16776</v>
      </c>
      <c r="H1160" s="972">
        <v>37.933199999999999</v>
      </c>
      <c r="I1160" s="972">
        <v>11.9895</v>
      </c>
      <c r="J1160" s="972">
        <v>0</v>
      </c>
    </row>
    <row r="1161" spans="1:10" ht="15.75" hidden="1">
      <c r="A1161" s="972" t="s">
        <v>2436</v>
      </c>
      <c r="B1161" s="972" t="s">
        <v>1834</v>
      </c>
      <c r="C1161" s="972" t="s">
        <v>2330</v>
      </c>
      <c r="D1161" s="972">
        <v>-9.2999999999999997E-5</v>
      </c>
      <c r="E1161" s="972">
        <v>1.8979999999999999E-3</v>
      </c>
      <c r="F1161" s="972">
        <v>2.9E-5</v>
      </c>
      <c r="G1161" s="972">
        <v>16776</v>
      </c>
      <c r="H1161" s="972">
        <v>37.933199999999999</v>
      </c>
      <c r="I1161" s="972">
        <v>11.9895</v>
      </c>
      <c r="J1161" s="972">
        <v>0</v>
      </c>
    </row>
    <row r="1162" spans="1:10" ht="15.75" hidden="1">
      <c r="A1162" s="972" t="s">
        <v>2436</v>
      </c>
      <c r="B1162" s="972" t="s">
        <v>1834</v>
      </c>
      <c r="C1162" s="972" t="s">
        <v>2331</v>
      </c>
      <c r="D1162" s="972">
        <v>-4.35E-4</v>
      </c>
      <c r="E1162" s="972">
        <v>-2.14E-4</v>
      </c>
      <c r="F1162" s="972">
        <v>-1.4799999999999999E-4</v>
      </c>
      <c r="G1162" s="972">
        <v>16776</v>
      </c>
      <c r="H1162" s="972">
        <v>37.933199999999999</v>
      </c>
      <c r="I1162" s="972">
        <v>11.9895</v>
      </c>
      <c r="J1162" s="972">
        <v>0</v>
      </c>
    </row>
    <row r="1163" spans="1:10" ht="15.75" hidden="1">
      <c r="A1163" s="972" t="s">
        <v>2436</v>
      </c>
      <c r="B1163" s="972" t="s">
        <v>1834</v>
      </c>
      <c r="C1163" s="972" t="s">
        <v>2332</v>
      </c>
      <c r="D1163" s="972">
        <v>2.2569999999999999E-3</v>
      </c>
      <c r="E1163" s="972">
        <v>3.3500000000000001E-4</v>
      </c>
      <c r="F1163" s="972">
        <v>1.9000000000000001E-5</v>
      </c>
      <c r="G1163" s="972">
        <v>16776</v>
      </c>
      <c r="H1163" s="972">
        <v>37.933199999999999</v>
      </c>
      <c r="I1163" s="972">
        <v>11.9895</v>
      </c>
      <c r="J1163" s="972">
        <v>0</v>
      </c>
    </row>
    <row r="1164" spans="1:10" ht="15.75" hidden="1">
      <c r="A1164" s="972" t="s">
        <v>2436</v>
      </c>
      <c r="B1164" s="972" t="s">
        <v>1834</v>
      </c>
      <c r="C1164" s="972" t="s">
        <v>2387</v>
      </c>
      <c r="D1164" s="972">
        <v>-3.0600000000000001E-4</v>
      </c>
      <c r="E1164" s="972">
        <v>2.614E-3</v>
      </c>
      <c r="F1164" s="972">
        <v>2.5000000000000001E-5</v>
      </c>
      <c r="G1164" s="972">
        <v>16776</v>
      </c>
      <c r="H1164" s="972">
        <v>37.933199999999999</v>
      </c>
      <c r="I1164" s="972">
        <v>11.9895</v>
      </c>
      <c r="J1164" s="972">
        <v>0</v>
      </c>
    </row>
    <row r="1165" spans="1:10" ht="15.75" hidden="1">
      <c r="A1165" s="972" t="s">
        <v>2436</v>
      </c>
      <c r="B1165" s="972" t="s">
        <v>1834</v>
      </c>
      <c r="C1165" s="972" t="s">
        <v>2388</v>
      </c>
      <c r="D1165" s="972">
        <v>-2.3640000000000002E-3</v>
      </c>
      <c r="E1165" s="972">
        <v>-8.5400000000000005E-4</v>
      </c>
      <c r="F1165" s="972">
        <v>4.5000000000000003E-5</v>
      </c>
      <c r="G1165" s="972">
        <v>16776</v>
      </c>
      <c r="H1165" s="972">
        <v>37.933199999999999</v>
      </c>
      <c r="I1165" s="972">
        <v>11.9895</v>
      </c>
      <c r="J1165" s="972">
        <v>0</v>
      </c>
    </row>
    <row r="1166" spans="1:10" ht="15.75" hidden="1">
      <c r="A1166" s="972" t="s">
        <v>2436</v>
      </c>
      <c r="B1166" s="972" t="s">
        <v>1834</v>
      </c>
      <c r="C1166" s="972" t="s">
        <v>2389</v>
      </c>
      <c r="D1166" s="972">
        <v>2.369E-3</v>
      </c>
      <c r="E1166" s="972">
        <v>-2.3900000000000002E-3</v>
      </c>
      <c r="F1166" s="972">
        <v>4.6999999999999997E-5</v>
      </c>
      <c r="G1166" s="972">
        <v>16776</v>
      </c>
      <c r="H1166" s="972">
        <v>37.933199999999999</v>
      </c>
      <c r="I1166" s="972">
        <v>11.9895</v>
      </c>
      <c r="J1166" s="972">
        <v>0</v>
      </c>
    </row>
    <row r="1167" spans="1:10" ht="15.75" hidden="1">
      <c r="A1167" s="972" t="s">
        <v>2436</v>
      </c>
      <c r="B1167" s="972" t="s">
        <v>1834</v>
      </c>
      <c r="C1167" s="972" t="s">
        <v>2390</v>
      </c>
      <c r="D1167" s="972">
        <v>-2.2160000000000001E-3</v>
      </c>
      <c r="E1167" s="972">
        <v>-2.8530000000000001E-3</v>
      </c>
      <c r="F1167" s="972">
        <v>-3.1999999999999999E-5</v>
      </c>
      <c r="G1167" s="972">
        <v>16776</v>
      </c>
      <c r="H1167" s="972">
        <v>37.933199999999999</v>
      </c>
      <c r="I1167" s="972">
        <v>11.9895</v>
      </c>
      <c r="J1167" s="972">
        <v>0</v>
      </c>
    </row>
    <row r="1168" spans="1:10" ht="15.75" hidden="1">
      <c r="A1168" s="972" t="s">
        <v>2436</v>
      </c>
      <c r="B1168" s="972" t="s">
        <v>1834</v>
      </c>
      <c r="C1168" s="972" t="s">
        <v>2391</v>
      </c>
      <c r="D1168" s="972">
        <v>-4.3E-3</v>
      </c>
      <c r="E1168" s="972">
        <v>2.9740000000000001E-3</v>
      </c>
      <c r="F1168" s="972">
        <v>3.1999999999999999E-5</v>
      </c>
      <c r="G1168" s="972">
        <v>16776</v>
      </c>
      <c r="H1168" s="972">
        <v>37.933199999999999</v>
      </c>
      <c r="I1168" s="972">
        <v>11.9895</v>
      </c>
      <c r="J1168" s="972">
        <v>0</v>
      </c>
    </row>
    <row r="1169" spans="1:10" ht="15.75" hidden="1">
      <c r="A1169" s="972" t="s">
        <v>2436</v>
      </c>
      <c r="B1169" s="972" t="s">
        <v>1834</v>
      </c>
      <c r="C1169" s="972" t="s">
        <v>2392</v>
      </c>
      <c r="D1169" s="972">
        <v>-3.1229999999999999E-3</v>
      </c>
      <c r="E1169" s="972">
        <v>-3.98E-3</v>
      </c>
      <c r="F1169" s="972">
        <v>4.3000000000000002E-5</v>
      </c>
      <c r="G1169" s="972">
        <v>16776</v>
      </c>
      <c r="H1169" s="972">
        <v>37.933199999999999</v>
      </c>
      <c r="I1169" s="972">
        <v>11.9895</v>
      </c>
      <c r="J1169" s="972">
        <v>0</v>
      </c>
    </row>
    <row r="1170" spans="1:10" ht="15.75" hidden="1">
      <c r="A1170" s="972" t="s">
        <v>2436</v>
      </c>
      <c r="B1170" s="972" t="s">
        <v>1834</v>
      </c>
      <c r="C1170" s="972" t="s">
        <v>2393</v>
      </c>
      <c r="D1170" s="972">
        <v>4.5690000000000001E-3</v>
      </c>
      <c r="E1170" s="972">
        <v>-3.0839999999999999E-3</v>
      </c>
      <c r="F1170" s="972">
        <v>2.5000000000000001E-5</v>
      </c>
      <c r="G1170" s="972">
        <v>16776</v>
      </c>
      <c r="H1170" s="972">
        <v>37.933199999999999</v>
      </c>
      <c r="I1170" s="972">
        <v>11.9895</v>
      </c>
      <c r="J1170" s="972">
        <v>0</v>
      </c>
    </row>
    <row r="1171" spans="1:10" ht="15.75" hidden="1">
      <c r="A1171" s="972" t="s">
        <v>2436</v>
      </c>
      <c r="B1171" s="972" t="s">
        <v>1834</v>
      </c>
      <c r="C1171" s="972" t="s">
        <v>2394</v>
      </c>
      <c r="D1171" s="972">
        <v>2.9789999999999999E-3</v>
      </c>
      <c r="E1171" s="972">
        <v>4.2770000000000004E-3</v>
      </c>
      <c r="F1171" s="972">
        <v>-1.7E-5</v>
      </c>
      <c r="G1171" s="972">
        <v>16776</v>
      </c>
      <c r="H1171" s="972">
        <v>37.933199999999999</v>
      </c>
      <c r="I1171" s="972">
        <v>11.9895</v>
      </c>
      <c r="J1171" s="972">
        <v>0</v>
      </c>
    </row>
    <row r="1172" spans="1:10" ht="15.75" hidden="1">
      <c r="A1172" s="972" t="s">
        <v>2436</v>
      </c>
      <c r="B1172" s="972" t="s">
        <v>1834</v>
      </c>
      <c r="C1172" s="972" t="s">
        <v>2395</v>
      </c>
      <c r="D1172" s="972">
        <v>3.6549999999999998E-3</v>
      </c>
      <c r="E1172" s="972">
        <v>-2.1810000000000002E-3</v>
      </c>
      <c r="F1172" s="972">
        <v>-3.1999999999999999E-5</v>
      </c>
      <c r="G1172" s="972">
        <v>16776</v>
      </c>
      <c r="H1172" s="972">
        <v>37.933199999999999</v>
      </c>
      <c r="I1172" s="972">
        <v>11.9895</v>
      </c>
      <c r="J1172" s="972">
        <v>0</v>
      </c>
    </row>
    <row r="1173" spans="1:10" ht="15.75" hidden="1">
      <c r="A1173" s="972" t="s">
        <v>2436</v>
      </c>
      <c r="B1173" s="972" t="s">
        <v>1834</v>
      </c>
      <c r="C1173" s="972" t="s">
        <v>2396</v>
      </c>
      <c r="D1173" s="972">
        <v>1.786E-3</v>
      </c>
      <c r="E1173" s="972">
        <v>3.7590000000000002E-3</v>
      </c>
      <c r="F1173" s="972">
        <v>-2.4000000000000001E-5</v>
      </c>
      <c r="G1173" s="972">
        <v>16776</v>
      </c>
      <c r="H1173" s="972">
        <v>37.933199999999999</v>
      </c>
      <c r="I1173" s="972">
        <v>11.9895</v>
      </c>
      <c r="J1173" s="972">
        <v>0</v>
      </c>
    </row>
  </sheetData>
  <autoFilter ref="A3:J1173">
    <filterColumn colId="2">
      <filters>
        <filter val="Modal 3"/>
      </filters>
    </filterColumn>
  </autoFilter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00FF"/>
  </sheetPr>
  <dimension ref="A1:N47"/>
  <sheetViews>
    <sheetView view="pageBreakPreview" zoomScaleNormal="100" zoomScaleSheetLayoutView="100" workbookViewId="0">
      <selection activeCell="O20" sqref="O20"/>
    </sheetView>
  </sheetViews>
  <sheetFormatPr defaultRowHeight="15"/>
  <cols>
    <col min="4" max="4" width="12.109375" customWidth="1"/>
    <col min="6" max="6" width="11.33203125" customWidth="1"/>
  </cols>
  <sheetData>
    <row r="1" spans="1:14" ht="15.75">
      <c r="A1" s="965" t="s">
        <v>2275</v>
      </c>
      <c r="B1" s="966"/>
      <c r="C1" s="966"/>
      <c r="D1" s="966"/>
      <c r="E1" s="966"/>
      <c r="F1" s="966"/>
      <c r="H1" s="460" t="s">
        <v>2066</v>
      </c>
    </row>
    <row r="2" spans="1:14" ht="15.75">
      <c r="A2" s="967" t="s">
        <v>2276</v>
      </c>
      <c r="B2" s="967" t="s">
        <v>1821</v>
      </c>
      <c r="C2" s="967" t="s">
        <v>1822</v>
      </c>
      <c r="D2" s="967" t="s">
        <v>2277</v>
      </c>
      <c r="E2" s="967" t="s">
        <v>2278</v>
      </c>
      <c r="F2" s="968" t="s">
        <v>2279</v>
      </c>
    </row>
    <row r="3" spans="1:14" ht="15.75">
      <c r="A3" s="969"/>
      <c r="B3" s="969" t="s">
        <v>1884</v>
      </c>
      <c r="C3" s="969" t="s">
        <v>1884</v>
      </c>
      <c r="D3" s="969"/>
      <c r="E3" s="969"/>
      <c r="F3" s="970"/>
      <c r="G3" s="460" t="s">
        <v>2325</v>
      </c>
    </row>
    <row r="4" spans="1:14" ht="15.75">
      <c r="A4" s="964" t="s">
        <v>2397</v>
      </c>
      <c r="B4" s="964">
        <v>5.6</v>
      </c>
      <c r="C4" s="964">
        <v>135.80000000000001</v>
      </c>
      <c r="D4" s="964" t="s">
        <v>2281</v>
      </c>
      <c r="E4" s="964" t="s">
        <v>1824</v>
      </c>
      <c r="F4" s="964" t="s">
        <v>2281</v>
      </c>
      <c r="N4" s="947"/>
    </row>
    <row r="5" spans="1:14" ht="15.75">
      <c r="A5" s="964" t="s">
        <v>2398</v>
      </c>
      <c r="B5" s="964">
        <v>3.4</v>
      </c>
      <c r="C5" s="964">
        <v>130.19999999999999</v>
      </c>
      <c r="D5" s="964" t="s">
        <v>2281</v>
      </c>
      <c r="E5" s="964" t="s">
        <v>1824</v>
      </c>
      <c r="F5" s="964" t="s">
        <v>2281</v>
      </c>
      <c r="N5" s="947"/>
    </row>
    <row r="6" spans="1:14" ht="15.75">
      <c r="A6" s="964" t="s">
        <v>2399</v>
      </c>
      <c r="B6" s="964">
        <v>3.4</v>
      </c>
      <c r="C6" s="964">
        <v>126.8</v>
      </c>
      <c r="D6" s="964" t="s">
        <v>2281</v>
      </c>
      <c r="E6" s="964" t="s">
        <v>2400</v>
      </c>
      <c r="F6" s="964" t="s">
        <v>2281</v>
      </c>
      <c r="N6" s="947"/>
    </row>
    <row r="7" spans="1:14" ht="15.75">
      <c r="A7" s="964" t="s">
        <v>2401</v>
      </c>
      <c r="B7" s="964">
        <v>3.4</v>
      </c>
      <c r="C7" s="964">
        <v>123.4</v>
      </c>
      <c r="D7" s="964" t="s">
        <v>2281</v>
      </c>
      <c r="E7" s="964" t="s">
        <v>2400</v>
      </c>
      <c r="F7" s="964" t="s">
        <v>2281</v>
      </c>
      <c r="N7" s="947"/>
    </row>
    <row r="8" spans="1:14" ht="15.75">
      <c r="A8" s="964" t="s">
        <v>2402</v>
      </c>
      <c r="B8" s="964">
        <v>3.4</v>
      </c>
      <c r="C8" s="964">
        <v>120</v>
      </c>
      <c r="D8" s="964" t="s">
        <v>2281</v>
      </c>
      <c r="E8" s="964" t="s">
        <v>2400</v>
      </c>
      <c r="F8" s="964" t="s">
        <v>2281</v>
      </c>
      <c r="N8" s="947"/>
    </row>
    <row r="9" spans="1:14" ht="15.75">
      <c r="A9" s="964" t="s">
        <v>2403</v>
      </c>
      <c r="B9" s="964">
        <v>3.4</v>
      </c>
      <c r="C9" s="964">
        <v>116.6</v>
      </c>
      <c r="D9" s="964" t="s">
        <v>2281</v>
      </c>
      <c r="E9" s="964" t="s">
        <v>2400</v>
      </c>
      <c r="F9" s="964" t="s">
        <v>2281</v>
      </c>
      <c r="N9" s="947"/>
    </row>
    <row r="10" spans="1:14" ht="15.75">
      <c r="A10" s="964" t="s">
        <v>2404</v>
      </c>
      <c r="B10" s="964">
        <v>3.4</v>
      </c>
      <c r="C10" s="964">
        <v>113.2</v>
      </c>
      <c r="D10" s="964" t="s">
        <v>2281</v>
      </c>
      <c r="E10" s="964" t="s">
        <v>2400</v>
      </c>
      <c r="F10" s="964" t="s">
        <v>2281</v>
      </c>
      <c r="N10" s="947"/>
    </row>
    <row r="11" spans="1:14" ht="15.75">
      <c r="A11" s="964" t="s">
        <v>2405</v>
      </c>
      <c r="B11" s="964">
        <v>3.4</v>
      </c>
      <c r="C11" s="964">
        <v>109.8</v>
      </c>
      <c r="D11" s="964" t="s">
        <v>2281</v>
      </c>
      <c r="E11" s="964" t="s">
        <v>2400</v>
      </c>
      <c r="F11" s="964" t="s">
        <v>2281</v>
      </c>
      <c r="N11" s="947"/>
    </row>
    <row r="12" spans="1:14" ht="15.75">
      <c r="A12" s="964" t="s">
        <v>2406</v>
      </c>
      <c r="B12" s="964">
        <v>3.4</v>
      </c>
      <c r="C12" s="964">
        <v>106.4</v>
      </c>
      <c r="D12" s="964" t="s">
        <v>2281</v>
      </c>
      <c r="E12" s="964" t="s">
        <v>2400</v>
      </c>
      <c r="F12" s="964" t="s">
        <v>2281</v>
      </c>
      <c r="N12" s="947"/>
    </row>
    <row r="13" spans="1:14" ht="15.75">
      <c r="A13" s="964" t="s">
        <v>2407</v>
      </c>
      <c r="B13" s="964">
        <v>3.4</v>
      </c>
      <c r="C13" s="964">
        <v>103</v>
      </c>
      <c r="D13" s="964" t="s">
        <v>2281</v>
      </c>
      <c r="E13" s="964" t="s">
        <v>2400</v>
      </c>
      <c r="F13" s="964" t="s">
        <v>2281</v>
      </c>
      <c r="N13" s="947"/>
    </row>
    <row r="14" spans="1:14" ht="15.75">
      <c r="A14" s="964" t="s">
        <v>2408</v>
      </c>
      <c r="B14" s="964">
        <v>3.4</v>
      </c>
      <c r="C14" s="964">
        <v>99.6</v>
      </c>
      <c r="D14" s="964" t="s">
        <v>2281</v>
      </c>
      <c r="E14" s="964" t="s">
        <v>2400</v>
      </c>
      <c r="F14" s="964" t="s">
        <v>2281</v>
      </c>
      <c r="N14" s="947"/>
    </row>
    <row r="15" spans="1:14" ht="15.75">
      <c r="A15" s="964" t="s">
        <v>2409</v>
      </c>
      <c r="B15" s="964">
        <v>3.4</v>
      </c>
      <c r="C15" s="964">
        <v>96.2</v>
      </c>
      <c r="D15" s="964" t="s">
        <v>2281</v>
      </c>
      <c r="E15" s="964" t="s">
        <v>2400</v>
      </c>
      <c r="F15" s="964" t="s">
        <v>2281</v>
      </c>
      <c r="N15" s="947"/>
    </row>
    <row r="16" spans="1:14" ht="15.75">
      <c r="A16" s="964" t="s">
        <v>2410</v>
      </c>
      <c r="B16" s="964">
        <v>3.4</v>
      </c>
      <c r="C16" s="964">
        <v>92.8</v>
      </c>
      <c r="D16" s="964" t="s">
        <v>2281</v>
      </c>
      <c r="E16" s="964" t="s">
        <v>2400</v>
      </c>
      <c r="F16" s="964" t="s">
        <v>2281</v>
      </c>
      <c r="N16" s="947"/>
    </row>
    <row r="17" spans="1:14" ht="15.75">
      <c r="A17" s="964" t="s">
        <v>2411</v>
      </c>
      <c r="B17" s="964">
        <v>3.4</v>
      </c>
      <c r="C17" s="964">
        <v>89.4</v>
      </c>
      <c r="D17" s="964" t="s">
        <v>2281</v>
      </c>
      <c r="E17" s="964" t="s">
        <v>2400</v>
      </c>
      <c r="F17" s="964" t="s">
        <v>2281</v>
      </c>
      <c r="N17" s="947"/>
    </row>
    <row r="18" spans="1:14" ht="15.75">
      <c r="A18" s="964" t="s">
        <v>2412</v>
      </c>
      <c r="B18" s="964">
        <v>3.4</v>
      </c>
      <c r="C18" s="964">
        <v>86</v>
      </c>
      <c r="D18" s="964" t="s">
        <v>2281</v>
      </c>
      <c r="E18" s="964" t="s">
        <v>2400</v>
      </c>
      <c r="F18" s="964" t="s">
        <v>2281</v>
      </c>
      <c r="N18" s="947"/>
    </row>
    <row r="19" spans="1:14" ht="15.75">
      <c r="A19" s="964" t="s">
        <v>2413</v>
      </c>
      <c r="B19" s="964">
        <v>3.4</v>
      </c>
      <c r="C19" s="964">
        <v>82.6</v>
      </c>
      <c r="D19" s="964" t="s">
        <v>2281</v>
      </c>
      <c r="E19" s="964" t="s">
        <v>2400</v>
      </c>
      <c r="F19" s="964" t="s">
        <v>2281</v>
      </c>
      <c r="N19" s="947"/>
    </row>
    <row r="20" spans="1:14" ht="15.75">
      <c r="A20" s="964" t="s">
        <v>2414</v>
      </c>
      <c r="B20" s="964">
        <v>3.4</v>
      </c>
      <c r="C20" s="964">
        <v>79.2</v>
      </c>
      <c r="D20" s="964" t="s">
        <v>2281</v>
      </c>
      <c r="E20" s="964" t="s">
        <v>2400</v>
      </c>
      <c r="F20" s="964" t="s">
        <v>2281</v>
      </c>
      <c r="N20" s="947"/>
    </row>
    <row r="21" spans="1:14" ht="15.75">
      <c r="A21" s="964" t="s">
        <v>2415</v>
      </c>
      <c r="B21" s="964">
        <v>3.4</v>
      </c>
      <c r="C21" s="964">
        <v>75.8</v>
      </c>
      <c r="D21" s="964" t="s">
        <v>2281</v>
      </c>
      <c r="E21" s="964" t="s">
        <v>2400</v>
      </c>
      <c r="F21" s="964" t="s">
        <v>2281</v>
      </c>
      <c r="N21" s="947"/>
    </row>
    <row r="22" spans="1:14" ht="15.75">
      <c r="A22" s="964" t="s">
        <v>2416</v>
      </c>
      <c r="B22" s="964">
        <v>3.4</v>
      </c>
      <c r="C22" s="964">
        <v>72.400000000000006</v>
      </c>
      <c r="D22" s="964" t="s">
        <v>2281</v>
      </c>
      <c r="E22" s="964" t="s">
        <v>2400</v>
      </c>
      <c r="F22" s="964" t="s">
        <v>2281</v>
      </c>
      <c r="N22" s="947"/>
    </row>
    <row r="23" spans="1:14" ht="15.75">
      <c r="A23" s="964" t="s">
        <v>2417</v>
      </c>
      <c r="B23" s="964">
        <v>3.4</v>
      </c>
      <c r="C23" s="964">
        <v>69</v>
      </c>
      <c r="D23" s="964" t="s">
        <v>2281</v>
      </c>
      <c r="E23" s="964" t="s">
        <v>2400</v>
      </c>
      <c r="F23" s="964" t="s">
        <v>2281</v>
      </c>
      <c r="N23" s="947"/>
    </row>
    <row r="24" spans="1:14" ht="15.75">
      <c r="A24" s="964" t="s">
        <v>2418</v>
      </c>
      <c r="B24" s="964">
        <v>3.4</v>
      </c>
      <c r="C24" s="964">
        <v>65.599999999999994</v>
      </c>
      <c r="D24" s="964" t="s">
        <v>2281</v>
      </c>
      <c r="E24" s="964" t="s">
        <v>2400</v>
      </c>
      <c r="F24" s="964" t="s">
        <v>2281</v>
      </c>
      <c r="N24" s="947"/>
    </row>
    <row r="25" spans="1:14" ht="15.75">
      <c r="A25" s="964" t="s">
        <v>2419</v>
      </c>
      <c r="B25" s="964">
        <v>3.4</v>
      </c>
      <c r="C25" s="964">
        <v>62.2</v>
      </c>
      <c r="D25" s="964" t="s">
        <v>2281</v>
      </c>
      <c r="E25" s="964" t="s">
        <v>2400</v>
      </c>
      <c r="F25" s="964" t="s">
        <v>2281</v>
      </c>
      <c r="N25" s="947"/>
    </row>
    <row r="26" spans="1:14" ht="15.75">
      <c r="A26" s="964" t="s">
        <v>2420</v>
      </c>
      <c r="B26" s="964">
        <v>3.4</v>
      </c>
      <c r="C26" s="964">
        <v>58.8</v>
      </c>
      <c r="D26" s="964" t="s">
        <v>2281</v>
      </c>
      <c r="E26" s="964" t="s">
        <v>2400</v>
      </c>
      <c r="F26" s="964" t="s">
        <v>2281</v>
      </c>
      <c r="N26" s="947"/>
    </row>
    <row r="27" spans="1:14" ht="15.75">
      <c r="A27" s="964" t="s">
        <v>2421</v>
      </c>
      <c r="B27" s="964">
        <v>3.4</v>
      </c>
      <c r="C27" s="964">
        <v>55.4</v>
      </c>
      <c r="D27" s="964" t="s">
        <v>2281</v>
      </c>
      <c r="E27" s="964" t="s">
        <v>2400</v>
      </c>
      <c r="F27" s="964" t="s">
        <v>2281</v>
      </c>
      <c r="N27" s="947"/>
    </row>
    <row r="28" spans="1:14" ht="15.75">
      <c r="A28" s="964" t="s">
        <v>2422</v>
      </c>
      <c r="B28" s="964">
        <v>3.4</v>
      </c>
      <c r="C28" s="964">
        <v>52</v>
      </c>
      <c r="D28" s="964" t="s">
        <v>2281</v>
      </c>
      <c r="E28" s="964" t="s">
        <v>2400</v>
      </c>
      <c r="F28" s="964" t="s">
        <v>2281</v>
      </c>
      <c r="N28" s="947"/>
    </row>
    <row r="29" spans="1:14" ht="15.75">
      <c r="A29" s="964" t="s">
        <v>2423</v>
      </c>
      <c r="B29" s="964">
        <v>3.4</v>
      </c>
      <c r="C29" s="964">
        <v>48.6</v>
      </c>
      <c r="D29" s="964" t="s">
        <v>2281</v>
      </c>
      <c r="E29" s="964" t="s">
        <v>2400</v>
      </c>
      <c r="F29" s="964" t="s">
        <v>2281</v>
      </c>
      <c r="N29" s="947"/>
    </row>
    <row r="30" spans="1:14" ht="15.75">
      <c r="A30" s="964" t="s">
        <v>2424</v>
      </c>
      <c r="B30" s="964">
        <v>3.4</v>
      </c>
      <c r="C30" s="964">
        <v>45.2</v>
      </c>
      <c r="D30" s="964" t="s">
        <v>2281</v>
      </c>
      <c r="E30" s="964" t="s">
        <v>2400</v>
      </c>
      <c r="F30" s="964" t="s">
        <v>2281</v>
      </c>
      <c r="N30" s="947"/>
    </row>
    <row r="31" spans="1:14" ht="15.75">
      <c r="A31" s="964" t="s">
        <v>2425</v>
      </c>
      <c r="B31" s="964">
        <v>3.4</v>
      </c>
      <c r="C31" s="964">
        <v>41.8</v>
      </c>
      <c r="D31" s="964" t="s">
        <v>2281</v>
      </c>
      <c r="E31" s="964" t="s">
        <v>2400</v>
      </c>
      <c r="F31" s="964" t="s">
        <v>2281</v>
      </c>
      <c r="N31" s="947"/>
    </row>
    <row r="32" spans="1:14" ht="15.75">
      <c r="A32" s="964" t="s">
        <v>2426</v>
      </c>
      <c r="B32" s="964">
        <v>3.4</v>
      </c>
      <c r="C32" s="964">
        <v>38.4</v>
      </c>
      <c r="D32" s="964" t="s">
        <v>2281</v>
      </c>
      <c r="E32" s="964" t="s">
        <v>2400</v>
      </c>
      <c r="F32" s="964" t="s">
        <v>2281</v>
      </c>
      <c r="N32" s="947"/>
    </row>
    <row r="33" spans="1:14" ht="15.75">
      <c r="A33" s="964" t="s">
        <v>2427</v>
      </c>
      <c r="B33" s="964">
        <v>3.4</v>
      </c>
      <c r="C33" s="964">
        <v>35</v>
      </c>
      <c r="D33" s="964" t="s">
        <v>2281</v>
      </c>
      <c r="E33" s="964" t="s">
        <v>2400</v>
      </c>
      <c r="F33" s="964" t="s">
        <v>2281</v>
      </c>
      <c r="N33" s="947"/>
    </row>
    <row r="34" spans="1:14" ht="15.75">
      <c r="A34" s="964" t="s">
        <v>2428</v>
      </c>
      <c r="B34" s="964">
        <v>3.4</v>
      </c>
      <c r="C34" s="964">
        <v>31.6</v>
      </c>
      <c r="D34" s="964" t="s">
        <v>2281</v>
      </c>
      <c r="E34" s="964" t="s">
        <v>2400</v>
      </c>
      <c r="F34" s="964" t="s">
        <v>2281</v>
      </c>
      <c r="N34" s="947"/>
    </row>
    <row r="35" spans="1:14" ht="15.75">
      <c r="A35" s="964" t="s">
        <v>2429</v>
      </c>
      <c r="B35" s="964">
        <v>3.4</v>
      </c>
      <c r="C35" s="964">
        <v>28.2</v>
      </c>
      <c r="D35" s="964" t="s">
        <v>2281</v>
      </c>
      <c r="E35" s="964" t="s">
        <v>2400</v>
      </c>
      <c r="F35" s="964" t="s">
        <v>2281</v>
      </c>
      <c r="N35" s="947"/>
    </row>
    <row r="36" spans="1:14" ht="15.75">
      <c r="A36" s="964" t="s">
        <v>2430</v>
      </c>
      <c r="B36" s="964">
        <v>3.4</v>
      </c>
      <c r="C36" s="964">
        <v>24.8</v>
      </c>
      <c r="D36" s="964" t="s">
        <v>2281</v>
      </c>
      <c r="E36" s="964" t="s">
        <v>2400</v>
      </c>
      <c r="F36" s="964" t="s">
        <v>2281</v>
      </c>
      <c r="N36" s="947"/>
    </row>
    <row r="37" spans="1:14" ht="15.75">
      <c r="A37" s="964" t="s">
        <v>2431</v>
      </c>
      <c r="B37" s="964">
        <v>3.4</v>
      </c>
      <c r="C37" s="964">
        <v>21.4</v>
      </c>
      <c r="D37" s="964" t="s">
        <v>2281</v>
      </c>
      <c r="E37" s="964" t="s">
        <v>2400</v>
      </c>
      <c r="F37" s="964" t="s">
        <v>2281</v>
      </c>
      <c r="N37" s="947"/>
    </row>
    <row r="38" spans="1:14" ht="15.75">
      <c r="A38" s="964" t="s">
        <v>2432</v>
      </c>
      <c r="B38" s="964">
        <v>3.4</v>
      </c>
      <c r="C38" s="964">
        <v>18</v>
      </c>
      <c r="D38" s="964" t="s">
        <v>2281</v>
      </c>
      <c r="E38" s="964" t="s">
        <v>2400</v>
      </c>
      <c r="F38" s="964" t="s">
        <v>2281</v>
      </c>
      <c r="N38" s="947"/>
    </row>
    <row r="39" spans="1:14" ht="15.75">
      <c r="A39" s="964" t="s">
        <v>2433</v>
      </c>
      <c r="B39" s="964">
        <v>3.4</v>
      </c>
      <c r="C39" s="964">
        <v>14.6</v>
      </c>
      <c r="D39" s="964" t="s">
        <v>2281</v>
      </c>
      <c r="E39" s="964" t="s">
        <v>2400</v>
      </c>
      <c r="F39" s="964" t="s">
        <v>2281</v>
      </c>
      <c r="N39" s="947"/>
    </row>
    <row r="40" spans="1:14" ht="15.75">
      <c r="A40" s="964" t="s">
        <v>2434</v>
      </c>
      <c r="B40" s="964">
        <v>3.4</v>
      </c>
      <c r="C40" s="964">
        <v>11.2</v>
      </c>
      <c r="D40" s="964" t="s">
        <v>2281</v>
      </c>
      <c r="E40" s="964" t="s">
        <v>2400</v>
      </c>
      <c r="F40" s="964" t="s">
        <v>2281</v>
      </c>
      <c r="N40" s="947"/>
    </row>
    <row r="41" spans="1:14" ht="15.75">
      <c r="A41" s="964" t="s">
        <v>2435</v>
      </c>
      <c r="B41" s="964">
        <v>3.4</v>
      </c>
      <c r="C41" s="964">
        <v>7.8</v>
      </c>
      <c r="D41" s="964" t="s">
        <v>2281</v>
      </c>
      <c r="E41" s="964" t="s">
        <v>2400</v>
      </c>
      <c r="F41" s="964" t="s">
        <v>2281</v>
      </c>
      <c r="N41" s="947"/>
    </row>
    <row r="42" spans="1:14" ht="15.75">
      <c r="A42" s="964" t="s">
        <v>2400</v>
      </c>
      <c r="B42" s="964">
        <v>4.4000000000000004</v>
      </c>
      <c r="C42" s="964">
        <v>4.4000000000000004</v>
      </c>
      <c r="D42" s="964" t="s">
        <v>2280</v>
      </c>
      <c r="E42" s="964" t="s">
        <v>1824</v>
      </c>
      <c r="F42" s="964" t="s">
        <v>2281</v>
      </c>
      <c r="N42" s="947"/>
    </row>
    <row r="43" spans="1:14" ht="15.75">
      <c r="A43" s="964" t="s">
        <v>2436</v>
      </c>
      <c r="B43" s="964">
        <v>4.6500000000000004</v>
      </c>
      <c r="C43" s="964">
        <v>0</v>
      </c>
      <c r="D43" s="964" t="s">
        <v>2281</v>
      </c>
      <c r="E43" s="964" t="s">
        <v>1824</v>
      </c>
      <c r="F43" s="964" t="s">
        <v>2281</v>
      </c>
      <c r="N43" s="947"/>
    </row>
    <row r="44" spans="1:14" ht="15.75">
      <c r="A44" s="964" t="s">
        <v>2327</v>
      </c>
      <c r="B44" s="964">
        <v>3</v>
      </c>
      <c r="C44" s="964">
        <v>-4.6500000000000004</v>
      </c>
      <c r="D44" s="964" t="s">
        <v>2281</v>
      </c>
      <c r="E44" s="964" t="s">
        <v>1824</v>
      </c>
      <c r="F44" s="964" t="s">
        <v>2281</v>
      </c>
      <c r="N44" s="947"/>
    </row>
    <row r="45" spans="1:14" ht="15.75">
      <c r="A45" s="964" t="s">
        <v>1825</v>
      </c>
      <c r="B45" s="964">
        <v>0</v>
      </c>
      <c r="C45" s="964">
        <v>-7.65</v>
      </c>
      <c r="D45" s="964" t="s">
        <v>2281</v>
      </c>
      <c r="E45" s="964" t="s">
        <v>1824</v>
      </c>
      <c r="F45" s="964" t="s">
        <v>2281</v>
      </c>
      <c r="N45" s="947"/>
    </row>
    <row r="46" spans="1:14" ht="15.75">
      <c r="A46" s="947"/>
      <c r="B46" s="947"/>
      <c r="C46" s="947"/>
      <c r="D46" s="947"/>
      <c r="E46" s="947"/>
      <c r="F46" s="947"/>
      <c r="N46" s="947"/>
    </row>
    <row r="47" spans="1:14" ht="15.75">
      <c r="A47" s="947"/>
      <c r="B47" s="947"/>
      <c r="C47" s="947"/>
      <c r="D47" s="947"/>
      <c r="E47" s="947"/>
      <c r="F47" s="947"/>
      <c r="N47" s="947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AC87"/>
  <sheetViews>
    <sheetView tabSelected="1" zoomScale="85" zoomScaleNormal="85" workbookViewId="0">
      <selection activeCell="H13" sqref="H13"/>
    </sheetView>
  </sheetViews>
  <sheetFormatPr defaultColWidth="9" defaultRowHeight="15" outlineLevelRow="1"/>
  <cols>
    <col min="1" max="1" width="13.6640625" style="571" customWidth="1"/>
    <col min="2" max="2" width="13.44140625" style="571" customWidth="1"/>
    <col min="3" max="3" width="18.77734375" style="571" customWidth="1"/>
    <col min="4" max="4" width="26.33203125" style="571" customWidth="1"/>
    <col min="5" max="5" width="10.77734375" style="571" customWidth="1"/>
    <col min="6" max="6" width="10.33203125" style="571" customWidth="1"/>
    <col min="7" max="7" width="10.44140625" style="571" customWidth="1"/>
    <col min="8" max="8" width="9" style="571" customWidth="1"/>
    <col min="9" max="9" width="8" style="571" customWidth="1" collapsed="1"/>
    <col min="10" max="11" width="8.33203125" style="571" customWidth="1"/>
    <col min="12" max="13" width="8.77734375" style="571" customWidth="1"/>
    <col min="14" max="14" width="9" style="571" customWidth="1"/>
    <col min="15" max="15" width="11.44140625" style="571" customWidth="1" collapsed="1"/>
    <col min="16" max="16" width="15.21875" style="571" customWidth="1"/>
    <col min="17" max="17" width="11.44140625" style="571" customWidth="1"/>
    <col min="18" max="21" width="10.33203125" style="571" customWidth="1"/>
    <col min="22" max="23" width="9" style="571" customWidth="1"/>
    <col min="24" max="27" width="9" style="571"/>
    <col min="28" max="29" width="34.88671875" style="571" customWidth="1"/>
    <col min="30" max="16384" width="9" style="571"/>
  </cols>
  <sheetData>
    <row r="3" spans="1:29">
      <c r="E3" s="580" t="s">
        <v>2320</v>
      </c>
      <c r="F3" s="571" t="s">
        <v>2321</v>
      </c>
    </row>
    <row r="4" spans="1:29">
      <c r="F4" s="571" t="s">
        <v>2324</v>
      </c>
    </row>
    <row r="5" spans="1:29" ht="17.25" customHeight="1">
      <c r="A5" s="948" t="s">
        <v>2322</v>
      </c>
      <c r="B5" s="949"/>
      <c r="C5" s="950" t="s">
        <v>2385</v>
      </c>
      <c r="F5" s="571" t="s">
        <v>2323</v>
      </c>
    </row>
    <row r="6" spans="1:29" ht="16.5">
      <c r="A6" s="1021" t="s">
        <v>1847</v>
      </c>
      <c r="B6" s="1021"/>
      <c r="C6" s="1021"/>
      <c r="D6" s="1021" t="s">
        <v>1851</v>
      </c>
      <c r="E6" s="1021"/>
      <c r="F6" s="1021"/>
      <c r="G6" s="1021"/>
      <c r="H6" s="1021"/>
      <c r="I6" s="843" t="s">
        <v>2046</v>
      </c>
      <c r="J6" s="843"/>
      <c r="K6" s="573" t="s">
        <v>1887</v>
      </c>
      <c r="L6" s="863">
        <v>0.8</v>
      </c>
      <c r="M6" s="573" t="s">
        <v>1888</v>
      </c>
      <c r="N6" s="863">
        <v>0.6</v>
      </c>
      <c r="O6" s="843" t="s">
        <v>1868</v>
      </c>
      <c r="P6" s="843"/>
      <c r="Q6" s="843"/>
      <c r="R6" s="843" t="s">
        <v>1937</v>
      </c>
      <c r="S6" s="843"/>
      <c r="T6" s="843"/>
      <c r="U6" s="843"/>
      <c r="V6" s="573"/>
      <c r="W6" s="573"/>
      <c r="X6" s="573"/>
      <c r="Y6" s="573"/>
      <c r="Z6" s="573"/>
    </row>
    <row r="7" spans="1:29" ht="24" customHeight="1">
      <c r="A7" s="1025" t="s">
        <v>1771</v>
      </c>
      <c r="B7" s="1026"/>
      <c r="C7" s="862" t="s">
        <v>2456</v>
      </c>
      <c r="D7" s="840" t="s">
        <v>15</v>
      </c>
      <c r="E7" s="841" t="s">
        <v>1854</v>
      </c>
      <c r="F7" s="841" t="s">
        <v>2047</v>
      </c>
      <c r="G7" s="841" t="s">
        <v>4</v>
      </c>
      <c r="H7" s="841" t="s">
        <v>2048</v>
      </c>
      <c r="I7" s="840" t="s">
        <v>1866</v>
      </c>
      <c r="J7" s="840" t="s">
        <v>1796</v>
      </c>
      <c r="K7" s="840" t="s">
        <v>5</v>
      </c>
      <c r="L7" s="840" t="s">
        <v>1867</v>
      </c>
      <c r="M7" s="840" t="s">
        <v>1802</v>
      </c>
      <c r="N7" s="840" t="s">
        <v>1803</v>
      </c>
      <c r="O7" s="1037" t="s">
        <v>1882</v>
      </c>
      <c r="P7" s="1038"/>
      <c r="Q7" s="865">
        <v>0.3</v>
      </c>
      <c r="R7" s="1035" t="s">
        <v>1877</v>
      </c>
      <c r="S7" s="1035"/>
      <c r="T7" s="1035"/>
      <c r="U7" s="1035" t="s">
        <v>1878</v>
      </c>
      <c r="V7" s="1035"/>
      <c r="W7" s="1035"/>
      <c r="X7" s="571">
        <v>1</v>
      </c>
      <c r="Y7" s="842" t="s">
        <v>1961</v>
      </c>
      <c r="Z7" s="842" t="s">
        <v>1962</v>
      </c>
      <c r="AC7" s="833" t="s">
        <v>1655</v>
      </c>
    </row>
    <row r="8" spans="1:29" ht="16.5">
      <c r="A8" s="571" t="s">
        <v>1848</v>
      </c>
      <c r="D8" s="847" t="s">
        <v>1656</v>
      </c>
      <c r="E8" s="855">
        <v>15</v>
      </c>
      <c r="F8" s="836">
        <f t="shared" ref="F8:F27" si="0">IF(D8="","",IF(INDEX(vatlieu1,MATCH(D8,vatlieu2,0),2)&lt;&gt;0,INDEX(vatlieu1,MATCH(D8,vatlieu2,0),2),""))</f>
        <v>20</v>
      </c>
      <c r="G8" s="836">
        <f>IF($D8="","",IF(INDEX(vatlieu1,MATCH($D8,vatlieu2,0),3)&lt;&gt;0,INDEX(vatlieu1,MATCH($D8,vatlieu2,0),3),""))</f>
        <v>1.1000000000000001</v>
      </c>
      <c r="H8" s="836" t="str">
        <f t="shared" ref="H8:H34" si="1">IF($D8="","",IF(INDEX(vatlieu1,MATCH($D8,vatlieu2,0),5)&lt;&gt;0,INDEX(vatlieu1,MATCH($D8,vatlieu2,0),5),""))</f>
        <v/>
      </c>
      <c r="I8" s="581" t="s">
        <v>1820</v>
      </c>
      <c r="J8" s="581" t="s">
        <v>1821</v>
      </c>
      <c r="K8" s="581" t="s">
        <v>1822</v>
      </c>
      <c r="L8" s="581" t="s">
        <v>1895</v>
      </c>
      <c r="M8" s="574" t="s">
        <v>1884</v>
      </c>
      <c r="N8" s="574" t="s">
        <v>1884</v>
      </c>
      <c r="O8" s="1023" t="s">
        <v>1949</v>
      </c>
      <c r="P8" s="1036"/>
      <c r="Q8" s="577">
        <f>IF(Q7=0.3,VLOOKUP(C17,'Wind base'!$T$5:$Y$13,5,FALSE),VLOOKUP(C17,'Wind base'!$T$5:$Y$13,6,FALSE))</f>
        <v>1.3</v>
      </c>
      <c r="R8" s="833" t="s">
        <v>1879</v>
      </c>
      <c r="S8" s="833" t="s">
        <v>1880</v>
      </c>
      <c r="T8" s="833" t="s">
        <v>1881</v>
      </c>
      <c r="U8" s="833" t="s">
        <v>1879</v>
      </c>
      <c r="V8" s="833" t="s">
        <v>1880</v>
      </c>
      <c r="W8" s="833" t="s">
        <v>1881</v>
      </c>
      <c r="X8" s="571">
        <v>2</v>
      </c>
      <c r="Y8" s="573">
        <f>SUM(Y9:Y87)</f>
        <v>39</v>
      </c>
      <c r="Z8" s="573">
        <f>MAX(MODEDAODONG)</f>
        <v>29</v>
      </c>
      <c r="AC8" s="904" t="str">
        <f t="shared" ref="AC8:AC34" si="2">IF(D8="","",IF(INDEX(vatlieu1,MATCH(D8,vatlieu2,0),4)&lt;&gt;0,INDEX(vatlieu1,MATCH(D8,vatlieu2,0),4),""))</f>
        <v>Tile layer</v>
      </c>
    </row>
    <row r="9" spans="1:29">
      <c r="A9" s="573" t="s">
        <v>1855</v>
      </c>
      <c r="B9" s="855" t="s">
        <v>1849</v>
      </c>
      <c r="C9" s="575"/>
      <c r="D9" s="847" t="s">
        <v>1816</v>
      </c>
      <c r="E9" s="855">
        <v>35</v>
      </c>
      <c r="F9" s="836">
        <f t="shared" si="0"/>
        <v>18</v>
      </c>
      <c r="G9" s="836">
        <f t="shared" ref="G9:G27" si="3">IF(D9="","",IF(INDEX(vatlieu1,MATCH(D9,vatlieu2,0),3)&lt;&gt;0,INDEX(vatlieu1,MATCH(D9,vatlieu2,0),3),""))</f>
        <v>1.3</v>
      </c>
      <c r="H9" s="836" t="str">
        <f t="shared" si="1"/>
        <v/>
      </c>
      <c r="I9" s="573" t="str">
        <f t="shared" ref="I9:I40" si="4">IF(INDEX(Story_data,ROW($A2),1)&lt;&gt;"",INDEX(Story_data,ROW($A2),1),"")</f>
        <v>TMAI</v>
      </c>
      <c r="J9" s="573">
        <f t="shared" ref="J9:J40" si="5">IF(INDEX(Story_data,ROW($A2),2)&lt;&gt;"",INDEX(Story_data,ROW($A2),2),"")</f>
        <v>5.6</v>
      </c>
      <c r="K9" s="573">
        <f t="shared" ref="K9:K40" si="6">IF(INDEX(Story_data,ROW($A2),3)&lt;&gt;"",INDEX(Story_data,ROW($A2),3),"")</f>
        <v>135.80000000000001</v>
      </c>
      <c r="L9" s="579">
        <f t="shared" ref="L9:L40" si="7">IF(INDEX(Mass_data,ROW($A2),3)&lt;&gt;"",INDEX(Mass_data,ROW($A2),3),"")</f>
        <v>1186.1731</v>
      </c>
      <c r="M9" s="958">
        <v>70.844999999999999</v>
      </c>
      <c r="N9" s="958">
        <v>27.35</v>
      </c>
      <c r="O9" s="1024" t="s">
        <v>1870</v>
      </c>
      <c r="P9" s="1024"/>
      <c r="Q9" s="1024"/>
      <c r="R9" s="961">
        <v>3</v>
      </c>
      <c r="S9" s="866">
        <v>6</v>
      </c>
      <c r="T9" s="866" t="s">
        <v>13</v>
      </c>
      <c r="U9" s="866">
        <v>1</v>
      </c>
      <c r="V9" s="866">
        <v>5</v>
      </c>
      <c r="W9" s="866" t="s">
        <v>13</v>
      </c>
      <c r="X9" s="571">
        <v>3</v>
      </c>
      <c r="Y9" s="573">
        <f t="shared" ref="Y9:Y40" si="8">IF(L9&lt;&gt;"",1,0)</f>
        <v>1</v>
      </c>
      <c r="Z9" s="573"/>
      <c r="AC9" s="904" t="str">
        <f t="shared" si="2"/>
        <v>Plastering+leaning mortar layers</v>
      </c>
    </row>
    <row r="10" spans="1:29">
      <c r="A10" s="573" t="s">
        <v>1856</v>
      </c>
      <c r="B10" s="855" t="s">
        <v>1849</v>
      </c>
      <c r="C10" s="572"/>
      <c r="D10" s="847" t="s">
        <v>1817</v>
      </c>
      <c r="E10" s="855"/>
      <c r="F10" s="836" t="str">
        <f t="shared" si="0"/>
        <v/>
      </c>
      <c r="G10" s="836">
        <f t="shared" si="3"/>
        <v>1.2</v>
      </c>
      <c r="H10" s="836">
        <f t="shared" si="1"/>
        <v>0.3</v>
      </c>
      <c r="I10" s="573" t="str">
        <f t="shared" si="4"/>
        <v>TTUM</v>
      </c>
      <c r="J10" s="573">
        <f t="shared" si="5"/>
        <v>3.4</v>
      </c>
      <c r="K10" s="573">
        <f t="shared" si="6"/>
        <v>130.19999999999999</v>
      </c>
      <c r="L10" s="579">
        <f t="shared" si="7"/>
        <v>1258.2292</v>
      </c>
      <c r="M10" s="958">
        <v>70.844999999999999</v>
      </c>
      <c r="N10" s="958">
        <v>27.35</v>
      </c>
      <c r="O10" s="1024" t="s">
        <v>2386</v>
      </c>
      <c r="P10" s="1024"/>
      <c r="Q10" s="1024"/>
      <c r="R10" s="962">
        <v>1</v>
      </c>
      <c r="S10" s="962">
        <v>2</v>
      </c>
      <c r="T10" s="962" t="s">
        <v>13</v>
      </c>
      <c r="U10" s="962">
        <v>1</v>
      </c>
      <c r="V10" s="962">
        <v>2</v>
      </c>
      <c r="W10" s="962" t="s">
        <v>13</v>
      </c>
      <c r="X10" s="963" t="s">
        <v>13</v>
      </c>
      <c r="Y10" s="573">
        <f t="shared" si="8"/>
        <v>1</v>
      </c>
      <c r="Z10" s="573"/>
      <c r="AC10" s="904" t="str">
        <f t="shared" si="2"/>
        <v>Suspended ceiling+technical equip.</v>
      </c>
    </row>
    <row r="11" spans="1:29">
      <c r="A11" s="573" t="s">
        <v>1857</v>
      </c>
      <c r="B11" s="855" t="s">
        <v>1849</v>
      </c>
      <c r="C11" s="860" t="s">
        <v>1864</v>
      </c>
      <c r="D11" s="847" t="s">
        <v>1657</v>
      </c>
      <c r="E11" s="855">
        <v>20</v>
      </c>
      <c r="F11" s="836">
        <f t="shared" si="0"/>
        <v>10</v>
      </c>
      <c r="G11" s="836">
        <f t="shared" si="3"/>
        <v>1.3</v>
      </c>
      <c r="H11" s="836" t="str">
        <f t="shared" si="1"/>
        <v/>
      </c>
      <c r="I11" s="573" t="str">
        <f t="shared" si="4"/>
        <v>T38</v>
      </c>
      <c r="J11" s="573">
        <f t="shared" si="5"/>
        <v>3.4</v>
      </c>
      <c r="K11" s="573">
        <f t="shared" si="6"/>
        <v>126.8</v>
      </c>
      <c r="L11" s="579">
        <f t="shared" si="7"/>
        <v>1258.2292</v>
      </c>
      <c r="M11" s="958">
        <v>70.844999999999999</v>
      </c>
      <c r="N11" s="958">
        <v>27.35</v>
      </c>
      <c r="O11" s="833" t="s">
        <v>1827</v>
      </c>
      <c r="P11" s="833" t="s">
        <v>1872</v>
      </c>
      <c r="Q11" s="833" t="s">
        <v>1871</v>
      </c>
      <c r="R11" s="1039" t="s">
        <v>1873</v>
      </c>
      <c r="S11" s="1040"/>
      <c r="T11" s="1039" t="s">
        <v>1874</v>
      </c>
      <c r="U11" s="1040"/>
      <c r="V11" s="840" t="s">
        <v>1876</v>
      </c>
      <c r="W11" s="840" t="s">
        <v>1875</v>
      </c>
      <c r="Y11" s="573">
        <f t="shared" si="8"/>
        <v>1</v>
      </c>
      <c r="Z11" s="573"/>
      <c r="AC11" s="904" t="str">
        <f t="shared" si="2"/>
        <v>Waterproofing material layers</v>
      </c>
    </row>
    <row r="12" spans="1:29">
      <c r="A12" s="573" t="s">
        <v>1858</v>
      </c>
      <c r="B12" s="855" t="s">
        <v>1850</v>
      </c>
      <c r="C12" s="575"/>
      <c r="D12" s="847" t="s">
        <v>1658</v>
      </c>
      <c r="E12" s="855">
        <v>30</v>
      </c>
      <c r="F12" s="836">
        <f t="shared" si="0"/>
        <v>10</v>
      </c>
      <c r="G12" s="836">
        <f t="shared" si="3"/>
        <v>1.3</v>
      </c>
      <c r="H12" s="836" t="str">
        <f t="shared" si="1"/>
        <v/>
      </c>
      <c r="I12" s="573" t="str">
        <f t="shared" si="4"/>
        <v>T37</v>
      </c>
      <c r="J12" s="573">
        <f t="shared" si="5"/>
        <v>3.4</v>
      </c>
      <c r="K12" s="573">
        <f t="shared" si="6"/>
        <v>123.4</v>
      </c>
      <c r="L12" s="579">
        <f t="shared" si="7"/>
        <v>1258.2292</v>
      </c>
      <c r="M12" s="958">
        <v>70.844999999999999</v>
      </c>
      <c r="N12" s="958">
        <v>27.35</v>
      </c>
      <c r="O12" s="573">
        <f t="shared" ref="O12:O52" si="9">IF(INDEX(Period,ROW($A2),COLUMN($A2))&lt;&gt;"",INDEX(Period,ROW($A2),COLUMN($A2)),"-")</f>
        <v>1</v>
      </c>
      <c r="P12" s="578">
        <f t="shared" ref="P12:P52" si="10">IF(O12&lt;&gt;"-",INDEX(Period,ROW($B2),COLUMN($B2)),"-")</f>
        <v>4.077</v>
      </c>
      <c r="Q12" s="578">
        <f>IF(O12&lt;&gt;"-",1/P12,"-")</f>
        <v>0.24527839097375523</v>
      </c>
      <c r="R12" s="959">
        <f>IF(O12&lt;&gt;"-",INDEX(Period,MATCH(O12,MPMR!$A$2:$A$90,0)+1,3),"-")</f>
        <v>2.12</v>
      </c>
      <c r="S12" s="959"/>
      <c r="T12" s="959">
        <f>IF(Q12&lt;&gt;"-",INDEX(Period,MATCH(O12,MPMR!$A$2:$A$90,0)+1,4),"-")</f>
        <v>56.940000000000005</v>
      </c>
      <c r="U12" s="959"/>
      <c r="V12" s="574" t="str">
        <f>IF(Q12&lt;$Q$8,"T.toán","-")</f>
        <v>T.toán</v>
      </c>
      <c r="W12" s="576" t="s">
        <v>1803</v>
      </c>
      <c r="Y12" s="573">
        <f t="shared" si="8"/>
        <v>1</v>
      </c>
      <c r="Z12" s="573"/>
      <c r="AC12" s="904" t="str">
        <f t="shared" si="2"/>
        <v>Heat-insulated material layers</v>
      </c>
    </row>
    <row r="13" spans="1:29">
      <c r="A13" s="573" t="s">
        <v>2068</v>
      </c>
      <c r="B13" s="573" t="s">
        <v>1894</v>
      </c>
      <c r="C13" s="861">
        <v>-0.55000000000000004</v>
      </c>
      <c r="D13" s="847" t="s">
        <v>1659</v>
      </c>
      <c r="E13" s="855">
        <v>100</v>
      </c>
      <c r="F13" s="836">
        <f t="shared" si="0"/>
        <v>15</v>
      </c>
      <c r="G13" s="836">
        <f t="shared" si="3"/>
        <v>1.2</v>
      </c>
      <c r="H13" s="836" t="str">
        <f t="shared" si="1"/>
        <v/>
      </c>
      <c r="I13" s="573" t="str">
        <f t="shared" si="4"/>
        <v>T36</v>
      </c>
      <c r="J13" s="573">
        <f t="shared" si="5"/>
        <v>3.4</v>
      </c>
      <c r="K13" s="573">
        <f t="shared" si="6"/>
        <v>120</v>
      </c>
      <c r="L13" s="579">
        <f t="shared" si="7"/>
        <v>1258.2292</v>
      </c>
      <c r="M13" s="958">
        <v>70.844999999999999</v>
      </c>
      <c r="N13" s="958">
        <v>27.35</v>
      </c>
      <c r="O13" s="573">
        <f t="shared" si="9"/>
        <v>2</v>
      </c>
      <c r="P13" s="578">
        <f t="shared" si="10"/>
        <v>3.9620000000000002</v>
      </c>
      <c r="Q13" s="578">
        <f t="shared" ref="Q13:Q52" si="11">IF(O13&lt;&gt;"-",1/P13,"-")</f>
        <v>0.25239777889954568</v>
      </c>
      <c r="R13" s="959">
        <f>IF(O13&lt;&gt;"-",INDEX(Period,MATCH(O13,MPMR!$A$2:$A$90,0)+1,3),"-")</f>
        <v>1.21</v>
      </c>
      <c r="S13" s="959"/>
      <c r="T13" s="959">
        <f>IF(Q13&lt;&gt;"-",INDEX(Period,MATCH(O13,MPMR!$A$2:$A$90,0)+1,4),"-")</f>
        <v>2.2999999999999998</v>
      </c>
      <c r="U13" s="959"/>
      <c r="V13" s="574" t="str">
        <f t="shared" ref="V13:V52" si="12">IF(Q13&lt;$Q$8,"T.toán","-")</f>
        <v>T.toán</v>
      </c>
      <c r="W13" s="576"/>
      <c r="Y13" s="573">
        <f t="shared" si="8"/>
        <v>1</v>
      </c>
      <c r="Z13" s="573"/>
      <c r="AC13" s="904" t="str">
        <f t="shared" si="2"/>
        <v>Tilth layers</v>
      </c>
    </row>
    <row r="14" spans="1:29">
      <c r="A14" s="573" t="s">
        <v>1800</v>
      </c>
      <c r="B14" s="1032" t="s">
        <v>2166</v>
      </c>
      <c r="C14" s="1033"/>
      <c r="D14" s="847" t="s">
        <v>1660</v>
      </c>
      <c r="E14" s="855">
        <v>10</v>
      </c>
      <c r="F14" s="836">
        <f t="shared" si="0"/>
        <v>18</v>
      </c>
      <c r="G14" s="836">
        <f t="shared" si="3"/>
        <v>1.1000000000000001</v>
      </c>
      <c r="H14" s="836" t="str">
        <f t="shared" si="1"/>
        <v/>
      </c>
      <c r="I14" s="573" t="str">
        <f t="shared" si="4"/>
        <v>T35</v>
      </c>
      <c r="J14" s="573">
        <f t="shared" si="5"/>
        <v>3.4</v>
      </c>
      <c r="K14" s="573">
        <f t="shared" si="6"/>
        <v>116.6</v>
      </c>
      <c r="L14" s="579">
        <f t="shared" si="7"/>
        <v>1258.2292</v>
      </c>
      <c r="M14" s="958">
        <v>70.844999999999999</v>
      </c>
      <c r="N14" s="958">
        <v>27.35</v>
      </c>
      <c r="O14" s="573">
        <f t="shared" si="9"/>
        <v>3</v>
      </c>
      <c r="P14" s="578">
        <f t="shared" si="10"/>
        <v>2.8929999999999998</v>
      </c>
      <c r="Q14" s="578">
        <f t="shared" si="11"/>
        <v>0.34566194262011757</v>
      </c>
      <c r="R14" s="959">
        <f>IF(O14&lt;&gt;"-",INDEX(Period,MATCH(O14,MPMR!$A$2:$A$90,0)+1,3),"-")</f>
        <v>59.67</v>
      </c>
      <c r="S14" s="959"/>
      <c r="T14" s="959">
        <f>IF(Q14&lt;&gt;"-",INDEX(Period,MATCH(O14,MPMR!$A$2:$A$90,0)+1,4),"-")</f>
        <v>1.6500000000000001</v>
      </c>
      <c r="U14" s="959"/>
      <c r="V14" s="574" t="str">
        <f t="shared" si="12"/>
        <v>T.toán</v>
      </c>
      <c r="W14" s="576" t="s">
        <v>1802</v>
      </c>
      <c r="Y14" s="573">
        <f t="shared" si="8"/>
        <v>1</v>
      </c>
      <c r="Z14" s="573"/>
      <c r="AC14" s="904" t="str">
        <f t="shared" si="2"/>
        <v>Stairs surface paved by stone</v>
      </c>
    </row>
    <row r="15" spans="1:29">
      <c r="A15" s="573" t="s">
        <v>1859</v>
      </c>
      <c r="B15" s="1032" t="s">
        <v>669</v>
      </c>
      <c r="C15" s="1033"/>
      <c r="D15" s="847" t="s">
        <v>1661</v>
      </c>
      <c r="E15" s="855"/>
      <c r="F15" s="836">
        <f t="shared" si="0"/>
        <v>18</v>
      </c>
      <c r="G15" s="836">
        <f t="shared" si="3"/>
        <v>1.1000000000000001</v>
      </c>
      <c r="H15" s="836" t="str">
        <f t="shared" si="1"/>
        <v/>
      </c>
      <c r="I15" s="573" t="str">
        <f t="shared" si="4"/>
        <v>T34</v>
      </c>
      <c r="J15" s="573">
        <f t="shared" si="5"/>
        <v>3.4</v>
      </c>
      <c r="K15" s="573">
        <f t="shared" si="6"/>
        <v>113.2</v>
      </c>
      <c r="L15" s="579">
        <f t="shared" si="7"/>
        <v>1258.2292</v>
      </c>
      <c r="M15" s="958">
        <v>70.844999999999999</v>
      </c>
      <c r="N15" s="958">
        <v>27.35</v>
      </c>
      <c r="O15" s="573">
        <f t="shared" si="9"/>
        <v>4</v>
      </c>
      <c r="P15" s="578">
        <f t="shared" si="10"/>
        <v>1.216</v>
      </c>
      <c r="Q15" s="578">
        <f t="shared" si="11"/>
        <v>0.82236842105263164</v>
      </c>
      <c r="R15" s="959">
        <f>IF(O15&lt;&gt;"-",INDEX(Period,MATCH(O15,MPMR!$A$2:$A$90,0)+1,3),"-")</f>
        <v>0.27</v>
      </c>
      <c r="S15" s="959"/>
      <c r="T15" s="959">
        <f>IF(Q15&lt;&gt;"-",INDEX(Period,MATCH(O15,MPMR!$A$2:$A$90,0)+1,4),"-")</f>
        <v>3.3599999999999997E-3</v>
      </c>
      <c r="U15" s="959"/>
      <c r="V15" s="574" t="str">
        <f t="shared" si="12"/>
        <v>T.toán</v>
      </c>
      <c r="W15" s="576"/>
      <c r="Y15" s="573">
        <f t="shared" si="8"/>
        <v>1</v>
      </c>
      <c r="Z15" s="573"/>
      <c r="AC15" s="904" t="str">
        <f t="shared" si="2"/>
        <v>Stairs built by bricks</v>
      </c>
    </row>
    <row r="16" spans="1:29">
      <c r="A16" s="573" t="s">
        <v>1799</v>
      </c>
      <c r="B16" s="859" t="s">
        <v>22</v>
      </c>
      <c r="C16" s="831" t="s">
        <v>1883</v>
      </c>
      <c r="D16" s="847" t="s">
        <v>1662</v>
      </c>
      <c r="E16" s="855">
        <v>120</v>
      </c>
      <c r="F16" s="836">
        <f t="shared" si="0"/>
        <v>25</v>
      </c>
      <c r="G16" s="836">
        <f t="shared" si="3"/>
        <v>1.1000000000000001</v>
      </c>
      <c r="H16" s="836" t="str">
        <f t="shared" si="1"/>
        <v/>
      </c>
      <c r="I16" s="573" t="str">
        <f t="shared" si="4"/>
        <v>T33</v>
      </c>
      <c r="J16" s="573">
        <f t="shared" si="5"/>
        <v>3.4</v>
      </c>
      <c r="K16" s="573">
        <f t="shared" si="6"/>
        <v>109.8</v>
      </c>
      <c r="L16" s="579">
        <f t="shared" si="7"/>
        <v>1258.2292</v>
      </c>
      <c r="M16" s="958">
        <v>70.844999999999999</v>
      </c>
      <c r="N16" s="958">
        <v>27.35</v>
      </c>
      <c r="O16" s="573">
        <f t="shared" si="9"/>
        <v>5</v>
      </c>
      <c r="P16" s="578">
        <f t="shared" si="10"/>
        <v>1.034</v>
      </c>
      <c r="Q16" s="578">
        <f t="shared" si="11"/>
        <v>0.96711798839458407</v>
      </c>
      <c r="R16" s="959">
        <f>IF(O16&lt;&gt;"-",INDEX(Period,MATCH(O16,MPMR!$A$2:$A$90,0)+1,3),"-")</f>
        <v>0.27999999999999997</v>
      </c>
      <c r="S16" s="959"/>
      <c r="T16" s="959">
        <f>IF(Q16&lt;&gt;"-",INDEX(Period,MATCH(O16,MPMR!$A$2:$A$90,0)+1,4),"-")</f>
        <v>14.81</v>
      </c>
      <c r="U16" s="959"/>
      <c r="V16" s="574" t="str">
        <f t="shared" si="12"/>
        <v>T.toán</v>
      </c>
      <c r="W16" s="576" t="s">
        <v>1803</v>
      </c>
      <c r="Y16" s="573">
        <f t="shared" si="8"/>
        <v>1</v>
      </c>
      <c r="Z16" s="573"/>
      <c r="AC16" s="904" t="str">
        <f t="shared" si="2"/>
        <v>Staircase's slab by RC</v>
      </c>
    </row>
    <row r="17" spans="1:29">
      <c r="A17" s="573" t="s">
        <v>1860</v>
      </c>
      <c r="B17" s="859" t="s">
        <v>0</v>
      </c>
      <c r="C17" s="831" t="str">
        <f t="array" ref="C17">IFERROR(INDEX('Wind base'!$AO:$AQ,MATCH(1,(City3='Wind base'!AO:AO)*(B15='Wind base'!AP:AP),0),3),"?")</f>
        <v>II.B</v>
      </c>
      <c r="D17" s="847" t="s">
        <v>1663</v>
      </c>
      <c r="E17" s="855">
        <v>900</v>
      </c>
      <c r="F17" s="836">
        <f t="shared" si="0"/>
        <v>20</v>
      </c>
      <c r="G17" s="836">
        <f t="shared" si="3"/>
        <v>1.3</v>
      </c>
      <c r="H17" s="836" t="str">
        <f t="shared" si="1"/>
        <v/>
      </c>
      <c r="I17" s="573" t="str">
        <f t="shared" si="4"/>
        <v>T32</v>
      </c>
      <c r="J17" s="573">
        <f t="shared" si="5"/>
        <v>3.4</v>
      </c>
      <c r="K17" s="573">
        <f t="shared" si="6"/>
        <v>106.4</v>
      </c>
      <c r="L17" s="579">
        <f t="shared" si="7"/>
        <v>1258.2292</v>
      </c>
      <c r="M17" s="958">
        <v>70.844999999999999</v>
      </c>
      <c r="N17" s="958">
        <v>27.35</v>
      </c>
      <c r="O17" s="573">
        <f t="shared" si="9"/>
        <v>6</v>
      </c>
      <c r="P17" s="578">
        <f t="shared" si="10"/>
        <v>0.80700000000000005</v>
      </c>
      <c r="Q17" s="578">
        <f t="shared" si="11"/>
        <v>1.2391573729863692</v>
      </c>
      <c r="R17" s="959">
        <f>IF(O17&lt;&gt;"-",INDEX(Period,MATCH(O17,MPMR!$A$2:$A$90,0)+1,3),"-")</f>
        <v>12.709999999999999</v>
      </c>
      <c r="S17" s="959"/>
      <c r="T17" s="959">
        <f>IF(Q17&lt;&gt;"-",INDEX(Period,MATCH(O17,MPMR!$A$2:$A$90,0)+1,4),"-")</f>
        <v>0.18</v>
      </c>
      <c r="U17" s="959"/>
      <c r="V17" s="574" t="str">
        <f t="shared" si="12"/>
        <v>T.toán</v>
      </c>
      <c r="W17" s="576" t="s">
        <v>1802</v>
      </c>
      <c r="Y17" s="573">
        <f t="shared" si="8"/>
        <v>1</v>
      </c>
      <c r="Z17" s="573"/>
      <c r="AC17" s="904" t="str">
        <f t="shared" si="2"/>
        <v>Road surface's forming layers</v>
      </c>
    </row>
    <row r="18" spans="1:29">
      <c r="A18" s="573" t="s">
        <v>1861</v>
      </c>
      <c r="B18" s="859" t="s">
        <v>2272</v>
      </c>
      <c r="C18" s="832"/>
      <c r="D18" s="847" t="s">
        <v>2240</v>
      </c>
      <c r="E18" s="855">
        <v>500</v>
      </c>
      <c r="F18" s="836">
        <f t="shared" si="0"/>
        <v>18</v>
      </c>
      <c r="G18" s="836">
        <f t="shared" si="3"/>
        <v>1.1000000000000001</v>
      </c>
      <c r="H18" s="836" t="str">
        <f t="shared" si="1"/>
        <v/>
      </c>
      <c r="I18" s="573" t="str">
        <f t="shared" si="4"/>
        <v>T31</v>
      </c>
      <c r="J18" s="573">
        <f t="shared" si="5"/>
        <v>3.4</v>
      </c>
      <c r="K18" s="573">
        <f t="shared" si="6"/>
        <v>103</v>
      </c>
      <c r="L18" s="579">
        <f t="shared" si="7"/>
        <v>1258.2292</v>
      </c>
      <c r="M18" s="958">
        <v>70.844999999999999</v>
      </c>
      <c r="N18" s="958">
        <v>27.35</v>
      </c>
      <c r="O18" s="573">
        <f t="shared" si="9"/>
        <v>7</v>
      </c>
      <c r="P18" s="578">
        <f t="shared" si="10"/>
        <v>0.64200000000000002</v>
      </c>
      <c r="Q18" s="578">
        <f t="shared" si="11"/>
        <v>1.557632398753894</v>
      </c>
      <c r="R18" s="959">
        <f>IF(O18&lt;&gt;"-",INDEX(Period,MATCH(O18,MPMR!$A$2:$A$90,0)+1,3),"-")</f>
        <v>0.1</v>
      </c>
      <c r="S18" s="959"/>
      <c r="T18" s="959">
        <f>IF(Q18&lt;&gt;"-",INDEX(Period,MATCH(O18,MPMR!$A$2:$A$90,0)+1,4),"-")</f>
        <v>1.5220000000000001E-4</v>
      </c>
      <c r="U18" s="959"/>
      <c r="V18" s="574" t="str">
        <f t="shared" si="12"/>
        <v>-</v>
      </c>
      <c r="W18" s="576"/>
      <c r="Y18" s="573">
        <f t="shared" si="8"/>
        <v>1</v>
      </c>
      <c r="Z18" s="573"/>
      <c r="AC18" s="904" t="str">
        <f t="shared" si="2"/>
        <v>Perron brick's layer</v>
      </c>
    </row>
    <row r="19" spans="1:29">
      <c r="A19" s="1022" t="s">
        <v>1862</v>
      </c>
      <c r="B19" s="1022"/>
      <c r="C19" s="1023"/>
      <c r="D19" s="847" t="s">
        <v>2229</v>
      </c>
      <c r="E19" s="855"/>
      <c r="F19" s="836" t="str">
        <f t="shared" si="0"/>
        <v/>
      </c>
      <c r="G19" s="836">
        <f t="shared" si="3"/>
        <v>1.3</v>
      </c>
      <c r="H19" s="836">
        <f t="shared" si="1"/>
        <v>0.75</v>
      </c>
      <c r="I19" s="573" t="str">
        <f t="shared" si="4"/>
        <v>T30</v>
      </c>
      <c r="J19" s="573">
        <f t="shared" si="5"/>
        <v>3.4</v>
      </c>
      <c r="K19" s="573">
        <f t="shared" si="6"/>
        <v>99.6</v>
      </c>
      <c r="L19" s="579">
        <f t="shared" si="7"/>
        <v>1258.2292</v>
      </c>
      <c r="M19" s="958">
        <v>70.844999999999999</v>
      </c>
      <c r="N19" s="958">
        <v>27.35</v>
      </c>
      <c r="O19" s="573">
        <f t="shared" si="9"/>
        <v>8</v>
      </c>
      <c r="P19" s="578">
        <f t="shared" si="10"/>
        <v>0.47799999999999998</v>
      </c>
      <c r="Q19" s="578">
        <f t="shared" si="11"/>
        <v>2.0920502092050208</v>
      </c>
      <c r="R19" s="959">
        <f>IF(O19&lt;&gt;"-",INDEX(Period,MATCH(O19,MPMR!$A$2:$A$90,0)+1,3),"-")</f>
        <v>0.05</v>
      </c>
      <c r="S19" s="959"/>
      <c r="T19" s="959">
        <f>IF(Q19&lt;&gt;"-",INDEX(Period,MATCH(O19,MPMR!$A$2:$A$90,0)+1,4),"-")</f>
        <v>5.0999999999999996</v>
      </c>
      <c r="U19" s="959"/>
      <c r="V19" s="574" t="str">
        <f t="shared" si="12"/>
        <v>-</v>
      </c>
      <c r="W19" s="576"/>
      <c r="Y19" s="573">
        <f t="shared" si="8"/>
        <v>1</v>
      </c>
      <c r="Z19" s="573"/>
      <c r="AC19" s="904" t="str">
        <f t="shared" si="2"/>
        <v>Technique pipe</v>
      </c>
    </row>
    <row r="20" spans="1:29">
      <c r="A20" s="1030" t="s">
        <v>968</v>
      </c>
      <c r="B20" s="1031"/>
      <c r="C20" s="1031"/>
      <c r="D20" s="847" t="s">
        <v>2224</v>
      </c>
      <c r="E20" s="855">
        <v>20</v>
      </c>
      <c r="F20" s="836">
        <f t="shared" si="0"/>
        <v>22</v>
      </c>
      <c r="G20" s="836">
        <f t="shared" si="3"/>
        <v>1.3</v>
      </c>
      <c r="H20" s="836" t="str">
        <f t="shared" si="1"/>
        <v/>
      </c>
      <c r="I20" s="573" t="str">
        <f t="shared" si="4"/>
        <v>T29</v>
      </c>
      <c r="J20" s="573">
        <f t="shared" si="5"/>
        <v>3.4</v>
      </c>
      <c r="K20" s="573">
        <f t="shared" si="6"/>
        <v>96.2</v>
      </c>
      <c r="L20" s="579">
        <f t="shared" si="7"/>
        <v>1258.2292</v>
      </c>
      <c r="M20" s="958">
        <v>70.844999999999999</v>
      </c>
      <c r="N20" s="958">
        <v>27.35</v>
      </c>
      <c r="O20" s="573">
        <f t="shared" si="9"/>
        <v>9</v>
      </c>
      <c r="P20" s="578">
        <f t="shared" si="10"/>
        <v>0.41399999999999998</v>
      </c>
      <c r="Q20" s="578">
        <f t="shared" si="11"/>
        <v>2.4154589371980677</v>
      </c>
      <c r="R20" s="959">
        <f>IF(O20&lt;&gt;"-",INDEX(Period,MATCH(O20,MPMR!$A$2:$A$90,0)+1,3),"-")</f>
        <v>0.01</v>
      </c>
      <c r="S20" s="959"/>
      <c r="T20" s="959">
        <f>IF(Q20&lt;&gt;"-",INDEX(Period,MATCH(O20,MPMR!$A$2:$A$90,0)+1,4),"-")</f>
        <v>1.9650000000000002E-3</v>
      </c>
      <c r="U20" s="959"/>
      <c r="V20" s="574" t="str">
        <f t="shared" si="12"/>
        <v>-</v>
      </c>
      <c r="W20" s="576"/>
      <c r="Y20" s="573">
        <f t="shared" si="8"/>
        <v>1</v>
      </c>
      <c r="Z20" s="573"/>
      <c r="AC20" s="904" t="str">
        <f t="shared" si="2"/>
        <v>Mortar base layer</v>
      </c>
    </row>
    <row r="21" spans="1:29">
      <c r="A21" s="1022" t="s">
        <v>1797</v>
      </c>
      <c r="B21" s="1022"/>
      <c r="C21" s="1023"/>
      <c r="D21" s="847" t="s">
        <v>2238</v>
      </c>
      <c r="E21" s="855">
        <v>300</v>
      </c>
      <c r="F21" s="836">
        <f t="shared" si="0"/>
        <v>12</v>
      </c>
      <c r="G21" s="836">
        <f t="shared" si="3"/>
        <v>1.2</v>
      </c>
      <c r="H21" s="836" t="str">
        <f t="shared" si="1"/>
        <v/>
      </c>
      <c r="I21" s="573" t="str">
        <f t="shared" si="4"/>
        <v>T28</v>
      </c>
      <c r="J21" s="573">
        <f t="shared" si="5"/>
        <v>3.4</v>
      </c>
      <c r="K21" s="573">
        <f t="shared" si="6"/>
        <v>92.8</v>
      </c>
      <c r="L21" s="579">
        <f t="shared" si="7"/>
        <v>1258.2292</v>
      </c>
      <c r="M21" s="958">
        <v>70.844999999999999</v>
      </c>
      <c r="N21" s="958">
        <v>27.35</v>
      </c>
      <c r="O21" s="573">
        <f t="shared" si="9"/>
        <v>10</v>
      </c>
      <c r="P21" s="578">
        <f t="shared" si="10"/>
        <v>0.39</v>
      </c>
      <c r="Q21" s="578">
        <f t="shared" si="11"/>
        <v>2.5641025641025639</v>
      </c>
      <c r="R21" s="959">
        <f>IF(O21&lt;&gt;"-",INDEX(Period,MATCH(O21,MPMR!$A$2:$A$90,0)+1,3),"-")</f>
        <v>5.0299999999999994</v>
      </c>
      <c r="S21" s="959"/>
      <c r="T21" s="959">
        <f>IF(Q21&lt;&gt;"-",INDEX(Period,MATCH(O21,MPMR!$A$2:$A$90,0)+1,4),"-")</f>
        <v>0.05</v>
      </c>
      <c r="U21" s="959"/>
      <c r="V21" s="574" t="str">
        <f t="shared" si="12"/>
        <v>-</v>
      </c>
      <c r="W21" s="576"/>
      <c r="Y21" s="573">
        <f t="shared" si="8"/>
        <v>1</v>
      </c>
      <c r="Z21" s="573"/>
      <c r="AC21" s="904" t="str">
        <f t="shared" si="2"/>
        <v>Light concrete to slope</v>
      </c>
    </row>
    <row r="22" spans="1:29">
      <c r="A22" s="1030" t="s">
        <v>1626</v>
      </c>
      <c r="B22" s="1031"/>
      <c r="C22" s="1031"/>
      <c r="D22" s="847" t="s">
        <v>2225</v>
      </c>
      <c r="E22" s="855">
        <v>5</v>
      </c>
      <c r="F22" s="836">
        <f t="shared" si="0"/>
        <v>10</v>
      </c>
      <c r="G22" s="836">
        <f t="shared" si="3"/>
        <v>1.3</v>
      </c>
      <c r="H22" s="836" t="str">
        <f t="shared" si="1"/>
        <v/>
      </c>
      <c r="I22" s="573" t="str">
        <f t="shared" si="4"/>
        <v>T27</v>
      </c>
      <c r="J22" s="573">
        <f t="shared" si="5"/>
        <v>3.4</v>
      </c>
      <c r="K22" s="573">
        <f t="shared" si="6"/>
        <v>89.4</v>
      </c>
      <c r="L22" s="579">
        <f t="shared" si="7"/>
        <v>1258.2292</v>
      </c>
      <c r="M22" s="958">
        <v>70.844999999999999</v>
      </c>
      <c r="N22" s="958">
        <v>27.35</v>
      </c>
      <c r="O22" s="573">
        <f t="shared" si="9"/>
        <v>11</v>
      </c>
      <c r="P22" s="578">
        <f t="shared" si="10"/>
        <v>0.29199999999999998</v>
      </c>
      <c r="Q22" s="578">
        <f t="shared" si="11"/>
        <v>3.4246575342465757</v>
      </c>
      <c r="R22" s="959">
        <f>IF(O22&lt;&gt;"-",INDEX(Period,MATCH(O22,MPMR!$A$2:$A$90,0)+1,3),"-")</f>
        <v>0.01</v>
      </c>
      <c r="S22" s="959"/>
      <c r="T22" s="959">
        <f>IF(Q22&lt;&gt;"-",INDEX(Period,MATCH(O22,MPMR!$A$2:$A$90,0)+1,4),"-")</f>
        <v>0.44999999999999996</v>
      </c>
      <c r="U22" s="959"/>
      <c r="V22" s="574" t="str">
        <f t="shared" si="12"/>
        <v>-</v>
      </c>
      <c r="W22" s="576"/>
      <c r="Y22" s="573">
        <f t="shared" si="8"/>
        <v>1</v>
      </c>
      <c r="Z22" s="573"/>
      <c r="AC22" s="904" t="str">
        <f t="shared" si="2"/>
        <v>Etch primer layer</v>
      </c>
    </row>
    <row r="23" spans="1:29">
      <c r="A23" s="1022" t="s">
        <v>1798</v>
      </c>
      <c r="B23" s="1022"/>
      <c r="C23" s="1023"/>
      <c r="D23" s="847" t="s">
        <v>2228</v>
      </c>
      <c r="E23" s="855">
        <v>5</v>
      </c>
      <c r="F23" s="836">
        <f t="shared" si="0"/>
        <v>18</v>
      </c>
      <c r="G23" s="836">
        <f t="shared" si="3"/>
        <v>1.3</v>
      </c>
      <c r="H23" s="836" t="str">
        <f t="shared" si="1"/>
        <v/>
      </c>
      <c r="I23" s="573" t="str">
        <f t="shared" si="4"/>
        <v>T26</v>
      </c>
      <c r="J23" s="573">
        <f t="shared" si="5"/>
        <v>3.4</v>
      </c>
      <c r="K23" s="573">
        <f t="shared" si="6"/>
        <v>86</v>
      </c>
      <c r="L23" s="579">
        <f t="shared" si="7"/>
        <v>1258.2292</v>
      </c>
      <c r="M23" s="958">
        <v>70.844999999999999</v>
      </c>
      <c r="N23" s="958">
        <v>27.35</v>
      </c>
      <c r="O23" s="573">
        <f t="shared" si="9"/>
        <v>12</v>
      </c>
      <c r="P23" s="578">
        <f t="shared" si="10"/>
        <v>0.29099999999999998</v>
      </c>
      <c r="Q23" s="578">
        <f t="shared" si="11"/>
        <v>3.4364261168384882</v>
      </c>
      <c r="R23" s="959">
        <f>IF(O23&lt;&gt;"-",INDEX(Period,MATCH(O23,MPMR!$A$2:$A$90,0)+1,3),"-")</f>
        <v>0.02</v>
      </c>
      <c r="S23" s="959"/>
      <c r="T23" s="959">
        <f>IF(Q23&lt;&gt;"-",INDEX(Period,MATCH(O23,MPMR!$A$2:$A$90,0)+1,4),"-")</f>
        <v>2.73</v>
      </c>
      <c r="U23" s="959"/>
      <c r="V23" s="574" t="str">
        <f t="shared" si="12"/>
        <v>-</v>
      </c>
      <c r="W23" s="576"/>
      <c r="Y23" s="573">
        <f t="shared" si="8"/>
        <v>1</v>
      </c>
      <c r="Z23" s="573"/>
      <c r="AC23" s="904" t="str">
        <f t="shared" si="2"/>
        <v>White coat paint</v>
      </c>
    </row>
    <row r="24" spans="1:29">
      <c r="A24" s="1030" t="s">
        <v>1614</v>
      </c>
      <c r="B24" s="1031"/>
      <c r="C24" s="1031"/>
      <c r="D24" s="847" t="s">
        <v>2236</v>
      </c>
      <c r="E24" s="855">
        <v>40</v>
      </c>
      <c r="F24" s="836">
        <f t="shared" si="0"/>
        <v>18</v>
      </c>
      <c r="G24" s="836">
        <f t="shared" si="3"/>
        <v>1.1000000000000001</v>
      </c>
      <c r="H24" s="836" t="str">
        <f t="shared" si="1"/>
        <v/>
      </c>
      <c r="I24" s="573" t="str">
        <f t="shared" si="4"/>
        <v>T25</v>
      </c>
      <c r="J24" s="573">
        <f t="shared" si="5"/>
        <v>3.4</v>
      </c>
      <c r="K24" s="573">
        <f t="shared" si="6"/>
        <v>82.6</v>
      </c>
      <c r="L24" s="579">
        <f t="shared" si="7"/>
        <v>1258.2292</v>
      </c>
      <c r="M24" s="958">
        <v>70.844999999999999</v>
      </c>
      <c r="N24" s="958">
        <v>27.35</v>
      </c>
      <c r="O24" s="573">
        <f t="shared" si="9"/>
        <v>13</v>
      </c>
      <c r="P24" s="578">
        <f t="shared" si="10"/>
        <v>0.24099999999999999</v>
      </c>
      <c r="Q24" s="578">
        <f t="shared" si="11"/>
        <v>4.1493775933609962</v>
      </c>
      <c r="R24" s="959">
        <f>IF(O24&lt;&gt;"-",INDEX(Period,MATCH(O24,MPMR!$A$2:$A$90,0)+1,3),"-")</f>
        <v>3.26</v>
      </c>
      <c r="S24" s="959"/>
      <c r="T24" s="959">
        <f>IF(Q24&lt;&gt;"-",INDEX(Period,MATCH(O24,MPMR!$A$2:$A$90,0)+1,4),"-")</f>
        <v>0.04</v>
      </c>
      <c r="U24" s="959"/>
      <c r="V24" s="574" t="str">
        <f t="shared" si="12"/>
        <v>-</v>
      </c>
      <c r="W24" s="576"/>
      <c r="Y24" s="573">
        <f t="shared" si="8"/>
        <v>1</v>
      </c>
      <c r="Z24" s="573"/>
      <c r="AC24" s="904" t="str">
        <f t="shared" si="2"/>
        <v>Building tile layer</v>
      </c>
    </row>
    <row r="25" spans="1:29">
      <c r="A25" s="573" t="s">
        <v>1808</v>
      </c>
      <c r="B25" s="857" t="s">
        <v>931</v>
      </c>
      <c r="C25" s="575"/>
      <c r="D25" s="847" t="s">
        <v>2242</v>
      </c>
      <c r="E25" s="855">
        <v>20</v>
      </c>
      <c r="F25" s="836">
        <f t="shared" si="0"/>
        <v>20</v>
      </c>
      <c r="G25" s="836">
        <f t="shared" si="3"/>
        <v>1.3</v>
      </c>
      <c r="H25" s="836" t="str">
        <f t="shared" si="1"/>
        <v/>
      </c>
      <c r="I25" s="573" t="str">
        <f t="shared" si="4"/>
        <v>T24</v>
      </c>
      <c r="J25" s="573">
        <f t="shared" si="5"/>
        <v>3.4</v>
      </c>
      <c r="K25" s="573">
        <f t="shared" si="6"/>
        <v>79.2</v>
      </c>
      <c r="L25" s="579">
        <f t="shared" si="7"/>
        <v>1258.2292</v>
      </c>
      <c r="M25" s="958">
        <v>70.844999999999999</v>
      </c>
      <c r="N25" s="958">
        <v>27.35</v>
      </c>
      <c r="O25" s="573">
        <f t="shared" si="9"/>
        <v>14</v>
      </c>
      <c r="P25" s="578">
        <f t="shared" si="10"/>
        <v>0.22</v>
      </c>
      <c r="Q25" s="578">
        <f t="shared" si="11"/>
        <v>4.5454545454545459</v>
      </c>
      <c r="R25" s="959">
        <f>IF(O25&lt;&gt;"-",INDEX(Period,MATCH(O25,MPMR!$A$2:$A$90,0)+1,3),"-")</f>
        <v>1.9809999999999997E-3</v>
      </c>
      <c r="S25" s="959"/>
      <c r="T25" s="959">
        <f>IF(Q25&lt;&gt;"-",INDEX(Period,MATCH(O25,MPMR!$A$2:$A$90,0)+1,4),"-")</f>
        <v>0.01</v>
      </c>
      <c r="U25" s="959"/>
      <c r="V25" s="574" t="str">
        <f t="shared" si="12"/>
        <v>-</v>
      </c>
      <c r="W25" s="576"/>
      <c r="Y25" s="573">
        <f t="shared" si="8"/>
        <v>1</v>
      </c>
      <c r="Z25" s="573"/>
      <c r="AC25" s="904" t="str">
        <f t="shared" si="2"/>
        <v>Waterproofing mortar layers</v>
      </c>
    </row>
    <row r="26" spans="1:29" ht="16.5" customHeight="1">
      <c r="A26" s="844" t="s">
        <v>2056</v>
      </c>
      <c r="B26" s="858">
        <v>1</v>
      </c>
      <c r="C26" s="573"/>
      <c r="D26" s="847" t="s">
        <v>2244</v>
      </c>
      <c r="E26" s="855">
        <v>50</v>
      </c>
      <c r="F26" s="836">
        <f t="shared" si="0"/>
        <v>25</v>
      </c>
      <c r="G26" s="836">
        <f t="shared" si="3"/>
        <v>1.1000000000000001</v>
      </c>
      <c r="H26" s="836" t="str">
        <f t="shared" si="1"/>
        <v/>
      </c>
      <c r="I26" s="573" t="str">
        <f t="shared" si="4"/>
        <v>T23</v>
      </c>
      <c r="J26" s="573">
        <f t="shared" si="5"/>
        <v>3.4</v>
      </c>
      <c r="K26" s="573">
        <f t="shared" si="6"/>
        <v>75.8</v>
      </c>
      <c r="L26" s="579">
        <f t="shared" si="7"/>
        <v>1258.2292</v>
      </c>
      <c r="M26" s="958">
        <v>70.844999999999999</v>
      </c>
      <c r="N26" s="958">
        <v>27.35</v>
      </c>
      <c r="O26" s="573">
        <f t="shared" si="9"/>
        <v>15</v>
      </c>
      <c r="P26" s="578">
        <f t="shared" si="10"/>
        <v>0.2</v>
      </c>
      <c r="Q26" s="578">
        <f t="shared" si="11"/>
        <v>5</v>
      </c>
      <c r="R26" s="959">
        <f>IF(O26&lt;&gt;"-",INDEX(Period,MATCH(O26,MPMR!$A$2:$A$90,0)+1,3),"-")</f>
        <v>0.02</v>
      </c>
      <c r="S26" s="959"/>
      <c r="T26" s="959">
        <f>IF(Q26&lt;&gt;"-",INDEX(Period,MATCH(O26,MPMR!$A$2:$A$90,0)+1,4),"-")</f>
        <v>2.46</v>
      </c>
      <c r="U26" s="959"/>
      <c r="V26" s="574" t="str">
        <f t="shared" si="12"/>
        <v>-</v>
      </c>
      <c r="W26" s="576"/>
      <c r="Y26" s="573">
        <f t="shared" si="8"/>
        <v>1</v>
      </c>
      <c r="Z26" s="573"/>
      <c r="AC26" s="904" t="str">
        <f t="shared" si="2"/>
        <v>Waterproof concrete layer</v>
      </c>
    </row>
    <row r="27" spans="1:29" ht="16.5">
      <c r="A27" s="845" t="s">
        <v>2057</v>
      </c>
      <c r="B27" s="858">
        <v>1</v>
      </c>
      <c r="C27" s="573"/>
      <c r="D27" s="847" t="s">
        <v>2246</v>
      </c>
      <c r="E27" s="855">
        <v>200</v>
      </c>
      <c r="F27" s="836">
        <f t="shared" si="0"/>
        <v>18</v>
      </c>
      <c r="G27" s="836">
        <f t="shared" si="3"/>
        <v>1.3</v>
      </c>
      <c r="H27" s="836" t="str">
        <f t="shared" si="1"/>
        <v/>
      </c>
      <c r="I27" s="573" t="str">
        <f t="shared" si="4"/>
        <v>T22</v>
      </c>
      <c r="J27" s="573">
        <f t="shared" si="5"/>
        <v>3.4</v>
      </c>
      <c r="K27" s="573">
        <f t="shared" si="6"/>
        <v>72.400000000000006</v>
      </c>
      <c r="L27" s="579">
        <f t="shared" si="7"/>
        <v>1258.2292</v>
      </c>
      <c r="M27" s="958">
        <v>70.844999999999999</v>
      </c>
      <c r="N27" s="958">
        <v>27.35</v>
      </c>
      <c r="O27" s="573">
        <f t="shared" si="9"/>
        <v>16</v>
      </c>
      <c r="P27" s="578">
        <f t="shared" si="10"/>
        <v>0.17399999999999999</v>
      </c>
      <c r="Q27" s="578">
        <f t="shared" si="11"/>
        <v>5.7471264367816097</v>
      </c>
      <c r="R27" s="959">
        <f>IF(O27&lt;&gt;"-",INDEX(Period,MATCH(O27,MPMR!$A$2:$A$90,0)+1,3),"-")</f>
        <v>0.04</v>
      </c>
      <c r="S27" s="959"/>
      <c r="T27" s="959">
        <f>IF(Q27&lt;&gt;"-",INDEX(Period,MATCH(O27,MPMR!$A$2:$A$90,0)+1,4),"-")</f>
        <v>0.02</v>
      </c>
      <c r="U27" s="959"/>
      <c r="V27" s="574" t="str">
        <f t="shared" si="12"/>
        <v>-</v>
      </c>
      <c r="W27" s="576"/>
      <c r="Y27" s="573">
        <f t="shared" si="8"/>
        <v>1</v>
      </c>
      <c r="Z27" s="573"/>
      <c r="AC27" s="904" t="str">
        <f t="shared" si="2"/>
        <v>Bank layer</v>
      </c>
    </row>
    <row r="28" spans="1:29">
      <c r="A28" s="580" t="s">
        <v>2051</v>
      </c>
      <c r="D28" s="847" t="s">
        <v>2333</v>
      </c>
      <c r="E28" s="855">
        <v>200</v>
      </c>
      <c r="F28" s="836">
        <f t="shared" ref="F28:F30" si="13">IF(D28="","",IF(INDEX(vatlieu1,MATCH(D28,vatlieu2,0),2)&lt;&gt;0,INDEX(vatlieu1,MATCH(D28,vatlieu2,0),2),""))</f>
        <v>25</v>
      </c>
      <c r="G28" s="836">
        <f t="shared" ref="G28:G30" si="14">IF(D28="","",IF(INDEX(vatlieu1,MATCH(D28,vatlieu2,0),3)&lt;&gt;0,INDEX(vatlieu1,MATCH(D28,vatlieu2,0),3),""))</f>
        <v>1.1000000000000001</v>
      </c>
      <c r="H28" s="836" t="str">
        <f t="shared" si="1"/>
        <v/>
      </c>
      <c r="I28" s="573" t="str">
        <f t="shared" si="4"/>
        <v>T21</v>
      </c>
      <c r="J28" s="573">
        <f t="shared" si="5"/>
        <v>3.4</v>
      </c>
      <c r="K28" s="573">
        <f t="shared" si="6"/>
        <v>69</v>
      </c>
      <c r="L28" s="579">
        <f t="shared" si="7"/>
        <v>1258.2292</v>
      </c>
      <c r="M28" s="958">
        <v>70.844999999999999</v>
      </c>
      <c r="N28" s="958">
        <v>27.35</v>
      </c>
      <c r="O28" s="573">
        <f t="shared" si="9"/>
        <v>17</v>
      </c>
      <c r="P28" s="578">
        <f t="shared" si="10"/>
        <v>0.16800000000000001</v>
      </c>
      <c r="Q28" s="578">
        <f t="shared" si="11"/>
        <v>5.9523809523809517</v>
      </c>
      <c r="R28" s="959">
        <f>IF(O28&lt;&gt;"-",INDEX(Period,MATCH(O28,MPMR!$A$2:$A$90,0)+1,3),"-")</f>
        <v>2.62</v>
      </c>
      <c r="S28" s="959"/>
      <c r="T28" s="959">
        <f>IF(Q28&lt;&gt;"-",INDEX(Period,MATCH(O28,MPMR!$A$2:$A$90,0)+1,4),"-")</f>
        <v>0.03</v>
      </c>
      <c r="U28" s="959"/>
      <c r="V28" s="574" t="str">
        <f t="shared" si="12"/>
        <v>-</v>
      </c>
      <c r="W28" s="576"/>
      <c r="Y28" s="573">
        <f t="shared" si="8"/>
        <v>1</v>
      </c>
      <c r="Z28" s="573"/>
      <c r="AC28" s="904" t="str">
        <f t="shared" si="2"/>
        <v>Bottom concrete swimming pool</v>
      </c>
    </row>
    <row r="29" spans="1:29">
      <c r="A29" s="1027" t="s">
        <v>1795</v>
      </c>
      <c r="B29" s="1028"/>
      <c r="C29" s="1029"/>
      <c r="D29" s="847" t="s">
        <v>2334</v>
      </c>
      <c r="E29" s="855">
        <v>150</v>
      </c>
      <c r="F29" s="836">
        <f t="shared" si="13"/>
        <v>25</v>
      </c>
      <c r="G29" s="836">
        <f t="shared" si="14"/>
        <v>1.1000000000000001</v>
      </c>
      <c r="H29" s="836" t="str">
        <f t="shared" si="1"/>
        <v/>
      </c>
      <c r="I29" s="573" t="str">
        <f t="shared" si="4"/>
        <v>T20</v>
      </c>
      <c r="J29" s="573">
        <f t="shared" si="5"/>
        <v>3.4</v>
      </c>
      <c r="K29" s="573">
        <f t="shared" si="6"/>
        <v>65.599999999999994</v>
      </c>
      <c r="L29" s="579">
        <f t="shared" si="7"/>
        <v>1258.2292</v>
      </c>
      <c r="M29" s="958">
        <v>70.844999999999999</v>
      </c>
      <c r="N29" s="958">
        <v>27.35</v>
      </c>
      <c r="O29" s="573">
        <f t="shared" si="9"/>
        <v>18</v>
      </c>
      <c r="P29" s="578">
        <f t="shared" si="10"/>
        <v>0.14799999999999999</v>
      </c>
      <c r="Q29" s="578">
        <f t="shared" si="11"/>
        <v>6.756756756756757</v>
      </c>
      <c r="R29" s="959">
        <f>IF(O29&lt;&gt;"-",INDEX(Period,MATCH(O29,MPMR!$A$2:$A$90,0)+1,3),"-")</f>
        <v>0.02</v>
      </c>
      <c r="S29" s="959"/>
      <c r="T29" s="959">
        <f>IF(Q29&lt;&gt;"-",INDEX(Period,MATCH(O29,MPMR!$A$2:$A$90,0)+1,4),"-")</f>
        <v>2.29</v>
      </c>
      <c r="U29" s="959"/>
      <c r="V29" s="574" t="str">
        <f t="shared" si="12"/>
        <v>-</v>
      </c>
      <c r="W29" s="576"/>
      <c r="Y29" s="573">
        <f t="shared" si="8"/>
        <v>1</v>
      </c>
      <c r="Z29" s="573"/>
      <c r="AC29" s="904" t="str">
        <f t="shared" si="2"/>
        <v>Top concrete swimming pool</v>
      </c>
    </row>
    <row r="30" spans="1:29" ht="16.5">
      <c r="A30" s="838" t="s">
        <v>1852</v>
      </c>
      <c r="B30" s="838"/>
      <c r="C30" s="855">
        <v>150</v>
      </c>
      <c r="D30" s="847" t="s">
        <v>2337</v>
      </c>
      <c r="E30" s="855">
        <v>1600</v>
      </c>
      <c r="F30" s="836">
        <f t="shared" si="13"/>
        <v>10</v>
      </c>
      <c r="G30" s="836">
        <f t="shared" si="14"/>
        <v>1</v>
      </c>
      <c r="H30" s="836" t="str">
        <f t="shared" si="1"/>
        <v/>
      </c>
      <c r="I30" s="573" t="str">
        <f t="shared" si="4"/>
        <v>T19</v>
      </c>
      <c r="J30" s="573">
        <f t="shared" si="5"/>
        <v>3.4</v>
      </c>
      <c r="K30" s="573">
        <f t="shared" si="6"/>
        <v>62.2</v>
      </c>
      <c r="L30" s="579">
        <f t="shared" si="7"/>
        <v>1258.2292</v>
      </c>
      <c r="M30" s="958">
        <v>70.844999999999999</v>
      </c>
      <c r="N30" s="958">
        <v>27.35</v>
      </c>
      <c r="O30" s="573">
        <f t="shared" si="9"/>
        <v>19</v>
      </c>
      <c r="P30" s="578">
        <f t="shared" si="10"/>
        <v>0.14399999999999999</v>
      </c>
      <c r="Q30" s="578">
        <f t="shared" si="11"/>
        <v>6.9444444444444446</v>
      </c>
      <c r="R30" s="959">
        <f>IF(O30&lt;&gt;"-",INDEX(Period,MATCH(O30,MPMR!$A$2:$A$90,0)+1,3),"-")</f>
        <v>0.02</v>
      </c>
      <c r="S30" s="959"/>
      <c r="T30" s="959">
        <f>IF(Q30&lt;&gt;"-",INDEX(Period,MATCH(O30,MPMR!$A$2:$A$90,0)+1,4),"-")</f>
        <v>0.01</v>
      </c>
      <c r="U30" s="959"/>
      <c r="V30" s="574" t="str">
        <f t="shared" si="12"/>
        <v>-</v>
      </c>
      <c r="W30" s="576"/>
      <c r="Y30" s="573">
        <f t="shared" si="8"/>
        <v>1</v>
      </c>
      <c r="Z30" s="573"/>
      <c r="AC30" s="904" t="str">
        <f t="shared" si="2"/>
        <v>Water swimming pool</v>
      </c>
    </row>
    <row r="31" spans="1:29" ht="16.5">
      <c r="A31" s="838" t="s">
        <v>1853</v>
      </c>
      <c r="B31" s="846"/>
      <c r="C31" s="855">
        <v>250</v>
      </c>
      <c r="D31" s="847"/>
      <c r="E31" s="855"/>
      <c r="F31" s="836" t="str">
        <f t="shared" ref="F31:F34" si="15">IF(D31="","",IF(INDEX(vatlieu1,MATCH(D31,vatlieu2,0),2)&lt;&gt;0,INDEX(vatlieu1,MATCH(D31,vatlieu2,0),2),""))</f>
        <v/>
      </c>
      <c r="G31" s="836" t="str">
        <f t="shared" ref="G31:G34" si="16">IF(D31="","",IF(INDEX(vatlieu1,MATCH(D31,vatlieu2,0),3)&lt;&gt;0,INDEX(vatlieu1,MATCH(D31,vatlieu2,0),3),""))</f>
        <v/>
      </c>
      <c r="H31" s="836" t="str">
        <f t="shared" si="1"/>
        <v/>
      </c>
      <c r="I31" s="573" t="str">
        <f t="shared" si="4"/>
        <v>T18</v>
      </c>
      <c r="J31" s="573">
        <f t="shared" si="5"/>
        <v>3.4</v>
      </c>
      <c r="K31" s="573">
        <f t="shared" si="6"/>
        <v>58.8</v>
      </c>
      <c r="L31" s="579">
        <f t="shared" si="7"/>
        <v>1258.2292</v>
      </c>
      <c r="M31" s="958">
        <v>70.844999999999999</v>
      </c>
      <c r="N31" s="958">
        <v>27.35</v>
      </c>
      <c r="O31" s="573">
        <f t="shared" si="9"/>
        <v>20</v>
      </c>
      <c r="P31" s="578">
        <f t="shared" si="10"/>
        <v>0.126</v>
      </c>
      <c r="Q31" s="578">
        <f t="shared" si="11"/>
        <v>7.9365079365079367</v>
      </c>
      <c r="R31" s="959">
        <f>IF(O31&lt;&gt;"-",INDEX(Period,MATCH(O31,MPMR!$A$2:$A$90,0)+1,3),"-")</f>
        <v>2.5700000000000003</v>
      </c>
      <c r="S31" s="959"/>
      <c r="T31" s="959">
        <f>IF(Q31&lt;&gt;"-",INDEX(Period,MATCH(O31,MPMR!$A$2:$A$90,0)+1,4),"-")</f>
        <v>0.04</v>
      </c>
      <c r="U31" s="959"/>
      <c r="V31" s="574" t="str">
        <f t="shared" si="12"/>
        <v>-</v>
      </c>
      <c r="W31" s="576"/>
      <c r="Y31" s="573">
        <f t="shared" si="8"/>
        <v>1</v>
      </c>
      <c r="Z31" s="573"/>
      <c r="AC31" s="904" t="str">
        <f t="shared" si="2"/>
        <v/>
      </c>
    </row>
    <row r="32" spans="1:29">
      <c r="A32" s="833" t="s">
        <v>2050</v>
      </c>
      <c r="B32" s="834" t="s">
        <v>1854</v>
      </c>
      <c r="D32" s="847"/>
      <c r="E32" s="855"/>
      <c r="F32" s="836" t="str">
        <f t="shared" si="15"/>
        <v/>
      </c>
      <c r="G32" s="836" t="str">
        <f t="shared" si="16"/>
        <v/>
      </c>
      <c r="H32" s="836" t="str">
        <f t="shared" si="1"/>
        <v/>
      </c>
      <c r="I32" s="573" t="str">
        <f t="shared" si="4"/>
        <v>T17</v>
      </c>
      <c r="J32" s="573">
        <f t="shared" si="5"/>
        <v>3.4</v>
      </c>
      <c r="K32" s="573">
        <f t="shared" si="6"/>
        <v>55.4</v>
      </c>
      <c r="L32" s="579">
        <f t="shared" si="7"/>
        <v>1258.2292</v>
      </c>
      <c r="M32" s="958">
        <v>70.844999999999999</v>
      </c>
      <c r="N32" s="958">
        <v>27.35</v>
      </c>
      <c r="O32" s="573">
        <f t="shared" si="9"/>
        <v>21</v>
      </c>
      <c r="P32" s="578">
        <f t="shared" si="10"/>
        <v>0.11600000000000001</v>
      </c>
      <c r="Q32" s="578">
        <f t="shared" si="11"/>
        <v>8.6206896551724128</v>
      </c>
      <c r="R32" s="959">
        <f>IF(O32&lt;&gt;"-",INDEX(Period,MATCH(O32,MPMR!$A$2:$A$90,0)+1,3),"-")</f>
        <v>0.05</v>
      </c>
      <c r="S32" s="959"/>
      <c r="T32" s="959">
        <f>IF(Q32&lt;&gt;"-",INDEX(Period,MATCH(O32,MPMR!$A$2:$A$90,0)+1,4),"-")</f>
        <v>2.27</v>
      </c>
      <c r="U32" s="959"/>
      <c r="V32" s="574" t="str">
        <f t="shared" si="12"/>
        <v>-</v>
      </c>
      <c r="W32" s="576"/>
      <c r="Y32" s="573">
        <f t="shared" si="8"/>
        <v>1</v>
      </c>
      <c r="Z32" s="573"/>
      <c r="AC32" s="904" t="str">
        <f t="shared" si="2"/>
        <v/>
      </c>
    </row>
    <row r="33" spans="1:29" ht="30">
      <c r="A33" s="837" t="s">
        <v>2060</v>
      </c>
      <c r="B33" s="856">
        <v>3</v>
      </c>
      <c r="C33" s="849" t="s">
        <v>2063</v>
      </c>
      <c r="D33" s="847"/>
      <c r="E33" s="855"/>
      <c r="F33" s="836" t="str">
        <f t="shared" si="15"/>
        <v/>
      </c>
      <c r="G33" s="836" t="str">
        <f t="shared" si="16"/>
        <v/>
      </c>
      <c r="H33" s="836" t="str">
        <f t="shared" si="1"/>
        <v/>
      </c>
      <c r="I33" s="573" t="str">
        <f t="shared" si="4"/>
        <v>T16</v>
      </c>
      <c r="J33" s="573">
        <f t="shared" si="5"/>
        <v>3.4</v>
      </c>
      <c r="K33" s="573">
        <f t="shared" si="6"/>
        <v>52</v>
      </c>
      <c r="L33" s="579">
        <f t="shared" si="7"/>
        <v>1258.2292</v>
      </c>
      <c r="M33" s="958">
        <v>70.844999999999999</v>
      </c>
      <c r="N33" s="958">
        <v>27.35</v>
      </c>
      <c r="O33" s="573">
        <f t="shared" si="9"/>
        <v>22</v>
      </c>
      <c r="P33" s="578">
        <f t="shared" si="10"/>
        <v>0.10199999999999999</v>
      </c>
      <c r="Q33" s="578">
        <f t="shared" si="11"/>
        <v>9.8039215686274517</v>
      </c>
      <c r="R33" s="959">
        <f>IF(O33&lt;&gt;"-",INDEX(Period,MATCH(O33,MPMR!$A$2:$A$90,0)+1,3),"-")</f>
        <v>1.67</v>
      </c>
      <c r="S33" s="959"/>
      <c r="T33" s="959">
        <f>IF(Q33&lt;&gt;"-",INDEX(Period,MATCH(O33,MPMR!$A$2:$A$90,0)+1,4),"-")</f>
        <v>0.22999999999999998</v>
      </c>
      <c r="U33" s="959"/>
      <c r="V33" s="574" t="str">
        <f t="shared" si="12"/>
        <v>-</v>
      </c>
      <c r="W33" s="576"/>
      <c r="Y33" s="573">
        <f t="shared" si="8"/>
        <v>1</v>
      </c>
      <c r="Z33" s="573"/>
      <c r="AC33" s="904" t="str">
        <f t="shared" si="2"/>
        <v/>
      </c>
    </row>
    <row r="34" spans="1:29" ht="30">
      <c r="A34" s="837" t="s">
        <v>2061</v>
      </c>
      <c r="B34" s="856">
        <v>1.5</v>
      </c>
      <c r="C34" s="849" t="s">
        <v>2063</v>
      </c>
      <c r="D34" s="847"/>
      <c r="E34" s="855"/>
      <c r="F34" s="836" t="str">
        <f t="shared" si="15"/>
        <v/>
      </c>
      <c r="G34" s="836" t="str">
        <f t="shared" si="16"/>
        <v/>
      </c>
      <c r="H34" s="836" t="str">
        <f t="shared" si="1"/>
        <v/>
      </c>
      <c r="I34" s="573" t="str">
        <f t="shared" si="4"/>
        <v>T15</v>
      </c>
      <c r="J34" s="573">
        <f t="shared" si="5"/>
        <v>3.4</v>
      </c>
      <c r="K34" s="573">
        <f t="shared" si="6"/>
        <v>48.6</v>
      </c>
      <c r="L34" s="579">
        <f t="shared" si="7"/>
        <v>1258.2292</v>
      </c>
      <c r="M34" s="958">
        <v>70.844999999999999</v>
      </c>
      <c r="N34" s="958">
        <v>27.35</v>
      </c>
      <c r="O34" s="573">
        <f t="shared" si="9"/>
        <v>23</v>
      </c>
      <c r="P34" s="578">
        <f t="shared" si="10"/>
        <v>9.6000000000000002E-2</v>
      </c>
      <c r="Q34" s="578">
        <f t="shared" si="11"/>
        <v>10.416666666666666</v>
      </c>
      <c r="R34" s="959">
        <f>IF(O34&lt;&gt;"-",INDEX(Period,MATCH(O34,MPMR!$A$2:$A$90,0)+1,3),"-")</f>
        <v>1.21</v>
      </c>
      <c r="S34" s="959"/>
      <c r="T34" s="959">
        <f>IF(Q34&lt;&gt;"-",INDEX(Period,MATCH(O34,MPMR!$A$2:$A$90,0)+1,4),"-")</f>
        <v>1.32</v>
      </c>
      <c r="U34" s="959"/>
      <c r="V34" s="574" t="str">
        <f t="shared" si="12"/>
        <v>-</v>
      </c>
      <c r="W34" s="576"/>
      <c r="Y34" s="573">
        <f t="shared" si="8"/>
        <v>1</v>
      </c>
      <c r="Z34" s="573"/>
      <c r="AC34" s="904" t="str">
        <f t="shared" si="2"/>
        <v/>
      </c>
    </row>
    <row r="35" spans="1:29">
      <c r="D35" s="839" t="s">
        <v>1869</v>
      </c>
      <c r="E35" s="572"/>
      <c r="G35" s="836"/>
      <c r="H35" s="835"/>
      <c r="I35" s="573" t="str">
        <f t="shared" si="4"/>
        <v>T14</v>
      </c>
      <c r="J35" s="573">
        <f t="shared" si="5"/>
        <v>3.4</v>
      </c>
      <c r="K35" s="573">
        <f t="shared" si="6"/>
        <v>45.2</v>
      </c>
      <c r="L35" s="579">
        <f t="shared" si="7"/>
        <v>1258.2292</v>
      </c>
      <c r="M35" s="958">
        <v>70.844999999999999</v>
      </c>
      <c r="N35" s="958">
        <v>27.35</v>
      </c>
      <c r="O35" s="573">
        <f t="shared" si="9"/>
        <v>24</v>
      </c>
      <c r="P35" s="578">
        <f t="shared" si="10"/>
        <v>0.09</v>
      </c>
      <c r="Q35" s="578">
        <f t="shared" si="11"/>
        <v>11.111111111111111</v>
      </c>
      <c r="R35" s="959">
        <f>IF(O35&lt;&gt;"-",INDEX(Period,MATCH(O35,MPMR!$A$2:$A$90,0)+1,3),"-")</f>
        <v>0.91</v>
      </c>
      <c r="S35" s="959"/>
      <c r="T35" s="959">
        <f>IF(Q35&lt;&gt;"-",INDEX(Period,MATCH(O35,MPMR!$A$2:$A$90,0)+1,4),"-")</f>
        <v>1.4000000000000001</v>
      </c>
      <c r="U35" s="959"/>
      <c r="V35" s="574" t="str">
        <f t="shared" si="12"/>
        <v>-</v>
      </c>
      <c r="W35" s="576"/>
      <c r="Y35" s="573">
        <f t="shared" si="8"/>
        <v>1</v>
      </c>
      <c r="Z35" s="573"/>
      <c r="AC35" s="904"/>
    </row>
    <row r="36" spans="1:29" ht="15.75">
      <c r="D36" s="833" t="s">
        <v>2049</v>
      </c>
      <c r="E36" s="834" t="s">
        <v>1854</v>
      </c>
      <c r="F36" s="834" t="s">
        <v>2047</v>
      </c>
      <c r="G36" s="834" t="s">
        <v>4</v>
      </c>
      <c r="H36" s="834" t="s">
        <v>2048</v>
      </c>
      <c r="I36" s="573" t="str">
        <f t="shared" si="4"/>
        <v>T13</v>
      </c>
      <c r="J36" s="573">
        <f t="shared" si="5"/>
        <v>3.4</v>
      </c>
      <c r="K36" s="573">
        <f t="shared" si="6"/>
        <v>41.8</v>
      </c>
      <c r="L36" s="579">
        <f t="shared" si="7"/>
        <v>1258.2292</v>
      </c>
      <c r="M36" s="958">
        <v>70.844999999999999</v>
      </c>
      <c r="N36" s="958">
        <v>27.35</v>
      </c>
      <c r="O36" s="573">
        <f t="shared" si="9"/>
        <v>25</v>
      </c>
      <c r="P36" s="578">
        <f t="shared" si="10"/>
        <v>7.8E-2</v>
      </c>
      <c r="Q36" s="578">
        <f t="shared" si="11"/>
        <v>12.820512820512821</v>
      </c>
      <c r="R36" s="959">
        <f>IF(O36&lt;&gt;"-",INDEX(Period,MATCH(O36,MPMR!$A$2:$A$90,0)+1,3),"-")</f>
        <v>2.48</v>
      </c>
      <c r="S36" s="959"/>
      <c r="T36" s="959">
        <f>IF(Q36&lt;&gt;"-",INDEX(Period,MATCH(O36,MPMR!$A$2:$A$90,0)+1,4),"-")</f>
        <v>1.08</v>
      </c>
      <c r="U36" s="959"/>
      <c r="V36" s="574" t="str">
        <f t="shared" si="12"/>
        <v>-</v>
      </c>
      <c r="W36" s="576"/>
      <c r="Y36" s="573">
        <f t="shared" si="8"/>
        <v>1</v>
      </c>
      <c r="Z36" s="573"/>
      <c r="AB36" s="833" t="s">
        <v>2050</v>
      </c>
      <c r="AC36" s="833" t="s">
        <v>1655</v>
      </c>
    </row>
    <row r="37" spans="1:29">
      <c r="D37" s="847" t="s">
        <v>2102</v>
      </c>
      <c r="E37" s="855">
        <v>30</v>
      </c>
      <c r="F37" s="898">
        <f t="shared" ref="F37:F46" si="17">IF(D37="","",IF(INDEX(vatlieutuong,MATCH(D37,vatlieutuong1,0),2)&lt;&gt;0,INDEX(vatlieutuong,MATCH(D37,vatlieutuong1,0),2),""))</f>
        <v>18</v>
      </c>
      <c r="G37" s="836">
        <f t="shared" ref="G37:G49" si="18">IF($D37="","",IF(INDEX(vatlieutuong,MATCH($D37,vatlieutuong1,0),3)&lt;&gt;0,INDEX(vatlieutuong,MATCH($D37,vatlieutuong1,0),3),""))</f>
        <v>1.3</v>
      </c>
      <c r="H37" s="836" t="str">
        <f t="shared" ref="H37:H49" si="19">IF($D37="","",IF(INDEX(vatlieutuong,MATCH($D37,vatlieutuong1,0),5)&lt;&gt;0,INDEX(vatlieutuong,MATCH($D37,vatlieutuong1,0),5),""))</f>
        <v/>
      </c>
      <c r="I37" s="573" t="str">
        <f t="shared" si="4"/>
        <v>T12</v>
      </c>
      <c r="J37" s="573">
        <f t="shared" si="5"/>
        <v>3.4</v>
      </c>
      <c r="K37" s="573">
        <f t="shared" si="6"/>
        <v>38.4</v>
      </c>
      <c r="L37" s="579">
        <f t="shared" si="7"/>
        <v>1258.2292</v>
      </c>
      <c r="M37" s="958">
        <v>70.844999999999999</v>
      </c>
      <c r="N37" s="958">
        <v>27.35</v>
      </c>
      <c r="O37" s="573">
        <f t="shared" si="9"/>
        <v>26</v>
      </c>
      <c r="P37" s="578">
        <f t="shared" si="10"/>
        <v>7.3999999999999996E-2</v>
      </c>
      <c r="Q37" s="578">
        <f t="shared" si="11"/>
        <v>13.513513513513514</v>
      </c>
      <c r="R37" s="959">
        <f>IF(O37&lt;&gt;"-",INDEX(Period,MATCH(O37,MPMR!$A$2:$A$90,0)+1,3),"-")</f>
        <v>1.1499999999999999</v>
      </c>
      <c r="S37" s="959"/>
      <c r="T37" s="959">
        <f>IF(Q37&lt;&gt;"-",INDEX(Period,MATCH(O37,MPMR!$A$2:$A$90,0)+1,4),"-")</f>
        <v>1.87</v>
      </c>
      <c r="U37" s="959"/>
      <c r="V37" s="574" t="str">
        <f t="shared" si="12"/>
        <v>-</v>
      </c>
      <c r="W37" s="576"/>
      <c r="Y37" s="573">
        <f t="shared" si="8"/>
        <v>1</v>
      </c>
      <c r="Z37" s="573"/>
      <c r="AB37" s="573" t="str">
        <f>D37</f>
        <v>02 lớp trát</v>
      </c>
      <c r="AC37" s="904" t="str">
        <f t="shared" ref="AC37:AC51" si="20">IF(D37="","",IF(INDEX(vatlieutuong,MATCH(D37,vatlieutuong1,0),4)&lt;&gt;0,INDEX(vatlieutuong,MATCH(D37,vatlieutuong1,0),4),""))</f>
        <v>02 layers of plasted mortar</v>
      </c>
    </row>
    <row r="38" spans="1:29">
      <c r="D38" s="847" t="s">
        <v>2104</v>
      </c>
      <c r="E38" s="855">
        <v>110</v>
      </c>
      <c r="F38" s="898">
        <f t="shared" si="17"/>
        <v>18</v>
      </c>
      <c r="G38" s="836">
        <f t="shared" si="18"/>
        <v>1.1000000000000001</v>
      </c>
      <c r="H38" s="836" t="str">
        <f t="shared" si="19"/>
        <v/>
      </c>
      <c r="I38" s="573" t="str">
        <f t="shared" si="4"/>
        <v>T11</v>
      </c>
      <c r="J38" s="573">
        <f t="shared" si="5"/>
        <v>3.4</v>
      </c>
      <c r="K38" s="573">
        <f t="shared" si="6"/>
        <v>35</v>
      </c>
      <c r="L38" s="579">
        <f t="shared" si="7"/>
        <v>1258.2292</v>
      </c>
      <c r="M38" s="958">
        <v>70.844999999999999</v>
      </c>
      <c r="N38" s="958">
        <v>27.35</v>
      </c>
      <c r="O38" s="573">
        <f t="shared" si="9"/>
        <v>27</v>
      </c>
      <c r="P38" s="578">
        <f t="shared" si="10"/>
        <v>5.8999999999999997E-2</v>
      </c>
      <c r="Q38" s="578">
        <f t="shared" si="11"/>
        <v>16.949152542372882</v>
      </c>
      <c r="R38" s="959">
        <f>IF(O38&lt;&gt;"-",INDEX(Period,MATCH(O38,MPMR!$A$2:$A$90,0)+1,3),"-")</f>
        <v>1.3299999999999998</v>
      </c>
      <c r="S38" s="959"/>
      <c r="T38" s="959">
        <f>IF(Q38&lt;&gt;"-",INDEX(Period,MATCH(O38,MPMR!$A$2:$A$90,0)+1,4),"-")</f>
        <v>0.71000000000000008</v>
      </c>
      <c r="U38" s="959"/>
      <c r="V38" s="574" t="str">
        <f t="shared" si="12"/>
        <v>-</v>
      </c>
      <c r="W38" s="576"/>
      <c r="Y38" s="573">
        <f t="shared" si="8"/>
        <v>1</v>
      </c>
      <c r="Z38" s="573"/>
      <c r="AB38" s="573" t="str">
        <f t="shared" ref="AB38:AB51" si="21">IF(D38="Khung nhôm",D38,IF(D38="","",D38&amp;" dày "&amp;E38))</f>
        <v>Tường xây gạch đặc dày 110</v>
      </c>
      <c r="AC38" s="904" t="str">
        <f t="shared" si="20"/>
        <v xml:space="preserve">Solid brick's wall </v>
      </c>
    </row>
    <row r="39" spans="1:29">
      <c r="D39" s="847" t="s">
        <v>2104</v>
      </c>
      <c r="E39" s="855">
        <v>220</v>
      </c>
      <c r="F39" s="898">
        <f t="shared" si="17"/>
        <v>18</v>
      </c>
      <c r="G39" s="836">
        <f t="shared" si="18"/>
        <v>1.1000000000000001</v>
      </c>
      <c r="H39" s="836" t="str">
        <f t="shared" si="19"/>
        <v/>
      </c>
      <c r="I39" s="573" t="str">
        <f t="shared" si="4"/>
        <v>T10</v>
      </c>
      <c r="J39" s="573">
        <f t="shared" si="5"/>
        <v>3.4</v>
      </c>
      <c r="K39" s="573">
        <f t="shared" si="6"/>
        <v>31.6</v>
      </c>
      <c r="L39" s="579">
        <f t="shared" si="7"/>
        <v>1258.2292</v>
      </c>
      <c r="M39" s="958">
        <v>70.844999999999999</v>
      </c>
      <c r="N39" s="958">
        <v>27.35</v>
      </c>
      <c r="O39" s="573">
        <f t="shared" si="9"/>
        <v>28</v>
      </c>
      <c r="P39" s="578">
        <f t="shared" si="10"/>
        <v>5.6000000000000001E-2</v>
      </c>
      <c r="Q39" s="578">
        <f t="shared" si="11"/>
        <v>17.857142857142858</v>
      </c>
      <c r="R39" s="959">
        <f>IF(O39&lt;&gt;"-",INDEX(Period,MATCH(O39,MPMR!$A$2:$A$90,0)+1,3),"-")</f>
        <v>0.5</v>
      </c>
      <c r="S39" s="959"/>
      <c r="T39" s="959">
        <f>IF(Q39&lt;&gt;"-",INDEX(Period,MATCH(O39,MPMR!$A$2:$A$90,0)+1,4),"-")</f>
        <v>1.1599999999999999</v>
      </c>
      <c r="U39" s="959"/>
      <c r="V39" s="574" t="str">
        <f t="shared" si="12"/>
        <v>-</v>
      </c>
      <c r="W39" s="576"/>
      <c r="Y39" s="573">
        <f t="shared" si="8"/>
        <v>1</v>
      </c>
      <c r="Z39" s="573"/>
      <c r="AB39" s="573" t="str">
        <f t="shared" si="21"/>
        <v>Tường xây gạch đặc dày 220</v>
      </c>
      <c r="AC39" s="904" t="str">
        <f t="shared" si="20"/>
        <v xml:space="preserve">Solid brick's wall </v>
      </c>
    </row>
    <row r="40" spans="1:29">
      <c r="D40" s="847" t="s">
        <v>2105</v>
      </c>
      <c r="E40" s="855">
        <v>100</v>
      </c>
      <c r="F40" s="898">
        <f t="shared" si="17"/>
        <v>15</v>
      </c>
      <c r="G40" s="836">
        <f t="shared" si="18"/>
        <v>1.1000000000000001</v>
      </c>
      <c r="H40" s="836" t="str">
        <f t="shared" si="19"/>
        <v/>
      </c>
      <c r="I40" s="573" t="str">
        <f t="shared" si="4"/>
        <v>T9</v>
      </c>
      <c r="J40" s="573">
        <f t="shared" si="5"/>
        <v>3.4</v>
      </c>
      <c r="K40" s="573">
        <f t="shared" si="6"/>
        <v>28.2</v>
      </c>
      <c r="L40" s="579">
        <f t="shared" si="7"/>
        <v>1258.2292</v>
      </c>
      <c r="M40" s="958">
        <v>70.844999999999999</v>
      </c>
      <c r="N40" s="958">
        <v>27.35</v>
      </c>
      <c r="O40" s="573">
        <f t="shared" si="9"/>
        <v>29</v>
      </c>
      <c r="P40" s="578">
        <f t="shared" si="10"/>
        <v>3.6999999999999998E-2</v>
      </c>
      <c r="Q40" s="578">
        <f t="shared" si="11"/>
        <v>27.027027027027028</v>
      </c>
      <c r="R40" s="959">
        <f>IF(O40&lt;&gt;"-",INDEX(Period,MATCH(O40,MPMR!$A$2:$A$90,0)+1,3),"-")</f>
        <v>0.3</v>
      </c>
      <c r="S40" s="959"/>
      <c r="T40" s="959">
        <f>IF(Q40&lt;&gt;"-",INDEX(Period,MATCH(O40,MPMR!$A$2:$A$90,0)+1,4),"-")</f>
        <v>0.13999999999999999</v>
      </c>
      <c r="U40" s="959"/>
      <c r="V40" s="574" t="str">
        <f t="shared" si="12"/>
        <v>-</v>
      </c>
      <c r="W40" s="576"/>
      <c r="Y40" s="573">
        <f t="shared" si="8"/>
        <v>1</v>
      </c>
      <c r="Z40" s="573"/>
      <c r="AB40" s="573" t="str">
        <f t="shared" si="21"/>
        <v>Tường xây gạch có lỗ dày 100</v>
      </c>
      <c r="AC40" s="904" t="str">
        <f t="shared" si="20"/>
        <v>Hollow brick's wall</v>
      </c>
    </row>
    <row r="41" spans="1:29">
      <c r="D41" s="847" t="s">
        <v>2105</v>
      </c>
      <c r="E41" s="855">
        <v>200</v>
      </c>
      <c r="F41" s="898">
        <f t="shared" si="17"/>
        <v>15</v>
      </c>
      <c r="G41" s="836">
        <f t="shared" si="18"/>
        <v>1.1000000000000001</v>
      </c>
      <c r="H41" s="836" t="str">
        <f t="shared" si="19"/>
        <v/>
      </c>
      <c r="I41" s="573" t="str">
        <f t="shared" ref="I41:I72" si="22">IF(INDEX(Story_data,ROW($A34),1)&lt;&gt;"",INDEX(Story_data,ROW($A34),1),"")</f>
        <v>T8</v>
      </c>
      <c r="J41" s="573">
        <f t="shared" ref="J41:J72" si="23">IF(INDEX(Story_data,ROW($A34),2)&lt;&gt;"",INDEX(Story_data,ROW($A34),2),"")</f>
        <v>3.4</v>
      </c>
      <c r="K41" s="573">
        <f t="shared" ref="K41:K72" si="24">IF(INDEX(Story_data,ROW($A34),3)&lt;&gt;"",INDEX(Story_data,ROW($A34),3),"")</f>
        <v>24.8</v>
      </c>
      <c r="L41" s="579">
        <f t="shared" ref="L41:L72" si="25">IF(INDEX(Mass_data,ROW($A34),3)&lt;&gt;"",INDEX(Mass_data,ROW($A34),3),"")</f>
        <v>1258.2292</v>
      </c>
      <c r="M41" s="958">
        <v>70.844999999999999</v>
      </c>
      <c r="N41" s="958">
        <v>27.35</v>
      </c>
      <c r="O41" s="573" t="str">
        <f t="shared" si="9"/>
        <v>-</v>
      </c>
      <c r="P41" s="578" t="str">
        <f t="shared" si="10"/>
        <v>-</v>
      </c>
      <c r="Q41" s="578" t="str">
        <f t="shared" si="11"/>
        <v>-</v>
      </c>
      <c r="R41" s="959" t="str">
        <f>IF(O41&lt;&gt;"-",INDEX(Period,MATCH(O41,MPMR!$A$2:$A$90,0)+1,3),"-")</f>
        <v>-</v>
      </c>
      <c r="S41" s="959"/>
      <c r="T41" s="959" t="str">
        <f>IF(Q41&lt;&gt;"-",INDEX(Period,MATCH(O41,MPMR!$A$2:$A$90,0)+1,4),"-")</f>
        <v>-</v>
      </c>
      <c r="U41" s="959"/>
      <c r="V41" s="574" t="str">
        <f t="shared" si="12"/>
        <v>-</v>
      </c>
      <c r="W41" s="576"/>
      <c r="Y41" s="573">
        <f t="shared" ref="Y41:Y72" si="26">IF(L41&lt;&gt;"",1,0)</f>
        <v>1</v>
      </c>
      <c r="Z41" s="573"/>
      <c r="AB41" s="573" t="str">
        <f t="shared" si="21"/>
        <v>Tường xây gạch có lỗ dày 200</v>
      </c>
      <c r="AC41" s="904" t="str">
        <f t="shared" si="20"/>
        <v>Hollow brick's wall</v>
      </c>
    </row>
    <row r="42" spans="1:29">
      <c r="D42" s="847" t="s">
        <v>2106</v>
      </c>
      <c r="E42" s="855">
        <v>200</v>
      </c>
      <c r="F42" s="898">
        <f t="shared" si="17"/>
        <v>13</v>
      </c>
      <c r="G42" s="836">
        <f t="shared" si="18"/>
        <v>1.1000000000000001</v>
      </c>
      <c r="H42" s="836" t="str">
        <f t="shared" si="19"/>
        <v/>
      </c>
      <c r="I42" s="573" t="str">
        <f t="shared" si="22"/>
        <v>T7</v>
      </c>
      <c r="J42" s="573">
        <f t="shared" si="23"/>
        <v>3.4</v>
      </c>
      <c r="K42" s="573">
        <f t="shared" si="24"/>
        <v>21.4</v>
      </c>
      <c r="L42" s="579">
        <f t="shared" si="25"/>
        <v>1258.2292</v>
      </c>
      <c r="M42" s="958">
        <v>70.844999999999999</v>
      </c>
      <c r="N42" s="958">
        <v>27.35</v>
      </c>
      <c r="O42" s="573" t="str">
        <f t="shared" si="9"/>
        <v>-</v>
      </c>
      <c r="P42" s="578" t="str">
        <f t="shared" si="10"/>
        <v>-</v>
      </c>
      <c r="Q42" s="578" t="str">
        <f t="shared" si="11"/>
        <v>-</v>
      </c>
      <c r="R42" s="959" t="str">
        <f>IF(O42&lt;&gt;"-",INDEX(Period,MATCH(O42,MPMR!$A$2:$A$90,0)+1,3),"-")</f>
        <v>-</v>
      </c>
      <c r="S42" s="959"/>
      <c r="T42" s="959" t="str">
        <f>IF(Q42&lt;&gt;"-",INDEX(Period,MATCH(O42,MPMR!$A$2:$A$90,0)+1,4),"-")</f>
        <v>-</v>
      </c>
      <c r="U42" s="959"/>
      <c r="V42" s="574" t="str">
        <f t="shared" si="12"/>
        <v>-</v>
      </c>
      <c r="W42" s="576"/>
      <c r="Y42" s="573">
        <f t="shared" si="26"/>
        <v>1</v>
      </c>
      <c r="Z42" s="573"/>
      <c r="AB42" s="573" t="str">
        <f t="shared" si="21"/>
        <v>Tường xây gạch xỉ than dày 200</v>
      </c>
      <c r="AC42" s="904" t="str">
        <f t="shared" si="20"/>
        <v>Breeze brick's wall</v>
      </c>
    </row>
    <row r="43" spans="1:29">
      <c r="D43" s="847" t="s">
        <v>2250</v>
      </c>
      <c r="E43" s="855">
        <v>170</v>
      </c>
      <c r="F43" s="898">
        <f t="shared" si="17"/>
        <v>15</v>
      </c>
      <c r="G43" s="836">
        <f t="shared" si="18"/>
        <v>1.1000000000000001</v>
      </c>
      <c r="H43" s="836" t="str">
        <f t="shared" si="19"/>
        <v/>
      </c>
      <c r="I43" s="573" t="str">
        <f t="shared" si="22"/>
        <v>T6</v>
      </c>
      <c r="J43" s="573">
        <f t="shared" si="23"/>
        <v>3.4</v>
      </c>
      <c r="K43" s="573">
        <f t="shared" si="24"/>
        <v>18</v>
      </c>
      <c r="L43" s="579">
        <f t="shared" si="25"/>
        <v>1258.2292</v>
      </c>
      <c r="M43" s="958">
        <v>70.844999999999999</v>
      </c>
      <c r="N43" s="958">
        <v>27.35</v>
      </c>
      <c r="O43" s="573" t="str">
        <f t="shared" si="9"/>
        <v>-</v>
      </c>
      <c r="P43" s="578" t="str">
        <f t="shared" si="10"/>
        <v>-</v>
      </c>
      <c r="Q43" s="578" t="str">
        <f t="shared" si="11"/>
        <v>-</v>
      </c>
      <c r="R43" s="959" t="str">
        <f>IF(O43&lt;&gt;"-",INDEX(Period,MATCH(O43,MPMR!$A$2:$A$90,0)+1,3),"-")</f>
        <v>-</v>
      </c>
      <c r="S43" s="959"/>
      <c r="T43" s="959" t="str">
        <f>IF(Q43&lt;&gt;"-",INDEX(Period,MATCH(O43,MPMR!$A$2:$A$90,0)+1,4),"-")</f>
        <v>-</v>
      </c>
      <c r="U43" s="959"/>
      <c r="V43" s="574" t="str">
        <f t="shared" si="12"/>
        <v>-</v>
      </c>
      <c r="W43" s="576"/>
      <c r="Y43" s="573">
        <f t="shared" si="26"/>
        <v>1</v>
      </c>
      <c r="Z43" s="573"/>
      <c r="AB43" s="573" t="str">
        <f t="shared" si="21"/>
        <v>Tường gạch không nung (loại 1) dày 170</v>
      </c>
      <c r="AC43" s="904" t="str">
        <f t="shared" si="20"/>
        <v>Adobe brick's wall (type 1)</v>
      </c>
    </row>
    <row r="44" spans="1:29">
      <c r="D44" s="847" t="s">
        <v>2248</v>
      </c>
      <c r="E44" s="855">
        <v>140</v>
      </c>
      <c r="F44" s="898">
        <f t="shared" si="17"/>
        <v>15.5</v>
      </c>
      <c r="G44" s="836">
        <f t="shared" si="18"/>
        <v>1.1000000000000001</v>
      </c>
      <c r="H44" s="836" t="str">
        <f t="shared" si="19"/>
        <v/>
      </c>
      <c r="I44" s="573" t="str">
        <f t="shared" si="22"/>
        <v>T5</v>
      </c>
      <c r="J44" s="573">
        <f t="shared" si="23"/>
        <v>3.4</v>
      </c>
      <c r="K44" s="573">
        <f t="shared" si="24"/>
        <v>14.6</v>
      </c>
      <c r="L44" s="579">
        <f t="shared" si="25"/>
        <v>1258.2292</v>
      </c>
      <c r="M44" s="958">
        <v>70.844999999999999</v>
      </c>
      <c r="N44" s="958">
        <v>27.35</v>
      </c>
      <c r="O44" s="573" t="str">
        <f t="shared" si="9"/>
        <v>-</v>
      </c>
      <c r="P44" s="578" t="str">
        <f t="shared" si="10"/>
        <v>-</v>
      </c>
      <c r="Q44" s="578" t="str">
        <f t="shared" si="11"/>
        <v>-</v>
      </c>
      <c r="R44" s="959" t="str">
        <f>IF(O44&lt;&gt;"-",INDEX(Period,MATCH(O44,MPMR!$A$2:$A$90,0)+1,3),"-")</f>
        <v>-</v>
      </c>
      <c r="S44" s="959"/>
      <c r="T44" s="959" t="str">
        <f>IF(Q44&lt;&gt;"-",INDEX(Period,MATCH(O44,MPMR!$A$2:$A$90,0)+1,4),"-")</f>
        <v>-</v>
      </c>
      <c r="U44" s="959"/>
      <c r="V44" s="574" t="str">
        <f t="shared" si="12"/>
        <v>-</v>
      </c>
      <c r="W44" s="576"/>
      <c r="Y44" s="573">
        <f t="shared" si="26"/>
        <v>1</v>
      </c>
      <c r="Z44" s="573"/>
      <c r="AB44" s="573" t="str">
        <f t="shared" si="21"/>
        <v>Tường gạch không nung (loại 2) dày 140</v>
      </c>
      <c r="AC44" s="904" t="str">
        <f t="shared" si="20"/>
        <v>Adobe brick's wall (type 2)</v>
      </c>
    </row>
    <row r="45" spans="1:29">
      <c r="D45" s="847" t="s">
        <v>2249</v>
      </c>
      <c r="E45" s="855">
        <v>100</v>
      </c>
      <c r="F45" s="898">
        <f t="shared" si="17"/>
        <v>17</v>
      </c>
      <c r="G45" s="836">
        <f t="shared" si="18"/>
        <v>1.1000000000000001</v>
      </c>
      <c r="H45" s="836" t="str">
        <f t="shared" si="19"/>
        <v/>
      </c>
      <c r="I45" s="573" t="str">
        <f t="shared" si="22"/>
        <v>T4</v>
      </c>
      <c r="J45" s="573">
        <f t="shared" si="23"/>
        <v>3.4</v>
      </c>
      <c r="K45" s="573">
        <f t="shared" si="24"/>
        <v>11.2</v>
      </c>
      <c r="L45" s="579">
        <f t="shared" si="25"/>
        <v>1258.2292</v>
      </c>
      <c r="M45" s="958">
        <v>70.844999999999999</v>
      </c>
      <c r="N45" s="958">
        <v>27.35</v>
      </c>
      <c r="O45" s="573" t="str">
        <f t="shared" si="9"/>
        <v>-</v>
      </c>
      <c r="P45" s="578" t="str">
        <f t="shared" si="10"/>
        <v>-</v>
      </c>
      <c r="Q45" s="578" t="str">
        <f t="shared" si="11"/>
        <v>-</v>
      </c>
      <c r="R45" s="959" t="str">
        <f>IF(O45&lt;&gt;"-",INDEX(Period,MATCH(O45,MPMR!$A$2:$A$90,0)+1,3),"-")</f>
        <v>-</v>
      </c>
      <c r="S45" s="959"/>
      <c r="T45" s="959" t="str">
        <f>IF(Q45&lt;&gt;"-",INDEX(Period,MATCH(O45,MPMR!$A$2:$A$90,0)+1,4),"-")</f>
        <v>-</v>
      </c>
      <c r="U45" s="959"/>
      <c r="V45" s="574" t="str">
        <f t="shared" si="12"/>
        <v>-</v>
      </c>
      <c r="W45" s="576"/>
      <c r="Y45" s="573">
        <f t="shared" si="26"/>
        <v>1</v>
      </c>
      <c r="Z45" s="573"/>
      <c r="AB45" s="573" t="str">
        <f t="shared" si="21"/>
        <v>Tường gạch không nung (loại 3) dày 100</v>
      </c>
      <c r="AC45" s="904" t="str">
        <f t="shared" si="20"/>
        <v>Adobe brick's wall (type 3)</v>
      </c>
    </row>
    <row r="46" spans="1:29" ht="16.5" customHeight="1">
      <c r="D46" s="847" t="s">
        <v>2080</v>
      </c>
      <c r="E46" s="855">
        <v>10</v>
      </c>
      <c r="F46" s="898">
        <f t="shared" si="17"/>
        <v>25</v>
      </c>
      <c r="G46" s="836">
        <f t="shared" si="18"/>
        <v>1.1000000000000001</v>
      </c>
      <c r="H46" s="836" t="str">
        <f t="shared" si="19"/>
        <v/>
      </c>
      <c r="I46" s="573" t="str">
        <f t="shared" si="22"/>
        <v>T3</v>
      </c>
      <c r="J46" s="573">
        <f t="shared" si="23"/>
        <v>3.4</v>
      </c>
      <c r="K46" s="573">
        <f t="shared" si="24"/>
        <v>7.8</v>
      </c>
      <c r="L46" s="579">
        <f t="shared" si="25"/>
        <v>1279.3911000000001</v>
      </c>
      <c r="M46" s="958">
        <v>70.844999999999999</v>
      </c>
      <c r="N46" s="958">
        <v>27.35</v>
      </c>
      <c r="O46" s="573" t="str">
        <f t="shared" si="9"/>
        <v>-</v>
      </c>
      <c r="P46" s="578" t="str">
        <f t="shared" si="10"/>
        <v>-</v>
      </c>
      <c r="Q46" s="578" t="str">
        <f t="shared" si="11"/>
        <v>-</v>
      </c>
      <c r="R46" s="959" t="str">
        <f>IF(O46&lt;&gt;"-",INDEX(Period,MATCH(O46,MPMR!$A$2:$A$90,0)+1,3),"-")</f>
        <v>-</v>
      </c>
      <c r="S46" s="959"/>
      <c r="T46" s="959" t="str">
        <f>IF(Q46&lt;&gt;"-",INDEX(Period,MATCH(O46,MPMR!$A$2:$A$90,0)+1,4),"-")</f>
        <v>-</v>
      </c>
      <c r="U46" s="959"/>
      <c r="V46" s="574" t="str">
        <f t="shared" si="12"/>
        <v>-</v>
      </c>
      <c r="W46" s="576"/>
      <c r="Y46" s="573">
        <f t="shared" si="26"/>
        <v>1</v>
      </c>
      <c r="Z46" s="573"/>
      <c r="AB46" s="573" t="str">
        <f t="shared" si="21"/>
        <v>Vách kính dày 10</v>
      </c>
      <c r="AC46" s="904" t="str">
        <f t="shared" si="20"/>
        <v>Glass curtain wall</v>
      </c>
    </row>
    <row r="47" spans="1:29">
      <c r="D47" s="847" t="s">
        <v>2231</v>
      </c>
      <c r="E47" s="855"/>
      <c r="F47" s="898" t="str">
        <f>IF(D47="","",IF(INDEX(vatlieutuong,MATCH(D47,vatlieutuong1,0),2)&lt;&gt;0,INDEX(vatlieutuong,MATCH(D47,vatlieutuong1,0),2),""))</f>
        <v/>
      </c>
      <c r="G47" s="836">
        <f t="shared" si="18"/>
        <v>1.1000000000000001</v>
      </c>
      <c r="H47" s="836">
        <f t="shared" si="19"/>
        <v>0.35</v>
      </c>
      <c r="I47" s="573" t="str">
        <f t="shared" si="22"/>
        <v>T2</v>
      </c>
      <c r="J47" s="573">
        <f t="shared" si="23"/>
        <v>4.4000000000000004</v>
      </c>
      <c r="K47" s="573">
        <f t="shared" si="24"/>
        <v>4.4000000000000004</v>
      </c>
      <c r="L47" s="579">
        <f t="shared" si="25"/>
        <v>9405.8924000000006</v>
      </c>
      <c r="M47" s="958">
        <v>70.844999999999999</v>
      </c>
      <c r="N47" s="958">
        <v>27.35</v>
      </c>
      <c r="O47" s="573" t="str">
        <f t="shared" si="9"/>
        <v>-</v>
      </c>
      <c r="P47" s="578" t="str">
        <f t="shared" si="10"/>
        <v>-</v>
      </c>
      <c r="Q47" s="578" t="str">
        <f t="shared" si="11"/>
        <v>-</v>
      </c>
      <c r="R47" s="959" t="str">
        <f>IF(O47&lt;&gt;"-",INDEX(Period,MATCH(O47,MPMR!$A$2:$A$90,0)+1,3),"-")</f>
        <v>-</v>
      </c>
      <c r="S47" s="959"/>
      <c r="T47" s="959" t="str">
        <f>IF(Q47&lt;&gt;"-",INDEX(Period,MATCH(O47,MPMR!$A$2:$A$90,0)+1,4),"-")</f>
        <v>-</v>
      </c>
      <c r="U47" s="959"/>
      <c r="V47" s="574" t="str">
        <f t="shared" si="12"/>
        <v>-</v>
      </c>
      <c r="W47" s="576"/>
      <c r="Y47" s="573">
        <f t="shared" si="26"/>
        <v>1</v>
      </c>
      <c r="Z47" s="573"/>
      <c r="AB47" s="573" t="str">
        <f t="shared" si="21"/>
        <v>Khung nhôm</v>
      </c>
      <c r="AC47" s="904" t="str">
        <f t="shared" si="20"/>
        <v>Aluminum-frame</v>
      </c>
    </row>
    <row r="48" spans="1:29">
      <c r="D48" s="847" t="s">
        <v>2234</v>
      </c>
      <c r="E48" s="855">
        <v>110</v>
      </c>
      <c r="F48" s="898">
        <f>IF(D48="","",IF(INDEX(vatlieutuong,MATCH(D48,vatlieutuong1,0),2)&lt;&gt;0,INDEX(vatlieutuong,MATCH(D48,vatlieutuong1,0),2),""))</f>
        <v>18</v>
      </c>
      <c r="G48" s="836">
        <f t="shared" si="18"/>
        <v>1.1000000000000001</v>
      </c>
      <c r="H48" s="836" t="str">
        <f t="shared" si="19"/>
        <v/>
      </c>
      <c r="I48" s="573" t="str">
        <f t="shared" si="22"/>
        <v>T1</v>
      </c>
      <c r="J48" s="573">
        <f t="shared" si="23"/>
        <v>4.6500000000000004</v>
      </c>
      <c r="K48" s="573">
        <f t="shared" si="24"/>
        <v>0</v>
      </c>
      <c r="L48" s="579" t="str">
        <f t="shared" si="25"/>
        <v/>
      </c>
      <c r="M48" s="958">
        <v>70.844999999999999</v>
      </c>
      <c r="N48" s="958">
        <v>27.35</v>
      </c>
      <c r="O48" s="573" t="str">
        <f t="shared" si="9"/>
        <v>-</v>
      </c>
      <c r="P48" s="578" t="str">
        <f t="shared" si="10"/>
        <v>-</v>
      </c>
      <c r="Q48" s="578" t="str">
        <f t="shared" si="11"/>
        <v>-</v>
      </c>
      <c r="R48" s="959" t="str">
        <f>IF(O48&lt;&gt;"-",INDEX(Period,MATCH(O48,MPMR!$A$2:$A$90,0)+1,3),"-")</f>
        <v>-</v>
      </c>
      <c r="S48" s="959"/>
      <c r="T48" s="959" t="str">
        <f>IF(Q48&lt;&gt;"-",INDEX(Period,MATCH(O48,MPMR!$A$2:$A$90,0)+1,4),"-")</f>
        <v>-</v>
      </c>
      <c r="U48" s="959"/>
      <c r="V48" s="574" t="str">
        <f t="shared" si="12"/>
        <v>-</v>
      </c>
      <c r="W48" s="576"/>
      <c r="Y48" s="573">
        <f t="shared" si="26"/>
        <v>0</v>
      </c>
      <c r="Z48" s="573"/>
      <c r="AB48" s="573" t="str">
        <f t="shared" si="21"/>
        <v>Tường gạch bê tông cốt liệu đặc dày 110</v>
      </c>
      <c r="AC48" s="904" t="str">
        <f t="shared" si="20"/>
        <v>Solid concrete brick's wall</v>
      </c>
    </row>
    <row r="49" spans="4:29">
      <c r="D49" s="847" t="s">
        <v>2234</v>
      </c>
      <c r="E49" s="855">
        <v>220</v>
      </c>
      <c r="F49" s="898">
        <f>IF(D49="","",IF(INDEX(vatlieutuong,MATCH(D49,vatlieutuong1,0),2)&lt;&gt;0,INDEX(vatlieutuong,MATCH(D49,vatlieutuong1,0),2),""))</f>
        <v>18</v>
      </c>
      <c r="G49" s="836">
        <f t="shared" si="18"/>
        <v>1.1000000000000001</v>
      </c>
      <c r="H49" s="836" t="str">
        <f t="shared" si="19"/>
        <v/>
      </c>
      <c r="I49" s="573" t="str">
        <f t="shared" si="22"/>
        <v>B1</v>
      </c>
      <c r="J49" s="573">
        <f t="shared" si="23"/>
        <v>3</v>
      </c>
      <c r="K49" s="573">
        <f t="shared" si="24"/>
        <v>-4.6500000000000004</v>
      </c>
      <c r="L49" s="579" t="str">
        <f t="shared" si="25"/>
        <v/>
      </c>
      <c r="M49" s="864">
        <v>70.844999999999999</v>
      </c>
      <c r="N49" s="864">
        <v>27.35</v>
      </c>
      <c r="O49" s="573" t="str">
        <f t="shared" si="9"/>
        <v>-</v>
      </c>
      <c r="P49" s="578" t="str">
        <f t="shared" si="10"/>
        <v>-</v>
      </c>
      <c r="Q49" s="578" t="str">
        <f t="shared" si="11"/>
        <v>-</v>
      </c>
      <c r="R49" s="959" t="str">
        <f>IF(O49&lt;&gt;"-",INDEX(Period,MATCH(O49,MPMR!$A$2:$A$90,0)+1,3),"-")</f>
        <v>-</v>
      </c>
      <c r="S49" s="959"/>
      <c r="T49" s="959" t="str">
        <f>IF(Q49&lt;&gt;"-",INDEX(Period,MATCH(O49,MPMR!$A$2:$A$90,0)+1,4),"-")</f>
        <v>-</v>
      </c>
      <c r="U49" s="959"/>
      <c r="V49" s="574" t="str">
        <f t="shared" si="12"/>
        <v>-</v>
      </c>
      <c r="W49" s="576"/>
      <c r="Y49" s="573">
        <f t="shared" si="26"/>
        <v>0</v>
      </c>
      <c r="Z49" s="573"/>
      <c r="AB49" s="573" t="str">
        <f t="shared" si="21"/>
        <v>Tường gạch bê tông cốt liệu đặc dày 220</v>
      </c>
      <c r="AC49" s="904" t="str">
        <f t="shared" si="20"/>
        <v>Solid concrete brick's wall</v>
      </c>
    </row>
    <row r="50" spans="4:29">
      <c r="D50" s="847"/>
      <c r="E50" s="855"/>
      <c r="F50" s="898" t="str">
        <f t="shared" ref="F50:F51" si="27">IF(D50="","",IF(INDEX(vatlieutuong,MATCH(D50,vatlieutuong1,0),2)&lt;&gt;0,INDEX(vatlieutuong,MATCH(D50,vatlieutuong1,0),2),""))</f>
        <v/>
      </c>
      <c r="G50" s="836" t="str">
        <f t="shared" ref="G50:G51" si="28">IF($D50="","",IF(INDEX(vatlieutuong,MATCH($D50,vatlieutuong1,0),3)&lt;&gt;0,INDEX(vatlieutuong,MATCH($D50,vatlieutuong1,0),3),""))</f>
        <v/>
      </c>
      <c r="H50" s="836" t="str">
        <f t="shared" ref="H50:H51" si="29">IF($D50="","",IF(INDEX(vatlieutuong,MATCH($D50,vatlieutuong1,0),5)&lt;&gt;0,INDEX(vatlieutuong,MATCH($D50,vatlieutuong1,0),5),""))</f>
        <v/>
      </c>
      <c r="I50" s="573" t="str">
        <f t="shared" si="22"/>
        <v>BASE</v>
      </c>
      <c r="J50" s="573">
        <f t="shared" si="23"/>
        <v>0</v>
      </c>
      <c r="K50" s="573">
        <f t="shared" si="24"/>
        <v>-7.65</v>
      </c>
      <c r="L50" s="579" t="str">
        <f t="shared" si="25"/>
        <v/>
      </c>
      <c r="M50" s="864">
        <v>70.844999999999999</v>
      </c>
      <c r="N50" s="864">
        <v>27.35</v>
      </c>
      <c r="O50" s="573" t="str">
        <f t="shared" si="9"/>
        <v>-</v>
      </c>
      <c r="P50" s="578" t="str">
        <f t="shared" si="10"/>
        <v>-</v>
      </c>
      <c r="Q50" s="578" t="str">
        <f t="shared" si="11"/>
        <v>-</v>
      </c>
      <c r="R50" s="959" t="str">
        <f>IF(O50&lt;&gt;"-",INDEX(Period,MATCH(O50,MPMR!$A$2:$A$90,0)+1,3),"-")</f>
        <v>-</v>
      </c>
      <c r="S50" s="959"/>
      <c r="T50" s="959" t="str">
        <f>IF(Q50&lt;&gt;"-",INDEX(Period,MATCH(O50,MPMR!$A$2:$A$90,0)+1,4),"-")</f>
        <v>-</v>
      </c>
      <c r="U50" s="959"/>
      <c r="V50" s="574" t="str">
        <f t="shared" si="12"/>
        <v>-</v>
      </c>
      <c r="W50" s="576"/>
      <c r="Y50" s="573">
        <f t="shared" si="26"/>
        <v>0</v>
      </c>
      <c r="Z50" s="573"/>
      <c r="AB50" s="573" t="str">
        <f t="shared" si="21"/>
        <v/>
      </c>
      <c r="AC50" s="904" t="str">
        <f t="shared" si="20"/>
        <v/>
      </c>
    </row>
    <row r="51" spans="4:29">
      <c r="D51" s="847"/>
      <c r="E51" s="855"/>
      <c r="F51" s="898" t="str">
        <f t="shared" si="27"/>
        <v/>
      </c>
      <c r="G51" s="836" t="str">
        <f t="shared" si="28"/>
        <v/>
      </c>
      <c r="H51" s="836" t="str">
        <f t="shared" si="29"/>
        <v/>
      </c>
      <c r="I51" s="573" t="str">
        <f t="shared" si="22"/>
        <v/>
      </c>
      <c r="J51" s="573" t="str">
        <f t="shared" si="23"/>
        <v/>
      </c>
      <c r="K51" s="573" t="str">
        <f t="shared" si="24"/>
        <v/>
      </c>
      <c r="L51" s="579" t="str">
        <f t="shared" si="25"/>
        <v/>
      </c>
      <c r="M51" s="864"/>
      <c r="N51" s="864"/>
      <c r="O51" s="573" t="str">
        <f t="shared" si="9"/>
        <v>-</v>
      </c>
      <c r="P51" s="578" t="str">
        <f t="shared" si="10"/>
        <v>-</v>
      </c>
      <c r="Q51" s="578" t="str">
        <f t="shared" si="11"/>
        <v>-</v>
      </c>
      <c r="R51" s="959" t="str">
        <f>IF(O51&lt;&gt;"-",INDEX(Period,MATCH(O51,MPMR!$A$2:$A$90,0)+1,3),"-")</f>
        <v>-</v>
      </c>
      <c r="S51" s="959"/>
      <c r="T51" s="959" t="str">
        <f>IF(Q51&lt;&gt;"-",INDEX(Period,MATCH(O51,MPMR!$A$2:$A$90,0)+1,4),"-")</f>
        <v>-</v>
      </c>
      <c r="U51" s="959"/>
      <c r="V51" s="574" t="str">
        <f t="shared" si="12"/>
        <v>-</v>
      </c>
      <c r="W51" s="576"/>
      <c r="Y51" s="573">
        <f t="shared" si="26"/>
        <v>0</v>
      </c>
      <c r="Z51" s="573"/>
      <c r="AB51" s="573" t="str">
        <f t="shared" si="21"/>
        <v/>
      </c>
      <c r="AC51" s="952" t="str">
        <f t="shared" si="20"/>
        <v/>
      </c>
    </row>
    <row r="52" spans="4:29" ht="25.5">
      <c r="D52" s="833" t="s">
        <v>2113</v>
      </c>
      <c r="E52" s="833" t="s">
        <v>90</v>
      </c>
      <c r="F52" s="834" t="s">
        <v>111</v>
      </c>
      <c r="G52" s="834" t="s">
        <v>2112</v>
      </c>
      <c r="H52" s="834" t="s">
        <v>91</v>
      </c>
      <c r="I52" s="573" t="str">
        <f t="shared" si="22"/>
        <v/>
      </c>
      <c r="J52" s="573" t="str">
        <f t="shared" si="23"/>
        <v/>
      </c>
      <c r="K52" s="573" t="str">
        <f t="shared" si="24"/>
        <v/>
      </c>
      <c r="L52" s="579" t="str">
        <f t="shared" si="25"/>
        <v/>
      </c>
      <c r="M52" s="864"/>
      <c r="N52" s="864"/>
      <c r="O52" s="573" t="str">
        <f t="shared" si="9"/>
        <v>-</v>
      </c>
      <c r="P52" s="578" t="str">
        <f t="shared" si="10"/>
        <v>-</v>
      </c>
      <c r="Q52" s="578" t="str">
        <f t="shared" si="11"/>
        <v>-</v>
      </c>
      <c r="R52" s="959" t="str">
        <f>IF(O52&lt;&gt;"-",INDEX(Period,MATCH(O52,MPMR!$A$2:$A$90,0)+1,3),"-")</f>
        <v>-</v>
      </c>
      <c r="S52" s="959"/>
      <c r="T52" s="959" t="str">
        <f>IF(Q52&lt;&gt;"-",INDEX(Period,MATCH(O52,MPMR!$A$2:$A$90,0)+1,4),"-")</f>
        <v>-</v>
      </c>
      <c r="U52" s="959"/>
      <c r="V52" s="574" t="str">
        <f t="shared" si="12"/>
        <v>-</v>
      </c>
      <c r="W52" s="576"/>
      <c r="Y52" s="573">
        <f t="shared" si="26"/>
        <v>0</v>
      </c>
      <c r="Z52" s="573"/>
      <c r="AC52" s="951"/>
    </row>
    <row r="53" spans="4:29">
      <c r="D53" s="835" t="s">
        <v>36</v>
      </c>
      <c r="E53" s="835" t="s">
        <v>36</v>
      </c>
      <c r="F53" s="835" t="s">
        <v>1866</v>
      </c>
      <c r="G53" s="836" t="s">
        <v>1775</v>
      </c>
      <c r="H53" s="835" t="s">
        <v>2064</v>
      </c>
      <c r="I53" s="573" t="str">
        <f t="shared" si="22"/>
        <v/>
      </c>
      <c r="J53" s="573" t="str">
        <f t="shared" si="23"/>
        <v/>
      </c>
      <c r="K53" s="573" t="str">
        <f t="shared" si="24"/>
        <v/>
      </c>
      <c r="L53" s="579" t="str">
        <f t="shared" si="25"/>
        <v/>
      </c>
      <c r="M53" s="864"/>
      <c r="N53" s="864"/>
      <c r="Y53" s="573">
        <f t="shared" si="26"/>
        <v>0</v>
      </c>
      <c r="Z53" s="573"/>
      <c r="AC53" s="951"/>
    </row>
    <row r="54" spans="4:29">
      <c r="D54" s="851" t="s">
        <v>2114</v>
      </c>
      <c r="E54" s="851">
        <v>5.2</v>
      </c>
      <c r="F54" s="852"/>
      <c r="G54" s="852">
        <v>0.7</v>
      </c>
      <c r="H54" s="852">
        <v>0.4</v>
      </c>
      <c r="I54" s="573" t="str">
        <f t="shared" si="22"/>
        <v/>
      </c>
      <c r="J54" s="573" t="str">
        <f t="shared" si="23"/>
        <v/>
      </c>
      <c r="K54" s="573" t="str">
        <f t="shared" si="24"/>
        <v/>
      </c>
      <c r="L54" s="579" t="str">
        <f t="shared" si="25"/>
        <v/>
      </c>
      <c r="M54" s="864"/>
      <c r="N54" s="864"/>
      <c r="Y54" s="573">
        <f t="shared" si="26"/>
        <v>0</v>
      </c>
      <c r="Z54" s="573"/>
      <c r="AC54" s="951"/>
    </row>
    <row r="55" spans="4:29">
      <c r="D55" s="851" t="s">
        <v>2115</v>
      </c>
      <c r="E55" s="851">
        <v>4.2</v>
      </c>
      <c r="F55" s="853"/>
      <c r="G55" s="853">
        <v>0.7</v>
      </c>
      <c r="H55" s="852">
        <v>0.4</v>
      </c>
      <c r="I55" s="573" t="str">
        <f t="shared" si="22"/>
        <v/>
      </c>
      <c r="J55" s="573" t="str">
        <f t="shared" si="23"/>
        <v/>
      </c>
      <c r="K55" s="573" t="str">
        <f t="shared" si="24"/>
        <v/>
      </c>
      <c r="L55" s="579" t="str">
        <f t="shared" si="25"/>
        <v/>
      </c>
      <c r="M55" s="864"/>
      <c r="N55" s="864"/>
      <c r="Y55" s="573">
        <f t="shared" si="26"/>
        <v>0</v>
      </c>
      <c r="Z55" s="573"/>
      <c r="AC55" s="951"/>
    </row>
    <row r="56" spans="4:29">
      <c r="D56" s="851" t="s">
        <v>2116</v>
      </c>
      <c r="E56" s="851">
        <v>3.2</v>
      </c>
      <c r="F56" s="853"/>
      <c r="G56" s="853">
        <v>0.7</v>
      </c>
      <c r="H56" s="852">
        <v>0.4</v>
      </c>
      <c r="I56" s="573" t="str">
        <f t="shared" si="22"/>
        <v/>
      </c>
      <c r="J56" s="573" t="str">
        <f t="shared" si="23"/>
        <v/>
      </c>
      <c r="K56" s="573" t="str">
        <f t="shared" si="24"/>
        <v/>
      </c>
      <c r="L56" s="579" t="str">
        <f t="shared" si="25"/>
        <v/>
      </c>
      <c r="M56" s="864"/>
      <c r="N56" s="864"/>
      <c r="Y56" s="573">
        <f t="shared" si="26"/>
        <v>0</v>
      </c>
      <c r="Z56" s="573"/>
      <c r="AC56" s="951"/>
    </row>
    <row r="57" spans="4:29">
      <c r="D57" s="851" t="s">
        <v>2117</v>
      </c>
      <c r="E57" s="851"/>
      <c r="F57" s="852"/>
      <c r="G57" s="852"/>
      <c r="H57" s="852"/>
      <c r="I57" s="573" t="str">
        <f t="shared" si="22"/>
        <v/>
      </c>
      <c r="J57" s="573" t="str">
        <f t="shared" si="23"/>
        <v/>
      </c>
      <c r="K57" s="573" t="str">
        <f t="shared" si="24"/>
        <v/>
      </c>
      <c r="L57" s="579" t="str">
        <f t="shared" si="25"/>
        <v/>
      </c>
      <c r="M57" s="864"/>
      <c r="N57" s="864"/>
      <c r="Y57" s="573">
        <f t="shared" si="26"/>
        <v>0</v>
      </c>
      <c r="Z57" s="573"/>
      <c r="AC57" s="951"/>
    </row>
    <row r="58" spans="4:29">
      <c r="D58" s="851" t="s">
        <v>2118</v>
      </c>
      <c r="E58" s="851"/>
      <c r="F58" s="853"/>
      <c r="G58" s="853"/>
      <c r="H58" s="852"/>
      <c r="I58" s="573" t="str">
        <f t="shared" si="22"/>
        <v/>
      </c>
      <c r="J58" s="573" t="str">
        <f t="shared" si="23"/>
        <v/>
      </c>
      <c r="K58" s="573" t="str">
        <f t="shared" si="24"/>
        <v/>
      </c>
      <c r="L58" s="579" t="str">
        <f t="shared" si="25"/>
        <v/>
      </c>
      <c r="M58" s="864"/>
      <c r="N58" s="864"/>
      <c r="Y58" s="573">
        <f t="shared" si="26"/>
        <v>0</v>
      </c>
      <c r="Z58" s="573"/>
    </row>
    <row r="59" spans="4:29">
      <c r="D59" s="851" t="s">
        <v>2119</v>
      </c>
      <c r="E59" s="851"/>
      <c r="F59" s="853"/>
      <c r="G59" s="853"/>
      <c r="H59" s="852"/>
      <c r="I59" s="573" t="str">
        <f t="shared" si="22"/>
        <v/>
      </c>
      <c r="J59" s="573" t="str">
        <f t="shared" si="23"/>
        <v/>
      </c>
      <c r="K59" s="573" t="str">
        <f t="shared" si="24"/>
        <v/>
      </c>
      <c r="L59" s="579" t="str">
        <f t="shared" si="25"/>
        <v/>
      </c>
      <c r="M59" s="864"/>
      <c r="N59" s="864"/>
      <c r="Y59" s="573">
        <f t="shared" si="26"/>
        <v>0</v>
      </c>
      <c r="Z59" s="573"/>
    </row>
    <row r="60" spans="4:29">
      <c r="D60" s="851" t="s">
        <v>2120</v>
      </c>
      <c r="E60" s="851"/>
      <c r="F60" s="853"/>
      <c r="G60" s="853"/>
      <c r="H60" s="852"/>
      <c r="I60" s="573" t="str">
        <f t="shared" si="22"/>
        <v/>
      </c>
      <c r="J60" s="573" t="str">
        <f t="shared" si="23"/>
        <v/>
      </c>
      <c r="K60" s="573" t="str">
        <f t="shared" si="24"/>
        <v/>
      </c>
      <c r="L60" s="579" t="str">
        <f t="shared" si="25"/>
        <v/>
      </c>
      <c r="M60" s="864"/>
      <c r="N60" s="864"/>
      <c r="Y60" s="573">
        <f t="shared" si="26"/>
        <v>0</v>
      </c>
      <c r="Z60" s="573"/>
    </row>
    <row r="61" spans="4:29">
      <c r="D61" s="851" t="s">
        <v>2121</v>
      </c>
      <c r="E61" s="851"/>
      <c r="F61" s="853"/>
      <c r="G61" s="853"/>
      <c r="H61" s="852"/>
      <c r="I61" s="573" t="str">
        <f t="shared" si="22"/>
        <v/>
      </c>
      <c r="J61" s="573" t="str">
        <f t="shared" si="23"/>
        <v/>
      </c>
      <c r="K61" s="573" t="str">
        <f t="shared" si="24"/>
        <v/>
      </c>
      <c r="L61" s="579" t="str">
        <f t="shared" si="25"/>
        <v/>
      </c>
      <c r="M61" s="864"/>
      <c r="N61" s="864"/>
      <c r="Y61" s="573">
        <f t="shared" si="26"/>
        <v>0</v>
      </c>
      <c r="Z61" s="573"/>
    </row>
    <row r="62" spans="4:29">
      <c r="D62" s="851" t="s">
        <v>2122</v>
      </c>
      <c r="E62" s="851"/>
      <c r="F62" s="854"/>
      <c r="G62" s="852"/>
      <c r="H62" s="852"/>
      <c r="I62" s="573" t="str">
        <f t="shared" si="22"/>
        <v/>
      </c>
      <c r="J62" s="573" t="str">
        <f t="shared" si="23"/>
        <v/>
      </c>
      <c r="K62" s="573" t="str">
        <f t="shared" si="24"/>
        <v/>
      </c>
      <c r="L62" s="579" t="str">
        <f t="shared" si="25"/>
        <v/>
      </c>
      <c r="M62" s="864"/>
      <c r="N62" s="864"/>
      <c r="Y62" s="573">
        <f t="shared" si="26"/>
        <v>0</v>
      </c>
      <c r="Z62" s="573"/>
    </row>
    <row r="63" spans="4:29">
      <c r="D63" s="851" t="s">
        <v>2123</v>
      </c>
      <c r="E63" s="851"/>
      <c r="F63" s="853"/>
      <c r="G63" s="853"/>
      <c r="H63" s="852"/>
      <c r="I63" s="573" t="str">
        <f t="shared" si="22"/>
        <v/>
      </c>
      <c r="J63" s="573" t="str">
        <f t="shared" si="23"/>
        <v/>
      </c>
      <c r="K63" s="573" t="str">
        <f t="shared" si="24"/>
        <v/>
      </c>
      <c r="L63" s="579" t="str">
        <f t="shared" si="25"/>
        <v/>
      </c>
      <c r="M63" s="864"/>
      <c r="N63" s="864"/>
      <c r="Y63" s="573">
        <f t="shared" si="26"/>
        <v>0</v>
      </c>
      <c r="Z63" s="573"/>
    </row>
    <row r="64" spans="4:29" outlineLevel="1">
      <c r="D64" s="851"/>
      <c r="E64" s="851"/>
      <c r="F64" s="852"/>
      <c r="G64" s="852"/>
      <c r="H64" s="852"/>
      <c r="I64" s="573" t="str">
        <f t="shared" si="22"/>
        <v/>
      </c>
      <c r="J64" s="573" t="str">
        <f t="shared" si="23"/>
        <v/>
      </c>
      <c r="K64" s="573" t="str">
        <f t="shared" si="24"/>
        <v/>
      </c>
      <c r="L64" s="579" t="str">
        <f t="shared" si="25"/>
        <v/>
      </c>
      <c r="M64" s="864"/>
      <c r="N64" s="864"/>
      <c r="Y64" s="573">
        <f t="shared" si="26"/>
        <v>0</v>
      </c>
      <c r="Z64" s="573"/>
    </row>
    <row r="65" spans="4:26" outlineLevel="1">
      <c r="D65" s="851"/>
      <c r="E65" s="851"/>
      <c r="F65" s="853"/>
      <c r="G65" s="853"/>
      <c r="H65" s="852"/>
      <c r="I65" s="573" t="str">
        <f t="shared" si="22"/>
        <v/>
      </c>
      <c r="J65" s="573" t="str">
        <f t="shared" si="23"/>
        <v/>
      </c>
      <c r="K65" s="573" t="str">
        <f t="shared" si="24"/>
        <v/>
      </c>
      <c r="L65" s="579" t="str">
        <f t="shared" si="25"/>
        <v/>
      </c>
      <c r="M65" s="864"/>
      <c r="N65" s="864"/>
      <c r="Y65" s="573">
        <f t="shared" si="26"/>
        <v>0</v>
      </c>
      <c r="Z65" s="573"/>
    </row>
    <row r="66" spans="4:26" outlineLevel="1">
      <c r="D66" s="851"/>
      <c r="E66" s="851"/>
      <c r="F66" s="853"/>
      <c r="G66" s="853"/>
      <c r="H66" s="852"/>
      <c r="I66" s="573" t="str">
        <f t="shared" si="22"/>
        <v/>
      </c>
      <c r="J66" s="573" t="str">
        <f t="shared" si="23"/>
        <v/>
      </c>
      <c r="K66" s="573" t="str">
        <f t="shared" si="24"/>
        <v/>
      </c>
      <c r="L66" s="579" t="str">
        <f t="shared" si="25"/>
        <v/>
      </c>
      <c r="M66" s="864"/>
      <c r="N66" s="864"/>
      <c r="Y66" s="573">
        <f t="shared" si="26"/>
        <v>0</v>
      </c>
      <c r="Z66" s="573"/>
    </row>
    <row r="67" spans="4:26" outlineLevel="1">
      <c r="D67" s="851"/>
      <c r="E67" s="851"/>
      <c r="F67" s="854"/>
      <c r="G67" s="852"/>
      <c r="H67" s="852"/>
      <c r="I67" s="573" t="str">
        <f t="shared" si="22"/>
        <v/>
      </c>
      <c r="J67" s="573" t="str">
        <f t="shared" si="23"/>
        <v/>
      </c>
      <c r="K67" s="573" t="str">
        <f t="shared" si="24"/>
        <v/>
      </c>
      <c r="L67" s="579" t="str">
        <f t="shared" si="25"/>
        <v/>
      </c>
      <c r="M67" s="864"/>
      <c r="N67" s="864"/>
      <c r="Y67" s="573">
        <f t="shared" si="26"/>
        <v>0</v>
      </c>
      <c r="Z67" s="573"/>
    </row>
    <row r="68" spans="4:26" outlineLevel="1">
      <c r="D68" s="851"/>
      <c r="E68" s="851"/>
      <c r="F68" s="853"/>
      <c r="G68" s="853"/>
      <c r="H68" s="852"/>
      <c r="I68" s="573" t="str">
        <f t="shared" si="22"/>
        <v/>
      </c>
      <c r="J68" s="573" t="str">
        <f t="shared" si="23"/>
        <v/>
      </c>
      <c r="K68" s="573" t="str">
        <f t="shared" si="24"/>
        <v/>
      </c>
      <c r="L68" s="579" t="str">
        <f t="shared" si="25"/>
        <v/>
      </c>
      <c r="M68" s="864"/>
      <c r="N68" s="864"/>
      <c r="Y68" s="573">
        <f t="shared" si="26"/>
        <v>0</v>
      </c>
      <c r="Z68" s="573"/>
    </row>
    <row r="69" spans="4:26" outlineLevel="1">
      <c r="D69" s="851"/>
      <c r="E69" s="851"/>
      <c r="F69" s="853"/>
      <c r="G69" s="853"/>
      <c r="H69" s="852"/>
      <c r="I69" s="573" t="str">
        <f t="shared" si="22"/>
        <v/>
      </c>
      <c r="J69" s="573" t="str">
        <f t="shared" si="23"/>
        <v/>
      </c>
      <c r="K69" s="573" t="str">
        <f t="shared" si="24"/>
        <v/>
      </c>
      <c r="L69" s="579" t="str">
        <f t="shared" si="25"/>
        <v/>
      </c>
      <c r="M69" s="864"/>
      <c r="N69" s="864"/>
      <c r="Y69" s="573">
        <f t="shared" si="26"/>
        <v>0</v>
      </c>
      <c r="Z69" s="573"/>
    </row>
    <row r="70" spans="4:26" outlineLevel="1">
      <c r="D70" s="851"/>
      <c r="E70" s="851"/>
      <c r="F70" s="853"/>
      <c r="G70" s="853"/>
      <c r="H70" s="852"/>
      <c r="I70" s="573" t="str">
        <f t="shared" si="22"/>
        <v/>
      </c>
      <c r="J70" s="573" t="str">
        <f t="shared" si="23"/>
        <v/>
      </c>
      <c r="K70" s="573" t="str">
        <f t="shared" si="24"/>
        <v/>
      </c>
      <c r="L70" s="579" t="str">
        <f t="shared" si="25"/>
        <v/>
      </c>
      <c r="M70" s="864"/>
      <c r="N70" s="864"/>
      <c r="Y70" s="573">
        <f t="shared" si="26"/>
        <v>0</v>
      </c>
      <c r="Z70" s="573"/>
    </row>
    <row r="71" spans="4:26" outlineLevel="1">
      <c r="D71" s="851"/>
      <c r="E71" s="851"/>
      <c r="F71" s="853"/>
      <c r="G71" s="853"/>
      <c r="H71" s="852"/>
      <c r="I71" s="573" t="str">
        <f t="shared" si="22"/>
        <v/>
      </c>
      <c r="J71" s="573" t="str">
        <f t="shared" si="23"/>
        <v/>
      </c>
      <c r="K71" s="573" t="str">
        <f t="shared" si="24"/>
        <v/>
      </c>
      <c r="L71" s="579" t="str">
        <f t="shared" si="25"/>
        <v/>
      </c>
      <c r="M71" s="864"/>
      <c r="N71" s="864"/>
      <c r="Y71" s="573">
        <f t="shared" si="26"/>
        <v>0</v>
      </c>
      <c r="Z71" s="573"/>
    </row>
    <row r="72" spans="4:26" outlineLevel="1">
      <c r="D72" s="851"/>
      <c r="E72" s="851"/>
      <c r="F72" s="853"/>
      <c r="G72" s="853"/>
      <c r="H72" s="852"/>
      <c r="I72" s="573" t="str">
        <f t="shared" si="22"/>
        <v/>
      </c>
      <c r="J72" s="573" t="str">
        <f t="shared" si="23"/>
        <v/>
      </c>
      <c r="K72" s="573" t="str">
        <f t="shared" si="24"/>
        <v/>
      </c>
      <c r="L72" s="579" t="str">
        <f t="shared" si="25"/>
        <v/>
      </c>
      <c r="M72" s="864"/>
      <c r="N72" s="864"/>
      <c r="Y72" s="573">
        <f t="shared" si="26"/>
        <v>0</v>
      </c>
      <c r="Z72" s="573"/>
    </row>
    <row r="73" spans="4:26" outlineLevel="1">
      <c r="D73" s="851"/>
      <c r="E73" s="851"/>
      <c r="F73" s="853"/>
      <c r="G73" s="853"/>
      <c r="H73" s="852"/>
      <c r="I73" s="573" t="str">
        <f t="shared" ref="I73:I87" si="30">IF(INDEX(Story_data,ROW($A66),1)&lt;&gt;"",INDEX(Story_data,ROW($A66),1),"")</f>
        <v/>
      </c>
      <c r="J73" s="573" t="str">
        <f t="shared" ref="J73:J87" si="31">IF(INDEX(Story_data,ROW($A66),2)&lt;&gt;"",INDEX(Story_data,ROW($A66),2),"")</f>
        <v/>
      </c>
      <c r="K73" s="573" t="str">
        <f t="shared" ref="K73:K87" si="32">IF(INDEX(Story_data,ROW($A66),3)&lt;&gt;"",INDEX(Story_data,ROW($A66),3),"")</f>
        <v/>
      </c>
      <c r="L73" s="579" t="str">
        <f t="shared" ref="L73:L87" si="33">IF(INDEX(Mass_data,ROW($A66),3)&lt;&gt;"",INDEX(Mass_data,ROW($A66),3),"")</f>
        <v/>
      </c>
      <c r="M73" s="864"/>
      <c r="N73" s="864"/>
      <c r="Y73" s="573">
        <f t="shared" ref="Y73:Y87" si="34">IF(L73&lt;&gt;"",1,0)</f>
        <v>0</v>
      </c>
      <c r="Z73" s="573"/>
    </row>
    <row r="74" spans="4:26" outlineLevel="1">
      <c r="D74" s="851"/>
      <c r="E74" s="851"/>
      <c r="F74" s="853"/>
      <c r="G74" s="853"/>
      <c r="H74" s="852"/>
      <c r="I74" s="573" t="str">
        <f t="shared" si="30"/>
        <v/>
      </c>
      <c r="J74" s="573" t="str">
        <f t="shared" si="31"/>
        <v/>
      </c>
      <c r="K74" s="573" t="str">
        <f t="shared" si="32"/>
        <v/>
      </c>
      <c r="L74" s="579" t="str">
        <f t="shared" si="33"/>
        <v/>
      </c>
      <c r="M74" s="864"/>
      <c r="N74" s="864"/>
      <c r="Y74" s="573">
        <f t="shared" si="34"/>
        <v>0</v>
      </c>
      <c r="Z74" s="573"/>
    </row>
    <row r="75" spans="4:26" outlineLevel="1">
      <c r="D75" s="851"/>
      <c r="E75" s="851"/>
      <c r="F75" s="853"/>
      <c r="G75" s="853"/>
      <c r="H75" s="852"/>
      <c r="I75" s="573" t="str">
        <f t="shared" si="30"/>
        <v/>
      </c>
      <c r="J75" s="573" t="str">
        <f t="shared" si="31"/>
        <v/>
      </c>
      <c r="K75" s="573" t="str">
        <f t="shared" si="32"/>
        <v/>
      </c>
      <c r="L75" s="579" t="str">
        <f t="shared" si="33"/>
        <v/>
      </c>
      <c r="M75" s="864"/>
      <c r="N75" s="864"/>
      <c r="Y75" s="573">
        <f t="shared" si="34"/>
        <v>0</v>
      </c>
      <c r="Z75" s="573"/>
    </row>
    <row r="76" spans="4:26" outlineLevel="1">
      <c r="D76" s="851"/>
      <c r="E76" s="851"/>
      <c r="F76" s="853"/>
      <c r="G76" s="853"/>
      <c r="H76" s="852"/>
      <c r="I76" s="573" t="str">
        <f t="shared" si="30"/>
        <v/>
      </c>
      <c r="J76" s="573" t="str">
        <f t="shared" si="31"/>
        <v/>
      </c>
      <c r="K76" s="573" t="str">
        <f t="shared" si="32"/>
        <v/>
      </c>
      <c r="L76" s="579" t="str">
        <f t="shared" si="33"/>
        <v/>
      </c>
      <c r="M76" s="864"/>
      <c r="N76" s="864"/>
      <c r="Y76" s="573">
        <f t="shared" si="34"/>
        <v>0</v>
      </c>
      <c r="Z76" s="573"/>
    </row>
    <row r="77" spans="4:26" outlineLevel="1">
      <c r="D77" s="851"/>
      <c r="E77" s="851"/>
      <c r="F77" s="853"/>
      <c r="G77" s="853"/>
      <c r="H77" s="852"/>
      <c r="I77" s="573" t="str">
        <f t="shared" si="30"/>
        <v/>
      </c>
      <c r="J77" s="573" t="str">
        <f t="shared" si="31"/>
        <v/>
      </c>
      <c r="K77" s="573" t="str">
        <f t="shared" si="32"/>
        <v/>
      </c>
      <c r="L77" s="579" t="str">
        <f t="shared" si="33"/>
        <v/>
      </c>
      <c r="M77" s="864"/>
      <c r="N77" s="864"/>
      <c r="Y77" s="573">
        <f t="shared" si="34"/>
        <v>0</v>
      </c>
      <c r="Z77" s="573"/>
    </row>
    <row r="78" spans="4:26" outlineLevel="1">
      <c r="D78" s="851"/>
      <c r="E78" s="851"/>
      <c r="F78" s="853"/>
      <c r="G78" s="853"/>
      <c r="H78" s="852"/>
      <c r="I78" s="573" t="str">
        <f t="shared" si="30"/>
        <v/>
      </c>
      <c r="J78" s="573" t="str">
        <f t="shared" si="31"/>
        <v/>
      </c>
      <c r="K78" s="573" t="str">
        <f t="shared" si="32"/>
        <v/>
      </c>
      <c r="L78" s="579" t="str">
        <f t="shared" si="33"/>
        <v/>
      </c>
      <c r="M78" s="864"/>
      <c r="N78" s="864"/>
      <c r="Y78" s="573">
        <f t="shared" si="34"/>
        <v>0</v>
      </c>
      <c r="Z78" s="573"/>
    </row>
    <row r="79" spans="4:26" outlineLevel="1">
      <c r="D79" s="851"/>
      <c r="E79" s="851"/>
      <c r="F79" s="853"/>
      <c r="G79" s="853"/>
      <c r="H79" s="852"/>
      <c r="I79" s="573" t="str">
        <f t="shared" si="30"/>
        <v/>
      </c>
      <c r="J79" s="573" t="str">
        <f t="shared" si="31"/>
        <v/>
      </c>
      <c r="K79" s="573" t="str">
        <f t="shared" si="32"/>
        <v/>
      </c>
      <c r="L79" s="579" t="str">
        <f t="shared" si="33"/>
        <v/>
      </c>
      <c r="M79" s="864"/>
      <c r="N79" s="864"/>
      <c r="Y79" s="573">
        <f t="shared" si="34"/>
        <v>0</v>
      </c>
      <c r="Z79" s="573"/>
    </row>
    <row r="80" spans="4:26" outlineLevel="1">
      <c r="D80" s="851"/>
      <c r="E80" s="851"/>
      <c r="F80" s="853"/>
      <c r="G80" s="853"/>
      <c r="H80" s="852"/>
      <c r="I80" s="573" t="str">
        <f t="shared" si="30"/>
        <v/>
      </c>
      <c r="J80" s="573" t="str">
        <f t="shared" si="31"/>
        <v/>
      </c>
      <c r="K80" s="573" t="str">
        <f t="shared" si="32"/>
        <v/>
      </c>
      <c r="L80" s="579" t="str">
        <f t="shared" si="33"/>
        <v/>
      </c>
      <c r="M80" s="864"/>
      <c r="N80" s="864"/>
      <c r="Y80" s="573">
        <f t="shared" si="34"/>
        <v>0</v>
      </c>
      <c r="Z80" s="573"/>
    </row>
    <row r="81" spans="4:26" outlineLevel="1">
      <c r="D81" s="851"/>
      <c r="E81" s="851"/>
      <c r="F81" s="853"/>
      <c r="G81" s="853"/>
      <c r="H81" s="852"/>
      <c r="I81" s="573" t="str">
        <f t="shared" si="30"/>
        <v/>
      </c>
      <c r="J81" s="573" t="str">
        <f t="shared" si="31"/>
        <v/>
      </c>
      <c r="K81" s="573" t="str">
        <f t="shared" si="32"/>
        <v/>
      </c>
      <c r="L81" s="579" t="str">
        <f t="shared" si="33"/>
        <v/>
      </c>
      <c r="M81" s="864"/>
      <c r="N81" s="864"/>
      <c r="Y81" s="573">
        <f t="shared" si="34"/>
        <v>0</v>
      </c>
      <c r="Z81" s="573"/>
    </row>
    <row r="82" spans="4:26" outlineLevel="1">
      <c r="D82" s="851"/>
      <c r="E82" s="851"/>
      <c r="F82" s="853"/>
      <c r="G82" s="853"/>
      <c r="H82" s="852"/>
      <c r="I82" s="573" t="str">
        <f t="shared" si="30"/>
        <v/>
      </c>
      <c r="J82" s="573" t="str">
        <f t="shared" si="31"/>
        <v/>
      </c>
      <c r="K82" s="573" t="str">
        <f t="shared" si="32"/>
        <v/>
      </c>
      <c r="L82" s="579" t="str">
        <f t="shared" si="33"/>
        <v/>
      </c>
      <c r="M82" s="864"/>
      <c r="N82" s="864"/>
      <c r="Y82" s="573">
        <f t="shared" si="34"/>
        <v>0</v>
      </c>
      <c r="Z82" s="573"/>
    </row>
    <row r="83" spans="4:26" outlineLevel="1">
      <c r="D83" s="851"/>
      <c r="E83" s="851"/>
      <c r="F83" s="853"/>
      <c r="G83" s="853"/>
      <c r="H83" s="852"/>
      <c r="I83" s="573" t="str">
        <f t="shared" si="30"/>
        <v/>
      </c>
      <c r="J83" s="573" t="str">
        <f t="shared" si="31"/>
        <v/>
      </c>
      <c r="K83" s="573" t="str">
        <f t="shared" si="32"/>
        <v/>
      </c>
      <c r="L83" s="579" t="str">
        <f t="shared" si="33"/>
        <v/>
      </c>
      <c r="M83" s="864"/>
      <c r="N83" s="864"/>
      <c r="Y83" s="573">
        <f t="shared" si="34"/>
        <v>0</v>
      </c>
      <c r="Z83" s="573"/>
    </row>
    <row r="84" spans="4:26" outlineLevel="1">
      <c r="D84" s="851"/>
      <c r="E84" s="851"/>
      <c r="F84" s="853"/>
      <c r="G84" s="853"/>
      <c r="H84" s="852"/>
      <c r="I84" s="573" t="str">
        <f t="shared" si="30"/>
        <v/>
      </c>
      <c r="J84" s="573" t="str">
        <f t="shared" si="31"/>
        <v/>
      </c>
      <c r="K84" s="573" t="str">
        <f t="shared" si="32"/>
        <v/>
      </c>
      <c r="L84" s="579" t="str">
        <f t="shared" si="33"/>
        <v/>
      </c>
      <c r="M84" s="864"/>
      <c r="N84" s="864"/>
      <c r="Y84" s="573">
        <f t="shared" si="34"/>
        <v>0</v>
      </c>
      <c r="Z84" s="573"/>
    </row>
    <row r="85" spans="4:26">
      <c r="I85" s="573" t="str">
        <f t="shared" si="30"/>
        <v/>
      </c>
      <c r="J85" s="573" t="str">
        <f t="shared" si="31"/>
        <v/>
      </c>
      <c r="K85" s="573" t="str">
        <f t="shared" si="32"/>
        <v/>
      </c>
      <c r="L85" s="579" t="str">
        <f t="shared" si="33"/>
        <v/>
      </c>
      <c r="M85" s="864"/>
      <c r="N85" s="864"/>
      <c r="Y85" s="573">
        <f t="shared" si="34"/>
        <v>0</v>
      </c>
      <c r="Z85" s="573"/>
    </row>
    <row r="86" spans="4:26">
      <c r="I86" s="573" t="str">
        <f t="shared" si="30"/>
        <v/>
      </c>
      <c r="J86" s="573" t="str">
        <f t="shared" si="31"/>
        <v/>
      </c>
      <c r="K86" s="573" t="str">
        <f t="shared" si="32"/>
        <v/>
      </c>
      <c r="L86" s="579" t="str">
        <f t="shared" si="33"/>
        <v/>
      </c>
      <c r="M86" s="864"/>
      <c r="N86" s="864"/>
      <c r="Y86" s="573">
        <f t="shared" si="34"/>
        <v>0</v>
      </c>
      <c r="Z86" s="573"/>
    </row>
    <row r="87" spans="4:26">
      <c r="D87" s="1034"/>
      <c r="E87" s="1034"/>
      <c r="F87" s="1034"/>
      <c r="G87" s="1034"/>
      <c r="I87" s="573" t="str">
        <f t="shared" si="30"/>
        <v/>
      </c>
      <c r="J87" s="573" t="str">
        <f t="shared" si="31"/>
        <v/>
      </c>
      <c r="K87" s="573" t="str">
        <f t="shared" si="32"/>
        <v/>
      </c>
      <c r="L87" s="579" t="str">
        <f t="shared" si="33"/>
        <v/>
      </c>
      <c r="M87" s="864"/>
      <c r="N87" s="864"/>
      <c r="Y87" s="573">
        <f t="shared" si="34"/>
        <v>0</v>
      </c>
      <c r="Z87" s="573"/>
    </row>
  </sheetData>
  <mergeCells count="22">
    <mergeCell ref="D87:E87"/>
    <mergeCell ref="F87:G87"/>
    <mergeCell ref="R7:T7"/>
    <mergeCell ref="U7:W7"/>
    <mergeCell ref="O8:P8"/>
    <mergeCell ref="O7:P7"/>
    <mergeCell ref="R11:S11"/>
    <mergeCell ref="T11:U11"/>
    <mergeCell ref="A29:C29"/>
    <mergeCell ref="A22:C22"/>
    <mergeCell ref="A24:C24"/>
    <mergeCell ref="B14:C14"/>
    <mergeCell ref="B15:C15"/>
    <mergeCell ref="A20:C20"/>
    <mergeCell ref="A19:C19"/>
    <mergeCell ref="D6:H6"/>
    <mergeCell ref="A21:C21"/>
    <mergeCell ref="O10:Q10"/>
    <mergeCell ref="O9:Q9"/>
    <mergeCell ref="A23:C23"/>
    <mergeCell ref="A6:C6"/>
    <mergeCell ref="A7:B7"/>
  </mergeCells>
  <dataValidations count="19">
    <dataValidation type="list" allowBlank="1" showInputMessage="1" showErrorMessage="1" sqref="C7">
      <formula1>"V,V/E"</formula1>
    </dataValidation>
    <dataValidation type="list" allowBlank="1" showInputMessage="1" showErrorMessage="1" sqref="A22">
      <formula1>STValList</formula1>
    </dataValidation>
    <dataValidation type="list" allowBlank="1" showInputMessage="1" showErrorMessage="1" sqref="A24">
      <formula1>ST_Class</formula1>
    </dataValidation>
    <dataValidation type="list" allowBlank="1" showInputMessage="1" showErrorMessage="1" sqref="B9:C12">
      <formula1>TCVN</formula1>
    </dataValidation>
    <dataValidation type="list" allowBlank="1" showInputMessage="1" showErrorMessage="1" promptTitle="Loại nền đất" prompt="Chọn theo Bảng 3.1 trang 42 TCVN 9386-2012" sqref="B25">
      <formula1>LDN</formula1>
    </dataValidation>
    <dataValidation type="list" allowBlank="1" showInputMessage="1" showErrorMessage="1" sqref="C30:C31 E37:E51 E8:E35">
      <formula1>Chieuday</formula1>
    </dataValidation>
    <dataValidation type="list" allowBlank="1" showInputMessage="1" showErrorMessage="1" sqref="B14:C14">
      <formula1>CityValList</formula1>
    </dataValidation>
    <dataValidation type="list" allowBlank="1" showInputMessage="1" showErrorMessage="1" sqref="B15:C15">
      <formula1>Location3</formula1>
    </dataValidation>
    <dataValidation type="list" allowBlank="1" showInputMessage="1" showErrorMessage="1" sqref="B16">
      <formula1>Capcongtrinh</formula1>
    </dataValidation>
    <dataValidation type="list" allowBlank="1" showInputMessage="1" showErrorMessage="1" sqref="B17">
      <formula1>dangdiahinh</formula1>
    </dataValidation>
    <dataValidation type="list" allowBlank="1" showInputMessage="1" showErrorMessage="1" sqref="R9:W9">
      <formula1>MODEDAODONG</formula1>
    </dataValidation>
    <dataValidation type="list" allowBlank="1" showInputMessage="1" showErrorMessage="1" sqref="Q7">
      <formula1>"0.3,0.15"</formula1>
    </dataValidation>
    <dataValidation type="list" allowBlank="1" showInputMessage="1" showErrorMessage="1" sqref="W12:W52">
      <formula1>"X,Y"</formula1>
    </dataValidation>
    <dataValidation type="list" allowBlank="1" showInputMessage="1" showErrorMessage="1" promptTitle="Hệ số điều chỉnh mặt đứng:" prompt="Công trình đều đặn theo mặt đứng bằng 1_x000a_Công trình không đều đặn theo mặt đứng bằng 0.8" sqref="B26">
      <formula1>"1,0.8"</formula1>
    </dataValidation>
    <dataValidation allowBlank="1" showInputMessage="1" showErrorMessage="1" promptTitle="Hệ số phản ánh phá hoại" prompt="Chọn bằng 1 với hệ khung, tương đương khung._x000a_Với hệ vách tính theo hệ số vách" sqref="B27"/>
    <dataValidation type="list" allowBlank="1" showInputMessage="1" showErrorMessage="1" sqref="D8:D34">
      <formula1>vatlieu2</formula1>
    </dataValidation>
    <dataValidation type="list" allowBlank="1" showInputMessage="1" showErrorMessage="1" sqref="D37:D51">
      <formula1>vatlieutuong1</formula1>
    </dataValidation>
    <dataValidation type="list" allowBlank="1" showInputMessage="1" showErrorMessage="1" sqref="C5">
      <formula1>"Etabs 9.7.4, Etabs 2013 trở lên"</formula1>
    </dataValidation>
    <dataValidation type="list" allowBlank="1" showInputMessage="1" showErrorMessage="1" sqref="R10:W10">
      <formula1>DANG_DAO_DONG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'EarthQuake Base'!A33:A36</xm:f>
          </x14:formula1>
          <xm:sqref>A20:C20</xm:sqref>
        </x14:dataValidation>
        <x14:dataValidation type="list" allowBlank="1" showInputMessage="1" showErrorMessage="1" promptTitle="Cấp dẻo thiết kế" prompt="DCM: Cấp dẻo thiết kế trung bình_x000a_DCH: Cấp dẻo thiết kế cao">
          <x14:formula1>
            <xm:f>'EarthQuake Base'!F30:H30</xm:f>
          </x14:formula1>
          <xm:sqref>B18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M640"/>
  <sheetViews>
    <sheetView showWhiteSpace="0" view="pageBreakPreview" topLeftCell="A4" zoomScale="85" zoomScaleNormal="96" zoomScaleSheetLayoutView="85" zoomScalePageLayoutView="78" workbookViewId="0">
      <selection activeCell="N31" sqref="N31"/>
    </sheetView>
  </sheetViews>
  <sheetFormatPr defaultColWidth="9" defaultRowHeight="15" customHeight="1"/>
  <cols>
    <col min="1" max="1" width="3.109375" style="461" customWidth="1"/>
    <col min="2" max="2" width="3.44140625" style="415" customWidth="1"/>
    <col min="3" max="3" width="13.109375" style="340" customWidth="1"/>
    <col min="4" max="4" width="15.6640625" style="340" customWidth="1"/>
    <col min="5" max="5" width="8.109375" style="340" customWidth="1"/>
    <col min="6" max="6" width="21.33203125" style="340" customWidth="1"/>
    <col min="7" max="7" width="11.33203125" style="340" customWidth="1"/>
    <col min="8" max="8" width="13.21875" style="340" customWidth="1"/>
    <col min="9" max="9" width="12.6640625" style="340" customWidth="1"/>
    <col min="10" max="10" width="11.33203125" style="340" customWidth="1"/>
    <col min="11" max="16384" width="9" style="340"/>
  </cols>
  <sheetData>
    <row r="1" spans="1:13" ht="26.25" customHeight="1">
      <c r="A1" s="457">
        <v>1</v>
      </c>
      <c r="B1" s="341"/>
      <c r="C1" s="1095" t="s">
        <v>2088</v>
      </c>
      <c r="D1" s="1096"/>
      <c r="E1" s="1096"/>
      <c r="F1" s="1096"/>
      <c r="G1" s="1096"/>
      <c r="H1" s="1096"/>
      <c r="I1" s="1096"/>
      <c r="J1" s="1097"/>
    </row>
    <row r="2" spans="1:13" ht="18" customHeight="1">
      <c r="A2" s="457">
        <v>1</v>
      </c>
      <c r="B2" s="341"/>
      <c r="C2" s="1098" t="str">
        <f>IF(Menu!$C$7="V","","LOADS AND ACTIONS ")</f>
        <v/>
      </c>
      <c r="D2" s="1099"/>
      <c r="E2" s="1099"/>
      <c r="F2" s="1099"/>
      <c r="G2" s="1099"/>
      <c r="H2" s="1099"/>
      <c r="I2" s="1099"/>
      <c r="J2" s="1100"/>
      <c r="M2" s="460" t="s">
        <v>2066</v>
      </c>
    </row>
    <row r="3" spans="1:13" ht="20.25" customHeight="1">
      <c r="A3" s="457">
        <v>1</v>
      </c>
      <c r="B3" s="341"/>
      <c r="C3" s="1101" t="str">
        <f>IF(Menu!$C$7="V","  Tĩnh tải và hoạt tải","Tĩnh tải và hoạt tải/Dead loads and Live loads ")</f>
        <v xml:space="preserve">  Tĩnh tải và hoạt tải</v>
      </c>
      <c r="D3" s="1102"/>
      <c r="E3" s="1102"/>
      <c r="F3" s="1102"/>
      <c r="G3" s="1102"/>
      <c r="H3" s="1102"/>
      <c r="I3" s="1102"/>
      <c r="J3" s="1103"/>
    </row>
    <row r="4" spans="1:13" ht="23.25" customHeight="1">
      <c r="A4" s="457">
        <v>1</v>
      </c>
      <c r="B4" s="341"/>
      <c r="C4" s="1104" t="str">
        <f>IF(Menu!$C$7="V","  Tiêu chuẩn áp dụng:","Tiêu chuẩn áp dụng/Standard in used: ")</f>
        <v xml:space="preserve">  Tiêu chuẩn áp dụng:</v>
      </c>
      <c r="D4" s="1104"/>
      <c r="E4" s="1104"/>
      <c r="F4" s="1104" t="str">
        <f>Menu!B9</f>
        <v>TCVN 2737:1995</v>
      </c>
      <c r="G4" s="1104"/>
      <c r="H4" s="1104"/>
      <c r="I4" s="1104"/>
      <c r="J4" s="1104"/>
      <c r="M4" s="460" t="s">
        <v>2065</v>
      </c>
    </row>
    <row r="5" spans="1:13" ht="15" customHeight="1">
      <c r="A5" s="457">
        <v>1</v>
      </c>
      <c r="B5" s="420" t="s">
        <v>1777</v>
      </c>
      <c r="C5" s="1063" t="str">
        <f>IF(Menu!$C$7="V","Thông tin chung","Thông tin chung/General Information")</f>
        <v>Thông tin chung</v>
      </c>
      <c r="D5" s="1063"/>
      <c r="E5" s="1063"/>
      <c r="F5" s="1063"/>
      <c r="G5" s="1063"/>
      <c r="H5" s="1063"/>
      <c r="I5" s="1063"/>
      <c r="J5" s="1063"/>
    </row>
    <row r="6" spans="1:13" ht="15" customHeight="1">
      <c r="A6" s="457">
        <v>1</v>
      </c>
      <c r="B6" s="414"/>
      <c r="C6" s="341" t="str">
        <f>IF(Menu!$C$7 =  "V","* Kích thước cấu kiện",IF(Menu!$C$7 =  "E", "* Size Structure","* Kích thước cấu kiện/ Size Structure"))</f>
        <v>* Kích thước cấu kiện</v>
      </c>
      <c r="D6" s="341"/>
      <c r="E6" s="342"/>
      <c r="F6" s="341"/>
      <c r="G6" s="341"/>
      <c r="H6" s="341" t="s">
        <v>1762</v>
      </c>
      <c r="I6" s="341"/>
      <c r="J6" s="341"/>
    </row>
    <row r="7" spans="1:13" ht="15" customHeight="1">
      <c r="A7" s="457">
        <v>1</v>
      </c>
      <c r="B7" s="414"/>
      <c r="C7" s="341" t="str">
        <f>IF(Menu!$C$7 =  "V","* Chiều dày",IF(Menu!$C$7 =  "E", "* Thickness","* Chiều dày/Thickness"))</f>
        <v>* Chiều dày</v>
      </c>
      <c r="D7" s="341"/>
      <c r="E7" s="343"/>
      <c r="F7" s="341"/>
      <c r="G7" s="416" t="s">
        <v>1772</v>
      </c>
      <c r="H7" s="341" t="s">
        <v>1762</v>
      </c>
      <c r="I7" s="341"/>
      <c r="J7" s="341"/>
    </row>
    <row r="8" spans="1:13" ht="15" customHeight="1">
      <c r="A8" s="457">
        <v>1</v>
      </c>
      <c r="B8" s="414"/>
      <c r="C8" s="341" t="str">
        <f>IF(Menu!$C$7 =  "V","* Trọng lượng riêng",IF(Menu!$C$7 =  "E", "* Density","* Trọng lượng riêng/Density"))</f>
        <v>* Trọng lượng riêng</v>
      </c>
      <c r="D8" s="341"/>
      <c r="E8" s="343"/>
      <c r="F8" s="341"/>
      <c r="G8" s="416" t="s">
        <v>1773</v>
      </c>
      <c r="H8" s="341" t="s">
        <v>1763</v>
      </c>
      <c r="I8" s="341"/>
      <c r="J8" s="341"/>
    </row>
    <row r="9" spans="1:13" ht="17.25" customHeight="1">
      <c r="A9" s="457">
        <v>1</v>
      </c>
      <c r="B9" s="414"/>
      <c r="C9" s="341" t="str">
        <f>IF(Menu!$C$7 =  "V","* Hệ số độ tin cậy ",IF(Menu!$C$7 =  "E", "* Safety factor ","* Hệ số độ tin cậy/ Safety factor "))</f>
        <v xml:space="preserve">* Hệ số độ tin cậy </v>
      </c>
      <c r="D9" s="341"/>
      <c r="E9" s="343"/>
      <c r="F9" s="341"/>
      <c r="G9" s="414" t="s">
        <v>1774</v>
      </c>
      <c r="H9" s="341"/>
      <c r="I9" s="341"/>
      <c r="J9" s="341"/>
    </row>
    <row r="10" spans="1:13" ht="23.25" customHeight="1">
      <c r="A10" s="457">
        <v>1</v>
      </c>
      <c r="B10" s="414"/>
      <c r="C10" s="341" t="str">
        <f>IF(Menu!$C$7 =  "V","* Hệ số giảm tải do lỗ mở ",IF(Menu!$C$7 =  "E", "* Load reducing factor due to opening ","* Hệ số giảm tải do lỗ mở/Load reducing factor due to opening: "))</f>
        <v xml:space="preserve">* Hệ số giảm tải do lỗ mở </v>
      </c>
      <c r="D10" s="341"/>
      <c r="E10" s="343"/>
      <c r="F10" s="341"/>
      <c r="G10" s="414" t="s">
        <v>2126</v>
      </c>
      <c r="H10" s="341"/>
      <c r="I10" s="341"/>
      <c r="J10" s="341"/>
    </row>
    <row r="11" spans="1:13" ht="15" customHeight="1">
      <c r="A11" s="457">
        <v>1</v>
      </c>
      <c r="B11" s="414"/>
      <c r="C11" s="342"/>
      <c r="D11" s="341"/>
      <c r="E11" s="343"/>
      <c r="F11" s="341"/>
      <c r="G11" s="414"/>
      <c r="H11" s="341"/>
      <c r="I11" s="341"/>
      <c r="J11" s="341"/>
    </row>
    <row r="12" spans="1:13" ht="15" customHeight="1">
      <c r="A12" s="457">
        <f t="shared" ref="A12:A124" si="0">IF(C12="","",1)</f>
        <v>1</v>
      </c>
      <c r="B12" s="414"/>
      <c r="C12" s="1067" t="str">
        <f>IF(Menu!$C$7 =  "V","Các loại tải trọng",IF(Menu!$C$7 =  "E", "Loads","Các loại tải trọng/Loads"))</f>
        <v>Các loại tải trọng</v>
      </c>
      <c r="D12" s="1067"/>
      <c r="E12" s="1068" t="str">
        <f>IF(Menu!$C$7 =  "V","Dạng",IF(Menu!$C$7 =  "E", "UpLoads","Dạng /uploads"))</f>
        <v>Dạng</v>
      </c>
      <c r="F12" s="1069"/>
      <c r="G12" s="1073" t="str">
        <f>IF(Menu!$C$7 =  "V","Tải tiêu chuẩn",IF(Menu!$C$7 =  "E", "Standard load","Tải tiêu chuẩn/Standard load"))</f>
        <v>Tải tiêu chuẩn</v>
      </c>
      <c r="H12" s="1074"/>
      <c r="I12" s="1075" t="str">
        <f>IF(Menu!$C$7 =  "V","Tải tính toán",IF(Menu!$C$7 =  "E", "Designed load","Tải tính toán/Designed load"))</f>
        <v>Tải tính toán</v>
      </c>
      <c r="J12" s="1076"/>
    </row>
    <row r="13" spans="1:13" ht="15" customHeight="1">
      <c r="A13" s="457">
        <v>1</v>
      </c>
      <c r="B13" s="414"/>
      <c r="C13" s="1067"/>
      <c r="D13" s="1067"/>
      <c r="E13" s="1070"/>
      <c r="F13" s="1071"/>
      <c r="G13" s="193" t="str">
        <f>IF(Menu!$C$7 = "V","Ký hiệu",IF(Menu!$C$7 = "E", "Sym.","Ký hiệu/Sym."))</f>
        <v>Ký hiệu</v>
      </c>
      <c r="H13" s="419" t="str">
        <f>IF(Menu!$C$7 =  "V","Đơn vị",IF(Menu!$C$7 =  "E", "Units","Đơn vị/Units"))</f>
        <v>Đơn vị</v>
      </c>
      <c r="I13" s="193" t="str">
        <f>IF(Menu!$C$7 =  "V","Ký hiệu",IF(Menu!$C$7 =  "E", "Sym.","Ký hiệu/Sym."))</f>
        <v>Ký hiệu</v>
      </c>
      <c r="J13" s="419" t="str">
        <f>IF(Menu!$C$7 =  "V","Đơn vị",IF(Menu!$C$7 =  "E", "Units","Đơn vị/Units"))</f>
        <v>Đơn vị</v>
      </c>
    </row>
    <row r="14" spans="1:13" ht="19.5">
      <c r="A14" s="457">
        <f t="shared" si="0"/>
        <v>1</v>
      </c>
      <c r="B14" s="414"/>
      <c r="C14" s="1066" t="str">
        <f>IF(Menu!$C$7 =  "V","Tĩnh tải",IF(Menu!$C$7 =  "E", "Dead loads","Tĩnh tải/Dead loads"))</f>
        <v>Tĩnh tải</v>
      </c>
      <c r="D14" s="1066"/>
      <c r="E14" s="1066" t="str">
        <f>IF(Menu!$C$7 =  "V","Phân bố",IF(Menu!$C$7 =  "E", "Surface ","Phân bố/Surface "))</f>
        <v>Phân bố</v>
      </c>
      <c r="F14" s="1066"/>
      <c r="G14" s="412" t="s">
        <v>1764</v>
      </c>
      <c r="H14" s="398" t="s">
        <v>1765</v>
      </c>
      <c r="I14" s="412" t="s">
        <v>1766</v>
      </c>
      <c r="J14" s="398" t="s">
        <v>1765</v>
      </c>
    </row>
    <row r="15" spans="1:13" ht="19.5">
      <c r="A15" s="457">
        <v>1</v>
      </c>
      <c r="B15" s="414"/>
      <c r="C15" s="1066"/>
      <c r="D15" s="1066"/>
      <c r="E15" s="1066" t="str">
        <f>IF(Menu!$C$7 =  "V","Tập trung",IF(Menu!$C$7 =  "E", "Concentrated","Tập trung/Concentrated"))</f>
        <v>Tập trung</v>
      </c>
      <c r="F15" s="1066"/>
      <c r="G15" s="412" t="s">
        <v>1767</v>
      </c>
      <c r="H15" s="413" t="s">
        <v>1748</v>
      </c>
      <c r="I15" s="412" t="s">
        <v>1768</v>
      </c>
      <c r="J15" s="413" t="s">
        <v>1748</v>
      </c>
    </row>
    <row r="16" spans="1:13" ht="19.5">
      <c r="A16" s="457">
        <f t="shared" si="0"/>
        <v>1</v>
      </c>
      <c r="B16" s="414"/>
      <c r="C16" s="1064" t="str">
        <f>IF(Menu!$C$7 =  "V","Hoạt tải",IF(Menu!$C$7 =  "E", "Live loads","Hoạt tải/Live loads"))</f>
        <v>Hoạt tải</v>
      </c>
      <c r="D16" s="1065"/>
      <c r="E16" s="1066" t="str">
        <f>IF(Menu!$C$7 =  "V","Phân bố",IF(Menu!$C$7 =  "E", "Surface ","Phân bố/Surface "))</f>
        <v>Phân bố</v>
      </c>
      <c r="F16" s="1066"/>
      <c r="G16" s="412" t="s">
        <v>1769</v>
      </c>
      <c r="H16" s="398" t="s">
        <v>1765</v>
      </c>
      <c r="I16" s="412" t="s">
        <v>1770</v>
      </c>
      <c r="J16" s="398" t="s">
        <v>1765</v>
      </c>
    </row>
    <row r="17" spans="1:13" ht="15" customHeight="1">
      <c r="A17" s="457">
        <v>1</v>
      </c>
      <c r="B17" s="414"/>
      <c r="C17" s="414"/>
      <c r="D17" s="414"/>
      <c r="E17" s="341"/>
      <c r="F17" s="341"/>
      <c r="G17" s="414"/>
      <c r="H17" s="414"/>
      <c r="I17" s="414"/>
      <c r="J17" s="414"/>
    </row>
    <row r="18" spans="1:13" ht="20.100000000000001" customHeight="1">
      <c r="A18" s="457">
        <f t="shared" si="0"/>
        <v>1</v>
      </c>
      <c r="B18" s="420" t="s">
        <v>1776</v>
      </c>
      <c r="C18" s="1072" t="str">
        <f>IF(Menu!$C$7 = "V","Tĩnh tải"," Tĩnh tải / Dead loads")</f>
        <v>Tĩnh tải</v>
      </c>
      <c r="D18" s="1072"/>
      <c r="E18" s="1072"/>
      <c r="F18" s="1072"/>
      <c r="G18" s="1072"/>
      <c r="H18" s="1072"/>
      <c r="I18" s="1072"/>
      <c r="J18" s="1072"/>
    </row>
    <row r="19" spans="1:13" ht="20.100000000000001" customHeight="1">
      <c r="A19" s="457">
        <f t="shared" si="0"/>
        <v>1</v>
      </c>
      <c r="B19" s="569" t="s">
        <v>1782</v>
      </c>
      <c r="C19" s="355" t="str">
        <f>IF(Menu!$C$7 = "V","Cầu thang bộ"," Cầu thang bộ/ Staircase")</f>
        <v>Cầu thang bộ</v>
      </c>
      <c r="D19" s="355"/>
      <c r="E19" s="355"/>
      <c r="F19" s="376" t="str">
        <f>IF(Menu!$C$7 = "V","Kích thước bậc thang","Kích thước bậc thang/size of stair step")</f>
        <v>Kích thước bậc thang</v>
      </c>
      <c r="G19" s="377"/>
      <c r="H19" s="341"/>
      <c r="I19" s="451">
        <f>Menu!$C$30</f>
        <v>150</v>
      </c>
      <c r="J19" s="451">
        <f>Menu!$C$31</f>
        <v>250</v>
      </c>
    </row>
    <row r="20" spans="1:13" ht="19.5">
      <c r="A20" s="457">
        <f t="shared" si="0"/>
        <v>1</v>
      </c>
      <c r="B20" s="414"/>
      <c r="C20" s="1050" t="str">
        <f>IF(Menu!$C$7 = "V","Các lớp vật liệu",IF(Menu!$C$7 =  "E", "Material's layers","Các lớp vật liệu/Material's layers"))</f>
        <v>Các lớp vật liệu</v>
      </c>
      <c r="D20" s="1051"/>
      <c r="E20" s="1052"/>
      <c r="F20" s="416" t="s">
        <v>875</v>
      </c>
      <c r="G20" s="410" t="s">
        <v>1753</v>
      </c>
      <c r="H20" s="1049" t="s">
        <v>1775</v>
      </c>
      <c r="I20" s="417" t="s">
        <v>1764</v>
      </c>
      <c r="J20" s="417" t="s">
        <v>1766</v>
      </c>
      <c r="M20" s="867"/>
    </row>
    <row r="21" spans="1:13" ht="19.5">
      <c r="A21" s="457">
        <v>1</v>
      </c>
      <c r="B21" s="414"/>
      <c r="C21" s="1053"/>
      <c r="D21" s="1054"/>
      <c r="E21" s="1055"/>
      <c r="F21" s="398" t="s">
        <v>1750</v>
      </c>
      <c r="G21" s="398" t="s">
        <v>1751</v>
      </c>
      <c r="H21" s="1042"/>
      <c r="I21" s="398" t="s">
        <v>1752</v>
      </c>
      <c r="J21" s="398" t="s">
        <v>1752</v>
      </c>
    </row>
    <row r="22" spans="1:13" ht="15" customHeight="1">
      <c r="A22" s="457">
        <f t="shared" si="0"/>
        <v>1</v>
      </c>
      <c r="B22" s="414"/>
      <c r="C22" s="1043" t="s">
        <v>2225</v>
      </c>
      <c r="D22" s="1044"/>
      <c r="E22" s="1045"/>
      <c r="F22" s="363">
        <f>IF(INDEX(cautao1,MATCH($C22,cautao2,0),2)&lt;&gt;"",INDEX(cautao1,MATCH($C22,cautao2,0),2),"")</f>
        <v>5</v>
      </c>
      <c r="G22" s="363">
        <f>INDEX(cautao1,MATCH($C22,cautao2,0),3)</f>
        <v>10</v>
      </c>
      <c r="H22" s="361">
        <f>INDEX(cautao1,MATCH($C22,cautao2,0),4)</f>
        <v>1.3</v>
      </c>
      <c r="I22" s="361">
        <f>IFERROR(F22*G22/1000,INDEX(cautao1,MATCH(C22,cautao2,0),5))</f>
        <v>0.05</v>
      </c>
      <c r="J22" s="361">
        <f>I22*H22</f>
        <v>6.5000000000000002E-2</v>
      </c>
    </row>
    <row r="23" spans="1:13" ht="15" customHeight="1">
      <c r="A23" s="457" t="str">
        <f t="shared" si="0"/>
        <v/>
      </c>
      <c r="B23" s="414"/>
      <c r="C23" s="1046" t="str">
        <f>IF(Menu!$C$7 = "V","",IF(INDEX(cautao1,MATCH(C22,cautao2,0),26)&lt;&gt;"",INDEX(cautao1,MATCH(C22,cautao2,0),26),""))</f>
        <v/>
      </c>
      <c r="D23" s="1047"/>
      <c r="E23" s="1048"/>
      <c r="F23" s="374"/>
      <c r="G23" s="362"/>
      <c r="H23" s="715"/>
      <c r="I23" s="362"/>
      <c r="J23" s="362"/>
    </row>
    <row r="24" spans="1:13" ht="15" customHeight="1">
      <c r="A24" s="457">
        <f t="shared" si="0"/>
        <v>1</v>
      </c>
      <c r="B24" s="414"/>
      <c r="C24" s="1043" t="s">
        <v>1661</v>
      </c>
      <c r="D24" s="1044"/>
      <c r="E24" s="1045"/>
      <c r="F24" s="363">
        <f>70+I19*J19/SQRT(I19^2+J19^2)/2</f>
        <v>134.31196942844082</v>
      </c>
      <c r="G24" s="363">
        <f>INDEX(cautao1,MATCH($C24,cautao2,0),3)</f>
        <v>18</v>
      </c>
      <c r="H24" s="361">
        <f>INDEX(cautao1,MATCH($C24,cautao2,0),4)</f>
        <v>1.1000000000000001</v>
      </c>
      <c r="I24" s="361">
        <f>IFERROR(F24*G24/1000,INDEX(cautao1,MATCH(C24,cautao2,0),5))</f>
        <v>2.4176154497119344</v>
      </c>
      <c r="J24" s="361">
        <f>I24*H24</f>
        <v>2.6593769946831283</v>
      </c>
    </row>
    <row r="25" spans="1:13" ht="15" customHeight="1">
      <c r="A25" s="457" t="str">
        <f t="shared" si="0"/>
        <v/>
      </c>
      <c r="B25" s="414"/>
      <c r="C25" s="1046" t="str">
        <f>IF(Menu!$C$7 = "V","",IF(INDEX(cautao1,MATCH(C24,cautao2,0),26)&lt;&gt;"",INDEX(cautao1,MATCH(C24,cautao2,0),26),""))</f>
        <v/>
      </c>
      <c r="D25" s="1047"/>
      <c r="E25" s="1048"/>
      <c r="F25" s="375"/>
      <c r="G25" s="362"/>
      <c r="H25" s="715"/>
      <c r="I25" s="362"/>
      <c r="J25" s="362"/>
    </row>
    <row r="26" spans="1:13" ht="15" customHeight="1">
      <c r="A26" s="457">
        <f t="shared" si="0"/>
        <v>1</v>
      </c>
      <c r="B26" s="414"/>
      <c r="C26" s="1043" t="s">
        <v>1816</v>
      </c>
      <c r="D26" s="1044"/>
      <c r="E26" s="1045"/>
      <c r="F26" s="363">
        <f>IF(INDEX(cautao1,MATCH($C26,cautao2,0),2)&lt;&gt;"",INDEX(cautao1,MATCH($C26,cautao2,0),2),"")</f>
        <v>35</v>
      </c>
      <c r="G26" s="363">
        <f>INDEX(cautao1,MATCH($C26,cautao2,0),3)</f>
        <v>18</v>
      </c>
      <c r="H26" s="361">
        <f>INDEX(cautao1,MATCH($C26,cautao2,0),4)</f>
        <v>1.3</v>
      </c>
      <c r="I26" s="361">
        <f>IFERROR(F26*G26/1000,INDEX(cautao1,MATCH(C26,cautao2,0),5))</f>
        <v>0.63</v>
      </c>
      <c r="J26" s="361">
        <f>I26*H26</f>
        <v>0.81900000000000006</v>
      </c>
    </row>
    <row r="27" spans="1:13" ht="15" customHeight="1">
      <c r="A27" s="457" t="str">
        <f t="shared" si="0"/>
        <v/>
      </c>
      <c r="B27" s="414"/>
      <c r="C27" s="1046" t="str">
        <f>IF(Menu!$C$7 = "V","",IF(INDEX(cautao1,MATCH(C26,cautao2,0),26)&lt;&gt;"",INDEX(cautao1,MATCH(C26,cautao2,0),26),""))</f>
        <v/>
      </c>
      <c r="D27" s="1047"/>
      <c r="E27" s="1048"/>
      <c r="F27" s="344"/>
      <c r="G27" s="344"/>
      <c r="H27" s="345"/>
      <c r="I27" s="362"/>
      <c r="J27" s="364"/>
    </row>
    <row r="28" spans="1:13" ht="18" customHeight="1">
      <c r="A28" s="457">
        <f t="shared" si="0"/>
        <v>1</v>
      </c>
      <c r="B28" s="414"/>
      <c r="C28" s="452" t="str">
        <f>IF(Menu!$C$7 = "V","Tổng tải trọng trên mặt nghiêng của thang","Tổng tải trọng trên mặt nghiêng của thang/ Total surface load  on inclined face of staircase's slab")</f>
        <v>Tổng tải trọng trên mặt nghiêng của thang</v>
      </c>
      <c r="D28" s="356"/>
      <c r="E28" s="356"/>
      <c r="F28" s="357"/>
      <c r="G28" s="357"/>
      <c r="H28" s="358"/>
      <c r="I28" s="358"/>
      <c r="J28" s="365">
        <f>SUM(J22:J27)</f>
        <v>3.5433769946831282</v>
      </c>
      <c r="L28" s="340">
        <f>1.7*1.1</f>
        <v>1.87</v>
      </c>
    </row>
    <row r="29" spans="1:13" ht="18.75" customHeight="1">
      <c r="A29" s="457">
        <v>1</v>
      </c>
      <c r="B29" s="414"/>
      <c r="C29" s="387"/>
      <c r="D29" s="388"/>
      <c r="E29" s="388"/>
      <c r="F29" s="388"/>
      <c r="G29" s="848" t="str">
        <f>IF(Menu!$C$7 = "V","Hệ số quy đổi","Hệ số quy đổi/Converting factor")</f>
        <v>Hệ số quy đổi</v>
      </c>
      <c r="H29" s="388"/>
      <c r="I29" s="388"/>
      <c r="J29" s="389">
        <f>SQRT(I19^2+J19^2)/J19</f>
        <v>1.16619037896906</v>
      </c>
    </row>
    <row r="30" spans="1:13" ht="15" customHeight="1">
      <c r="A30" s="457">
        <f t="shared" si="0"/>
        <v>1</v>
      </c>
      <c r="B30" s="414"/>
      <c r="C30" s="351" t="str">
        <f>IF(Menu!$C$7 = "V","Tổng tải trọng quy đổi về mặt phẳng","Tổng tải trọng quy đổi về mặt phẳng/ Total surface load converting to horizontal plan")</f>
        <v>Tổng tải trọng quy đổi về mặt phẳng</v>
      </c>
      <c r="D30" s="348"/>
      <c r="E30" s="348"/>
      <c r="F30" s="349"/>
      <c r="G30" s="349"/>
      <c r="H30" s="350"/>
      <c r="I30" s="350"/>
      <c r="J30" s="365">
        <f>J28*J29</f>
        <v>4.1322521602597657</v>
      </c>
    </row>
    <row r="31" spans="1:13" ht="15" customHeight="1">
      <c r="A31" s="457">
        <v>1</v>
      </c>
      <c r="B31" s="414"/>
      <c r="C31" s="368"/>
      <c r="D31" s="341"/>
      <c r="E31" s="341"/>
      <c r="F31" s="341"/>
      <c r="G31" s="341"/>
      <c r="H31" s="341"/>
      <c r="I31" s="341"/>
      <c r="J31" s="341"/>
    </row>
    <row r="32" spans="1:13" ht="20.100000000000001" customHeight="1">
      <c r="A32" s="457">
        <f t="shared" ref="A32:A33" si="1">IF(C32="","",1)</f>
        <v>1</v>
      </c>
      <c r="B32" s="569" t="s">
        <v>1783</v>
      </c>
      <c r="C32" s="424" t="str">
        <f>IF(Menu!$C$7 = "V","Khu vực sàn tầng hầm"," Khu vực sàn tầng hầm/ Common area basement")</f>
        <v>Khu vực sàn tầng hầm</v>
      </c>
      <c r="D32" s="355"/>
      <c r="E32" s="355"/>
      <c r="F32" s="355"/>
      <c r="G32" s="355"/>
      <c r="H32" s="355"/>
      <c r="I32" s="355"/>
      <c r="J32" s="355"/>
    </row>
    <row r="33" spans="1:10" ht="19.5">
      <c r="A33" s="457">
        <f t="shared" si="1"/>
        <v>1</v>
      </c>
      <c r="B33" s="414"/>
      <c r="C33" s="1050" t="str">
        <f>IF(Menu!$C$7 = "V","Các lớp vật liệu",IF(Menu!$C$7 =  "E", "Material's layers","Các lớp vật liệu/Material's layers"))</f>
        <v>Các lớp vật liệu</v>
      </c>
      <c r="D33" s="1051"/>
      <c r="E33" s="1052"/>
      <c r="F33" s="416" t="s">
        <v>875</v>
      </c>
      <c r="G33" s="410" t="s">
        <v>1753</v>
      </c>
      <c r="H33" s="1049" t="s">
        <v>1775</v>
      </c>
      <c r="I33" s="417" t="s">
        <v>1764</v>
      </c>
      <c r="J33" s="417" t="s">
        <v>1766</v>
      </c>
    </row>
    <row r="34" spans="1:10" ht="19.5">
      <c r="A34" s="457">
        <v>1</v>
      </c>
      <c r="B34" s="414"/>
      <c r="C34" s="1053"/>
      <c r="D34" s="1054"/>
      <c r="E34" s="1055"/>
      <c r="F34" s="398" t="s">
        <v>1750</v>
      </c>
      <c r="G34" s="398" t="s">
        <v>1751</v>
      </c>
      <c r="H34" s="1042"/>
      <c r="I34" s="398" t="s">
        <v>1752</v>
      </c>
      <c r="J34" s="398" t="s">
        <v>1752</v>
      </c>
    </row>
    <row r="35" spans="1:10" ht="15" customHeight="1">
      <c r="A35" s="457">
        <f t="shared" ref="A35:A39" si="2">IF(C35="","",1)</f>
        <v>1</v>
      </c>
      <c r="B35" s="414"/>
      <c r="C35" s="1043" t="s">
        <v>2225</v>
      </c>
      <c r="D35" s="1044"/>
      <c r="E35" s="1045"/>
      <c r="F35" s="363">
        <f>IF(INDEX(cautao1,MATCH($C35,cautao2,0),2)&lt;&gt;"",INDEX(cautao1,MATCH($C35,cautao2,0),2),"")</f>
        <v>5</v>
      </c>
      <c r="G35" s="363">
        <f>INDEX(cautao1,MATCH($C35,cautao2,0),3)</f>
        <v>10</v>
      </c>
      <c r="H35" s="361">
        <f>INDEX(cautao1,MATCH($C35,cautao2,0),4)</f>
        <v>1.3</v>
      </c>
      <c r="I35" s="361">
        <f>IFERROR(F35*G35/1000,INDEX(cautao1,MATCH(C35,cautao2,0),5))</f>
        <v>0.05</v>
      </c>
      <c r="J35" s="361">
        <f>I35*H35</f>
        <v>6.5000000000000002E-2</v>
      </c>
    </row>
    <row r="36" spans="1:10" ht="15" customHeight="1">
      <c r="A36" s="457" t="str">
        <f t="shared" si="2"/>
        <v/>
      </c>
      <c r="B36" s="414"/>
      <c r="C36" s="1046" t="str">
        <f>IF(Menu!$C$7 = "V","",IF(INDEX(cautao1,MATCH(C35,cautao2,0),26)&lt;&gt;"",INDEX(cautao1,MATCH(C35,cautao2,0),26),""))</f>
        <v/>
      </c>
      <c r="D36" s="1047"/>
      <c r="E36" s="1048"/>
      <c r="F36" s="375"/>
      <c r="G36" s="362"/>
      <c r="H36" s="715"/>
      <c r="I36" s="366"/>
      <c r="J36" s="367"/>
    </row>
    <row r="37" spans="1:10" ht="15" customHeight="1">
      <c r="A37" s="457">
        <f t="shared" si="2"/>
        <v>1</v>
      </c>
      <c r="B37" s="414"/>
      <c r="C37" s="1043" t="s">
        <v>2229</v>
      </c>
      <c r="D37" s="1044"/>
      <c r="E37" s="1045"/>
      <c r="F37" s="363" t="str">
        <f>IF(INDEX(cautao1,MATCH($C37,cautao2,0),2)&lt;&gt;"",INDEX(cautao1,MATCH($C37,cautao2,0),2),"")</f>
        <v/>
      </c>
      <c r="G37" s="363" t="str">
        <f>INDEX(cautao1,MATCH($C37,cautao2,0),3)</f>
        <v/>
      </c>
      <c r="H37" s="361">
        <f>INDEX(cautao1,MATCH($C37,cautao2,0),4)</f>
        <v>1.3</v>
      </c>
      <c r="I37" s="361">
        <f>IFERROR(F37*G37/1000,INDEX(cautao1,MATCH(C37,cautao2,0),5))</f>
        <v>0.75</v>
      </c>
      <c r="J37" s="361">
        <f>I37*H37</f>
        <v>0.97500000000000009</v>
      </c>
    </row>
    <row r="38" spans="1:10" ht="15" customHeight="1">
      <c r="A38" s="457" t="str">
        <f t="shared" si="2"/>
        <v/>
      </c>
      <c r="B38" s="414"/>
      <c r="C38" s="1046" t="str">
        <f>IF(Menu!$C$7 = "V","",IF(INDEX(cautao1,MATCH(C37,cautao2,0),26)&lt;&gt;"",INDEX(cautao1,MATCH(C37,cautao2,0),26),""))</f>
        <v/>
      </c>
      <c r="D38" s="1047"/>
      <c r="E38" s="1048"/>
      <c r="F38" s="344"/>
      <c r="G38" s="362"/>
      <c r="H38" s="715"/>
      <c r="I38" s="346"/>
      <c r="J38" s="362"/>
    </row>
    <row r="39" spans="1:10" ht="15" customHeight="1">
      <c r="A39" s="457">
        <f t="shared" si="2"/>
        <v>1</v>
      </c>
      <c r="B39" s="414"/>
      <c r="C39" s="353" t="str">
        <f>IF(Menu!$C$7 = "V","Tổng tải trọng phân bố trên sàn"," Tổng tải trọng phân bố trên sàn/ Total surface load on slab")</f>
        <v>Tổng tải trọng phân bố trên sàn</v>
      </c>
      <c r="D39" s="348"/>
      <c r="E39" s="348"/>
      <c r="F39" s="352"/>
      <c r="G39" s="352"/>
      <c r="H39" s="352"/>
      <c r="I39" s="352"/>
      <c r="J39" s="365">
        <f>SUM(J35:J38)</f>
        <v>1.04</v>
      </c>
    </row>
    <row r="40" spans="1:10" ht="20.100000000000001" customHeight="1">
      <c r="A40" s="457">
        <f>IF(C40="","",1)</f>
        <v>1</v>
      </c>
      <c r="B40" s="569" t="s">
        <v>1809</v>
      </c>
      <c r="C40" s="355" t="str">
        <f>IF(Menu!$C$7 = "V","Sân đường ngoài nhà trải nhựa","Sân đường ngoài nhà trải nhựa/ Outdoor asphalted ground")</f>
        <v>Sân đường ngoài nhà trải nhựa</v>
      </c>
      <c r="D40" s="355"/>
      <c r="E40" s="355"/>
      <c r="F40" s="355"/>
      <c r="G40" s="355"/>
      <c r="H40" s="355"/>
      <c r="I40" s="355"/>
      <c r="J40" s="355"/>
    </row>
    <row r="41" spans="1:10" ht="20.100000000000001" customHeight="1">
      <c r="A41" s="457">
        <f t="shared" ref="A41" si="3">IF(C41="","",1)</f>
        <v>1</v>
      </c>
      <c r="B41" s="414"/>
      <c r="C41" s="1050" t="str">
        <f>IF(Menu!$C$7 = "V","Các lớp vật liệu",IF(Menu!$C$7 ="E", "Material's layers","Các lớp vật liệu/Material's layers"))</f>
        <v>Các lớp vật liệu</v>
      </c>
      <c r="D41" s="1051"/>
      <c r="E41" s="1052"/>
      <c r="F41" s="416" t="s">
        <v>875</v>
      </c>
      <c r="G41" s="410" t="s">
        <v>1753</v>
      </c>
      <c r="H41" s="1049" t="s">
        <v>1775</v>
      </c>
      <c r="I41" s="417" t="s">
        <v>1764</v>
      </c>
      <c r="J41" s="417" t="s">
        <v>1766</v>
      </c>
    </row>
    <row r="42" spans="1:10" ht="19.5">
      <c r="A42" s="457">
        <v>1</v>
      </c>
      <c r="B42" s="414"/>
      <c r="C42" s="1053"/>
      <c r="D42" s="1054"/>
      <c r="E42" s="1055"/>
      <c r="F42" s="398" t="s">
        <v>1750</v>
      </c>
      <c r="G42" s="398" t="s">
        <v>1751</v>
      </c>
      <c r="H42" s="1042"/>
      <c r="I42" s="398" t="s">
        <v>1752</v>
      </c>
      <c r="J42" s="398" t="s">
        <v>1752</v>
      </c>
    </row>
    <row r="43" spans="1:10" ht="15" customHeight="1">
      <c r="A43" s="457">
        <f t="shared" ref="A43:A51" si="4">IF(C43="","",1)</f>
        <v>1</v>
      </c>
      <c r="B43" s="414"/>
      <c r="C43" s="1043" t="s">
        <v>1663</v>
      </c>
      <c r="D43" s="1044"/>
      <c r="E43" s="1045"/>
      <c r="F43" s="363">
        <f>IF(INDEX(cautao1,MATCH($C43,cautao2,0),2)&lt;&gt;"",INDEX(cautao1,MATCH($C43,cautao2,0),2),"")</f>
        <v>900</v>
      </c>
      <c r="G43" s="363">
        <f>INDEX(cautao1,MATCH($C43,cautao2,0),3)</f>
        <v>20</v>
      </c>
      <c r="H43" s="361">
        <f>INDEX(cautao1,MATCH($C43,cautao2,0),4)</f>
        <v>1.3</v>
      </c>
      <c r="I43" s="361">
        <f>IFERROR(F43*G43/1000,INDEX(cautao1,MATCH(C43,cautao2,0),5))</f>
        <v>18</v>
      </c>
      <c r="J43" s="361">
        <f>I43*H43</f>
        <v>23.400000000000002</v>
      </c>
    </row>
    <row r="44" spans="1:10" ht="15" customHeight="1">
      <c r="A44" s="457" t="str">
        <f t="shared" si="4"/>
        <v/>
      </c>
      <c r="B44" s="414"/>
      <c r="C44" s="1046" t="str">
        <f>IF(Menu!$C$7 = "V","",IF(INDEX(cautao1,MATCH(C43,cautao2,0),26)&lt;&gt;"",INDEX(cautao1,MATCH(C43,cautao2,0),26),""))</f>
        <v/>
      </c>
      <c r="D44" s="1047"/>
      <c r="E44" s="1048"/>
      <c r="F44" s="362"/>
      <c r="G44" s="362"/>
      <c r="H44" s="715"/>
      <c r="I44" s="366"/>
      <c r="J44" s="367"/>
    </row>
    <row r="45" spans="1:10" ht="15" customHeight="1">
      <c r="A45" s="457">
        <f t="shared" si="4"/>
        <v>1</v>
      </c>
      <c r="B45" s="414"/>
      <c r="C45" s="1043" t="s">
        <v>1657</v>
      </c>
      <c r="D45" s="1044"/>
      <c r="E45" s="1045"/>
      <c r="F45" s="363">
        <f>IF(INDEX(cautao1,MATCH($C45,cautao2,0),2)&lt;&gt;"",INDEX(cautao1,MATCH($C45,cautao2,0),2),"")</f>
        <v>20</v>
      </c>
      <c r="G45" s="363">
        <f>INDEX(cautao1,MATCH($C45,cautao2,0),3)</f>
        <v>10</v>
      </c>
      <c r="H45" s="361">
        <f>INDEX(cautao1,MATCH($C45,cautao2,0),4)</f>
        <v>1.3</v>
      </c>
      <c r="I45" s="361">
        <f>IFERROR(F45*G45/1000,INDEX(cautao1,MATCH(C45,cautao2,0),5))</f>
        <v>0.2</v>
      </c>
      <c r="J45" s="361">
        <f>I45*H45</f>
        <v>0.26</v>
      </c>
    </row>
    <row r="46" spans="1:10" ht="15" customHeight="1">
      <c r="A46" s="457" t="str">
        <f t="shared" si="4"/>
        <v/>
      </c>
      <c r="B46" s="414"/>
      <c r="C46" s="1046" t="str">
        <f>IF(Menu!$C$7 = "V","",IF(INDEX(cautao1,MATCH(C45,cautao2,0),26)&lt;&gt;"",INDEX(cautao1,MATCH(C45,cautao2,0),26),""))</f>
        <v/>
      </c>
      <c r="D46" s="1047"/>
      <c r="E46" s="1048"/>
      <c r="F46" s="362"/>
      <c r="G46" s="362"/>
      <c r="H46" s="715"/>
      <c r="I46" s="366"/>
      <c r="J46" s="367"/>
    </row>
    <row r="47" spans="1:10" ht="15" customHeight="1">
      <c r="A47" s="457">
        <f t="shared" si="4"/>
        <v>1</v>
      </c>
      <c r="B47" s="414"/>
      <c r="C47" s="1043" t="s">
        <v>1816</v>
      </c>
      <c r="D47" s="1044"/>
      <c r="E47" s="1045"/>
      <c r="F47" s="363">
        <f>IF(INDEX(cautao1,MATCH($C47,cautao2,0),2)&lt;&gt;"",INDEX(cautao1,MATCH($C47,cautao2,0),2),"")</f>
        <v>35</v>
      </c>
      <c r="G47" s="363">
        <f>INDEX(cautao1,MATCH($C47,cautao2,0),3)</f>
        <v>18</v>
      </c>
      <c r="H47" s="361">
        <f>INDEX(cautao1,MATCH($C47,cautao2,0),4)</f>
        <v>1.3</v>
      </c>
      <c r="I47" s="361">
        <f>IFERROR(F47*G47/1000,INDEX(cautao1,MATCH(C47,cautao2,0),5))</f>
        <v>0.63</v>
      </c>
      <c r="J47" s="361">
        <f>I47*H47</f>
        <v>0.81900000000000006</v>
      </c>
    </row>
    <row r="48" spans="1:10" ht="15" customHeight="1">
      <c r="A48" s="457" t="str">
        <f t="shared" si="4"/>
        <v/>
      </c>
      <c r="B48" s="414"/>
      <c r="C48" s="1046" t="str">
        <f>IF(Menu!$C$7 = "V","",IF(INDEX(cautao1,MATCH(C47,cautao2,0),26)&lt;&gt;"",INDEX(cautao1,MATCH(C47,cautao2,0),26),""))</f>
        <v/>
      </c>
      <c r="D48" s="1047"/>
      <c r="E48" s="1048"/>
      <c r="F48" s="375"/>
      <c r="G48" s="362"/>
      <c r="H48" s="715"/>
      <c r="I48" s="366"/>
      <c r="J48" s="367"/>
    </row>
    <row r="49" spans="1:10" ht="15" customHeight="1">
      <c r="A49" s="457">
        <f t="shared" si="4"/>
        <v>1</v>
      </c>
      <c r="B49" s="414"/>
      <c r="C49" s="1043" t="s">
        <v>1817</v>
      </c>
      <c r="D49" s="1044"/>
      <c r="E49" s="1045"/>
      <c r="F49" s="363" t="str">
        <f>IF(INDEX(cautao1,MATCH($C49,cautao2,0),2)&lt;&gt;"",INDEX(cautao1,MATCH($C49,cautao2,0),2),"")</f>
        <v/>
      </c>
      <c r="G49" s="363" t="str">
        <f>INDEX(cautao1,MATCH($C49,cautao2,0),3)</f>
        <v/>
      </c>
      <c r="H49" s="361">
        <f>INDEX(cautao1,MATCH($C49,cautao2,0),4)</f>
        <v>1.2</v>
      </c>
      <c r="I49" s="361">
        <f>IFERROR(F49*G49/1000,INDEX(cautao1,MATCH(C49,cautao2,0),5))</f>
        <v>0.3</v>
      </c>
      <c r="J49" s="361">
        <f>I49*H49</f>
        <v>0.36</v>
      </c>
    </row>
    <row r="50" spans="1:10" ht="15" customHeight="1">
      <c r="A50" s="457" t="str">
        <f t="shared" si="4"/>
        <v/>
      </c>
      <c r="B50" s="414"/>
      <c r="C50" s="1046" t="str">
        <f>IF(Menu!$C$7 = "V","",IF(INDEX(cautao1,MATCH(C49,cautao2,0),26)&lt;&gt;"",INDEX(cautao1,MATCH(C49,cautao2,0),26),""))</f>
        <v/>
      </c>
      <c r="D50" s="1047"/>
      <c r="E50" s="1048"/>
      <c r="F50" s="375"/>
      <c r="G50" s="362"/>
      <c r="H50" s="715"/>
      <c r="I50" s="366"/>
      <c r="J50" s="367"/>
    </row>
    <row r="51" spans="1:10" ht="15" customHeight="1">
      <c r="A51" s="457">
        <f t="shared" si="4"/>
        <v>1</v>
      </c>
      <c r="B51" s="414"/>
      <c r="C51" s="347" t="str">
        <f>IF(Menu!$C$7 = "V","Tổng tải trọng phân bố"," Tổng tải trọng phân bố/ Total surface load")</f>
        <v>Tổng tải trọng phân bố</v>
      </c>
      <c r="D51" s="354"/>
      <c r="E51" s="354"/>
      <c r="F51" s="352"/>
      <c r="G51" s="352"/>
      <c r="H51" s="352"/>
      <c r="I51" s="360"/>
      <c r="J51" s="365">
        <f>SUM(J43:J50)</f>
        <v>24.839000000000002</v>
      </c>
    </row>
    <row r="52" spans="1:10" ht="20.100000000000001" customHeight="1">
      <c r="A52" s="457">
        <f>IF(C52="","",1)</f>
        <v>1</v>
      </c>
      <c r="B52" s="569" t="s">
        <v>1810</v>
      </c>
      <c r="C52" s="355" t="str">
        <f>IF(Menu!$C$7 = "V","Khu vực đáy bể bơi","Khu vực đáy bể bơi/ Common area bottom swimming pool")</f>
        <v>Khu vực đáy bể bơi</v>
      </c>
      <c r="D52" s="355"/>
      <c r="E52" s="355"/>
      <c r="F52" s="355"/>
      <c r="G52" s="355"/>
      <c r="H52" s="355"/>
      <c r="I52" s="355"/>
      <c r="J52" s="355"/>
    </row>
    <row r="53" spans="1:10" ht="20.100000000000001" customHeight="1">
      <c r="A53" s="457">
        <f t="shared" ref="A53" si="5">IF(C53="","",1)</f>
        <v>1</v>
      </c>
      <c r="B53" s="414"/>
      <c r="C53" s="1050" t="str">
        <f>IF(Menu!$C$7 = "V","Các lớp vật liệu",IF(Menu!$C$7 ="E", "Material's layers","Các lớp vật liệu/Material's layers"))</f>
        <v>Các lớp vật liệu</v>
      </c>
      <c r="D53" s="1051"/>
      <c r="E53" s="1052"/>
      <c r="F53" s="416" t="s">
        <v>875</v>
      </c>
      <c r="G53" s="410" t="s">
        <v>1753</v>
      </c>
      <c r="H53" s="1049" t="s">
        <v>1775</v>
      </c>
      <c r="I53" s="417" t="s">
        <v>1764</v>
      </c>
      <c r="J53" s="417" t="s">
        <v>1766</v>
      </c>
    </row>
    <row r="54" spans="1:10" ht="19.5">
      <c r="A54" s="457">
        <v>1</v>
      </c>
      <c r="B54" s="414"/>
      <c r="C54" s="1053"/>
      <c r="D54" s="1054"/>
      <c r="E54" s="1055"/>
      <c r="F54" s="398" t="s">
        <v>1750</v>
      </c>
      <c r="G54" s="398" t="s">
        <v>1751</v>
      </c>
      <c r="H54" s="1042"/>
      <c r="I54" s="398" t="s">
        <v>1752</v>
      </c>
      <c r="J54" s="398" t="s">
        <v>1752</v>
      </c>
    </row>
    <row r="55" spans="1:10" ht="15" customHeight="1">
      <c r="A55" s="457">
        <f t="shared" ref="A55:A61" si="6">IF(C55="","",1)</f>
        <v>1</v>
      </c>
      <c r="B55" s="414"/>
      <c r="C55" s="1043" t="s">
        <v>2333</v>
      </c>
      <c r="D55" s="1044"/>
      <c r="E55" s="1045"/>
      <c r="F55" s="363">
        <f>IF(INDEX(cautao1,MATCH($C55,cautao2,0),2)&lt;&gt;"",INDEX(cautao1,MATCH($C55,cautao2,0),2),"")</f>
        <v>200</v>
      </c>
      <c r="G55" s="363">
        <f>INDEX(cautao1,MATCH($C55,cautao2,0),3)</f>
        <v>25</v>
      </c>
      <c r="H55" s="361">
        <f>INDEX(cautao1,MATCH($C55,cautao2,0),4)</f>
        <v>1.1000000000000001</v>
      </c>
      <c r="I55" s="361">
        <f>IFERROR(F55*G55/1000,INDEX(cautao1,MATCH(C55,cautao2,0),5))</f>
        <v>5</v>
      </c>
      <c r="J55" s="361">
        <f>I55*H55</f>
        <v>5.5</v>
      </c>
    </row>
    <row r="56" spans="1:10" ht="15" customHeight="1">
      <c r="A56" s="457" t="str">
        <f t="shared" si="6"/>
        <v/>
      </c>
      <c r="B56" s="414"/>
      <c r="C56" s="1046" t="str">
        <f>IF(Menu!$C$7 = "V","",IF(INDEX(cautao1,MATCH(C55,cautao2,0),26)&lt;&gt;"",INDEX(cautao1,MATCH(C55,cautao2,0),26),""))</f>
        <v/>
      </c>
      <c r="D56" s="1047"/>
      <c r="E56" s="1048"/>
      <c r="F56" s="362"/>
      <c r="G56" s="362"/>
      <c r="H56" s="715"/>
      <c r="I56" s="366"/>
      <c r="J56" s="367"/>
    </row>
    <row r="57" spans="1:10" ht="15" customHeight="1">
      <c r="A57" s="457">
        <f t="shared" si="6"/>
        <v>1</v>
      </c>
      <c r="B57" s="414"/>
      <c r="C57" s="1043" t="s">
        <v>1657</v>
      </c>
      <c r="D57" s="1044"/>
      <c r="E57" s="1045"/>
      <c r="F57" s="363">
        <f>IF(INDEX(cautao1,MATCH($C57,cautao2,0),2)&lt;&gt;"",INDEX(cautao1,MATCH($C57,cautao2,0),2),"")</f>
        <v>20</v>
      </c>
      <c r="G57" s="363">
        <f>INDEX(cautao1,MATCH($C57,cautao2,0),3)</f>
        <v>10</v>
      </c>
      <c r="H57" s="361">
        <f>INDEX(cautao1,MATCH($C57,cautao2,0),4)</f>
        <v>1.3</v>
      </c>
      <c r="I57" s="361">
        <f>IFERROR(F57*G57/1000,INDEX(cautao1,MATCH(C57,cautao2,0),5))</f>
        <v>0.2</v>
      </c>
      <c r="J57" s="361">
        <f>I57*H57</f>
        <v>0.26</v>
      </c>
    </row>
    <row r="58" spans="1:10" ht="15" customHeight="1">
      <c r="A58" s="457" t="str">
        <f t="shared" si="6"/>
        <v/>
      </c>
      <c r="B58" s="414"/>
      <c r="C58" s="1046" t="str">
        <f>IF(Menu!$C$7 = "V","",IF(INDEX(cautao1,MATCH(C57,cautao2,0),26)&lt;&gt;"",INDEX(cautao1,MATCH(C57,cautao2,0),26),""))</f>
        <v/>
      </c>
      <c r="D58" s="1047"/>
      <c r="E58" s="1048"/>
      <c r="F58" s="362"/>
      <c r="G58" s="362"/>
      <c r="H58" s="715"/>
      <c r="I58" s="366"/>
      <c r="J58" s="367"/>
    </row>
    <row r="59" spans="1:10" ht="15" customHeight="1">
      <c r="A59" s="457">
        <f t="shared" ref="A59:A60" si="7">IF(C59="","",1)</f>
        <v>1</v>
      </c>
      <c r="B59" s="414"/>
      <c r="C59" s="1043" t="s">
        <v>1816</v>
      </c>
      <c r="D59" s="1044"/>
      <c r="E59" s="1045"/>
      <c r="F59" s="363">
        <f>IF(INDEX(cautao1,MATCH($C59,cautao2,0),2)&lt;&gt;"",INDEX(cautao1,MATCH($C59,cautao2,0),2),"")</f>
        <v>35</v>
      </c>
      <c r="G59" s="363">
        <f>INDEX(cautao1,MATCH($C59,cautao2,0),3)</f>
        <v>18</v>
      </c>
      <c r="H59" s="361">
        <f>INDEX(cautao1,MATCH($C59,cautao2,0),4)</f>
        <v>1.3</v>
      </c>
      <c r="I59" s="361">
        <f>IFERROR(F59*G59/1000,INDEX(cautao1,MATCH(C59,cautao2,0),5))</f>
        <v>0.63</v>
      </c>
      <c r="J59" s="361">
        <f>I59*H59</f>
        <v>0.81900000000000006</v>
      </c>
    </row>
    <row r="60" spans="1:10" ht="15" customHeight="1">
      <c r="A60" s="457" t="str">
        <f t="shared" si="7"/>
        <v/>
      </c>
      <c r="B60" s="414"/>
      <c r="C60" s="1046" t="str">
        <f>IF(Menu!$C$7 = "V","",IF(INDEX(cautao1,MATCH(C59,cautao2,0),26)&lt;&gt;"",INDEX(cautao1,MATCH(C59,cautao2,0),26),""))</f>
        <v/>
      </c>
      <c r="D60" s="1047"/>
      <c r="E60" s="1048"/>
      <c r="F60" s="375"/>
      <c r="G60" s="362"/>
      <c r="H60" s="715"/>
      <c r="I60" s="366"/>
      <c r="J60" s="367"/>
    </row>
    <row r="61" spans="1:10" ht="15" customHeight="1">
      <c r="A61" s="457">
        <f t="shared" si="6"/>
        <v>1</v>
      </c>
      <c r="B61" s="414"/>
      <c r="C61" s="347" t="str">
        <f>IF(Menu!$C$7 = "V","Tổng tải trọng phân bố"," Tổng tải trọng phân bố/ Total surface load")</f>
        <v>Tổng tải trọng phân bố</v>
      </c>
      <c r="D61" s="354"/>
      <c r="E61" s="354"/>
      <c r="F61" s="352"/>
      <c r="G61" s="352"/>
      <c r="H61" s="352"/>
      <c r="I61" s="360"/>
      <c r="J61" s="365">
        <f>SUM(J55:J60)</f>
        <v>6.5789999999999997</v>
      </c>
    </row>
    <row r="62" spans="1:10" ht="20.100000000000001" customHeight="1">
      <c r="A62" s="457">
        <f>IF(C62="","",1)</f>
        <v>1</v>
      </c>
      <c r="B62" s="569" t="s">
        <v>1811</v>
      </c>
      <c r="C62" s="355" t="str">
        <f>IF(Menu!$C$7 = "V","Khu vực nắp bể bơi","Khu vực nắp bể bơi/ Common area top swimming pool")</f>
        <v>Khu vực nắp bể bơi</v>
      </c>
      <c r="D62" s="355"/>
      <c r="E62" s="355"/>
      <c r="F62" s="355"/>
      <c r="G62" s="355"/>
      <c r="H62" s="355"/>
      <c r="I62" s="355"/>
      <c r="J62" s="355"/>
    </row>
    <row r="63" spans="1:10" ht="20.100000000000001" customHeight="1">
      <c r="A63" s="457">
        <f t="shared" ref="A63" si="8">IF(C63="","",1)</f>
        <v>1</v>
      </c>
      <c r="B63" s="414"/>
      <c r="C63" s="1050" t="str">
        <f>IF(Menu!$C$7 = "V","Các lớp vật liệu",IF(Menu!$C$7 ="E", "Material's layers","Các lớp vật liệu/Material's layers"))</f>
        <v>Các lớp vật liệu</v>
      </c>
      <c r="D63" s="1051"/>
      <c r="E63" s="1052"/>
      <c r="F63" s="416" t="s">
        <v>875</v>
      </c>
      <c r="G63" s="410" t="s">
        <v>1753</v>
      </c>
      <c r="H63" s="1049" t="s">
        <v>1775</v>
      </c>
      <c r="I63" s="417" t="s">
        <v>1764</v>
      </c>
      <c r="J63" s="417" t="s">
        <v>1766</v>
      </c>
    </row>
    <row r="64" spans="1:10" ht="19.5">
      <c r="A64" s="457">
        <v>1</v>
      </c>
      <c r="B64" s="414"/>
      <c r="C64" s="1053"/>
      <c r="D64" s="1054"/>
      <c r="E64" s="1055"/>
      <c r="F64" s="398" t="s">
        <v>1750</v>
      </c>
      <c r="G64" s="398" t="s">
        <v>1751</v>
      </c>
      <c r="H64" s="1042"/>
      <c r="I64" s="398" t="s">
        <v>1752</v>
      </c>
      <c r="J64" s="398" t="s">
        <v>1752</v>
      </c>
    </row>
    <row r="65" spans="1:10" ht="15" customHeight="1">
      <c r="A65" s="457">
        <f t="shared" ref="A65:A71" si="9">IF(C65="","",1)</f>
        <v>1</v>
      </c>
      <c r="B65" s="414"/>
      <c r="C65" s="1043" t="s">
        <v>2334</v>
      </c>
      <c r="D65" s="1044"/>
      <c r="E65" s="1045"/>
      <c r="F65" s="363">
        <f>IF(INDEX(cautao1,MATCH($C65,cautao2,0),2)&lt;&gt;"",INDEX(cautao1,MATCH($C65,cautao2,0),2),"")</f>
        <v>150</v>
      </c>
      <c r="G65" s="363">
        <f>INDEX(cautao1,MATCH($C65,cautao2,0),3)</f>
        <v>25</v>
      </c>
      <c r="H65" s="361">
        <f>INDEX(cautao1,MATCH($C65,cautao2,0),4)</f>
        <v>1.1000000000000001</v>
      </c>
      <c r="I65" s="361">
        <f>IFERROR(F65*G65/1000,INDEX(cautao1,MATCH(C65,cautao2,0),5))</f>
        <v>3.75</v>
      </c>
      <c r="J65" s="361">
        <f>I65*H65</f>
        <v>4.125</v>
      </c>
    </row>
    <row r="66" spans="1:10" ht="15" customHeight="1">
      <c r="A66" s="457" t="str">
        <f t="shared" si="9"/>
        <v/>
      </c>
      <c r="B66" s="414"/>
      <c r="C66" s="1046" t="str">
        <f>IF(Menu!$C$7 = "V","",IF(INDEX(cautao1,MATCH(C65,cautao2,0),26)&lt;&gt;"",INDEX(cautao1,MATCH(C65,cautao2,0),26),""))</f>
        <v/>
      </c>
      <c r="D66" s="1047"/>
      <c r="E66" s="1048"/>
      <c r="F66" s="362"/>
      <c r="G66" s="362"/>
      <c r="H66" s="715"/>
      <c r="I66" s="366"/>
      <c r="J66" s="367"/>
    </row>
    <row r="67" spans="1:10" ht="15" customHeight="1">
      <c r="A67" s="457">
        <f t="shared" si="9"/>
        <v>1</v>
      </c>
      <c r="B67" s="414"/>
      <c r="C67" s="1043" t="s">
        <v>1657</v>
      </c>
      <c r="D67" s="1044"/>
      <c r="E67" s="1045"/>
      <c r="F67" s="363">
        <f>IF(INDEX(cautao1,MATCH($C67,cautao2,0),2)&lt;&gt;"",INDEX(cautao1,MATCH($C67,cautao2,0),2),"")</f>
        <v>20</v>
      </c>
      <c r="G67" s="363">
        <f>INDEX(cautao1,MATCH($C67,cautao2,0),3)</f>
        <v>10</v>
      </c>
      <c r="H67" s="361">
        <f>INDEX(cautao1,MATCH($C67,cautao2,0),4)</f>
        <v>1.3</v>
      </c>
      <c r="I67" s="361">
        <f>IFERROR(F67*G67/1000,INDEX(cautao1,MATCH(C67,cautao2,0),5))</f>
        <v>0.2</v>
      </c>
      <c r="J67" s="361">
        <f>I67*H67</f>
        <v>0.26</v>
      </c>
    </row>
    <row r="68" spans="1:10" ht="15" customHeight="1">
      <c r="A68" s="457" t="str">
        <f t="shared" si="9"/>
        <v/>
      </c>
      <c r="B68" s="414"/>
      <c r="C68" s="1046" t="str">
        <f>IF(Menu!$C$7 = "V","",IF(INDEX(cautao1,MATCH(C67,cautao2,0),26)&lt;&gt;"",INDEX(cautao1,MATCH(C67,cautao2,0),26),""))</f>
        <v/>
      </c>
      <c r="D68" s="1047"/>
      <c r="E68" s="1048"/>
      <c r="F68" s="362"/>
      <c r="G68" s="362"/>
      <c r="H68" s="715"/>
      <c r="I68" s="366"/>
      <c r="J68" s="367"/>
    </row>
    <row r="69" spans="1:10" ht="15" customHeight="1">
      <c r="A69" s="457">
        <f t="shared" si="9"/>
        <v>1</v>
      </c>
      <c r="B69" s="414"/>
      <c r="C69" s="1043" t="s">
        <v>1816</v>
      </c>
      <c r="D69" s="1044"/>
      <c r="E69" s="1045"/>
      <c r="F69" s="363">
        <f>IF(INDEX(cautao1,MATCH($C69,cautao2,0),2)&lt;&gt;"",INDEX(cautao1,MATCH($C69,cautao2,0),2),"")</f>
        <v>35</v>
      </c>
      <c r="G69" s="363">
        <f>INDEX(cautao1,MATCH($C69,cautao2,0),3)</f>
        <v>18</v>
      </c>
      <c r="H69" s="361">
        <f>INDEX(cautao1,MATCH($C69,cautao2,0),4)</f>
        <v>1.3</v>
      </c>
      <c r="I69" s="361">
        <f>IFERROR(F69*G69/1000,INDEX(cautao1,MATCH(C69,cautao2,0),5))</f>
        <v>0.63</v>
      </c>
      <c r="J69" s="361">
        <f>I69*H69</f>
        <v>0.81900000000000006</v>
      </c>
    </row>
    <row r="70" spans="1:10" ht="15" customHeight="1">
      <c r="A70" s="457" t="str">
        <f t="shared" si="9"/>
        <v/>
      </c>
      <c r="B70" s="414"/>
      <c r="C70" s="1046" t="str">
        <f>IF(Menu!$C$7 = "V","",IF(INDEX(cautao1,MATCH(C69,cautao2,0),26)&lt;&gt;"",INDEX(cautao1,MATCH(C69,cautao2,0),26),""))</f>
        <v/>
      </c>
      <c r="D70" s="1047"/>
      <c r="E70" s="1048"/>
      <c r="F70" s="375"/>
      <c r="G70" s="362"/>
      <c r="H70" s="715"/>
      <c r="I70" s="366"/>
      <c r="J70" s="367"/>
    </row>
    <row r="71" spans="1:10" ht="15" customHeight="1">
      <c r="A71" s="457">
        <f t="shared" si="9"/>
        <v>1</v>
      </c>
      <c r="B71" s="414"/>
      <c r="C71" s="347" t="str">
        <f>IF(Menu!$C$7 = "V","Tổng tải trọng phân bố"," Tổng tải trọng phân bố/ Total surface load")</f>
        <v>Tổng tải trọng phân bố</v>
      </c>
      <c r="D71" s="354"/>
      <c r="E71" s="354"/>
      <c r="F71" s="352"/>
      <c r="G71" s="352"/>
      <c r="H71" s="352"/>
      <c r="I71" s="360"/>
      <c r="J71" s="365">
        <f>SUM(J65:J70)</f>
        <v>5.2039999999999997</v>
      </c>
    </row>
    <row r="72" spans="1:10" ht="20.100000000000001" customHeight="1">
      <c r="A72" s="457">
        <f t="shared" si="0"/>
        <v>1</v>
      </c>
      <c r="B72" s="569" t="s">
        <v>1812</v>
      </c>
      <c r="C72" s="424" t="str">
        <f>IF(Menu!$C$7 = "V","Khu vực có trần treo và thiết bị kỹ thuật"," Khu vực có trần treo và thiết bị kỹ thuật/ Common area with suspended ceiling and technical equipments")</f>
        <v>Khu vực có trần treo và thiết bị kỹ thuật</v>
      </c>
      <c r="D72" s="355"/>
      <c r="E72" s="355"/>
      <c r="F72" s="355"/>
      <c r="G72" s="355"/>
      <c r="H72" s="355"/>
      <c r="I72" s="355"/>
      <c r="J72" s="355"/>
    </row>
    <row r="73" spans="1:10" ht="19.5">
      <c r="A73" s="457">
        <f t="shared" ref="A73" si="10">IF(C73="","",1)</f>
        <v>1</v>
      </c>
      <c r="B73" s="414"/>
      <c r="C73" s="1050" t="str">
        <f>IF(Menu!$C$7 = "V","Các lớp vật liệu",IF(Menu!$C$7 =  "E", "Material's layers","Các lớp vật liệu/Material's layers"))</f>
        <v>Các lớp vật liệu</v>
      </c>
      <c r="D73" s="1051"/>
      <c r="E73" s="1052"/>
      <c r="F73" s="416" t="s">
        <v>875</v>
      </c>
      <c r="G73" s="410" t="s">
        <v>1753</v>
      </c>
      <c r="H73" s="1049" t="s">
        <v>1775</v>
      </c>
      <c r="I73" s="417" t="s">
        <v>1764</v>
      </c>
      <c r="J73" s="417" t="s">
        <v>1766</v>
      </c>
    </row>
    <row r="74" spans="1:10" ht="19.5">
      <c r="A74" s="457">
        <v>1</v>
      </c>
      <c r="B74" s="414"/>
      <c r="C74" s="1053"/>
      <c r="D74" s="1054"/>
      <c r="E74" s="1055"/>
      <c r="F74" s="398" t="s">
        <v>1750</v>
      </c>
      <c r="G74" s="398" t="s">
        <v>1751</v>
      </c>
      <c r="H74" s="1042"/>
      <c r="I74" s="398" t="s">
        <v>1752</v>
      </c>
      <c r="J74" s="398" t="s">
        <v>1752</v>
      </c>
    </row>
    <row r="75" spans="1:10" ht="15" customHeight="1">
      <c r="A75" s="457">
        <f t="shared" si="0"/>
        <v>1</v>
      </c>
      <c r="B75" s="414"/>
      <c r="C75" s="1043" t="s">
        <v>1656</v>
      </c>
      <c r="D75" s="1044"/>
      <c r="E75" s="1045"/>
      <c r="F75" s="363">
        <f>IF(INDEX(cautao1,MATCH($C75,cautao2,0),2)&lt;&gt;"",INDEX(cautao1,MATCH($C75,cautao2,0),2),"")</f>
        <v>15</v>
      </c>
      <c r="G75" s="363">
        <f>INDEX(cautao1,MATCH($C75,cautao2,0),3)</f>
        <v>20</v>
      </c>
      <c r="H75" s="361">
        <f>INDEX(cautao1,MATCH($C75,cautao2,0),4)</f>
        <v>1.1000000000000001</v>
      </c>
      <c r="I75" s="361">
        <f>IFERROR(F75*G75/1000,INDEX(cautao1,MATCH(C75,cautao2,0),5))</f>
        <v>0.3</v>
      </c>
      <c r="J75" s="361">
        <f>I75*H75</f>
        <v>0.33</v>
      </c>
    </row>
    <row r="76" spans="1:10" ht="15" customHeight="1">
      <c r="A76" s="457" t="str">
        <f t="shared" si="0"/>
        <v/>
      </c>
      <c r="B76" s="414"/>
      <c r="C76" s="1046" t="str">
        <f>IF(Menu!$C$7 = "V","",IF(INDEX(cautao1,MATCH(C75,cautao2,0),26)&lt;&gt;"",INDEX(cautao1,MATCH(C75,cautao2,0),26),""))</f>
        <v/>
      </c>
      <c r="D76" s="1047"/>
      <c r="E76" s="1048"/>
      <c r="F76" s="375"/>
      <c r="G76" s="362"/>
      <c r="H76" s="715"/>
      <c r="I76" s="366"/>
      <c r="J76" s="367"/>
    </row>
    <row r="77" spans="1:10" ht="15" customHeight="1">
      <c r="A77" s="457">
        <f t="shared" si="0"/>
        <v>1</v>
      </c>
      <c r="B77" s="414"/>
      <c r="C77" s="1043" t="s">
        <v>1816</v>
      </c>
      <c r="D77" s="1044"/>
      <c r="E77" s="1045"/>
      <c r="F77" s="363">
        <f>IF(INDEX(cautao1,MATCH($C77,cautao2,0),2)&lt;&gt;"",INDEX(cautao1,MATCH($C77,cautao2,0),2),"")</f>
        <v>35</v>
      </c>
      <c r="G77" s="363">
        <f>INDEX(cautao1,MATCH($C77,cautao2,0),3)</f>
        <v>18</v>
      </c>
      <c r="H77" s="361">
        <f>INDEX(cautao1,MATCH($C77,cautao2,0),4)</f>
        <v>1.3</v>
      </c>
      <c r="I77" s="361">
        <f>IFERROR(F77*G77/1000,INDEX(cautao1,MATCH(C77,cautao2,0),5))</f>
        <v>0.63</v>
      </c>
      <c r="J77" s="361">
        <f>I77*H77</f>
        <v>0.81900000000000006</v>
      </c>
    </row>
    <row r="78" spans="1:10" ht="15" customHeight="1">
      <c r="A78" s="457" t="str">
        <f t="shared" si="0"/>
        <v/>
      </c>
      <c r="B78" s="414"/>
      <c r="C78" s="1046" t="str">
        <f>IF(Menu!$C$7 = "V","",IF(INDEX(cautao1,MATCH(C77,cautao2,0),26)&lt;&gt;"",INDEX(cautao1,MATCH(C77,cautao2,0),26),""))</f>
        <v/>
      </c>
      <c r="D78" s="1047"/>
      <c r="E78" s="1048"/>
      <c r="F78" s="344"/>
      <c r="G78" s="362"/>
      <c r="H78" s="715"/>
      <c r="I78" s="366"/>
      <c r="J78" s="367"/>
    </row>
    <row r="79" spans="1:10" ht="15" customHeight="1">
      <c r="A79" s="457">
        <f t="shared" si="0"/>
        <v>1</v>
      </c>
      <c r="B79" s="414"/>
      <c r="C79" s="1043" t="s">
        <v>1817</v>
      </c>
      <c r="D79" s="1044"/>
      <c r="E79" s="1045"/>
      <c r="F79" s="363" t="str">
        <f>IF(INDEX(cautao1,MATCH($C79,cautao2,0),2)&lt;&gt;"",INDEX(cautao1,MATCH($C79,cautao2,0),2),"")</f>
        <v/>
      </c>
      <c r="G79" s="363" t="str">
        <f>INDEX(cautao1,MATCH($C79,cautao2,0),3)</f>
        <v/>
      </c>
      <c r="H79" s="361">
        <f>INDEX(cautao1,MATCH($C79,cautao2,0),4)</f>
        <v>1.2</v>
      </c>
      <c r="I79" s="361">
        <f>IFERROR(F79*G79/1000,INDEX(cautao1,MATCH(C79,cautao2,0),5))</f>
        <v>0.3</v>
      </c>
      <c r="J79" s="361">
        <f>I79*H79</f>
        <v>0.36</v>
      </c>
    </row>
    <row r="80" spans="1:10" ht="15" customHeight="1">
      <c r="A80" s="457" t="str">
        <f t="shared" si="0"/>
        <v/>
      </c>
      <c r="B80" s="414"/>
      <c r="C80" s="1046" t="str">
        <f>IF(Menu!$C$7 = "V","",IF(INDEX(cautao1,MATCH(C79,cautao2,0),26)&lt;&gt;"",INDEX(cautao1,MATCH(C79,cautao2,0),26),""))</f>
        <v/>
      </c>
      <c r="D80" s="1047"/>
      <c r="E80" s="1048"/>
      <c r="F80" s="344"/>
      <c r="G80" s="362"/>
      <c r="H80" s="715"/>
      <c r="I80" s="346"/>
      <c r="J80" s="362"/>
    </row>
    <row r="81" spans="1:10" ht="15" customHeight="1">
      <c r="A81" s="457">
        <f t="shared" si="0"/>
        <v>1</v>
      </c>
      <c r="B81" s="414"/>
      <c r="C81" s="353" t="str">
        <f>IF(Menu!$C$7 = "V","Tổng tải trọng phân bố trên sàn"," Tổng tải trọng phân bố trên sàn/ Total surface load on slab")</f>
        <v>Tổng tải trọng phân bố trên sàn</v>
      </c>
      <c r="D81" s="348"/>
      <c r="E81" s="348"/>
      <c r="F81" s="352"/>
      <c r="G81" s="352"/>
      <c r="H81" s="352"/>
      <c r="I81" s="352"/>
      <c r="J81" s="365">
        <f>SUM(J75:J80)</f>
        <v>1.5089999999999999</v>
      </c>
    </row>
    <row r="82" spans="1:10" ht="15" customHeight="1">
      <c r="A82" s="457">
        <v>1</v>
      </c>
      <c r="B82" s="414"/>
      <c r="C82" s="368"/>
      <c r="D82" s="368"/>
      <c r="E82" s="368"/>
      <c r="F82" s="370"/>
      <c r="G82" s="370"/>
      <c r="H82" s="370"/>
      <c r="I82" s="370"/>
      <c r="J82" s="371"/>
    </row>
    <row r="83" spans="1:10" ht="20.100000000000001" customHeight="1">
      <c r="A83" s="457">
        <f t="shared" si="0"/>
        <v>1</v>
      </c>
      <c r="B83" s="569" t="s">
        <v>1813</v>
      </c>
      <c r="C83" s="423" t="str">
        <f>IF(Menu!$C$7 = "V","Khu vực không có trần treo và thiết bị kỹ thuật","Khu vực không có trần treo và thiết bị kỹ thuật/ Common area without suspended ceiling and technical equip")</f>
        <v>Khu vực không có trần treo và thiết bị kỹ thuật</v>
      </c>
      <c r="D83" s="356"/>
      <c r="E83" s="356"/>
      <c r="F83" s="355"/>
      <c r="G83" s="355"/>
      <c r="H83" s="355"/>
      <c r="I83" s="355"/>
      <c r="J83" s="355"/>
    </row>
    <row r="84" spans="1:10" ht="19.5">
      <c r="A84" s="457">
        <f t="shared" si="0"/>
        <v>1</v>
      </c>
      <c r="B84" s="414"/>
      <c r="C84" s="1050" t="str">
        <f>IF(Menu!$C$7 = "V","Các lớp vật liệu",IF(Menu!$C$7 =  "E", "Material's layers","Các lớp vật liệu/Material's layers"))</f>
        <v>Các lớp vật liệu</v>
      </c>
      <c r="D84" s="1051"/>
      <c r="E84" s="1052"/>
      <c r="F84" s="416" t="s">
        <v>875</v>
      </c>
      <c r="G84" s="410" t="s">
        <v>1753</v>
      </c>
      <c r="H84" s="1049" t="s">
        <v>1775</v>
      </c>
      <c r="I84" s="417" t="s">
        <v>1764</v>
      </c>
      <c r="J84" s="417" t="s">
        <v>1766</v>
      </c>
    </row>
    <row r="85" spans="1:10" ht="19.5">
      <c r="A85" s="457">
        <v>1</v>
      </c>
      <c r="B85" s="414"/>
      <c r="C85" s="1053"/>
      <c r="D85" s="1054"/>
      <c r="E85" s="1055"/>
      <c r="F85" s="398" t="s">
        <v>1750</v>
      </c>
      <c r="G85" s="398" t="s">
        <v>1751</v>
      </c>
      <c r="H85" s="1042"/>
      <c r="I85" s="398" t="s">
        <v>1752</v>
      </c>
      <c r="J85" s="398" t="s">
        <v>1752</v>
      </c>
    </row>
    <row r="86" spans="1:10" ht="15" customHeight="1">
      <c r="A86" s="457">
        <f t="shared" si="0"/>
        <v>1</v>
      </c>
      <c r="B86" s="414"/>
      <c r="C86" s="1043" t="s">
        <v>1656</v>
      </c>
      <c r="D86" s="1044"/>
      <c r="E86" s="1045"/>
      <c r="F86" s="363">
        <f>IF(INDEX(cautao1,MATCH($C86,cautao2,0),2)&lt;&gt;"",INDEX(cautao1,MATCH($C86,cautao2,0),2),"")</f>
        <v>15</v>
      </c>
      <c r="G86" s="363">
        <f>INDEX(cautao1,MATCH($C86,cautao2,0),3)</f>
        <v>20</v>
      </c>
      <c r="H86" s="361">
        <f>INDEX(cautao1,MATCH($C86,cautao2,0),4)</f>
        <v>1.1000000000000001</v>
      </c>
      <c r="I86" s="361">
        <f>IFERROR(F86*G86/1000,INDEX(cautao1,MATCH(C86,cautao2,0),5))</f>
        <v>0.3</v>
      </c>
      <c r="J86" s="361">
        <f>I86*H86</f>
        <v>0.33</v>
      </c>
    </row>
    <row r="87" spans="1:10" ht="15" customHeight="1">
      <c r="A87" s="457" t="str">
        <f t="shared" si="0"/>
        <v/>
      </c>
      <c r="B87" s="414"/>
      <c r="C87" s="1046" t="str">
        <f>IF(Menu!$C$7 = "V","",IF(INDEX(cautao1,MATCH(C86,cautao2,0),26)&lt;&gt;"",INDEX(cautao1,MATCH(C86,cautao2,0),26),""))</f>
        <v/>
      </c>
      <c r="D87" s="1047"/>
      <c r="E87" s="1048"/>
      <c r="F87" s="375"/>
      <c r="G87" s="362"/>
      <c r="H87" s="715"/>
      <c r="I87" s="366"/>
      <c r="J87" s="367"/>
    </row>
    <row r="88" spans="1:10" ht="15" customHeight="1">
      <c r="A88" s="457">
        <f t="shared" ref="A88:A89" si="11">IF(C88="","",1)</f>
        <v>1</v>
      </c>
      <c r="B88" s="414"/>
      <c r="C88" s="1043" t="s">
        <v>1816</v>
      </c>
      <c r="D88" s="1044"/>
      <c r="E88" s="1045"/>
      <c r="F88" s="363">
        <f>IF(INDEX(cautao1,MATCH($C88,cautao2,0),2)&lt;&gt;"",INDEX(cautao1,MATCH($C88,cautao2,0),2),"")</f>
        <v>35</v>
      </c>
      <c r="G88" s="363">
        <f>INDEX(cautao1,MATCH($C88,cautao2,0),3)</f>
        <v>18</v>
      </c>
      <c r="H88" s="361">
        <f>INDEX(cautao1,MATCH($C88,cautao2,0),4)</f>
        <v>1.3</v>
      </c>
      <c r="I88" s="361">
        <f>IFERROR(F88*G88/1000,INDEX(cautao1,MATCH(C88,cautao2,0),5))</f>
        <v>0.63</v>
      </c>
      <c r="J88" s="361">
        <f>I88*H88</f>
        <v>0.81900000000000006</v>
      </c>
    </row>
    <row r="89" spans="1:10" ht="15" customHeight="1">
      <c r="A89" s="457" t="str">
        <f t="shared" si="11"/>
        <v/>
      </c>
      <c r="B89" s="414"/>
      <c r="C89" s="1046" t="str">
        <f>IF(Menu!$C$7 = "V","",IF(INDEX(cautao1,MATCH(C88,cautao2,0),26)&lt;&gt;"",INDEX(cautao1,MATCH(C88,cautao2,0),26),""))</f>
        <v/>
      </c>
      <c r="D89" s="1047"/>
      <c r="E89" s="1048"/>
      <c r="F89" s="344"/>
      <c r="G89" s="362"/>
      <c r="H89" s="715"/>
      <c r="I89" s="366"/>
      <c r="J89" s="367"/>
    </row>
    <row r="90" spans="1:10" ht="15" customHeight="1">
      <c r="A90" s="457">
        <f t="shared" si="0"/>
        <v>1</v>
      </c>
      <c r="B90" s="414"/>
      <c r="C90" s="353" t="str">
        <f>IF(Menu!$C$7 = "V","Tổng tải trọng phân bố trên sàn","Tổng tải trọng phân bố trên sàn/ Total surface load on slab")</f>
        <v>Tổng tải trọng phân bố trên sàn</v>
      </c>
      <c r="D90" s="354"/>
      <c r="E90" s="354"/>
      <c r="F90" s="352"/>
      <c r="G90" s="352"/>
      <c r="H90" s="352"/>
      <c r="I90" s="360"/>
      <c r="J90" s="365">
        <f>SUM(J86:J89)</f>
        <v>1.149</v>
      </c>
    </row>
    <row r="91" spans="1:10" ht="15" customHeight="1">
      <c r="A91" s="457">
        <v>1</v>
      </c>
      <c r="B91" s="414"/>
      <c r="C91" s="369"/>
      <c r="D91" s="372"/>
      <c r="E91" s="372"/>
      <c r="F91" s="370"/>
      <c r="G91" s="370"/>
      <c r="H91" s="370"/>
      <c r="I91" s="373"/>
      <c r="J91" s="378"/>
    </row>
    <row r="92" spans="1:10" ht="20.100000000000001" customHeight="1">
      <c r="A92" s="457">
        <f t="shared" si="0"/>
        <v>1</v>
      </c>
      <c r="B92" s="569" t="s">
        <v>2062</v>
      </c>
      <c r="C92" s="424" t="str">
        <f>IF(Menu!$C$7 = "V","Vệ sinh có trần treo và thiết bị kỹ thuật","Vệ sinh có trần treo và thiết bị kỹ thuật/ Restroom area with suspended ceiling and technical equipments")</f>
        <v>Vệ sinh có trần treo và thiết bị kỹ thuật</v>
      </c>
      <c r="D92" s="355"/>
      <c r="E92" s="355"/>
      <c r="F92" s="355"/>
      <c r="G92" s="355"/>
      <c r="H92" s="355"/>
      <c r="I92" s="355"/>
      <c r="J92" s="355"/>
    </row>
    <row r="93" spans="1:10" ht="19.5">
      <c r="A93" s="457">
        <f t="shared" ref="A93" si="12">IF(C93="","",1)</f>
        <v>1</v>
      </c>
      <c r="B93" s="414"/>
      <c r="C93" s="1050" t="str">
        <f>IF(Menu!$C$7 = "V","Các lớp vật liệu",IF(Menu!$C$7 =  "E", "Material's layers","Các lớp vật liệu/Material's layers"))</f>
        <v>Các lớp vật liệu</v>
      </c>
      <c r="D93" s="1051"/>
      <c r="E93" s="1052"/>
      <c r="F93" s="416" t="s">
        <v>875</v>
      </c>
      <c r="G93" s="410" t="s">
        <v>1753</v>
      </c>
      <c r="H93" s="1049" t="s">
        <v>1775</v>
      </c>
      <c r="I93" s="417" t="s">
        <v>1764</v>
      </c>
      <c r="J93" s="417" t="s">
        <v>1766</v>
      </c>
    </row>
    <row r="94" spans="1:10" ht="19.5">
      <c r="A94" s="457">
        <v>1</v>
      </c>
      <c r="B94" s="414"/>
      <c r="C94" s="1053"/>
      <c r="D94" s="1054"/>
      <c r="E94" s="1055"/>
      <c r="F94" s="398" t="s">
        <v>1750</v>
      </c>
      <c r="G94" s="398" t="s">
        <v>1751</v>
      </c>
      <c r="H94" s="1042"/>
      <c r="I94" s="398" t="s">
        <v>1752</v>
      </c>
      <c r="J94" s="398" t="s">
        <v>1752</v>
      </c>
    </row>
    <row r="95" spans="1:10" ht="15" customHeight="1">
      <c r="A95" s="457">
        <f t="shared" si="0"/>
        <v>1</v>
      </c>
      <c r="B95" s="414"/>
      <c r="C95" s="1043" t="s">
        <v>1816</v>
      </c>
      <c r="D95" s="1044"/>
      <c r="E95" s="1045"/>
      <c r="F95" s="363">
        <f>IF(INDEX(cautao1,MATCH($C95,cautao2,0),2)&lt;&gt;"",INDEX(cautao1,MATCH($C95,cautao2,0),2),"")</f>
        <v>35</v>
      </c>
      <c r="G95" s="363">
        <f>INDEX(cautao1,MATCH($C95,cautao2,0),3)</f>
        <v>18</v>
      </c>
      <c r="H95" s="361">
        <f>INDEX(cautao1,MATCH($C95,cautao2,0),4)</f>
        <v>1.3</v>
      </c>
      <c r="I95" s="361">
        <f>IFERROR(F95*G95/1000,INDEX(cautao1,MATCH(C95,cautao2,0),5))</f>
        <v>0.63</v>
      </c>
      <c r="J95" s="361">
        <f>I95*H95</f>
        <v>0.81900000000000006</v>
      </c>
    </row>
    <row r="96" spans="1:10" ht="15" customHeight="1">
      <c r="A96" s="457" t="str">
        <f t="shared" si="0"/>
        <v/>
      </c>
      <c r="B96" s="414"/>
      <c r="C96" s="1046" t="str">
        <f>IF(Menu!$C$7 = "V","",IF(INDEX(cautao1,MATCH(C95,cautao2,0),26)&lt;&gt;"",INDEX(cautao1,MATCH(C95,cautao2,0),26),""))</f>
        <v/>
      </c>
      <c r="D96" s="1047"/>
      <c r="E96" s="1048"/>
      <c r="F96" s="362"/>
      <c r="G96" s="362"/>
      <c r="H96" s="715"/>
      <c r="I96" s="366"/>
      <c r="J96" s="367"/>
    </row>
    <row r="97" spans="1:10" ht="15" customHeight="1">
      <c r="A97" s="457">
        <f t="shared" si="0"/>
        <v>1</v>
      </c>
      <c r="B97" s="414"/>
      <c r="C97" s="1043" t="s">
        <v>1657</v>
      </c>
      <c r="D97" s="1044"/>
      <c r="E97" s="1045"/>
      <c r="F97" s="363">
        <f>IF(INDEX(cautao1,MATCH($C97,cautao2,0),2)&lt;&gt;"",INDEX(cautao1,MATCH($C97,cautao2,0),2),"")</f>
        <v>20</v>
      </c>
      <c r="G97" s="363">
        <f>INDEX(cautao1,MATCH($C97,cautao2,0),3)</f>
        <v>10</v>
      </c>
      <c r="H97" s="361">
        <f>INDEX(cautao1,MATCH($C97,cautao2,0),4)</f>
        <v>1.3</v>
      </c>
      <c r="I97" s="361">
        <f>IFERROR(F97*G97/1000,INDEX(cautao1,MATCH(C97,cautao2,0),5))</f>
        <v>0.2</v>
      </c>
      <c r="J97" s="361">
        <f>I97*H97</f>
        <v>0.26</v>
      </c>
    </row>
    <row r="98" spans="1:10" ht="15" customHeight="1">
      <c r="A98" s="457" t="str">
        <f t="shared" si="0"/>
        <v/>
      </c>
      <c r="B98" s="414"/>
      <c r="C98" s="1046" t="str">
        <f>IF(Menu!$C$7 = "V","",IF(INDEX(cautao1,MATCH(C97,cautao2,0),26)&lt;&gt;"",INDEX(cautao1,MATCH(C97,cautao2,0),26),""))</f>
        <v/>
      </c>
      <c r="D98" s="1047"/>
      <c r="E98" s="1048"/>
      <c r="F98" s="344"/>
      <c r="G98" s="362"/>
      <c r="H98" s="715"/>
      <c r="I98" s="366"/>
      <c r="J98" s="367"/>
    </row>
    <row r="99" spans="1:10" ht="15" customHeight="1">
      <c r="A99" s="457">
        <f t="shared" si="0"/>
        <v>1</v>
      </c>
      <c r="B99" s="414"/>
      <c r="C99" s="1043" t="s">
        <v>1817</v>
      </c>
      <c r="D99" s="1044"/>
      <c r="E99" s="1045"/>
      <c r="F99" s="363" t="str">
        <f>IF(INDEX(cautao1,MATCH($C99,cautao2,0),2)&lt;&gt;"",INDEX(cautao1,MATCH($C99,cautao2,0),2),"")</f>
        <v/>
      </c>
      <c r="G99" s="363" t="str">
        <f>INDEX(cautao1,MATCH($C99,cautao2,0),3)</f>
        <v/>
      </c>
      <c r="H99" s="361">
        <f>INDEX(cautao1,MATCH($C99,cautao2,0),4)</f>
        <v>1.2</v>
      </c>
      <c r="I99" s="361">
        <f>IFERROR(F99*G99/1000,INDEX(cautao1,MATCH(C99,cautao2,0),5))</f>
        <v>0.3</v>
      </c>
      <c r="J99" s="361">
        <f>I99*H99</f>
        <v>0.36</v>
      </c>
    </row>
    <row r="100" spans="1:10" ht="15" customHeight="1">
      <c r="A100" s="457" t="str">
        <f t="shared" si="0"/>
        <v/>
      </c>
      <c r="B100" s="414"/>
      <c r="C100" s="1046" t="str">
        <f>IF(Menu!$C$7 = "V","",IF(INDEX(cautao1,MATCH(C99,cautao2,0),26)&lt;&gt;"",INDEX(cautao1,MATCH(C99,cautao2,0),26),""))</f>
        <v/>
      </c>
      <c r="D100" s="1047"/>
      <c r="E100" s="1048"/>
      <c r="F100" s="344"/>
      <c r="G100" s="362"/>
      <c r="H100" s="715"/>
      <c r="I100" s="366"/>
      <c r="J100" s="367"/>
    </row>
    <row r="101" spans="1:10" ht="15" customHeight="1">
      <c r="A101" s="457">
        <f t="shared" si="0"/>
        <v>1</v>
      </c>
      <c r="B101" s="414"/>
      <c r="C101" s="353" t="str">
        <f>IF(Menu!$C$7 = "V","Tổng tải trọng phân bố trên sàn"," Tổng tải trọng phân bố trên sàn/ Total surface load on slab")</f>
        <v>Tổng tải trọng phân bố trên sàn</v>
      </c>
      <c r="D101" s="354"/>
      <c r="E101" s="354"/>
      <c r="F101" s="352"/>
      <c r="G101" s="352"/>
      <c r="H101" s="352"/>
      <c r="I101" s="360"/>
      <c r="J101" s="365">
        <f>SUM(J95:J100)</f>
        <v>1.4390000000000001</v>
      </c>
    </row>
    <row r="102" spans="1:10" ht="15" customHeight="1">
      <c r="A102" s="457">
        <v>1</v>
      </c>
      <c r="B102" s="414"/>
      <c r="C102" s="369"/>
      <c r="D102" s="372"/>
      <c r="E102" s="372"/>
      <c r="F102" s="370"/>
      <c r="G102" s="370"/>
      <c r="H102" s="370"/>
      <c r="I102" s="373"/>
      <c r="J102" s="371"/>
    </row>
    <row r="103" spans="1:10" ht="20.100000000000001" customHeight="1">
      <c r="A103" s="457">
        <f t="shared" ref="A103:A104" si="13">IF(C103="","",1)</f>
        <v>1</v>
      </c>
      <c r="B103" s="569" t="s">
        <v>2082</v>
      </c>
      <c r="C103" s="424" t="str">
        <f>IF(Menu!$C$7 = "V","Mái tum","Mái tum/Roof")</f>
        <v>Mái tum</v>
      </c>
      <c r="D103" s="355"/>
      <c r="E103" s="355"/>
      <c r="F103" s="355"/>
      <c r="G103" s="355"/>
      <c r="H103" s="355"/>
      <c r="I103" s="355"/>
      <c r="J103" s="355"/>
    </row>
    <row r="104" spans="1:10" ht="20.100000000000001" customHeight="1">
      <c r="A104" s="457">
        <f t="shared" si="13"/>
        <v>1</v>
      </c>
      <c r="B104" s="414"/>
      <c r="C104" s="1050" t="str">
        <f>IF(Menu!$C$7 = "V","Các lớp vật liệu",IF(Menu!$C$7 ="E", "Material's layers","Các lớp vật liệu/Material's layers"))</f>
        <v>Các lớp vật liệu</v>
      </c>
      <c r="D104" s="1051"/>
      <c r="E104" s="1052"/>
      <c r="F104" s="416" t="s">
        <v>875</v>
      </c>
      <c r="G104" s="410" t="s">
        <v>1753</v>
      </c>
      <c r="H104" s="1049" t="s">
        <v>1775</v>
      </c>
      <c r="I104" s="417" t="s">
        <v>1764</v>
      </c>
      <c r="J104" s="417" t="s">
        <v>1766</v>
      </c>
    </row>
    <row r="105" spans="1:10" ht="19.5">
      <c r="A105" s="457">
        <v>1</v>
      </c>
      <c r="B105" s="414"/>
      <c r="C105" s="1053"/>
      <c r="D105" s="1054"/>
      <c r="E105" s="1055"/>
      <c r="F105" s="398" t="s">
        <v>1750</v>
      </c>
      <c r="G105" s="398" t="s">
        <v>1751</v>
      </c>
      <c r="H105" s="1042"/>
      <c r="I105" s="398" t="s">
        <v>1752</v>
      </c>
      <c r="J105" s="398" t="s">
        <v>1752</v>
      </c>
    </row>
    <row r="106" spans="1:10" ht="15" customHeight="1">
      <c r="A106" s="457">
        <f t="shared" ref="A106:A110" si="14">IF(C106="","",1)</f>
        <v>1</v>
      </c>
      <c r="B106" s="414"/>
      <c r="C106" s="1043" t="s">
        <v>2242</v>
      </c>
      <c r="D106" s="1044"/>
      <c r="E106" s="1045"/>
      <c r="F106" s="363">
        <f>IF(INDEX(cautao1,MATCH($C106,cautao2,0),2)&lt;&gt;"",INDEX(cautao1,MATCH($C106,cautao2,0),2),"")</f>
        <v>20</v>
      </c>
      <c r="G106" s="363">
        <f>INDEX(cautao1,MATCH($C106,cautao2,0),3)</f>
        <v>20</v>
      </c>
      <c r="H106" s="361">
        <f>INDEX(cautao1,MATCH($C106,cautao2,0),4)</f>
        <v>1.3</v>
      </c>
      <c r="I106" s="361">
        <f>IFERROR(F106*G106/1000,INDEX(cautao1,MATCH(C106,cautao2,0),5))</f>
        <v>0.4</v>
      </c>
      <c r="J106" s="361">
        <f>I106*H106</f>
        <v>0.52</v>
      </c>
    </row>
    <row r="107" spans="1:10" ht="15" customHeight="1">
      <c r="A107" s="457" t="str">
        <f t="shared" si="14"/>
        <v/>
      </c>
      <c r="B107" s="414"/>
      <c r="C107" s="1046" t="str">
        <f>IF(Menu!$C$7 = "V","",IF(INDEX(cautao1,MATCH(C106,cautao2,0),26)&lt;&gt;"",INDEX(cautao1,MATCH(C106,cautao2,0),26),""))</f>
        <v/>
      </c>
      <c r="D107" s="1047"/>
      <c r="E107" s="1048"/>
      <c r="F107" s="362"/>
      <c r="G107" s="362"/>
      <c r="H107" s="715"/>
      <c r="I107" s="366"/>
      <c r="J107" s="367"/>
    </row>
    <row r="108" spans="1:10" ht="15" customHeight="1">
      <c r="A108" s="457">
        <f t="shared" si="14"/>
        <v>1</v>
      </c>
      <c r="B108" s="414"/>
      <c r="C108" s="1043" t="s">
        <v>1816</v>
      </c>
      <c r="D108" s="1044"/>
      <c r="E108" s="1045"/>
      <c r="F108" s="363">
        <f>IF(INDEX(cautao1,MATCH($C108,cautao2,0),2)&lt;&gt;"",INDEX(cautao1,MATCH($C108,cautao2,0),2),"")</f>
        <v>35</v>
      </c>
      <c r="G108" s="363">
        <f>INDEX(cautao1,MATCH($C108,cautao2,0),3)</f>
        <v>18</v>
      </c>
      <c r="H108" s="361">
        <f>INDEX(cautao1,MATCH($C108,cautao2,0),4)</f>
        <v>1.3</v>
      </c>
      <c r="I108" s="361">
        <f>IFERROR(F108*G108/1000,INDEX(cautao1,MATCH(C108,cautao2,0),5))</f>
        <v>0.63</v>
      </c>
      <c r="J108" s="361">
        <f>I108*H108</f>
        <v>0.81900000000000006</v>
      </c>
    </row>
    <row r="109" spans="1:10" ht="15" customHeight="1">
      <c r="A109" s="457" t="str">
        <f t="shared" si="14"/>
        <v/>
      </c>
      <c r="B109" s="414"/>
      <c r="C109" s="1046" t="str">
        <f>IF(Menu!$C$7 = "V","",IF(INDEX(cautao1,MATCH(C108,cautao2,0),26)&lt;&gt;"",INDEX(cautao1,MATCH(C108,cautao2,0),26),""))</f>
        <v/>
      </c>
      <c r="D109" s="1047"/>
      <c r="E109" s="1048"/>
      <c r="F109" s="362"/>
      <c r="G109" s="362"/>
      <c r="H109" s="715"/>
      <c r="I109" s="366"/>
      <c r="J109" s="367"/>
    </row>
    <row r="110" spans="1:10" ht="15" customHeight="1">
      <c r="A110" s="457">
        <f t="shared" si="14"/>
        <v>1</v>
      </c>
      <c r="B110" s="414"/>
      <c r="C110" s="353" t="str">
        <f>IF(Menu!$C$7 = "V","Tổng tải trọng phân bố trên sàn"," Tổng tải trọng phân bố trên sàn/ Total surface load on slab")</f>
        <v>Tổng tải trọng phân bố trên sàn</v>
      </c>
      <c r="D110" s="354"/>
      <c r="E110" s="354"/>
      <c r="F110" s="352"/>
      <c r="G110" s="352"/>
      <c r="H110" s="352"/>
      <c r="I110" s="360"/>
      <c r="J110" s="365">
        <f>SUM(J106:J109)</f>
        <v>1.339</v>
      </c>
    </row>
    <row r="111" spans="1:10" ht="20.100000000000001" customHeight="1">
      <c r="A111" s="457">
        <f t="shared" si="0"/>
        <v>1</v>
      </c>
      <c r="B111" s="569" t="s">
        <v>2083</v>
      </c>
      <c r="C111" s="424" t="str">
        <f>IF(Menu!$C$7 = "V","Mái không tôn đất trồng cây","Mái không tôn đất trồng cây/Roof without soil for tree plant")</f>
        <v>Mái không tôn đất trồng cây</v>
      </c>
      <c r="D111" s="355"/>
      <c r="E111" s="355"/>
      <c r="F111" s="355"/>
      <c r="G111" s="355"/>
      <c r="H111" s="355"/>
      <c r="I111" s="355"/>
      <c r="J111" s="355"/>
    </row>
    <row r="112" spans="1:10" ht="20.100000000000001" customHeight="1">
      <c r="A112" s="457">
        <f t="shared" si="0"/>
        <v>1</v>
      </c>
      <c r="B112" s="414"/>
      <c r="C112" s="1050" t="str">
        <f>IF(Menu!$C$7 = "V","Các lớp vật liệu",IF(Menu!$C$7 ="E", "Material's layers","Các lớp vật liệu/Material's layers"))</f>
        <v>Các lớp vật liệu</v>
      </c>
      <c r="D112" s="1051"/>
      <c r="E112" s="1052"/>
      <c r="F112" s="416" t="s">
        <v>875</v>
      </c>
      <c r="G112" s="410" t="s">
        <v>1753</v>
      </c>
      <c r="H112" s="1049" t="s">
        <v>1775</v>
      </c>
      <c r="I112" s="417" t="s">
        <v>1764</v>
      </c>
      <c r="J112" s="417" t="s">
        <v>1766</v>
      </c>
    </row>
    <row r="113" spans="1:10" ht="19.5">
      <c r="A113" s="457">
        <v>1</v>
      </c>
      <c r="B113" s="414"/>
      <c r="C113" s="1053"/>
      <c r="D113" s="1054"/>
      <c r="E113" s="1055"/>
      <c r="F113" s="398" t="s">
        <v>1750</v>
      </c>
      <c r="G113" s="398" t="s">
        <v>1751</v>
      </c>
      <c r="H113" s="1042"/>
      <c r="I113" s="398" t="s">
        <v>1752</v>
      </c>
      <c r="J113" s="398" t="s">
        <v>1752</v>
      </c>
    </row>
    <row r="114" spans="1:10" ht="15" customHeight="1">
      <c r="A114" s="457">
        <f t="shared" si="0"/>
        <v>1</v>
      </c>
      <c r="B114" s="414"/>
      <c r="C114" s="1043" t="s">
        <v>2236</v>
      </c>
      <c r="D114" s="1044"/>
      <c r="E114" s="1045"/>
      <c r="F114" s="363">
        <f>IF(INDEX(cautao1,MATCH($C114,cautao2,0),2)&lt;&gt;"",INDEX(cautao1,MATCH($C114,cautao2,0),2),"")</f>
        <v>40</v>
      </c>
      <c r="G114" s="363">
        <f>INDEX(cautao1,MATCH($C114,cautao2,0),3)</f>
        <v>18</v>
      </c>
      <c r="H114" s="361">
        <f>INDEX(cautao1,MATCH($C114,cautao2,0),4)</f>
        <v>1.1000000000000001</v>
      </c>
      <c r="I114" s="361">
        <f>IFERROR(F114*G114/1000,INDEX(cautao1,MATCH(C114,cautao2,0),5))</f>
        <v>0.72</v>
      </c>
      <c r="J114" s="361">
        <f>I114*H114</f>
        <v>0.79200000000000004</v>
      </c>
    </row>
    <row r="115" spans="1:10" ht="15" customHeight="1">
      <c r="A115" s="457" t="str">
        <f t="shared" si="0"/>
        <v/>
      </c>
      <c r="B115" s="414"/>
      <c r="C115" s="1046" t="str">
        <f>IF(Menu!$C$7 = "V","",IF(INDEX(cautao1,MATCH(C114,cautao2,0),26)&lt;&gt;"",INDEX(cautao1,MATCH(C114,cautao2,0),26),""))</f>
        <v/>
      </c>
      <c r="D115" s="1047"/>
      <c r="E115" s="1048"/>
      <c r="F115" s="362"/>
      <c r="G115" s="362"/>
      <c r="H115" s="715"/>
      <c r="I115" s="366"/>
      <c r="J115" s="367"/>
    </row>
    <row r="116" spans="1:10" ht="15" customHeight="1">
      <c r="A116" s="457">
        <f t="shared" si="0"/>
        <v>1</v>
      </c>
      <c r="B116" s="414"/>
      <c r="C116" s="1043" t="s">
        <v>1816</v>
      </c>
      <c r="D116" s="1044"/>
      <c r="E116" s="1045"/>
      <c r="F116" s="363">
        <f>IF(INDEX(cautao1,MATCH($C116,cautao2,0),2)&lt;&gt;"",INDEX(cautao1,MATCH($C116,cautao2,0),2),"")</f>
        <v>35</v>
      </c>
      <c r="G116" s="363">
        <f>INDEX(cautao1,MATCH($C116,cautao2,0),3)</f>
        <v>18</v>
      </c>
      <c r="H116" s="361">
        <f>INDEX(cautao1,MATCH($C116,cautao2,0),4)</f>
        <v>1.3</v>
      </c>
      <c r="I116" s="361">
        <f>IFERROR(F116*G116/1000,INDEX(cautao1,MATCH(C116,cautao2,0),5))</f>
        <v>0.63</v>
      </c>
      <c r="J116" s="361">
        <f>I116*H116</f>
        <v>0.81900000000000006</v>
      </c>
    </row>
    <row r="117" spans="1:10" ht="15" customHeight="1">
      <c r="A117" s="457" t="str">
        <f t="shared" si="0"/>
        <v/>
      </c>
      <c r="B117" s="414"/>
      <c r="C117" s="1046" t="str">
        <f>IF(Menu!$C$7 = "V","",IF(INDEX(cautao1,MATCH(C116,cautao2,0),26)&lt;&gt;"",INDEX(cautao1,MATCH(C116,cautao2,0),26),""))</f>
        <v/>
      </c>
      <c r="D117" s="1047"/>
      <c r="E117" s="1048"/>
      <c r="F117" s="362"/>
      <c r="G117" s="362"/>
      <c r="H117" s="715"/>
      <c r="I117" s="366"/>
      <c r="J117" s="367"/>
    </row>
    <row r="118" spans="1:10" ht="15" customHeight="1">
      <c r="A118" s="457">
        <f t="shared" si="0"/>
        <v>1</v>
      </c>
      <c r="B118" s="414"/>
      <c r="C118" s="1043" t="s">
        <v>2244</v>
      </c>
      <c r="D118" s="1044"/>
      <c r="E118" s="1045"/>
      <c r="F118" s="363">
        <f>IF(INDEX(cautao1,MATCH($C118,cautao2,0),2)&lt;&gt;"",INDEX(cautao1,MATCH($C118,cautao2,0),2),"")</f>
        <v>50</v>
      </c>
      <c r="G118" s="363">
        <f>INDEX(cautao1,MATCH($C118,cautao2,0),3)</f>
        <v>25</v>
      </c>
      <c r="H118" s="361">
        <f>INDEX(cautao1,MATCH($C118,cautao2,0),4)</f>
        <v>1.1000000000000001</v>
      </c>
      <c r="I118" s="361">
        <f>IFERROR(F118*G118/1000,INDEX(cautao1,MATCH(C118,cautao2,0),5))</f>
        <v>1.25</v>
      </c>
      <c r="J118" s="361">
        <f>I118*H118</f>
        <v>1.375</v>
      </c>
    </row>
    <row r="119" spans="1:10" ht="15" customHeight="1">
      <c r="A119" s="457" t="str">
        <f t="shared" si="0"/>
        <v/>
      </c>
      <c r="B119" s="414"/>
      <c r="C119" s="1046" t="str">
        <f>IF(Menu!$C$7 = "V","",IF(INDEX(cautao1,MATCH(C118,cautao2,0),26)&lt;&gt;"",INDEX(cautao1,MATCH(C118,cautao2,0),26),""))</f>
        <v/>
      </c>
      <c r="D119" s="1047"/>
      <c r="E119" s="1048"/>
      <c r="F119" s="362"/>
      <c r="G119" s="362"/>
      <c r="H119" s="715"/>
      <c r="I119" s="366"/>
      <c r="J119" s="367"/>
    </row>
    <row r="120" spans="1:10" ht="15" customHeight="1">
      <c r="A120" s="457">
        <f t="shared" si="0"/>
        <v>1</v>
      </c>
      <c r="B120" s="414"/>
      <c r="C120" s="1043" t="s">
        <v>2238</v>
      </c>
      <c r="D120" s="1044"/>
      <c r="E120" s="1045"/>
      <c r="F120" s="363">
        <f>IF(INDEX(cautao1,MATCH($C120,cautao2,0),2)&lt;&gt;"",INDEX(cautao1,MATCH($C120,cautao2,0),2),"")</f>
        <v>300</v>
      </c>
      <c r="G120" s="363">
        <f>INDEX(cautao1,MATCH($C120,cautao2,0),3)</f>
        <v>12</v>
      </c>
      <c r="H120" s="361">
        <f>INDEX(cautao1,MATCH($C120,cautao2,0),4)</f>
        <v>1.2</v>
      </c>
      <c r="I120" s="361">
        <f>IFERROR(F120*G120/1000,INDEX(cautao1,MATCH(C120,cautao2,0),5))</f>
        <v>3.6</v>
      </c>
      <c r="J120" s="361">
        <f>I120*H120</f>
        <v>4.32</v>
      </c>
    </row>
    <row r="121" spans="1:10" ht="15" customHeight="1">
      <c r="A121" s="457" t="str">
        <f t="shared" si="0"/>
        <v/>
      </c>
      <c r="B121" s="414"/>
      <c r="C121" s="1046" t="str">
        <f>IF(Menu!$C$7 = "V","",IF(INDEX(cautao1,MATCH(C120,cautao2,0),26)&lt;&gt;"",INDEX(cautao1,MATCH(C120,cautao2,0),26),""))</f>
        <v/>
      </c>
      <c r="D121" s="1047"/>
      <c r="E121" s="1048"/>
      <c r="F121" s="344"/>
      <c r="G121" s="362"/>
      <c r="H121" s="715"/>
      <c r="I121" s="366"/>
      <c r="J121" s="367"/>
    </row>
    <row r="122" spans="1:10" ht="15" customHeight="1">
      <c r="A122" s="457">
        <f t="shared" si="0"/>
        <v>1</v>
      </c>
      <c r="B122" s="414"/>
      <c r="C122" s="1043" t="s">
        <v>2242</v>
      </c>
      <c r="D122" s="1044"/>
      <c r="E122" s="1045"/>
      <c r="F122" s="363">
        <f>IF(INDEX(cautao1,MATCH($C122,cautao2,0),2)&lt;&gt;"",INDEX(cautao1,MATCH($C122,cautao2,0),2),"")</f>
        <v>20</v>
      </c>
      <c r="G122" s="363">
        <f>INDEX(cautao1,MATCH($C122,cautao2,0),3)</f>
        <v>20</v>
      </c>
      <c r="H122" s="361">
        <f>INDEX(cautao1,MATCH($C122,cautao2,0),4)</f>
        <v>1.3</v>
      </c>
      <c r="I122" s="361">
        <f>IFERROR(F122*G122/1000,INDEX(cautao1,MATCH(C122,cautao2,0),5))</f>
        <v>0.4</v>
      </c>
      <c r="J122" s="361">
        <f>I122*H122</f>
        <v>0.52</v>
      </c>
    </row>
    <row r="123" spans="1:10" ht="15" customHeight="1">
      <c r="A123" s="457" t="str">
        <f t="shared" si="0"/>
        <v/>
      </c>
      <c r="B123" s="414"/>
      <c r="C123" s="1046" t="str">
        <f>IF(Menu!$C$7 = "V","",IF(INDEX(cautao1,MATCH(C122,cautao2,0),26)&lt;&gt;"",INDEX(cautao1,MATCH(C122,cautao2,0),26),""))</f>
        <v/>
      </c>
      <c r="D123" s="1047"/>
      <c r="E123" s="1048"/>
      <c r="F123" s="344"/>
      <c r="G123" s="721"/>
      <c r="H123" s="722"/>
      <c r="I123" s="366"/>
      <c r="J123" s="367"/>
    </row>
    <row r="124" spans="1:10" ht="15" customHeight="1">
      <c r="A124" s="457">
        <f t="shared" si="0"/>
        <v>1</v>
      </c>
      <c r="B124" s="414"/>
      <c r="C124" s="353" t="str">
        <f>IF(Menu!$C$7 = "V","Tổng tải trọng phân bố trên sàn"," Tổng tải trọng phân bố trên sàn/ Total surface load on slab")</f>
        <v>Tổng tải trọng phân bố trên sàn</v>
      </c>
      <c r="D124" s="354"/>
      <c r="E124" s="354"/>
      <c r="F124" s="352"/>
      <c r="G124" s="352"/>
      <c r="H124" s="352"/>
      <c r="I124" s="360"/>
      <c r="J124" s="365">
        <f>SUM(J114:J123)</f>
        <v>7.8260000000000005</v>
      </c>
    </row>
    <row r="125" spans="1:10" ht="15" customHeight="1">
      <c r="A125" s="457">
        <v>1</v>
      </c>
      <c r="B125" s="414"/>
      <c r="C125" s="568"/>
      <c r="D125" s="372"/>
      <c r="E125" s="372"/>
      <c r="F125" s="382"/>
      <c r="G125" s="370"/>
      <c r="H125" s="370"/>
      <c r="I125" s="373"/>
      <c r="J125" s="371"/>
    </row>
    <row r="126" spans="1:10" ht="20.100000000000001" customHeight="1">
      <c r="A126" s="457">
        <f t="shared" ref="A126:A249" si="15">IF(C126="","",1)</f>
        <v>1</v>
      </c>
      <c r="B126" s="569" t="s">
        <v>2339</v>
      </c>
      <c r="C126" s="568" t="str">
        <f>IF(Menu!$C$7 = "V","Mái tôn đất trồng cây","Mái tôn đất trồng cây/ Roof with soil for tree plant")</f>
        <v>Mái tôn đất trồng cây</v>
      </c>
      <c r="D126" s="568"/>
      <c r="E126" s="568"/>
      <c r="F126" s="381"/>
      <c r="G126" s="355"/>
      <c r="H126" s="355"/>
      <c r="I126" s="355"/>
      <c r="J126" s="355"/>
    </row>
    <row r="127" spans="1:10" ht="20.100000000000001" customHeight="1">
      <c r="A127" s="457">
        <f t="shared" si="15"/>
        <v>1</v>
      </c>
      <c r="B127" s="414"/>
      <c r="C127" s="1050" t="str">
        <f>IF(Menu!$C$7 = "V","Các lớp vật liệu",IF(Menu!$C$7 ="E", "Material's layers","Các lớp vật liệu/Material's layers"))</f>
        <v>Các lớp vật liệu</v>
      </c>
      <c r="D127" s="1051"/>
      <c r="E127" s="1052"/>
      <c r="F127" s="416" t="s">
        <v>875</v>
      </c>
      <c r="G127" s="410" t="s">
        <v>1753</v>
      </c>
      <c r="H127" s="1049" t="s">
        <v>1775</v>
      </c>
      <c r="I127" s="417" t="s">
        <v>1764</v>
      </c>
      <c r="J127" s="417" t="s">
        <v>1766</v>
      </c>
    </row>
    <row r="128" spans="1:10" ht="19.5">
      <c r="A128" s="457">
        <v>1</v>
      </c>
      <c r="B128" s="414"/>
      <c r="C128" s="1053"/>
      <c r="D128" s="1054"/>
      <c r="E128" s="1055"/>
      <c r="F128" s="398" t="s">
        <v>1750</v>
      </c>
      <c r="G128" s="398" t="s">
        <v>1751</v>
      </c>
      <c r="H128" s="1042"/>
      <c r="I128" s="398" t="s">
        <v>1752</v>
      </c>
      <c r="J128" s="398" t="s">
        <v>1752</v>
      </c>
    </row>
    <row r="129" spans="1:10" ht="15" customHeight="1">
      <c r="A129" s="457">
        <f t="shared" si="15"/>
        <v>1</v>
      </c>
      <c r="B129" s="414"/>
      <c r="C129" s="1043" t="s">
        <v>1659</v>
      </c>
      <c r="D129" s="1044"/>
      <c r="E129" s="1045"/>
      <c r="F129" s="363">
        <f>IF(INDEX(cautao1,MATCH($C129,cautao2,0),2)&lt;&gt;"",INDEX(cautao1,MATCH($C129,cautao2,0),2),"")</f>
        <v>100</v>
      </c>
      <c r="G129" s="363">
        <f>INDEX(cautao1,MATCH($C129,cautao2,0),3)</f>
        <v>15</v>
      </c>
      <c r="H129" s="361">
        <f>INDEX(cautao1,MATCH($C129,cautao2,0),4)</f>
        <v>1.2</v>
      </c>
      <c r="I129" s="361">
        <f>IFERROR(F129*G129/1000,INDEX(cautao1,MATCH(C129,cautao2,0),5))</f>
        <v>1.5</v>
      </c>
      <c r="J129" s="361">
        <f>I129*H129</f>
        <v>1.7999999999999998</v>
      </c>
    </row>
    <row r="130" spans="1:10" ht="15" customHeight="1">
      <c r="A130" s="457" t="str">
        <f t="shared" si="15"/>
        <v/>
      </c>
      <c r="B130" s="414"/>
      <c r="C130" s="1046" t="str">
        <f>IF(Menu!$C$7 = "V","",IF(INDEX(cautao1,MATCH(C129,cautao2,0),26)&lt;&gt;"",INDEX(cautao1,MATCH(C129,cautao2,0),26),""))</f>
        <v/>
      </c>
      <c r="D130" s="1047"/>
      <c r="E130" s="1048"/>
      <c r="F130" s="362"/>
      <c r="G130" s="362"/>
      <c r="H130" s="715"/>
      <c r="I130" s="366"/>
      <c r="J130" s="367"/>
    </row>
    <row r="131" spans="1:10" ht="15" customHeight="1">
      <c r="A131" s="457">
        <f t="shared" si="15"/>
        <v>1</v>
      </c>
      <c r="B131" s="414"/>
      <c r="C131" s="1043" t="s">
        <v>2246</v>
      </c>
      <c r="D131" s="1044"/>
      <c r="E131" s="1045"/>
      <c r="F131" s="363">
        <f>IF(INDEX(cautao1,MATCH($C131,cautao2,0),2)&lt;&gt;"",INDEX(cautao1,MATCH($C131,cautao2,0),2),"")</f>
        <v>200</v>
      </c>
      <c r="G131" s="363">
        <f>INDEX(cautao1,MATCH($C131,cautao2,0),3)</f>
        <v>18</v>
      </c>
      <c r="H131" s="361">
        <f>INDEX(cautao1,MATCH($C131,cautao2,0),4)</f>
        <v>1.3</v>
      </c>
      <c r="I131" s="361">
        <f>IFERROR(F131*G131/1000,INDEX(cautao1,MATCH(C131,cautao2,0),5))</f>
        <v>3.6</v>
      </c>
      <c r="J131" s="361">
        <f>I131*H131</f>
        <v>4.6800000000000006</v>
      </c>
    </row>
    <row r="132" spans="1:10" ht="15" customHeight="1">
      <c r="A132" s="457" t="str">
        <f t="shared" si="15"/>
        <v/>
      </c>
      <c r="B132" s="414"/>
      <c r="C132" s="1046" t="str">
        <f>IF(Menu!$C$7 = "V","",IF(INDEX(cautao1,MATCH(C131,cautao2,0),26)&lt;&gt;"",INDEX(cautao1,MATCH(C131,cautao2,0),26),""))</f>
        <v/>
      </c>
      <c r="D132" s="1047"/>
      <c r="E132" s="1048"/>
      <c r="F132" s="362"/>
      <c r="G132" s="362"/>
      <c r="H132" s="715"/>
      <c r="I132" s="366"/>
      <c r="J132" s="367"/>
    </row>
    <row r="133" spans="1:10" ht="15" customHeight="1">
      <c r="A133" s="457">
        <f t="shared" si="15"/>
        <v>1</v>
      </c>
      <c r="B133" s="414"/>
      <c r="C133" s="1043" t="s">
        <v>1816</v>
      </c>
      <c r="D133" s="1044"/>
      <c r="E133" s="1045"/>
      <c r="F133" s="363">
        <f>IF(INDEX(cautao1,MATCH($C133,cautao2,0),2)&lt;&gt;"",INDEX(cautao1,MATCH($C133,cautao2,0),2),"")</f>
        <v>35</v>
      </c>
      <c r="G133" s="363">
        <f>INDEX(cautao1,MATCH($C133,cautao2,0),3)</f>
        <v>18</v>
      </c>
      <c r="H133" s="361">
        <f>INDEX(cautao1,MATCH($C133,cautao2,0),4)</f>
        <v>1.3</v>
      </c>
      <c r="I133" s="361">
        <f>IFERROR(F133*G133/1000,INDEX(cautao1,MATCH(C133,cautao2,0),5))</f>
        <v>0.63</v>
      </c>
      <c r="J133" s="361">
        <f>I133*H133</f>
        <v>0.81900000000000006</v>
      </c>
    </row>
    <row r="134" spans="1:10" ht="15" customHeight="1">
      <c r="A134" s="457" t="str">
        <f t="shared" si="15"/>
        <v/>
      </c>
      <c r="B134" s="414"/>
      <c r="C134" s="1046" t="str">
        <f>IF(Menu!$C$7 = "V","",IF(INDEX(cautao1,MATCH(C133,cautao2,0),26)&lt;&gt;"",INDEX(cautao1,MATCH(C133,cautao2,0),26),""))</f>
        <v/>
      </c>
      <c r="D134" s="1047"/>
      <c r="E134" s="1048"/>
      <c r="F134" s="362"/>
      <c r="G134" s="362"/>
      <c r="H134" s="715"/>
      <c r="I134" s="366"/>
      <c r="J134" s="367"/>
    </row>
    <row r="135" spans="1:10" ht="15" customHeight="1">
      <c r="A135" s="457">
        <f t="shared" si="15"/>
        <v>1</v>
      </c>
      <c r="B135" s="414"/>
      <c r="C135" s="1043" t="s">
        <v>1657</v>
      </c>
      <c r="D135" s="1044"/>
      <c r="E135" s="1045"/>
      <c r="F135" s="363">
        <f>IF(INDEX(cautao1,MATCH($C135,cautao2,0),2)&lt;&gt;"",INDEX(cautao1,MATCH($C135,cautao2,0),2),"")</f>
        <v>20</v>
      </c>
      <c r="G135" s="363">
        <f>INDEX(cautao1,MATCH($C135,cautao2,0),3)</f>
        <v>10</v>
      </c>
      <c r="H135" s="361">
        <f>INDEX(cautao1,MATCH($C135,cautao2,0),4)</f>
        <v>1.3</v>
      </c>
      <c r="I135" s="361">
        <f>IFERROR(F135*G135/1000,INDEX(cautao1,MATCH(C135,cautao2,0),5))</f>
        <v>0.2</v>
      </c>
      <c r="J135" s="361">
        <f>I135*H135</f>
        <v>0.26</v>
      </c>
    </row>
    <row r="136" spans="1:10" ht="15" customHeight="1">
      <c r="A136" s="457" t="str">
        <f t="shared" si="15"/>
        <v/>
      </c>
      <c r="B136" s="414"/>
      <c r="C136" s="1046" t="str">
        <f>IF(Menu!$C$7 = "V","",IF(INDEX(cautao1,MATCH(C135,cautao2,0),26)&lt;&gt;"",INDEX(cautao1,MATCH(C135,cautao2,0),26),""))</f>
        <v/>
      </c>
      <c r="D136" s="1047"/>
      <c r="E136" s="1048"/>
      <c r="F136" s="344"/>
      <c r="G136" s="362"/>
      <c r="H136" s="715"/>
      <c r="I136" s="366"/>
      <c r="J136" s="367"/>
    </row>
    <row r="137" spans="1:10" ht="15" customHeight="1">
      <c r="A137" s="457">
        <f t="shared" si="15"/>
        <v>1</v>
      </c>
      <c r="B137" s="414"/>
      <c r="C137" s="1043" t="s">
        <v>1817</v>
      </c>
      <c r="D137" s="1044"/>
      <c r="E137" s="1045"/>
      <c r="F137" s="363" t="str">
        <f>IF(INDEX(cautao1,MATCH($C137,cautao2,0),2)&lt;&gt;"",INDEX(cautao1,MATCH($C137,cautao2,0),2),"")</f>
        <v/>
      </c>
      <c r="G137" s="363" t="str">
        <f>INDEX(cautao1,MATCH($C137,cautao2,0),3)</f>
        <v/>
      </c>
      <c r="H137" s="361">
        <f>INDEX(cautao1,MATCH($C137,cautao2,0),4)</f>
        <v>1.2</v>
      </c>
      <c r="I137" s="361">
        <f>IFERROR(F137*G137/1000,INDEX(cautao1,MATCH(C137,cautao2,0),5))</f>
        <v>0.3</v>
      </c>
      <c r="J137" s="361">
        <f>I137*H137</f>
        <v>0.36</v>
      </c>
    </row>
    <row r="138" spans="1:10" ht="15" customHeight="1">
      <c r="A138" s="457" t="str">
        <f t="shared" si="15"/>
        <v/>
      </c>
      <c r="B138" s="414"/>
      <c r="C138" s="1046" t="str">
        <f>IF(Menu!$C$7 = "V","",IF(INDEX(cautao1,MATCH(C137,cautao2,0),26)&lt;&gt;"",INDEX(cautao1,MATCH(C137,cautao2,0),26),""))</f>
        <v/>
      </c>
      <c r="D138" s="1047"/>
      <c r="E138" s="1048"/>
      <c r="F138" s="344"/>
      <c r="G138" s="721"/>
      <c r="H138" s="722"/>
      <c r="I138" s="366"/>
      <c r="J138" s="367"/>
    </row>
    <row r="139" spans="1:10" ht="15" customHeight="1">
      <c r="A139" s="457">
        <f t="shared" si="15"/>
        <v>1</v>
      </c>
      <c r="B139" s="414"/>
      <c r="C139" s="353" t="str">
        <f>IF(Menu!$C$7 = "V","Tổng tải trọng phân bố trên sàn"," Tổng tải trọng phân bố trên sàn/ Total surface load on slab")</f>
        <v>Tổng tải trọng phân bố trên sàn</v>
      </c>
      <c r="D139" s="354"/>
      <c r="E139" s="354"/>
      <c r="F139" s="352"/>
      <c r="G139" s="352"/>
      <c r="H139" s="352"/>
      <c r="I139" s="360"/>
      <c r="J139" s="365">
        <f>SUM(J129:J138)</f>
        <v>7.9190000000000005</v>
      </c>
    </row>
    <row r="140" spans="1:10" ht="20.100000000000001" hidden="1" customHeight="1">
      <c r="A140" s="457">
        <f t="shared" si="15"/>
        <v>1</v>
      </c>
      <c r="B140" s="569" t="s">
        <v>2062</v>
      </c>
      <c r="C140" s="423" t="str">
        <f>IF(Menu!$C$7 = "V","Mái ngói, hệ xà gồ gỗ","Mái ngói hệ xà gồ gỗ/ Tile roof, timber beam with ledge strips")</f>
        <v>Mái ngói, hệ xà gồ gỗ</v>
      </c>
      <c r="D140" s="356"/>
      <c r="E140" s="356"/>
      <c r="F140" s="355"/>
      <c r="G140" s="355"/>
      <c r="H140" s="355"/>
      <c r="I140" s="355"/>
      <c r="J140" s="355"/>
    </row>
    <row r="141" spans="1:10" ht="20.100000000000001" hidden="1" customHeight="1">
      <c r="A141" s="457">
        <f t="shared" si="15"/>
        <v>1</v>
      </c>
      <c r="B141" s="414"/>
      <c r="C141" s="1050" t="str">
        <f>IF(Menu!$C$7 = "V","Các lớp vật liệu",IF(Menu!$C$7 ="E", "Material's layers","Các lớp vật liệu/Material's layers"))</f>
        <v>Các lớp vật liệu</v>
      </c>
      <c r="D141" s="1051"/>
      <c r="E141" s="1052"/>
      <c r="F141" s="416" t="s">
        <v>875</v>
      </c>
      <c r="G141" s="410" t="s">
        <v>1753</v>
      </c>
      <c r="H141" s="1049" t="s">
        <v>1775</v>
      </c>
      <c r="I141" s="417" t="s">
        <v>1764</v>
      </c>
      <c r="J141" s="417" t="s">
        <v>1766</v>
      </c>
    </row>
    <row r="142" spans="1:10" ht="19.5" hidden="1">
      <c r="A142" s="457">
        <v>1</v>
      </c>
      <c r="B142" s="414"/>
      <c r="C142" s="1053"/>
      <c r="D142" s="1054"/>
      <c r="E142" s="1055"/>
      <c r="F142" s="398" t="s">
        <v>1750</v>
      </c>
      <c r="G142" s="398" t="s">
        <v>1751</v>
      </c>
      <c r="H142" s="1042"/>
      <c r="I142" s="398" t="s">
        <v>1752</v>
      </c>
      <c r="J142" s="398" t="s">
        <v>1752</v>
      </c>
    </row>
    <row r="143" spans="1:10" ht="15" hidden="1" customHeight="1">
      <c r="A143" s="457">
        <f t="shared" si="15"/>
        <v>1</v>
      </c>
      <c r="B143" s="414"/>
      <c r="C143" s="1043" t="s">
        <v>2071</v>
      </c>
      <c r="D143" s="1044"/>
      <c r="E143" s="1045"/>
      <c r="F143" s="363" t="e">
        <f>IF(INDEX(cautao1,MATCH($C143,cautao2,0),2)&lt;&gt;"",INDEX(cautao1,MATCH($C143,cautao2,0),2),"")</f>
        <v>#N/A</v>
      </c>
      <c r="G143" s="363" t="e">
        <f>INDEX(cautao1,MATCH($C143,cautao2,0),3)</f>
        <v>#N/A</v>
      </c>
      <c r="H143" s="361" t="e">
        <f>INDEX(cautao1,MATCH($C143,cautao2,0),4)</f>
        <v>#N/A</v>
      </c>
      <c r="I143" s="361" t="e">
        <f>IFERROR(F143*G143/1000,INDEX(cautao1,MATCH(C143,cautao2,0),5))</f>
        <v>#N/A</v>
      </c>
      <c r="J143" s="361" t="e">
        <f>I143*H143</f>
        <v>#N/A</v>
      </c>
    </row>
    <row r="144" spans="1:10" ht="15" hidden="1" customHeight="1">
      <c r="A144" s="457" t="str">
        <f t="shared" si="15"/>
        <v/>
      </c>
      <c r="B144" s="414"/>
      <c r="C144" s="1046" t="str">
        <f>IF(Menu!$C$7 = "V","",IF(INDEX(cautao1,MATCH(C143,cautao2,0),26)&lt;&gt;"",INDEX(cautao1,MATCH(C143,cautao2,0),26),""))</f>
        <v/>
      </c>
      <c r="D144" s="1047"/>
      <c r="E144" s="1048"/>
      <c r="F144" s="375"/>
      <c r="G144" s="362"/>
      <c r="H144" s="715"/>
      <c r="I144" s="366"/>
      <c r="J144" s="367"/>
    </row>
    <row r="145" spans="1:10" ht="15" hidden="1" customHeight="1">
      <c r="A145" s="457">
        <f t="shared" si="15"/>
        <v>1</v>
      </c>
      <c r="B145" s="414"/>
      <c r="C145" s="1043" t="s">
        <v>2058</v>
      </c>
      <c r="D145" s="1044"/>
      <c r="E145" s="1045"/>
      <c r="F145" s="363" t="e">
        <f>IF(INDEX(cautao1,MATCH($C145,cautao2,0),2)&lt;&gt;"",INDEX(cautao1,MATCH($C145,cautao2,0),2),"")</f>
        <v>#N/A</v>
      </c>
      <c r="G145" s="363" t="e">
        <f>INDEX(cautao1,MATCH($C145,cautao2,0),3)</f>
        <v>#N/A</v>
      </c>
      <c r="H145" s="361" t="e">
        <f>INDEX(cautao1,MATCH($C145,cautao2,0),4)</f>
        <v>#N/A</v>
      </c>
      <c r="I145" s="361" t="e">
        <f>IFERROR(F145*G145/1000,INDEX(cautao1,MATCH(C145,cautao2,0),5))</f>
        <v>#N/A</v>
      </c>
      <c r="J145" s="361" t="e">
        <f>I145*H145</f>
        <v>#N/A</v>
      </c>
    </row>
    <row r="146" spans="1:10" ht="15" hidden="1" customHeight="1">
      <c r="A146" s="457" t="str">
        <f t="shared" si="15"/>
        <v/>
      </c>
      <c r="B146" s="414"/>
      <c r="C146" s="1046" t="str">
        <f>IF(Menu!$C$7 = "V","",IF(INDEX(cautao1,MATCH(C145,cautao2,0),26)&lt;&gt;"",INDEX(cautao1,MATCH(C145,cautao2,0),26),""))</f>
        <v/>
      </c>
      <c r="D146" s="1047"/>
      <c r="E146" s="1048"/>
      <c r="F146" s="344"/>
      <c r="G146" s="362"/>
      <c r="H146" s="715"/>
      <c r="I146" s="366"/>
      <c r="J146" s="367"/>
    </row>
    <row r="147" spans="1:10" ht="15" hidden="1" customHeight="1">
      <c r="A147" s="457">
        <f t="shared" si="15"/>
        <v>1</v>
      </c>
      <c r="B147" s="414"/>
      <c r="C147" s="347" t="str">
        <f>IF(Menu!$C$7 = "V","Tổng tải trọng phân bố"," Tổng tải trọng phân bố/ Total surface load")</f>
        <v>Tổng tải trọng phân bố</v>
      </c>
      <c r="D147" s="354"/>
      <c r="E147" s="354"/>
      <c r="F147" s="352"/>
      <c r="G147" s="352"/>
      <c r="H147" s="352"/>
      <c r="I147" s="360"/>
      <c r="J147" s="365" t="e">
        <f>SUM(J143:J146)</f>
        <v>#N/A</v>
      </c>
    </row>
    <row r="148" spans="1:10" ht="20.100000000000001" hidden="1" customHeight="1">
      <c r="A148" s="457">
        <f t="shared" ref="A148:A149" si="16">IF(C148="","",1)</f>
        <v>1</v>
      </c>
      <c r="B148" s="569" t="s">
        <v>2082</v>
      </c>
      <c r="C148" s="423" t="str">
        <f>IF(Menu!$C$7 = "V","Mái ngói, hệ xà gồ thép","Mái ngói hệ xà gồ thép/ Tile roof, steel beam with ledge strips")</f>
        <v>Mái ngói, hệ xà gồ thép</v>
      </c>
      <c r="D148" s="356"/>
      <c r="E148" s="356"/>
      <c r="F148" s="355"/>
      <c r="G148" s="355"/>
      <c r="H148" s="355"/>
      <c r="I148" s="355"/>
      <c r="J148" s="355"/>
    </row>
    <row r="149" spans="1:10" ht="20.100000000000001" hidden="1" customHeight="1">
      <c r="A149" s="457">
        <f t="shared" si="16"/>
        <v>1</v>
      </c>
      <c r="B149" s="414"/>
      <c r="C149" s="1050" t="str">
        <f>IF(Menu!$C$7 = "V","Các lớp vật liệu",IF(Menu!$C$7 ="E", "Material's layers","Các lớp vật liệu/Material's layers"))</f>
        <v>Các lớp vật liệu</v>
      </c>
      <c r="D149" s="1051"/>
      <c r="E149" s="1052"/>
      <c r="F149" s="416" t="s">
        <v>875</v>
      </c>
      <c r="G149" s="410" t="s">
        <v>1753</v>
      </c>
      <c r="H149" s="1049" t="s">
        <v>1775</v>
      </c>
      <c r="I149" s="417" t="s">
        <v>1764</v>
      </c>
      <c r="J149" s="417" t="s">
        <v>1766</v>
      </c>
    </row>
    <row r="150" spans="1:10" ht="19.5" hidden="1">
      <c r="A150" s="457">
        <v>1</v>
      </c>
      <c r="B150" s="414"/>
      <c r="C150" s="1053"/>
      <c r="D150" s="1054"/>
      <c r="E150" s="1055"/>
      <c r="F150" s="398" t="s">
        <v>1750</v>
      </c>
      <c r="G150" s="398" t="s">
        <v>1751</v>
      </c>
      <c r="H150" s="1042"/>
      <c r="I150" s="398" t="s">
        <v>1752</v>
      </c>
      <c r="J150" s="398" t="s">
        <v>1752</v>
      </c>
    </row>
    <row r="151" spans="1:10" ht="15" hidden="1" customHeight="1">
      <c r="A151" s="457">
        <f t="shared" ref="A151:A157" si="17">IF(C151="","",1)</f>
        <v>1</v>
      </c>
      <c r="B151" s="414"/>
      <c r="C151" s="1043" t="s">
        <v>2072</v>
      </c>
      <c r="D151" s="1044"/>
      <c r="E151" s="1045"/>
      <c r="F151" s="363" t="e">
        <f>IF(INDEX(cautao1,MATCH($C151,cautao2,0),2)&lt;&gt;"",INDEX(cautao1,MATCH($C151,cautao2,0),2),"")</f>
        <v>#N/A</v>
      </c>
      <c r="G151" s="363" t="e">
        <f>INDEX(cautao1,MATCH($C151,cautao2,0),3)</f>
        <v>#N/A</v>
      </c>
      <c r="H151" s="361" t="e">
        <f>INDEX(cautao1,MATCH($C151,cautao2,0),4)</f>
        <v>#N/A</v>
      </c>
      <c r="I151" s="361" t="e">
        <f>IFERROR(F151*G151/1000,INDEX(cautao1,MATCH(C151,cautao2,0),5))</f>
        <v>#N/A</v>
      </c>
      <c r="J151" s="361" t="e">
        <f>I151*H151</f>
        <v>#N/A</v>
      </c>
    </row>
    <row r="152" spans="1:10" ht="15" hidden="1" customHeight="1">
      <c r="A152" s="457" t="str">
        <f t="shared" si="17"/>
        <v/>
      </c>
      <c r="B152" s="414"/>
      <c r="C152" s="1046" t="str">
        <f>IF(Menu!$C$7 = "V","",IF(INDEX(cautao1,MATCH(C151,cautao2,0),26)&lt;&gt;"",INDEX(cautao1,MATCH(C151,cautao2,0),26),""))</f>
        <v/>
      </c>
      <c r="D152" s="1047"/>
      <c r="E152" s="1048"/>
      <c r="F152" s="375"/>
      <c r="G152" s="362"/>
      <c r="H152" s="715"/>
      <c r="I152" s="366"/>
      <c r="J152" s="367"/>
    </row>
    <row r="153" spans="1:10" ht="15" hidden="1" customHeight="1">
      <c r="A153" s="457">
        <f t="shared" si="17"/>
        <v>1</v>
      </c>
      <c r="B153" s="414"/>
      <c r="C153" s="1043" t="s">
        <v>1817</v>
      </c>
      <c r="D153" s="1044"/>
      <c r="E153" s="1045"/>
      <c r="F153" s="363" t="str">
        <f>IF(INDEX(cautao1,MATCH($C153,cautao2,0),2)&lt;&gt;"",INDEX(cautao1,MATCH($C153,cautao2,0),2),"")</f>
        <v/>
      </c>
      <c r="G153" s="363" t="str">
        <f>INDEX(cautao1,MATCH($C153,cautao2,0),3)</f>
        <v/>
      </c>
      <c r="H153" s="361">
        <f>INDEX(cautao1,MATCH($C153,cautao2,0),4)</f>
        <v>1.2</v>
      </c>
      <c r="I153" s="361">
        <f>IFERROR(F153*G153/1000,INDEX(cautao1,MATCH(C153,cautao2,0),5))</f>
        <v>0.3</v>
      </c>
      <c r="J153" s="361">
        <f>I153*H153</f>
        <v>0.36</v>
      </c>
    </row>
    <row r="154" spans="1:10" ht="15" hidden="1" customHeight="1">
      <c r="A154" s="457" t="str">
        <f t="shared" si="17"/>
        <v/>
      </c>
      <c r="B154" s="414"/>
      <c r="C154" s="1046" t="str">
        <f>IF(Menu!$C$7 = "V","",IF(INDEX(cautao1,MATCH(C153,cautao2,0),26)&lt;&gt;"",INDEX(cautao1,MATCH(C153,cautao2,0),26),""))</f>
        <v/>
      </c>
      <c r="D154" s="1047"/>
      <c r="E154" s="1048"/>
      <c r="F154" s="344"/>
      <c r="G154" s="362"/>
      <c r="H154" s="715"/>
      <c r="I154" s="366"/>
      <c r="J154" s="367"/>
    </row>
    <row r="155" spans="1:10" ht="15" hidden="1" customHeight="1">
      <c r="A155" s="457">
        <f t="shared" si="17"/>
        <v>1</v>
      </c>
      <c r="B155" s="414"/>
      <c r="C155" s="347" t="str">
        <f>IF(Menu!$C$7 = "V","Tổng tải trọng phân bố"," Tổng tải trọng phân bố/ Total surface load")</f>
        <v>Tổng tải trọng phân bố</v>
      </c>
      <c r="D155" s="354"/>
      <c r="E155" s="354"/>
      <c r="F155" s="352"/>
      <c r="G155" s="352"/>
      <c r="H155" s="352"/>
      <c r="I155" s="360"/>
      <c r="J155" s="365" t="e">
        <f>SUM(J151:J154)</f>
        <v>#N/A</v>
      </c>
    </row>
    <row r="156" spans="1:10" ht="20.100000000000001" hidden="1" customHeight="1">
      <c r="A156" s="457">
        <f t="shared" si="17"/>
        <v>1</v>
      </c>
      <c r="B156" s="569" t="s">
        <v>2083</v>
      </c>
      <c r="C156" s="423" t="str">
        <f>IF(Menu!$C$7 = "V","Mái tôn, hệ xà gồ thép","Mái tôn, hệ xà gồ thép/Metal sheet roof covering, steel beam with ledge strips")</f>
        <v>Mái tôn, hệ xà gồ thép</v>
      </c>
      <c r="D156" s="356"/>
      <c r="E156" s="356"/>
      <c r="F156" s="355"/>
      <c r="G156" s="355"/>
      <c r="H156" s="355"/>
      <c r="I156" s="355"/>
      <c r="J156" s="355"/>
    </row>
    <row r="157" spans="1:10" ht="20.100000000000001" hidden="1" customHeight="1">
      <c r="A157" s="457">
        <f t="shared" si="17"/>
        <v>1</v>
      </c>
      <c r="B157" s="414"/>
      <c r="C157" s="1050" t="str">
        <f>IF(Menu!$C$7 = "V","Các lớp vật liệu",IF(Menu!$C$7 ="E", "Material's layers","Các lớp vật liệu/Material's layers"))</f>
        <v>Các lớp vật liệu</v>
      </c>
      <c r="D157" s="1051"/>
      <c r="E157" s="1052"/>
      <c r="F157" s="416" t="s">
        <v>875</v>
      </c>
      <c r="G157" s="410" t="s">
        <v>1753</v>
      </c>
      <c r="H157" s="1049" t="s">
        <v>1775</v>
      </c>
      <c r="I157" s="417" t="s">
        <v>1764</v>
      </c>
      <c r="J157" s="417" t="s">
        <v>1766</v>
      </c>
    </row>
    <row r="158" spans="1:10" ht="19.5" hidden="1">
      <c r="A158" s="457">
        <v>1</v>
      </c>
      <c r="B158" s="414"/>
      <c r="C158" s="1053"/>
      <c r="D158" s="1054"/>
      <c r="E158" s="1055"/>
      <c r="F158" s="398" t="s">
        <v>1750</v>
      </c>
      <c r="G158" s="398" t="s">
        <v>1751</v>
      </c>
      <c r="H158" s="1042"/>
      <c r="I158" s="398" t="s">
        <v>1752</v>
      </c>
      <c r="J158" s="398" t="s">
        <v>1752</v>
      </c>
    </row>
    <row r="159" spans="1:10" ht="15" hidden="1" customHeight="1">
      <c r="A159" s="457">
        <f t="shared" ref="A159:A163" si="18">IF(C159="","",1)</f>
        <v>1</v>
      </c>
      <c r="B159" s="414"/>
      <c r="C159" s="1043" t="s">
        <v>2070</v>
      </c>
      <c r="D159" s="1044"/>
      <c r="E159" s="1045"/>
      <c r="F159" s="363" t="e">
        <f>IF(INDEX(cautao1,MATCH($C159,cautao2,0),2)&lt;&gt;"",INDEX(cautao1,MATCH($C159,cautao2,0),2),"")</f>
        <v>#N/A</v>
      </c>
      <c r="G159" s="363" t="e">
        <f>INDEX(cautao1,MATCH($C159,cautao2,0),3)</f>
        <v>#N/A</v>
      </c>
      <c r="H159" s="361" t="e">
        <f>INDEX(cautao1,MATCH($C159,cautao2,0),4)</f>
        <v>#N/A</v>
      </c>
      <c r="I159" s="361" t="e">
        <f>IFERROR(F159*G159/1000,INDEX(cautao1,MATCH(C159,cautao2,0),5))</f>
        <v>#N/A</v>
      </c>
      <c r="J159" s="361" t="e">
        <f>I159*H159</f>
        <v>#N/A</v>
      </c>
    </row>
    <row r="160" spans="1:10" ht="33" hidden="1" customHeight="1">
      <c r="A160" s="457" t="str">
        <f t="shared" si="18"/>
        <v/>
      </c>
      <c r="B160" s="414"/>
      <c r="C160" s="1046" t="str">
        <f>IF(Menu!$C$7 = "V","",IF(INDEX(cautao1,MATCH(C159,cautao2,0),26)&lt;&gt;"",INDEX(cautao1,MATCH(C159,cautao2,0),26),""))</f>
        <v/>
      </c>
      <c r="D160" s="1047"/>
      <c r="E160" s="1048"/>
      <c r="F160" s="375"/>
      <c r="G160" s="362"/>
      <c r="H160" s="715"/>
      <c r="I160" s="366"/>
      <c r="J160" s="367"/>
    </row>
    <row r="161" spans="1:10" ht="15" hidden="1" customHeight="1">
      <c r="A161" s="457">
        <f t="shared" ref="A161:A162" si="19">IF(C161="","",1)</f>
        <v>1</v>
      </c>
      <c r="B161" s="414"/>
      <c r="C161" s="1043" t="s">
        <v>1817</v>
      </c>
      <c r="D161" s="1044"/>
      <c r="E161" s="1045"/>
      <c r="F161" s="363" t="str">
        <f>IF(INDEX(cautao1,MATCH($C161,cautao2,0),2)&lt;&gt;"",INDEX(cautao1,MATCH($C161,cautao2,0),2),"")</f>
        <v/>
      </c>
      <c r="G161" s="363" t="str">
        <f>INDEX(cautao1,MATCH($C161,cautao2,0),3)</f>
        <v/>
      </c>
      <c r="H161" s="361">
        <f>INDEX(cautao1,MATCH($C161,cautao2,0),4)</f>
        <v>1.2</v>
      </c>
      <c r="I161" s="361">
        <f>IFERROR(F161*G161/1000,INDEX(cautao1,MATCH(C161,cautao2,0),5))</f>
        <v>0.3</v>
      </c>
      <c r="J161" s="361">
        <f>I161*H161</f>
        <v>0.36</v>
      </c>
    </row>
    <row r="162" spans="1:10" ht="16.5" hidden="1" customHeight="1">
      <c r="A162" s="457" t="str">
        <f t="shared" si="19"/>
        <v/>
      </c>
      <c r="B162" s="414"/>
      <c r="C162" s="1046" t="str">
        <f>IF(Menu!$C$7 = "V","",IF(INDEX(cautao1,MATCH(C161,cautao2,0),26)&lt;&gt;"",INDEX(cautao1,MATCH(C161,cautao2,0),26),""))</f>
        <v/>
      </c>
      <c r="D162" s="1047"/>
      <c r="E162" s="1048"/>
      <c r="F162" s="375"/>
      <c r="G162" s="362"/>
      <c r="H162" s="715"/>
      <c r="I162" s="366"/>
      <c r="J162" s="367"/>
    </row>
    <row r="163" spans="1:10" ht="15" hidden="1" customHeight="1">
      <c r="A163" s="457">
        <f t="shared" si="18"/>
        <v>1</v>
      </c>
      <c r="B163" s="414"/>
      <c r="C163" s="347" t="str">
        <f>IF(Menu!$C$7 = "V","Tổng tải trọng phân bố"," Tổng tải trọng phân bố/ Total surface load")</f>
        <v>Tổng tải trọng phân bố</v>
      </c>
      <c r="D163" s="354"/>
      <c r="E163" s="354"/>
      <c r="F163" s="352"/>
      <c r="G163" s="352"/>
      <c r="H163" s="352"/>
      <c r="I163" s="360"/>
      <c r="J163" s="365" t="e">
        <f>SUM(J159:J162)</f>
        <v>#N/A</v>
      </c>
    </row>
    <row r="164" spans="1:10" ht="9.75" customHeight="1">
      <c r="A164" s="457">
        <v>1</v>
      </c>
      <c r="B164" s="414"/>
      <c r="C164" s="422"/>
      <c r="D164" s="379"/>
      <c r="E164" s="379"/>
      <c r="F164" s="380"/>
      <c r="G164" s="380"/>
      <c r="H164" s="380"/>
      <c r="I164" s="359"/>
      <c r="J164" s="418"/>
    </row>
    <row r="165" spans="1:10" ht="20.100000000000001" customHeight="1">
      <c r="A165" s="457">
        <f t="shared" si="15"/>
        <v>1</v>
      </c>
      <c r="B165" s="420" t="s">
        <v>1778</v>
      </c>
      <c r="C165" s="422" t="str">
        <f>IF(Menu!$C$7 = "V","Tĩnh tải tường"," Tĩnh tải tường/Wall dead loads")</f>
        <v>Tĩnh tải tường</v>
      </c>
      <c r="D165" s="901"/>
      <c r="E165" s="901"/>
      <c r="F165" s="899"/>
      <c r="G165" s="900"/>
      <c r="H165" s="900"/>
      <c r="I165" s="900"/>
      <c r="J165" s="900"/>
    </row>
    <row r="166" spans="1:10" ht="20.100000000000001" customHeight="1">
      <c r="A166" s="457">
        <f t="shared" si="15"/>
        <v>1</v>
      </c>
      <c r="B166" s="569" t="s">
        <v>1782</v>
      </c>
      <c r="C166" s="909" t="str">
        <f>IF(Menu!$C$7 = "V","Chiều cao tường:","Chiều cao tường/Wall height:")</f>
        <v>Chiều cao tường:</v>
      </c>
      <c r="D166" s="911"/>
      <c r="E166" s="906" t="s">
        <v>2114</v>
      </c>
      <c r="F166" s="905">
        <f>INDEX(Menu!$D$54:$H$84,MATCH(E166,Menu!$D$54:$D$84,0),2)</f>
        <v>5.2</v>
      </c>
      <c r="G166" s="889" t="s">
        <v>2124</v>
      </c>
      <c r="H166" s="905">
        <f>INDEX(Menu!$D$54:$H$84,MATCH(E166,Menu!$D$54:$D$84,0),5)</f>
        <v>0.4</v>
      </c>
      <c r="I166" s="889" t="s">
        <v>2125</v>
      </c>
      <c r="J166" s="907">
        <f>INDEX(Menu!$D$54:$H$84,MATCH(E166,Menu!$D$54:$D$84,0),4)</f>
        <v>0.7</v>
      </c>
    </row>
    <row r="167" spans="1:10" ht="20.100000000000001" customHeight="1">
      <c r="A167" s="457">
        <f t="shared" si="15"/>
        <v>1</v>
      </c>
      <c r="B167" s="414"/>
      <c r="C167" s="1058" t="str">
        <f>IF(Menu!$C$7 = "V","Các lớp vật liệu",IF(Menu!$C$7 ="E", "Material's layers","Các lớp vật liệu/Material's layers"))</f>
        <v>Các lớp vật liệu</v>
      </c>
      <c r="D167" s="1059"/>
      <c r="E167" s="1060"/>
      <c r="F167" s="416" t="s">
        <v>875</v>
      </c>
      <c r="G167" s="902" t="s">
        <v>1753</v>
      </c>
      <c r="H167" s="1041" t="s">
        <v>1775</v>
      </c>
      <c r="I167" s="903" t="s">
        <v>1764</v>
      </c>
      <c r="J167" s="903" t="s">
        <v>1766</v>
      </c>
    </row>
    <row r="168" spans="1:10" ht="19.5">
      <c r="A168" s="457">
        <v>1</v>
      </c>
      <c r="B168" s="414"/>
      <c r="C168" s="1053"/>
      <c r="D168" s="1054"/>
      <c r="E168" s="1055"/>
      <c r="F168" s="398" t="s">
        <v>1750</v>
      </c>
      <c r="G168" s="398" t="s">
        <v>1751</v>
      </c>
      <c r="H168" s="1042"/>
      <c r="I168" s="398" t="s">
        <v>1752</v>
      </c>
      <c r="J168" s="398" t="s">
        <v>1752</v>
      </c>
    </row>
    <row r="169" spans="1:10" ht="15" customHeight="1">
      <c r="A169" s="457">
        <f t="shared" ref="A169:A176" si="20">IF(C169="","",1)</f>
        <v>1</v>
      </c>
      <c r="B169" s="414"/>
      <c r="C169" s="1043" t="s">
        <v>2102</v>
      </c>
      <c r="D169" s="1044"/>
      <c r="E169" s="1045"/>
      <c r="F169" s="363">
        <f>IF(INDEX(cautaotuong,MATCH($C169,loaituong1,0),2)&lt;&gt;"",INDEX(cautaotuong,MATCH($C169,loaituong1,0),2),"")</f>
        <v>30</v>
      </c>
      <c r="G169" s="363">
        <f>IF(INDEX(cautaotuong,MATCH($C169,loaituong1,0),3)&lt;&gt;"",INDEX(cautaotuong,MATCH($C169,loaituong1,0),3),"")</f>
        <v>18</v>
      </c>
      <c r="H169" s="361">
        <f>IF(INDEX(cautaotuong,MATCH($C169,loaituong1,0),4)&lt;&gt;"",INDEX(cautaotuong,MATCH($C169,loaituong1,0),4),"")</f>
        <v>1.3</v>
      </c>
      <c r="I169" s="361">
        <f>IFERROR(F169*G169/1000,INDEX(cautaotuong,MATCH(C169,loaituong1,0),5))</f>
        <v>0.54</v>
      </c>
      <c r="J169" s="361">
        <f>I169*H169</f>
        <v>0.70200000000000007</v>
      </c>
    </row>
    <row r="170" spans="1:10" ht="16.5" customHeight="1">
      <c r="A170" s="457" t="str">
        <f t="shared" si="20"/>
        <v/>
      </c>
      <c r="B170" s="414"/>
      <c r="C170" s="1046" t="str">
        <f>IF(Menu!$C$7 = "V","",IF(INDEX(loaituong,MATCH(C169,loaituong1,0),2)&lt;&gt;"",INDEX(loaituong,MATCH(C169,loaituong1,0),2),""))</f>
        <v/>
      </c>
      <c r="D170" s="1047"/>
      <c r="E170" s="1048"/>
      <c r="F170" s="375"/>
      <c r="G170" s="362"/>
      <c r="H170" s="715"/>
      <c r="I170" s="366"/>
      <c r="J170" s="367"/>
    </row>
    <row r="171" spans="1:10" ht="15" customHeight="1">
      <c r="A171" s="457">
        <f t="shared" si="20"/>
        <v>1</v>
      </c>
      <c r="B171" s="414"/>
      <c r="C171" s="1043" t="s">
        <v>2254</v>
      </c>
      <c r="D171" s="1044"/>
      <c r="E171" s="1045"/>
      <c r="F171" s="363">
        <f>IF(INDEX(cautaotuong,MATCH($C171,loaituong1,0),2)&lt;&gt;"",INDEX(cautaotuong,MATCH($C171,loaituong1,0),2),"")</f>
        <v>220</v>
      </c>
      <c r="G171" s="363">
        <f>IF(INDEX(cautaotuong,MATCH($C171,loaituong1,0),3)&lt;&gt;"",INDEX(cautaotuong,MATCH($C171,loaituong1,0),3),"")</f>
        <v>18</v>
      </c>
      <c r="H171" s="361">
        <f>IF(INDEX(cautaotuong,MATCH($C171,loaituong1,0),4)&lt;&gt;"",INDEX(cautaotuong,MATCH($C171,loaituong1,0),4),"")</f>
        <v>1.1000000000000001</v>
      </c>
      <c r="I171" s="361">
        <f>IFERROR(F171*G171/1000,INDEX(cautaotuong,MATCH(C171,loaituong1,0),5))</f>
        <v>3.96</v>
      </c>
      <c r="J171" s="361">
        <f>I171*H171</f>
        <v>4.3559999999999999</v>
      </c>
    </row>
    <row r="172" spans="1:10" ht="16.5">
      <c r="A172" s="457" t="str">
        <f t="shared" si="20"/>
        <v/>
      </c>
      <c r="B172" s="414"/>
      <c r="C172" s="1046" t="str">
        <f>IF(Menu!$C$7 = "V","",IF(INDEX(loaituong,MATCH(C171,loaituong1,0),2)&lt;&gt;"",INDEX(loaituong,MATCH(C171,loaituong1,0),2),""))</f>
        <v/>
      </c>
      <c r="D172" s="1047"/>
      <c r="E172" s="1048"/>
      <c r="F172" s="375"/>
      <c r="G172" s="362"/>
      <c r="H172" s="715"/>
      <c r="I172" s="366"/>
      <c r="J172" s="367"/>
    </row>
    <row r="173" spans="1:10" ht="15" customHeight="1">
      <c r="A173" s="457">
        <f t="shared" ref="A173" si="21">IF(C173="","",1)</f>
        <v>1</v>
      </c>
      <c r="B173" s="414"/>
      <c r="C173" s="347" t="str">
        <f>IF(Menu!$C$7 = "V","Tải tường phân bố trên 1m"," Tải tường phân bố trên 1m/ Wall dead surface load per 1m")</f>
        <v>Tải tường phân bố trên 1m</v>
      </c>
      <c r="D173" s="354"/>
      <c r="E173" s="354"/>
      <c r="F173" s="352"/>
      <c r="G173" s="352"/>
      <c r="H173" s="352"/>
      <c r="I173" s="365"/>
      <c r="J173" s="365">
        <f>SUM(J169:J172)*(F166-H166)</f>
        <v>24.278399999999998</v>
      </c>
    </row>
    <row r="174" spans="1:10" ht="15" customHeight="1">
      <c r="A174" s="457">
        <f t="shared" si="20"/>
        <v>1</v>
      </c>
      <c r="B174" s="414"/>
      <c r="C174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74" s="354"/>
      <c r="E174" s="354"/>
      <c r="F174" s="352"/>
      <c r="G174" s="352"/>
      <c r="H174" s="352"/>
      <c r="I174" s="360"/>
      <c r="J174" s="365">
        <f>J173*J166</f>
        <v>16.994879999999998</v>
      </c>
    </row>
    <row r="175" spans="1:10" ht="20.100000000000001" customHeight="1">
      <c r="A175" s="457">
        <f t="shared" si="20"/>
        <v>1</v>
      </c>
      <c r="B175" s="569" t="s">
        <v>1783</v>
      </c>
      <c r="C175" s="909" t="str">
        <f>IF(Menu!$C$7 = "V","Chiều cao tường:","Chiều cao tường/Wall height:")</f>
        <v>Chiều cao tường:</v>
      </c>
      <c r="D175" s="911"/>
      <c r="E175" s="906" t="s">
        <v>2115</v>
      </c>
      <c r="F175" s="905">
        <f>INDEX(Menu!$D$54:$H$84,MATCH(E175,Menu!$D$54:$D$84,0),2)</f>
        <v>4.2</v>
      </c>
      <c r="G175" s="889" t="s">
        <v>2124</v>
      </c>
      <c r="H175" s="905">
        <f>INDEX(Menu!$D$54:$H$84,MATCH(E175,Menu!$D$54:$D$84,0),5)</f>
        <v>0.4</v>
      </c>
      <c r="I175" s="889" t="s">
        <v>2125</v>
      </c>
      <c r="J175" s="907">
        <f>INDEX(Menu!$D$54:$H$84,MATCH(E175,Menu!$D$54:$D$84,0),4)</f>
        <v>0.7</v>
      </c>
    </row>
    <row r="176" spans="1:10" ht="20.100000000000001" customHeight="1">
      <c r="A176" s="457">
        <f t="shared" si="20"/>
        <v>1</v>
      </c>
      <c r="B176" s="414"/>
      <c r="C176" s="1058" t="str">
        <f>IF(Menu!$C$7 = "V","Các lớp vật liệu",IF(Menu!$C$7 ="E", "Material's layers","Các lớp vật liệu/Material's layers"))</f>
        <v>Các lớp vật liệu</v>
      </c>
      <c r="D176" s="1059"/>
      <c r="E176" s="1060"/>
      <c r="F176" s="416" t="s">
        <v>875</v>
      </c>
      <c r="G176" s="902" t="s">
        <v>1753</v>
      </c>
      <c r="H176" s="1041" t="s">
        <v>1775</v>
      </c>
      <c r="I176" s="903" t="s">
        <v>1764</v>
      </c>
      <c r="J176" s="903" t="s">
        <v>1766</v>
      </c>
    </row>
    <row r="177" spans="1:10" ht="19.5">
      <c r="A177" s="457">
        <v>1</v>
      </c>
      <c r="B177" s="414"/>
      <c r="C177" s="1053"/>
      <c r="D177" s="1054"/>
      <c r="E177" s="1055"/>
      <c r="F177" s="398" t="s">
        <v>1750</v>
      </c>
      <c r="G177" s="398" t="s">
        <v>1751</v>
      </c>
      <c r="H177" s="1042"/>
      <c r="I177" s="398" t="s">
        <v>1752</v>
      </c>
      <c r="J177" s="398" t="s">
        <v>1752</v>
      </c>
    </row>
    <row r="178" spans="1:10" ht="15" customHeight="1">
      <c r="A178" s="457">
        <f t="shared" ref="A178:A185" si="22">IF(C178="","",1)</f>
        <v>1</v>
      </c>
      <c r="B178" s="414"/>
      <c r="C178" s="1043" t="s">
        <v>2102</v>
      </c>
      <c r="D178" s="1044"/>
      <c r="E178" s="1045"/>
      <c r="F178" s="363">
        <f>IF(INDEX(cautaotuong,MATCH($C178,loaituong1,0),2)&lt;&gt;"",INDEX(cautaotuong,MATCH($C178,loaituong1,0),2),"")</f>
        <v>30</v>
      </c>
      <c r="G178" s="363">
        <f>IF(INDEX(cautaotuong,MATCH($C178,loaituong1,0),3)&lt;&gt;"",INDEX(cautaotuong,MATCH($C178,loaituong1,0),3),"")</f>
        <v>18</v>
      </c>
      <c r="H178" s="361">
        <f>IF(INDEX(cautaotuong,MATCH($C178,loaituong1,0),4)&lt;&gt;"",INDEX(cautaotuong,MATCH($C178,loaituong1,0),4),"")</f>
        <v>1.3</v>
      </c>
      <c r="I178" s="361">
        <f>IFERROR(F178*G178/1000,INDEX(cautaotuong,MATCH(C178,loaituong1,0),5))</f>
        <v>0.54</v>
      </c>
      <c r="J178" s="361">
        <f>I178*H178</f>
        <v>0.70200000000000007</v>
      </c>
    </row>
    <row r="179" spans="1:10" ht="16.5" customHeight="1">
      <c r="A179" s="457" t="str">
        <f t="shared" si="22"/>
        <v/>
      </c>
      <c r="B179" s="414"/>
      <c r="C179" s="1046" t="str">
        <f>IF(Menu!$C$7 = "V","",IF(INDEX(loaituong,MATCH(C178,loaituong1,0),2)&lt;&gt;"",INDEX(loaituong,MATCH(C178,loaituong1,0),2),""))</f>
        <v/>
      </c>
      <c r="D179" s="1047"/>
      <c r="E179" s="1048"/>
      <c r="F179" s="375"/>
      <c r="G179" s="362"/>
      <c r="H179" s="715"/>
      <c r="I179" s="366"/>
      <c r="J179" s="367"/>
    </row>
    <row r="180" spans="1:10" ht="15" customHeight="1">
      <c r="A180" s="457">
        <f t="shared" si="22"/>
        <v>1</v>
      </c>
      <c r="B180" s="414"/>
      <c r="C180" s="1043" t="s">
        <v>2254</v>
      </c>
      <c r="D180" s="1044"/>
      <c r="E180" s="1045"/>
      <c r="F180" s="363">
        <f>IF(INDEX(cautaotuong,MATCH($C180,loaituong1,0),2)&lt;&gt;"",INDEX(cautaotuong,MATCH($C180,loaituong1,0),2),"")</f>
        <v>220</v>
      </c>
      <c r="G180" s="363">
        <f>IF(INDEX(cautaotuong,MATCH($C180,loaituong1,0),3)&lt;&gt;"",INDEX(cautaotuong,MATCH($C180,loaituong1,0),3),"")</f>
        <v>18</v>
      </c>
      <c r="H180" s="361">
        <f>IF(INDEX(cautaotuong,MATCH($C180,loaituong1,0),4)&lt;&gt;"",INDEX(cautaotuong,MATCH($C180,loaituong1,0),4),"")</f>
        <v>1.1000000000000001</v>
      </c>
      <c r="I180" s="361">
        <f>IFERROR(F180*G180/1000,INDEX(cautaotuong,MATCH(C180,loaituong1,0),5))</f>
        <v>3.96</v>
      </c>
      <c r="J180" s="361">
        <f>I180*H180</f>
        <v>4.3559999999999999</v>
      </c>
    </row>
    <row r="181" spans="1:10" ht="16.5">
      <c r="A181" s="457" t="str">
        <f t="shared" si="22"/>
        <v/>
      </c>
      <c r="B181" s="414"/>
      <c r="C181" s="1046" t="str">
        <f>IF(Menu!$C$7 = "V","",IF(INDEX(loaituong,MATCH(C180,loaituong1,0),2)&lt;&gt;"",INDEX(loaituong,MATCH(C180,loaituong1,0),2),""))</f>
        <v/>
      </c>
      <c r="D181" s="1047"/>
      <c r="E181" s="1048"/>
      <c r="F181" s="375"/>
      <c r="G181" s="362"/>
      <c r="H181" s="715"/>
      <c r="I181" s="366"/>
      <c r="J181" s="367"/>
    </row>
    <row r="182" spans="1:10" ht="15" customHeight="1">
      <c r="A182" s="457">
        <f t="shared" si="22"/>
        <v>1</v>
      </c>
      <c r="B182" s="414"/>
      <c r="C182" s="347" t="str">
        <f>IF(Menu!$C$7 = "V","Tải tường phân bố trên 1m"," Tải tường phân bố trên 1m/ Wall dead surface load per 1m")</f>
        <v>Tải tường phân bố trên 1m</v>
      </c>
      <c r="D182" s="354"/>
      <c r="E182" s="354"/>
      <c r="F182" s="352"/>
      <c r="G182" s="352"/>
      <c r="H182" s="352"/>
      <c r="I182" s="365"/>
      <c r="J182" s="365">
        <f>SUM(J178:J181)*(F175-H175)</f>
        <v>19.220400000000001</v>
      </c>
    </row>
    <row r="183" spans="1:10" ht="15" customHeight="1">
      <c r="A183" s="457">
        <f t="shared" si="22"/>
        <v>1</v>
      </c>
      <c r="B183" s="414"/>
      <c r="C183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83" s="354"/>
      <c r="E183" s="354"/>
      <c r="F183" s="352"/>
      <c r="G183" s="352"/>
      <c r="H183" s="352"/>
      <c r="I183" s="360"/>
      <c r="J183" s="365">
        <f>J182*J175</f>
        <v>13.454280000000001</v>
      </c>
    </row>
    <row r="184" spans="1:10" ht="20.100000000000001" customHeight="1">
      <c r="A184" s="457">
        <f t="shared" si="22"/>
        <v>1</v>
      </c>
      <c r="B184" s="569" t="s">
        <v>1809</v>
      </c>
      <c r="C184" s="909" t="str">
        <f>IF(Menu!$C$7 = "V","Chiều cao tường:","Chiều cao tường/Wall height:")</f>
        <v>Chiều cao tường:</v>
      </c>
      <c r="D184" s="911"/>
      <c r="E184" s="906" t="s">
        <v>2116</v>
      </c>
      <c r="F184" s="905">
        <f>INDEX(Menu!$D$54:$H$84,MATCH(E184,Menu!$D$54:$D$84,0),2)</f>
        <v>3.2</v>
      </c>
      <c r="G184" s="889" t="s">
        <v>2124</v>
      </c>
      <c r="H184" s="905">
        <f>INDEX(Menu!$D$54:$H$84,MATCH(E184,Menu!$D$54:$D$84,0),5)</f>
        <v>0.4</v>
      </c>
      <c r="I184" s="889" t="s">
        <v>2125</v>
      </c>
      <c r="J184" s="907">
        <f>INDEX(Menu!$D$54:$H$84,MATCH(E184,Menu!$D$54:$D$84,0),4)</f>
        <v>0.7</v>
      </c>
    </row>
    <row r="185" spans="1:10" ht="20.100000000000001" customHeight="1">
      <c r="A185" s="457">
        <f t="shared" si="22"/>
        <v>1</v>
      </c>
      <c r="B185" s="414"/>
      <c r="C185" s="1058" t="str">
        <f>IF(Menu!$C$7 = "V","Các lớp vật liệu",IF(Menu!$C$7 ="E", "Material's layers","Các lớp vật liệu/Material's layers"))</f>
        <v>Các lớp vật liệu</v>
      </c>
      <c r="D185" s="1059"/>
      <c r="E185" s="1060"/>
      <c r="F185" s="416" t="s">
        <v>875</v>
      </c>
      <c r="G185" s="902" t="s">
        <v>1753</v>
      </c>
      <c r="H185" s="1041" t="s">
        <v>1775</v>
      </c>
      <c r="I185" s="903" t="s">
        <v>1764</v>
      </c>
      <c r="J185" s="903" t="s">
        <v>1766</v>
      </c>
    </row>
    <row r="186" spans="1:10" ht="19.5">
      <c r="A186" s="457">
        <v>1</v>
      </c>
      <c r="B186" s="414"/>
      <c r="C186" s="1053"/>
      <c r="D186" s="1054"/>
      <c r="E186" s="1055"/>
      <c r="F186" s="398" t="s">
        <v>1750</v>
      </c>
      <c r="G186" s="398" t="s">
        <v>1751</v>
      </c>
      <c r="H186" s="1042"/>
      <c r="I186" s="398" t="s">
        <v>1752</v>
      </c>
      <c r="J186" s="398" t="s">
        <v>1752</v>
      </c>
    </row>
    <row r="187" spans="1:10" ht="15" customHeight="1">
      <c r="A187" s="457">
        <f t="shared" ref="A187:A194" si="23">IF(C187="","",1)</f>
        <v>1</v>
      </c>
      <c r="B187" s="414"/>
      <c r="C187" s="1043" t="s">
        <v>2102</v>
      </c>
      <c r="D187" s="1044"/>
      <c r="E187" s="1045"/>
      <c r="F187" s="363">
        <f>IF(INDEX(cautaotuong,MATCH($C187,loaituong1,0),2)&lt;&gt;"",INDEX(cautaotuong,MATCH($C187,loaituong1,0),2),"")</f>
        <v>30</v>
      </c>
      <c r="G187" s="363">
        <f>IF(INDEX(cautaotuong,MATCH($C187,loaituong1,0),3)&lt;&gt;"",INDEX(cautaotuong,MATCH($C187,loaituong1,0),3),"")</f>
        <v>18</v>
      </c>
      <c r="H187" s="361">
        <f>IF(INDEX(cautaotuong,MATCH($C187,loaituong1,0),4)&lt;&gt;"",INDEX(cautaotuong,MATCH($C187,loaituong1,0),4),"")</f>
        <v>1.3</v>
      </c>
      <c r="I187" s="361">
        <f>IFERROR(F187*G187/1000,INDEX(cautaotuong,MATCH(C187,loaituong1,0),5))</f>
        <v>0.54</v>
      </c>
      <c r="J187" s="361">
        <f>I187*H187</f>
        <v>0.70200000000000007</v>
      </c>
    </row>
    <row r="188" spans="1:10" ht="16.5" customHeight="1">
      <c r="A188" s="457" t="str">
        <f t="shared" si="23"/>
        <v/>
      </c>
      <c r="B188" s="414"/>
      <c r="C188" s="1046" t="str">
        <f>IF(Menu!$C$7 = "V","",IF(INDEX(loaituong,MATCH(C187,loaituong1,0),2)&lt;&gt;"",INDEX(loaituong,MATCH(C187,loaituong1,0),2),""))</f>
        <v/>
      </c>
      <c r="D188" s="1047"/>
      <c r="E188" s="1048"/>
      <c r="F188" s="375"/>
      <c r="G188" s="362"/>
      <c r="H188" s="715"/>
      <c r="I188" s="366"/>
      <c r="J188" s="367"/>
    </row>
    <row r="189" spans="1:10" ht="15" customHeight="1">
      <c r="A189" s="457">
        <f t="shared" si="23"/>
        <v>1</v>
      </c>
      <c r="B189" s="414"/>
      <c r="C189" s="1043" t="s">
        <v>2254</v>
      </c>
      <c r="D189" s="1044"/>
      <c r="E189" s="1045"/>
      <c r="F189" s="363">
        <f>IF(INDEX(cautaotuong,MATCH($C189,loaituong1,0),2)&lt;&gt;"",INDEX(cautaotuong,MATCH($C189,loaituong1,0),2),"")</f>
        <v>220</v>
      </c>
      <c r="G189" s="363">
        <f>IF(INDEX(cautaotuong,MATCH($C189,loaituong1,0),3)&lt;&gt;"",INDEX(cautaotuong,MATCH($C189,loaituong1,0),3),"")</f>
        <v>18</v>
      </c>
      <c r="H189" s="361">
        <f>IF(INDEX(cautaotuong,MATCH($C189,loaituong1,0),4)&lt;&gt;"",INDEX(cautaotuong,MATCH($C189,loaituong1,0),4),"")</f>
        <v>1.1000000000000001</v>
      </c>
      <c r="I189" s="361">
        <f>IFERROR(F189*G189/1000,INDEX(cautaotuong,MATCH(C189,loaituong1,0),5))</f>
        <v>3.96</v>
      </c>
      <c r="J189" s="361">
        <f>I189*H189</f>
        <v>4.3559999999999999</v>
      </c>
    </row>
    <row r="190" spans="1:10" ht="16.5">
      <c r="A190" s="457" t="str">
        <f t="shared" si="23"/>
        <v/>
      </c>
      <c r="B190" s="414"/>
      <c r="C190" s="1046" t="str">
        <f>IF(Menu!$C$7 = "V","",IF(INDEX(loaituong,MATCH(C189,loaituong1,0),2)&lt;&gt;"",INDEX(loaituong,MATCH(C189,loaituong1,0),2),""))</f>
        <v/>
      </c>
      <c r="D190" s="1047"/>
      <c r="E190" s="1048"/>
      <c r="F190" s="375"/>
      <c r="G190" s="362"/>
      <c r="H190" s="715"/>
      <c r="I190" s="366"/>
      <c r="J190" s="367"/>
    </row>
    <row r="191" spans="1:10" ht="15" customHeight="1">
      <c r="A191" s="457">
        <f t="shared" si="23"/>
        <v>1</v>
      </c>
      <c r="B191" s="414"/>
      <c r="C191" s="347" t="str">
        <f>IF(Menu!$C$7 = "V","Tải tường phân bố trên 1m"," Tải tường phân bố trên 1m/ Wall dead surface load per 1m")</f>
        <v>Tải tường phân bố trên 1m</v>
      </c>
      <c r="D191" s="354"/>
      <c r="E191" s="354"/>
      <c r="F191" s="352"/>
      <c r="G191" s="352"/>
      <c r="H191" s="352"/>
      <c r="I191" s="365"/>
      <c r="J191" s="365">
        <f>SUM(J187:J190)*(F184-H184)</f>
        <v>14.162400000000002</v>
      </c>
    </row>
    <row r="192" spans="1:10" ht="15" customHeight="1">
      <c r="A192" s="457">
        <f t="shared" si="23"/>
        <v>1</v>
      </c>
      <c r="B192" s="414"/>
      <c r="C192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92" s="354"/>
      <c r="E192" s="354"/>
      <c r="F192" s="352"/>
      <c r="G192" s="352"/>
      <c r="H192" s="352"/>
      <c r="I192" s="360"/>
      <c r="J192" s="365">
        <f>J191*J184</f>
        <v>9.9136800000000012</v>
      </c>
    </row>
    <row r="193" spans="1:10" ht="20.100000000000001" hidden="1" customHeight="1">
      <c r="A193" s="457">
        <f t="shared" si="23"/>
        <v>1</v>
      </c>
      <c r="B193" s="569" t="s">
        <v>1810</v>
      </c>
      <c r="C193" s="909" t="str">
        <f>IF(Menu!$C$7 = "V","Chiều cao tường:","Chiều cao tường/Wall height:")</f>
        <v>Chiều cao tường:</v>
      </c>
      <c r="D193" s="911"/>
      <c r="E193" s="906" t="s">
        <v>2117</v>
      </c>
      <c r="F193" s="905">
        <f>INDEX(Menu!$D$54:$H$84,MATCH(E193,Menu!$D$54:$D$84,0),2)</f>
        <v>0</v>
      </c>
      <c r="G193" s="889" t="s">
        <v>2124</v>
      </c>
      <c r="H193" s="905">
        <f>INDEX(Menu!$D$54:$H$84,MATCH(E193,Menu!$D$54:$D$84,0),5)</f>
        <v>0</v>
      </c>
      <c r="I193" s="889" t="s">
        <v>2125</v>
      </c>
      <c r="J193" s="907">
        <f>INDEX(Menu!$D$54:$H$84,MATCH(E193,Menu!$D$54:$D$84,0),4)</f>
        <v>0</v>
      </c>
    </row>
    <row r="194" spans="1:10" ht="20.100000000000001" hidden="1" customHeight="1">
      <c r="A194" s="457">
        <f t="shared" si="23"/>
        <v>1</v>
      </c>
      <c r="B194" s="414"/>
      <c r="C194" s="1058" t="str">
        <f>IF(Menu!$C$7 = "V","Các lớp vật liệu",IF(Menu!$C$7 ="E", "Material's layers","Các lớp vật liệu/Material's layers"))</f>
        <v>Các lớp vật liệu</v>
      </c>
      <c r="D194" s="1059"/>
      <c r="E194" s="1060"/>
      <c r="F194" s="416" t="s">
        <v>875</v>
      </c>
      <c r="G194" s="902" t="s">
        <v>1753</v>
      </c>
      <c r="H194" s="1041" t="s">
        <v>1775</v>
      </c>
      <c r="I194" s="903" t="s">
        <v>1764</v>
      </c>
      <c r="J194" s="903" t="s">
        <v>1766</v>
      </c>
    </row>
    <row r="195" spans="1:10" ht="19.5" hidden="1">
      <c r="A195" s="457">
        <v>1</v>
      </c>
      <c r="B195" s="414"/>
      <c r="C195" s="1053"/>
      <c r="D195" s="1054"/>
      <c r="E195" s="1055"/>
      <c r="F195" s="398" t="s">
        <v>1750</v>
      </c>
      <c r="G195" s="398" t="s">
        <v>1751</v>
      </c>
      <c r="H195" s="1042"/>
      <c r="I195" s="398" t="s">
        <v>1752</v>
      </c>
      <c r="J195" s="398" t="s">
        <v>1752</v>
      </c>
    </row>
    <row r="196" spans="1:10" ht="15" hidden="1" customHeight="1">
      <c r="A196" s="457">
        <f t="shared" ref="A196:A203" si="24">IF(C196="","",1)</f>
        <v>1</v>
      </c>
      <c r="B196" s="414"/>
      <c r="C196" s="1043" t="s">
        <v>2102</v>
      </c>
      <c r="D196" s="1044"/>
      <c r="E196" s="1045"/>
      <c r="F196" s="363">
        <f>IF(INDEX(cautaotuong,MATCH($C196,loaituong1,0),2)&lt;&gt;"",INDEX(cautaotuong,MATCH($C196,loaituong1,0),2),"")</f>
        <v>30</v>
      </c>
      <c r="G196" s="363">
        <f>IF(INDEX(cautaotuong,MATCH($C196,loaituong1,0),3)&lt;&gt;"",INDEX(cautaotuong,MATCH($C196,loaituong1,0),3),"")</f>
        <v>18</v>
      </c>
      <c r="H196" s="361">
        <f>IF(INDEX(cautaotuong,MATCH($C196,loaituong1,0),4)&lt;&gt;"",INDEX(cautaotuong,MATCH($C196,loaituong1,0),4),"")</f>
        <v>1.3</v>
      </c>
      <c r="I196" s="361">
        <f>IFERROR(F196*G196/1000,INDEX(cautaotuong,MATCH(C196,loaituong1,0),5))</f>
        <v>0.54</v>
      </c>
      <c r="J196" s="361">
        <f>I196*H196</f>
        <v>0.70200000000000007</v>
      </c>
    </row>
    <row r="197" spans="1:10" ht="16.5" hidden="1" customHeight="1">
      <c r="A197" s="457" t="str">
        <f t="shared" si="24"/>
        <v/>
      </c>
      <c r="B197" s="414"/>
      <c r="C197" s="1046" t="str">
        <f>IF(Menu!$C$7 = "V","",IF(INDEX(loaituong,MATCH(C196,loaituong1,0),2)&lt;&gt;"",INDEX(loaituong,MATCH(C196,loaituong1,0),2),""))</f>
        <v/>
      </c>
      <c r="D197" s="1047"/>
      <c r="E197" s="1048"/>
      <c r="F197" s="375"/>
      <c r="G197" s="362"/>
      <c r="H197" s="715"/>
      <c r="I197" s="366"/>
      <c r="J197" s="367"/>
    </row>
    <row r="198" spans="1:10" ht="15" hidden="1" customHeight="1">
      <c r="A198" s="457">
        <f t="shared" si="24"/>
        <v>1</v>
      </c>
      <c r="B198" s="414"/>
      <c r="C198" s="1043" t="s">
        <v>2269</v>
      </c>
      <c r="D198" s="1044"/>
      <c r="E198" s="1045"/>
      <c r="F198" s="363">
        <f>IF(INDEX(cautaotuong,MATCH($C198,loaituong1,0),2)&lt;&gt;"",INDEX(cautaotuong,MATCH($C198,loaituong1,0),2),"")</f>
        <v>110</v>
      </c>
      <c r="G198" s="363">
        <f>IF(INDEX(cautaotuong,MATCH($C198,loaituong1,0),3)&lt;&gt;"",INDEX(cautaotuong,MATCH($C198,loaituong1,0),3),"")</f>
        <v>18</v>
      </c>
      <c r="H198" s="361">
        <f>IF(INDEX(cautaotuong,MATCH($C198,loaituong1,0),4)&lt;&gt;"",INDEX(cautaotuong,MATCH($C198,loaituong1,0),4),"")</f>
        <v>1.1000000000000001</v>
      </c>
      <c r="I198" s="361">
        <f>IFERROR(F198*G198/1000,INDEX(cautaotuong,MATCH(C198,loaituong1,0),5))</f>
        <v>1.98</v>
      </c>
      <c r="J198" s="361">
        <f>I198*H198</f>
        <v>2.1779999999999999</v>
      </c>
    </row>
    <row r="199" spans="1:10" ht="16.5" hidden="1">
      <c r="A199" s="457" t="str">
        <f t="shared" si="24"/>
        <v/>
      </c>
      <c r="B199" s="414"/>
      <c r="C199" s="1046" t="str">
        <f>IF(Menu!$C$7 = "V","",IF(INDEX(loaituong,MATCH(C198,loaituong1,0),2)&lt;&gt;"",INDEX(loaituong,MATCH(C198,loaituong1,0),2),""))</f>
        <v/>
      </c>
      <c r="D199" s="1047"/>
      <c r="E199" s="1048"/>
      <c r="F199" s="375"/>
      <c r="G199" s="362"/>
      <c r="H199" s="715"/>
      <c r="I199" s="366"/>
      <c r="J199" s="367"/>
    </row>
    <row r="200" spans="1:10" ht="15" hidden="1" customHeight="1">
      <c r="A200" s="457">
        <f t="shared" si="24"/>
        <v>1</v>
      </c>
      <c r="B200" s="414"/>
      <c r="C200" s="347" t="str">
        <f>IF(Menu!$C$7 = "V","Tải tường phân bố trên 1m"," Tải tường phân bố trên 1m/ Wall dead surface load per 1m")</f>
        <v>Tải tường phân bố trên 1m</v>
      </c>
      <c r="D200" s="354"/>
      <c r="E200" s="354"/>
      <c r="F200" s="352"/>
      <c r="G200" s="352"/>
      <c r="H200" s="352"/>
      <c r="I200" s="365"/>
      <c r="J200" s="365">
        <f>SUM(J196:J199)*(F193-H193)</f>
        <v>0</v>
      </c>
    </row>
    <row r="201" spans="1:10" ht="15" hidden="1" customHeight="1">
      <c r="A201" s="457">
        <f t="shared" si="24"/>
        <v>1</v>
      </c>
      <c r="B201" s="414"/>
      <c r="C201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01" s="354"/>
      <c r="E201" s="354"/>
      <c r="F201" s="352"/>
      <c r="G201" s="352"/>
      <c r="H201" s="352"/>
      <c r="I201" s="360"/>
      <c r="J201" s="365">
        <f>J200*J193</f>
        <v>0</v>
      </c>
    </row>
    <row r="202" spans="1:10" ht="20.100000000000001" hidden="1" customHeight="1">
      <c r="A202" s="457">
        <f t="shared" si="24"/>
        <v>1</v>
      </c>
      <c r="B202" s="569" t="s">
        <v>1811</v>
      </c>
      <c r="C202" s="909" t="str">
        <f>IF(Menu!$C$7 = "V","Chiều cao tường:","Chiều cao tường/Wall height:")</f>
        <v>Chiều cao tường:</v>
      </c>
      <c r="D202" s="911"/>
      <c r="E202" s="906" t="s">
        <v>2118</v>
      </c>
      <c r="F202" s="905">
        <f>INDEX(Menu!$D$54:$H$84,MATCH(E202,Menu!$D$54:$D$84,0),2)</f>
        <v>0</v>
      </c>
      <c r="G202" s="889" t="s">
        <v>2124</v>
      </c>
      <c r="H202" s="905">
        <f>INDEX(Menu!$D$54:$H$84,MATCH(E202,Menu!$D$54:$D$84,0),5)</f>
        <v>0</v>
      </c>
      <c r="I202" s="889" t="s">
        <v>2125</v>
      </c>
      <c r="J202" s="907">
        <f>INDEX(Menu!$D$54:$H$84,MATCH(E202,Menu!$D$54:$D$84,0),4)</f>
        <v>0</v>
      </c>
    </row>
    <row r="203" spans="1:10" ht="20.100000000000001" hidden="1" customHeight="1">
      <c r="A203" s="457">
        <f t="shared" si="24"/>
        <v>1</v>
      </c>
      <c r="B203" s="414"/>
      <c r="C203" s="1058" t="str">
        <f>IF(Menu!$C$7 = "V","Các lớp vật liệu",IF(Menu!$C$7 ="E", "Material's layers","Các lớp vật liệu/Material's layers"))</f>
        <v>Các lớp vật liệu</v>
      </c>
      <c r="D203" s="1059"/>
      <c r="E203" s="1060"/>
      <c r="F203" s="416" t="s">
        <v>875</v>
      </c>
      <c r="G203" s="902" t="s">
        <v>1753</v>
      </c>
      <c r="H203" s="1041" t="s">
        <v>1775</v>
      </c>
      <c r="I203" s="903" t="s">
        <v>1764</v>
      </c>
      <c r="J203" s="903" t="s">
        <v>1766</v>
      </c>
    </row>
    <row r="204" spans="1:10" ht="19.5" hidden="1">
      <c r="A204" s="457">
        <v>1</v>
      </c>
      <c r="B204" s="414"/>
      <c r="C204" s="1053"/>
      <c r="D204" s="1054"/>
      <c r="E204" s="1055"/>
      <c r="F204" s="398" t="s">
        <v>1750</v>
      </c>
      <c r="G204" s="398" t="s">
        <v>1751</v>
      </c>
      <c r="H204" s="1042"/>
      <c r="I204" s="398" t="s">
        <v>1752</v>
      </c>
      <c r="J204" s="398" t="s">
        <v>1752</v>
      </c>
    </row>
    <row r="205" spans="1:10" ht="15" hidden="1" customHeight="1">
      <c r="A205" s="457">
        <f t="shared" ref="A205:A212" si="25">IF(C205="","",1)</f>
        <v>1</v>
      </c>
      <c r="B205" s="414"/>
      <c r="C205" s="1043" t="s">
        <v>2102</v>
      </c>
      <c r="D205" s="1044"/>
      <c r="E205" s="1045"/>
      <c r="F205" s="363">
        <f>IF(INDEX(cautaotuong,MATCH($C205,loaituong1,0),2)&lt;&gt;"",INDEX(cautaotuong,MATCH($C205,loaituong1,0),2),"")</f>
        <v>30</v>
      </c>
      <c r="G205" s="363">
        <f>IF(INDEX(cautaotuong,MATCH($C205,loaituong1,0),3)&lt;&gt;"",INDEX(cautaotuong,MATCH($C205,loaituong1,0),3),"")</f>
        <v>18</v>
      </c>
      <c r="H205" s="361">
        <f>IF(INDEX(cautaotuong,MATCH($C205,loaituong1,0),4)&lt;&gt;"",INDEX(cautaotuong,MATCH($C205,loaituong1,0),4),"")</f>
        <v>1.3</v>
      </c>
      <c r="I205" s="361">
        <f>IFERROR(F205*G205/1000,INDEX(cautaotuong,MATCH(C205,loaituong1,0),5))</f>
        <v>0.54</v>
      </c>
      <c r="J205" s="361">
        <f>I205*H205</f>
        <v>0.70200000000000007</v>
      </c>
    </row>
    <row r="206" spans="1:10" ht="16.5" hidden="1" customHeight="1">
      <c r="A206" s="457" t="str">
        <f t="shared" si="25"/>
        <v/>
      </c>
      <c r="B206" s="414"/>
      <c r="C206" s="1046" t="str">
        <f>IF(Menu!$C$7 = "V","",IF(INDEX(loaituong,MATCH(C205,loaituong1,0),2)&lt;&gt;"",INDEX(loaituong,MATCH(C205,loaituong1,0),2),""))</f>
        <v/>
      </c>
      <c r="D206" s="1047"/>
      <c r="E206" s="1048"/>
      <c r="F206" s="375"/>
      <c r="G206" s="362"/>
      <c r="H206" s="715"/>
      <c r="I206" s="366"/>
      <c r="J206" s="367"/>
    </row>
    <row r="207" spans="1:10" ht="15" hidden="1" customHeight="1">
      <c r="A207" s="457">
        <f t="shared" si="25"/>
        <v>1</v>
      </c>
      <c r="B207" s="414"/>
      <c r="C207" s="1043" t="s">
        <v>2269</v>
      </c>
      <c r="D207" s="1044"/>
      <c r="E207" s="1045"/>
      <c r="F207" s="363">
        <f>IF(INDEX(cautaotuong,MATCH($C207,loaituong1,0),2)&lt;&gt;"",INDEX(cautaotuong,MATCH($C207,loaituong1,0),2),"")</f>
        <v>110</v>
      </c>
      <c r="G207" s="363">
        <f>IF(INDEX(cautaotuong,MATCH($C207,loaituong1,0),3)&lt;&gt;"",INDEX(cautaotuong,MATCH($C207,loaituong1,0),3),"")</f>
        <v>18</v>
      </c>
      <c r="H207" s="361">
        <f>IF(INDEX(cautaotuong,MATCH($C207,loaituong1,0),4)&lt;&gt;"",INDEX(cautaotuong,MATCH($C207,loaituong1,0),4),"")</f>
        <v>1.1000000000000001</v>
      </c>
      <c r="I207" s="361">
        <f>IFERROR(F207*G207/1000,INDEX(cautaotuong,MATCH(C207,loaituong1,0),5))</f>
        <v>1.98</v>
      </c>
      <c r="J207" s="361">
        <f>I207*H207</f>
        <v>2.1779999999999999</v>
      </c>
    </row>
    <row r="208" spans="1:10" ht="16.5" hidden="1">
      <c r="A208" s="457" t="str">
        <f t="shared" si="25"/>
        <v/>
      </c>
      <c r="B208" s="414"/>
      <c r="C208" s="1046" t="str">
        <f>IF(Menu!$C$7 = "V","",IF(INDEX(loaituong,MATCH(C207,loaituong1,0),2)&lt;&gt;"",INDEX(loaituong,MATCH(C207,loaituong1,0),2),""))</f>
        <v/>
      </c>
      <c r="D208" s="1047"/>
      <c r="E208" s="1048"/>
      <c r="F208" s="375"/>
      <c r="G208" s="362"/>
      <c r="H208" s="715"/>
      <c r="I208" s="366"/>
      <c r="J208" s="367"/>
    </row>
    <row r="209" spans="1:10" ht="15" hidden="1" customHeight="1">
      <c r="A209" s="457">
        <f t="shared" si="25"/>
        <v>1</v>
      </c>
      <c r="B209" s="414"/>
      <c r="C209" s="347" t="str">
        <f>IF(Menu!$C$7 = "V","Tải tường phân bố trên 1m"," Tải tường phân bố trên 1m/ Wall dead surface load per 1m")</f>
        <v>Tải tường phân bố trên 1m</v>
      </c>
      <c r="D209" s="354"/>
      <c r="E209" s="354"/>
      <c r="F209" s="352"/>
      <c r="G209" s="352"/>
      <c r="H209" s="352"/>
      <c r="I209" s="365"/>
      <c r="J209" s="365">
        <f>SUM(J205:J208)*(F202-H202)</f>
        <v>0</v>
      </c>
    </row>
    <row r="210" spans="1:10" ht="15" hidden="1" customHeight="1">
      <c r="A210" s="457">
        <f t="shared" si="25"/>
        <v>1</v>
      </c>
      <c r="B210" s="414"/>
      <c r="C210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10" s="354"/>
      <c r="E210" s="354"/>
      <c r="F210" s="352"/>
      <c r="G210" s="352"/>
      <c r="H210" s="352"/>
      <c r="I210" s="360"/>
      <c r="J210" s="365">
        <f>J209*J202</f>
        <v>0</v>
      </c>
    </row>
    <row r="211" spans="1:10" ht="20.100000000000001" hidden="1" customHeight="1">
      <c r="A211" s="457">
        <f t="shared" si="25"/>
        <v>1</v>
      </c>
      <c r="B211" s="569" t="s">
        <v>1812</v>
      </c>
      <c r="C211" s="909" t="str">
        <f>IF(Menu!$C$7 = "V","Chiều cao tường:","Chiều cao tường/Wall height:")</f>
        <v>Chiều cao tường:</v>
      </c>
      <c r="D211" s="911"/>
      <c r="E211" s="906" t="s">
        <v>2119</v>
      </c>
      <c r="F211" s="905">
        <f>INDEX(Menu!$D$54:$H$84,MATCH(E211,Menu!$D$54:$D$84,0),2)</f>
        <v>0</v>
      </c>
      <c r="G211" s="889" t="s">
        <v>2124</v>
      </c>
      <c r="H211" s="905">
        <f>INDEX(Menu!$D$54:$H$84,MATCH(E211,Menu!$D$54:$D$84,0),5)</f>
        <v>0</v>
      </c>
      <c r="I211" s="889" t="s">
        <v>2125</v>
      </c>
      <c r="J211" s="907">
        <f>INDEX(Menu!$D$54:$H$84,MATCH(E211,Menu!$D$54:$D$84,0),4)</f>
        <v>0</v>
      </c>
    </row>
    <row r="212" spans="1:10" ht="20.100000000000001" hidden="1" customHeight="1">
      <c r="A212" s="457">
        <f t="shared" si="25"/>
        <v>1</v>
      </c>
      <c r="B212" s="414"/>
      <c r="C212" s="1058" t="str">
        <f>IF(Menu!$C$7 = "V","Các lớp vật liệu",IF(Menu!$C$7 ="E", "Material's layers","Các lớp vật liệu/Material's layers"))</f>
        <v>Các lớp vật liệu</v>
      </c>
      <c r="D212" s="1059"/>
      <c r="E212" s="1060"/>
      <c r="F212" s="416" t="s">
        <v>875</v>
      </c>
      <c r="G212" s="902" t="s">
        <v>1753</v>
      </c>
      <c r="H212" s="1041" t="s">
        <v>1775</v>
      </c>
      <c r="I212" s="903" t="s">
        <v>1764</v>
      </c>
      <c r="J212" s="903" t="s">
        <v>1766</v>
      </c>
    </row>
    <row r="213" spans="1:10" ht="19.5" hidden="1">
      <c r="A213" s="457">
        <v>1</v>
      </c>
      <c r="B213" s="414"/>
      <c r="C213" s="1053"/>
      <c r="D213" s="1054"/>
      <c r="E213" s="1055"/>
      <c r="F213" s="398" t="s">
        <v>1750</v>
      </c>
      <c r="G213" s="398" t="s">
        <v>1751</v>
      </c>
      <c r="H213" s="1042"/>
      <c r="I213" s="398" t="s">
        <v>1752</v>
      </c>
      <c r="J213" s="398" t="s">
        <v>1752</v>
      </c>
    </row>
    <row r="214" spans="1:10" ht="15" hidden="1" customHeight="1">
      <c r="A214" s="457">
        <f t="shared" ref="A214:A219" si="26">IF(C214="","",1)</f>
        <v>1</v>
      </c>
      <c r="B214" s="414"/>
      <c r="C214" s="1043" t="s">
        <v>2102</v>
      </c>
      <c r="D214" s="1044"/>
      <c r="E214" s="1045"/>
      <c r="F214" s="363">
        <f>IF(INDEX(cautaotuong,MATCH($C214,loaituong1,0),2)&lt;&gt;"",INDEX(cautaotuong,MATCH($C214,loaituong1,0),2),"")</f>
        <v>30</v>
      </c>
      <c r="G214" s="363">
        <f>IF(INDEX(cautaotuong,MATCH($C214,loaituong1,0),3)&lt;&gt;"",INDEX(cautaotuong,MATCH($C214,loaituong1,0),3),"")</f>
        <v>18</v>
      </c>
      <c r="H214" s="361">
        <f>IF(INDEX(cautaotuong,MATCH($C214,loaituong1,0),4)&lt;&gt;"",INDEX(cautaotuong,MATCH($C214,loaituong1,0),4),"")</f>
        <v>1.3</v>
      </c>
      <c r="I214" s="361">
        <f>IFERROR(F214*G214/1000,INDEX(cautaotuong,MATCH(C214,loaituong1,0),5))</f>
        <v>0.54</v>
      </c>
      <c r="J214" s="361">
        <f>I214*H214</f>
        <v>0.70200000000000007</v>
      </c>
    </row>
    <row r="215" spans="1:10" ht="16.5" hidden="1" customHeight="1">
      <c r="A215" s="457" t="str">
        <f t="shared" si="26"/>
        <v/>
      </c>
      <c r="B215" s="414"/>
      <c r="C215" s="1046" t="str">
        <f>IF(Menu!$C$7 = "V","",IF(INDEX(loaituong,MATCH(C214,loaituong1,0),2)&lt;&gt;"",INDEX(loaituong,MATCH(C214,loaituong1,0),2),""))</f>
        <v/>
      </c>
      <c r="D215" s="1047"/>
      <c r="E215" s="1048"/>
      <c r="F215" s="375"/>
      <c r="G215" s="362"/>
      <c r="H215" s="715"/>
      <c r="I215" s="366"/>
      <c r="J215" s="367"/>
    </row>
    <row r="216" spans="1:10" ht="15" hidden="1" customHeight="1">
      <c r="A216" s="457">
        <f t="shared" si="26"/>
        <v>1</v>
      </c>
      <c r="B216" s="414"/>
      <c r="C216" s="1043" t="s">
        <v>2269</v>
      </c>
      <c r="D216" s="1044"/>
      <c r="E216" s="1045"/>
      <c r="F216" s="363">
        <f>IF(INDEX(cautaotuong,MATCH($C216,loaituong1,0),2)&lt;&gt;"",INDEX(cautaotuong,MATCH($C216,loaituong1,0),2),"")</f>
        <v>110</v>
      </c>
      <c r="G216" s="363">
        <f>IF(INDEX(cautaotuong,MATCH($C216,loaituong1,0),3)&lt;&gt;"",INDEX(cautaotuong,MATCH($C216,loaituong1,0),3),"")</f>
        <v>18</v>
      </c>
      <c r="H216" s="361">
        <f>IF(INDEX(cautaotuong,MATCH($C216,loaituong1,0),4)&lt;&gt;"",INDEX(cautaotuong,MATCH($C216,loaituong1,0),4),"")</f>
        <v>1.1000000000000001</v>
      </c>
      <c r="I216" s="361">
        <f>IFERROR(F216*G216/1000,INDEX(cautaotuong,MATCH(C216,loaituong1,0),5))</f>
        <v>1.98</v>
      </c>
      <c r="J216" s="361">
        <f>I216*H216</f>
        <v>2.1779999999999999</v>
      </c>
    </row>
    <row r="217" spans="1:10" ht="16.5" hidden="1">
      <c r="A217" s="457" t="str">
        <f t="shared" si="26"/>
        <v/>
      </c>
      <c r="B217" s="414"/>
      <c r="C217" s="1046" t="str">
        <f>IF(Menu!$C$7 = "V","",IF(INDEX(loaituong,MATCH(C216,loaituong1,0),2)&lt;&gt;"",INDEX(loaituong,MATCH(C216,loaituong1,0),2),""))</f>
        <v/>
      </c>
      <c r="D217" s="1047"/>
      <c r="E217" s="1048"/>
      <c r="F217" s="375"/>
      <c r="G217" s="362"/>
      <c r="H217" s="715"/>
      <c r="I217" s="366"/>
      <c r="J217" s="367"/>
    </row>
    <row r="218" spans="1:10" ht="15" hidden="1" customHeight="1">
      <c r="A218" s="457">
        <f t="shared" si="26"/>
        <v>1</v>
      </c>
      <c r="B218" s="414"/>
      <c r="C218" s="347" t="str">
        <f>IF(Menu!$C$7 = "V","Tải tường phân bố trên 1m"," Tải tường phân bố trên 1m/ Wall dead surface load per 1m")</f>
        <v>Tải tường phân bố trên 1m</v>
      </c>
      <c r="D218" s="354"/>
      <c r="E218" s="354"/>
      <c r="F218" s="352"/>
      <c r="G218" s="352"/>
      <c r="H218" s="352"/>
      <c r="I218" s="365"/>
      <c r="J218" s="365">
        <f>SUM(J214:J217)*(F211-H211)</f>
        <v>0</v>
      </c>
    </row>
    <row r="219" spans="1:10" ht="15" hidden="1" customHeight="1">
      <c r="A219" s="457">
        <f t="shared" si="26"/>
        <v>1</v>
      </c>
      <c r="B219" s="414"/>
      <c r="C219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19" s="354"/>
      <c r="E219" s="354"/>
      <c r="F219" s="352"/>
      <c r="G219" s="352"/>
      <c r="H219" s="352"/>
      <c r="I219" s="360"/>
      <c r="J219" s="365">
        <f>J218*J211</f>
        <v>0</v>
      </c>
    </row>
    <row r="220" spans="1:10" ht="20.100000000000001" hidden="1" customHeight="1">
      <c r="A220" s="457">
        <f t="shared" ref="A220:A221" si="27">IF(C220="","",1)</f>
        <v>1</v>
      </c>
      <c r="B220" s="569" t="s">
        <v>1813</v>
      </c>
      <c r="C220" s="909" t="str">
        <f>IF(Menu!$C$7 = "V","Chiều cao tường:","Chiều cao tường/Wall height:")</f>
        <v>Chiều cao tường:</v>
      </c>
      <c r="D220" s="911"/>
      <c r="E220" s="906" t="s">
        <v>2117</v>
      </c>
      <c r="F220" s="905">
        <f>INDEX(Menu!$D$54:$H$84,MATCH(E220,Menu!$D$54:$D$84,0),2)</f>
        <v>0</v>
      </c>
      <c r="G220" s="889" t="s">
        <v>2124</v>
      </c>
      <c r="H220" s="905">
        <f>INDEX(Menu!$D$54:$H$84,MATCH(E220,Menu!$D$54:$D$84,0),5)</f>
        <v>0</v>
      </c>
      <c r="I220" s="889" t="s">
        <v>2125</v>
      </c>
      <c r="J220" s="907">
        <f>INDEX(Menu!$D$54:$H$84,MATCH(E220,Menu!$D$54:$D$84,0),4)</f>
        <v>0</v>
      </c>
    </row>
    <row r="221" spans="1:10" ht="20.100000000000001" hidden="1" customHeight="1">
      <c r="A221" s="457">
        <f t="shared" si="27"/>
        <v>1</v>
      </c>
      <c r="B221" s="414"/>
      <c r="C221" s="1058" t="str">
        <f>IF(Menu!$C$7 = "V","Các lớp vật liệu",IF(Menu!$C$7 ="E", "Material's layers","Các lớp vật liệu/Material's layers"))</f>
        <v>Các lớp vật liệu</v>
      </c>
      <c r="D221" s="1059"/>
      <c r="E221" s="1060"/>
      <c r="F221" s="416" t="s">
        <v>875</v>
      </c>
      <c r="G221" s="902" t="s">
        <v>1753</v>
      </c>
      <c r="H221" s="1041" t="s">
        <v>1775</v>
      </c>
      <c r="I221" s="903" t="s">
        <v>1764</v>
      </c>
      <c r="J221" s="903" t="s">
        <v>1766</v>
      </c>
    </row>
    <row r="222" spans="1:10" ht="19.5" hidden="1">
      <c r="A222" s="457">
        <v>1</v>
      </c>
      <c r="B222" s="414"/>
      <c r="C222" s="1053"/>
      <c r="D222" s="1054"/>
      <c r="E222" s="1055"/>
      <c r="F222" s="398" t="s">
        <v>1750</v>
      </c>
      <c r="G222" s="398" t="s">
        <v>1751</v>
      </c>
      <c r="H222" s="1042"/>
      <c r="I222" s="398" t="s">
        <v>1752</v>
      </c>
      <c r="J222" s="398" t="s">
        <v>1752</v>
      </c>
    </row>
    <row r="223" spans="1:10" ht="15" hidden="1" customHeight="1">
      <c r="A223" s="457">
        <f t="shared" ref="A223:A230" si="28">IF(C223="","",1)</f>
        <v>1</v>
      </c>
      <c r="B223" s="414"/>
      <c r="C223" s="1043" t="s">
        <v>2255</v>
      </c>
      <c r="D223" s="1044"/>
      <c r="E223" s="1045"/>
      <c r="F223" s="363">
        <f>IF(INDEX(cautaotuong,MATCH($C223,loaituong1,0),2)&lt;&gt;"",INDEX(cautaotuong,MATCH($C223,loaituong1,0),2),"")</f>
        <v>10</v>
      </c>
      <c r="G223" s="363">
        <f>IF(INDEX(cautaotuong,MATCH($C223,loaituong1,0),3)&lt;&gt;"",INDEX(cautaotuong,MATCH($C223,loaituong1,0),3),"")</f>
        <v>25</v>
      </c>
      <c r="H223" s="361">
        <f>IF(INDEX(cautaotuong,MATCH($C223,loaituong1,0),4)&lt;&gt;"",INDEX(cautaotuong,MATCH($C223,loaituong1,0),4),"")</f>
        <v>1.1000000000000001</v>
      </c>
      <c r="I223" s="361">
        <f>IFERROR(F223*G223/1000,INDEX(cautaotuong,MATCH(C223,loaituong1,0),5))</f>
        <v>0.25</v>
      </c>
      <c r="J223" s="361">
        <f>I223*H223</f>
        <v>0.27500000000000002</v>
      </c>
    </row>
    <row r="224" spans="1:10" ht="16.5" hidden="1" customHeight="1">
      <c r="A224" s="457" t="str">
        <f t="shared" si="28"/>
        <v/>
      </c>
      <c r="B224" s="414"/>
      <c r="C224" s="1046" t="str">
        <f>IF(Menu!$C$7 = "V","",IF(INDEX(loaituong,MATCH(C223,loaituong1,0),2)&lt;&gt;"",INDEX(loaituong,MATCH(C223,loaituong1,0),2),""))</f>
        <v/>
      </c>
      <c r="D224" s="1047"/>
      <c r="E224" s="1048"/>
      <c r="F224" s="375"/>
      <c r="G224" s="362"/>
      <c r="H224" s="715"/>
      <c r="I224" s="366"/>
      <c r="J224" s="367"/>
    </row>
    <row r="225" spans="1:10" ht="15" hidden="1" customHeight="1">
      <c r="A225" s="457">
        <f t="shared" si="28"/>
        <v>1</v>
      </c>
      <c r="B225" s="414"/>
      <c r="C225" s="1043" t="s">
        <v>2231</v>
      </c>
      <c r="D225" s="1044"/>
      <c r="E225" s="1045"/>
      <c r="F225" s="363" t="str">
        <f>IF(INDEX(cautaotuong,MATCH($C225,loaituong1,0),2)&lt;&gt;"",INDEX(cautaotuong,MATCH($C225,loaituong1,0),2),"")</f>
        <v/>
      </c>
      <c r="G225" s="363" t="str">
        <f>IF(INDEX(cautaotuong,MATCH($C225,loaituong1,0),3)&lt;&gt;"",INDEX(cautaotuong,MATCH($C225,loaituong1,0),3),"")</f>
        <v/>
      </c>
      <c r="H225" s="361">
        <f>IF(INDEX(cautaotuong,MATCH($C225,loaituong1,0),4)&lt;&gt;"",INDEX(cautaotuong,MATCH($C225,loaituong1,0),4),"")</f>
        <v>1.1000000000000001</v>
      </c>
      <c r="I225" s="361">
        <f>IFERROR(F225*G225/1000,INDEX(cautaotuong,MATCH(C225,loaituong1,0),5))</f>
        <v>0.35</v>
      </c>
      <c r="J225" s="361">
        <f>I225*H225</f>
        <v>0.38500000000000001</v>
      </c>
    </row>
    <row r="226" spans="1:10" ht="16.5" hidden="1">
      <c r="A226" s="457" t="str">
        <f t="shared" si="28"/>
        <v/>
      </c>
      <c r="B226" s="414"/>
      <c r="C226" s="1046" t="str">
        <f>IF(Menu!$C$7 = "V","",IF(INDEX(loaituong,MATCH(C225,loaituong1,0),2)&lt;&gt;"",INDEX(loaituong,MATCH(C225,loaituong1,0),2),""))</f>
        <v/>
      </c>
      <c r="D226" s="1047"/>
      <c r="E226" s="1048"/>
      <c r="F226" s="375"/>
      <c r="G226" s="362"/>
      <c r="H226" s="715"/>
      <c r="I226" s="366"/>
      <c r="J226" s="367"/>
    </row>
    <row r="227" spans="1:10" ht="15" hidden="1" customHeight="1">
      <c r="A227" s="457">
        <f t="shared" si="28"/>
        <v>1</v>
      </c>
      <c r="B227" s="414"/>
      <c r="C227" s="347" t="str">
        <f>IF(Menu!$C$7 = "V","Tải tường phân bố trên 1m"," Tải tường phân bố trên 1m/ Wall dead surface load per 1m")</f>
        <v>Tải tường phân bố trên 1m</v>
      </c>
      <c r="D227" s="354"/>
      <c r="E227" s="354"/>
      <c r="F227" s="352"/>
      <c r="G227" s="352"/>
      <c r="H227" s="352"/>
      <c r="I227" s="365"/>
      <c r="J227" s="365">
        <f>SUM(J223:J226)*(F220-H220)</f>
        <v>0</v>
      </c>
    </row>
    <row r="228" spans="1:10" ht="15" hidden="1" customHeight="1">
      <c r="A228" s="457">
        <f t="shared" si="28"/>
        <v>1</v>
      </c>
      <c r="B228" s="414"/>
      <c r="C228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28" s="354"/>
      <c r="E228" s="354"/>
      <c r="F228" s="352"/>
      <c r="G228" s="352"/>
      <c r="H228" s="352"/>
      <c r="I228" s="360"/>
      <c r="J228" s="365">
        <f>J227*J220</f>
        <v>0</v>
      </c>
    </row>
    <row r="229" spans="1:10" ht="20.100000000000001" hidden="1" customHeight="1">
      <c r="A229" s="457">
        <f t="shared" si="28"/>
        <v>1</v>
      </c>
      <c r="B229" s="569" t="s">
        <v>2062</v>
      </c>
      <c r="C229" s="909" t="str">
        <f>IF(Menu!$C$7 = "V","Chiều cao tường:","Chiều cao tường/Wall height:")</f>
        <v>Chiều cao tường:</v>
      </c>
      <c r="D229" s="911"/>
      <c r="E229" s="906" t="s">
        <v>2118</v>
      </c>
      <c r="F229" s="905">
        <f>INDEX(Menu!$D$54:$H$84,MATCH(E229,Menu!$D$54:$D$84,0),2)</f>
        <v>0</v>
      </c>
      <c r="G229" s="889" t="s">
        <v>2124</v>
      </c>
      <c r="H229" s="905">
        <f>INDEX(Menu!$D$54:$H$84,MATCH(E229,Menu!$D$54:$D$84,0),5)</f>
        <v>0</v>
      </c>
      <c r="I229" s="889" t="s">
        <v>2125</v>
      </c>
      <c r="J229" s="907">
        <f>INDEX(Menu!$D$54:$H$84,MATCH(E229,Menu!$D$54:$D$84,0),4)</f>
        <v>0</v>
      </c>
    </row>
    <row r="230" spans="1:10" ht="20.100000000000001" hidden="1" customHeight="1">
      <c r="A230" s="457">
        <f t="shared" si="28"/>
        <v>1</v>
      </c>
      <c r="B230" s="414"/>
      <c r="C230" s="1058" t="str">
        <f>IF(Menu!$C$7 = "V","Các lớp vật liệu",IF(Menu!$C$7 ="E", "Material's layers","Các lớp vật liệu/Material's layers"))</f>
        <v>Các lớp vật liệu</v>
      </c>
      <c r="D230" s="1059"/>
      <c r="E230" s="1060"/>
      <c r="F230" s="416" t="s">
        <v>875</v>
      </c>
      <c r="G230" s="902" t="s">
        <v>1753</v>
      </c>
      <c r="H230" s="1041" t="s">
        <v>1775</v>
      </c>
      <c r="I230" s="903" t="s">
        <v>1764</v>
      </c>
      <c r="J230" s="903" t="s">
        <v>1766</v>
      </c>
    </row>
    <row r="231" spans="1:10" ht="19.5" hidden="1">
      <c r="A231" s="457">
        <v>1</v>
      </c>
      <c r="B231" s="414"/>
      <c r="C231" s="1053"/>
      <c r="D231" s="1054"/>
      <c r="E231" s="1055"/>
      <c r="F231" s="398" t="s">
        <v>1750</v>
      </c>
      <c r="G231" s="398" t="s">
        <v>1751</v>
      </c>
      <c r="H231" s="1042"/>
      <c r="I231" s="398" t="s">
        <v>1752</v>
      </c>
      <c r="J231" s="398" t="s">
        <v>1752</v>
      </c>
    </row>
    <row r="232" spans="1:10" ht="15" hidden="1" customHeight="1">
      <c r="A232" s="457">
        <f t="shared" ref="A232:A239" si="29">IF(C232="","",1)</f>
        <v>1</v>
      </c>
      <c r="B232" s="414"/>
      <c r="C232" s="1043" t="s">
        <v>2255</v>
      </c>
      <c r="D232" s="1044"/>
      <c r="E232" s="1045"/>
      <c r="F232" s="363">
        <f>IF(INDEX(cautaotuong,MATCH($C232,loaituong1,0),2)&lt;&gt;"",INDEX(cautaotuong,MATCH($C232,loaituong1,0),2),"")</f>
        <v>10</v>
      </c>
      <c r="G232" s="363">
        <f>IF(INDEX(cautaotuong,MATCH($C232,loaituong1,0),3)&lt;&gt;"",INDEX(cautaotuong,MATCH($C232,loaituong1,0),3),"")</f>
        <v>25</v>
      </c>
      <c r="H232" s="361">
        <f>IF(INDEX(cautaotuong,MATCH($C232,loaituong1,0),4)&lt;&gt;"",INDEX(cautaotuong,MATCH($C232,loaituong1,0),4),"")</f>
        <v>1.1000000000000001</v>
      </c>
      <c r="I232" s="361">
        <f>IFERROR(F232*G232/1000,INDEX(cautaotuong,MATCH(C232,loaituong1,0),5))</f>
        <v>0.25</v>
      </c>
      <c r="J232" s="361">
        <f>I232*H232</f>
        <v>0.27500000000000002</v>
      </c>
    </row>
    <row r="233" spans="1:10" ht="16.5" hidden="1" customHeight="1">
      <c r="A233" s="457" t="str">
        <f t="shared" si="29"/>
        <v/>
      </c>
      <c r="B233" s="414"/>
      <c r="C233" s="1046" t="str">
        <f>IF(Menu!$C$7 = "V","",IF(INDEX(loaituong,MATCH(C232,loaituong1,0),2)&lt;&gt;"",INDEX(loaituong,MATCH(C232,loaituong1,0),2),""))</f>
        <v/>
      </c>
      <c r="D233" s="1047"/>
      <c r="E233" s="1048"/>
      <c r="F233" s="375"/>
      <c r="G233" s="362"/>
      <c r="H233" s="715"/>
      <c r="I233" s="366"/>
      <c r="J233" s="367"/>
    </row>
    <row r="234" spans="1:10" ht="15" hidden="1" customHeight="1">
      <c r="A234" s="457">
        <f t="shared" si="29"/>
        <v>1</v>
      </c>
      <c r="B234" s="414"/>
      <c r="C234" s="1043" t="s">
        <v>2231</v>
      </c>
      <c r="D234" s="1044"/>
      <c r="E234" s="1045"/>
      <c r="F234" s="363" t="str">
        <f>IF(INDEX(cautaotuong,MATCH($C234,loaituong1,0),2)&lt;&gt;"",INDEX(cautaotuong,MATCH($C234,loaituong1,0),2),"")</f>
        <v/>
      </c>
      <c r="G234" s="363" t="str">
        <f>IF(INDEX(cautaotuong,MATCH($C234,loaituong1,0),3)&lt;&gt;"",INDEX(cautaotuong,MATCH($C234,loaituong1,0),3),"")</f>
        <v/>
      </c>
      <c r="H234" s="361">
        <f>IF(INDEX(cautaotuong,MATCH($C234,loaituong1,0),4)&lt;&gt;"",INDEX(cautaotuong,MATCH($C234,loaituong1,0),4),"")</f>
        <v>1.1000000000000001</v>
      </c>
      <c r="I234" s="361">
        <f>IFERROR(F234*G234/1000,INDEX(cautaotuong,MATCH(C234,loaituong1,0),5))</f>
        <v>0.35</v>
      </c>
      <c r="J234" s="361">
        <f>I234*H234</f>
        <v>0.38500000000000001</v>
      </c>
    </row>
    <row r="235" spans="1:10" ht="16.5" hidden="1">
      <c r="A235" s="457" t="str">
        <f t="shared" si="29"/>
        <v/>
      </c>
      <c r="B235" s="414"/>
      <c r="C235" s="1046" t="str">
        <f>IF(Menu!$C$7 = "V","",IF(INDEX(loaituong,MATCH(C234,loaituong1,0),2)&lt;&gt;"",INDEX(loaituong,MATCH(C234,loaituong1,0),2),""))</f>
        <v/>
      </c>
      <c r="D235" s="1047"/>
      <c r="E235" s="1048"/>
      <c r="F235" s="375"/>
      <c r="G235" s="362"/>
      <c r="H235" s="715"/>
      <c r="I235" s="366"/>
      <c r="J235" s="367"/>
    </row>
    <row r="236" spans="1:10" ht="15" hidden="1" customHeight="1">
      <c r="A236" s="457">
        <f t="shared" si="29"/>
        <v>1</v>
      </c>
      <c r="B236" s="414"/>
      <c r="C236" s="347" t="str">
        <f>IF(Menu!$C$7 = "V","Tải tường phân bố trên 1m"," Tải tường phân bố trên 1m/ Wall dead surface load per 1m")</f>
        <v>Tải tường phân bố trên 1m</v>
      </c>
      <c r="D236" s="354"/>
      <c r="E236" s="354"/>
      <c r="F236" s="352"/>
      <c r="G236" s="352"/>
      <c r="H236" s="352"/>
      <c r="I236" s="365"/>
      <c r="J236" s="365">
        <f>SUM(J232:J235)*(F229-H229)</f>
        <v>0</v>
      </c>
    </row>
    <row r="237" spans="1:10" ht="15" hidden="1" customHeight="1">
      <c r="A237" s="457">
        <f t="shared" si="29"/>
        <v>1</v>
      </c>
      <c r="B237" s="414"/>
      <c r="C237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37" s="354"/>
      <c r="E237" s="354"/>
      <c r="F237" s="352"/>
      <c r="G237" s="352"/>
      <c r="H237" s="352"/>
      <c r="I237" s="360"/>
      <c r="J237" s="365">
        <f>J236*J229</f>
        <v>0</v>
      </c>
    </row>
    <row r="238" spans="1:10" ht="20.100000000000001" hidden="1" customHeight="1">
      <c r="A238" s="457">
        <f t="shared" si="29"/>
        <v>1</v>
      </c>
      <c r="B238" s="569" t="s">
        <v>2082</v>
      </c>
      <c r="C238" s="909" t="str">
        <f>IF(Menu!$C$7 = "V","Chiều cao tường:","Chiều cao tường/Wall height:")</f>
        <v>Chiều cao tường:</v>
      </c>
      <c r="D238" s="911"/>
      <c r="E238" s="906" t="s">
        <v>2119</v>
      </c>
      <c r="F238" s="905">
        <f>INDEX(Menu!$D$54:$H$84,MATCH(E238,Menu!$D$54:$D$84,0),2)</f>
        <v>0</v>
      </c>
      <c r="G238" s="889" t="s">
        <v>2124</v>
      </c>
      <c r="H238" s="905">
        <f>INDEX(Menu!$D$54:$H$84,MATCH(E238,Menu!$D$54:$D$84,0),5)</f>
        <v>0</v>
      </c>
      <c r="I238" s="889" t="s">
        <v>2125</v>
      </c>
      <c r="J238" s="907">
        <f>INDEX(Menu!$D$54:$H$84,MATCH(E238,Menu!$D$54:$D$84,0),4)</f>
        <v>0</v>
      </c>
    </row>
    <row r="239" spans="1:10" ht="20.100000000000001" hidden="1" customHeight="1">
      <c r="A239" s="457">
        <f t="shared" si="29"/>
        <v>1</v>
      </c>
      <c r="B239" s="414"/>
      <c r="C239" s="1058" t="str">
        <f>IF(Menu!$C$7 = "V","Các lớp vật liệu",IF(Menu!$C$7 ="E", "Material's layers","Các lớp vật liệu/Material's layers"))</f>
        <v>Các lớp vật liệu</v>
      </c>
      <c r="D239" s="1059"/>
      <c r="E239" s="1060"/>
      <c r="F239" s="416" t="s">
        <v>875</v>
      </c>
      <c r="G239" s="902" t="s">
        <v>1753</v>
      </c>
      <c r="H239" s="1041" t="s">
        <v>1775</v>
      </c>
      <c r="I239" s="903" t="s">
        <v>1764</v>
      </c>
      <c r="J239" s="903" t="s">
        <v>1766</v>
      </c>
    </row>
    <row r="240" spans="1:10" ht="19.5" hidden="1">
      <c r="A240" s="457">
        <v>1</v>
      </c>
      <c r="B240" s="414"/>
      <c r="C240" s="1053"/>
      <c r="D240" s="1054"/>
      <c r="E240" s="1055"/>
      <c r="F240" s="398" t="s">
        <v>1750</v>
      </c>
      <c r="G240" s="398" t="s">
        <v>1751</v>
      </c>
      <c r="H240" s="1042"/>
      <c r="I240" s="398" t="s">
        <v>1752</v>
      </c>
      <c r="J240" s="398" t="s">
        <v>1752</v>
      </c>
    </row>
    <row r="241" spans="1:13" ht="15" hidden="1" customHeight="1">
      <c r="A241" s="457">
        <f t="shared" ref="A241:A246" si="30">IF(C241="","",1)</f>
        <v>1</v>
      </c>
      <c r="B241" s="414"/>
      <c r="C241" s="1043" t="s">
        <v>2255</v>
      </c>
      <c r="D241" s="1044"/>
      <c r="E241" s="1045"/>
      <c r="F241" s="363">
        <f>IF(INDEX(cautaotuong,MATCH($C241,loaituong1,0),2)&lt;&gt;"",INDEX(cautaotuong,MATCH($C241,loaituong1,0),2),"")</f>
        <v>10</v>
      </c>
      <c r="G241" s="363">
        <f>IF(INDEX(cautaotuong,MATCH($C241,loaituong1,0),3)&lt;&gt;"",INDEX(cautaotuong,MATCH($C241,loaituong1,0),3),"")</f>
        <v>25</v>
      </c>
      <c r="H241" s="361">
        <f>IF(INDEX(cautaotuong,MATCH($C241,loaituong1,0),4)&lt;&gt;"",INDEX(cautaotuong,MATCH($C241,loaituong1,0),4),"")</f>
        <v>1.1000000000000001</v>
      </c>
      <c r="I241" s="361">
        <f>IFERROR(F241*G241/1000,INDEX(cautaotuong,MATCH(C241,loaituong1,0),5))</f>
        <v>0.25</v>
      </c>
      <c r="J241" s="361">
        <f>I241*H241</f>
        <v>0.27500000000000002</v>
      </c>
    </row>
    <row r="242" spans="1:13" ht="16.5" hidden="1" customHeight="1">
      <c r="A242" s="457" t="str">
        <f t="shared" si="30"/>
        <v/>
      </c>
      <c r="B242" s="414"/>
      <c r="C242" s="1046" t="str">
        <f>IF(Menu!$C$7 = "V","",IF(INDEX(loaituong,MATCH(C241,loaituong1,0),2)&lt;&gt;"",INDEX(loaituong,MATCH(C241,loaituong1,0),2),""))</f>
        <v/>
      </c>
      <c r="D242" s="1047"/>
      <c r="E242" s="1048"/>
      <c r="F242" s="375"/>
      <c r="G242" s="362"/>
      <c r="H242" s="715"/>
      <c r="I242" s="366"/>
      <c r="J242" s="367"/>
    </row>
    <row r="243" spans="1:13" ht="15" hidden="1" customHeight="1">
      <c r="A243" s="457">
        <f t="shared" si="30"/>
        <v>1</v>
      </c>
      <c r="B243" s="414"/>
      <c r="C243" s="1043" t="s">
        <v>2231</v>
      </c>
      <c r="D243" s="1044"/>
      <c r="E243" s="1045"/>
      <c r="F243" s="363" t="str">
        <f>IF(INDEX(cautaotuong,MATCH($C243,loaituong1,0),2)&lt;&gt;"",INDEX(cautaotuong,MATCH($C243,loaituong1,0),2),"")</f>
        <v/>
      </c>
      <c r="G243" s="363" t="str">
        <f>IF(INDEX(cautaotuong,MATCH($C243,loaituong1,0),3)&lt;&gt;"",INDEX(cautaotuong,MATCH($C243,loaituong1,0),3),"")</f>
        <v/>
      </c>
      <c r="H243" s="361">
        <f>IF(INDEX(cautaotuong,MATCH($C243,loaituong1,0),4)&lt;&gt;"",INDEX(cautaotuong,MATCH($C243,loaituong1,0),4),"")</f>
        <v>1.1000000000000001</v>
      </c>
      <c r="I243" s="361">
        <f>IFERROR(F243*G243/1000,INDEX(cautaotuong,MATCH(C243,loaituong1,0),5))</f>
        <v>0.35</v>
      </c>
      <c r="J243" s="361">
        <f>I243*H243</f>
        <v>0.38500000000000001</v>
      </c>
    </row>
    <row r="244" spans="1:13" ht="16.5" hidden="1">
      <c r="A244" s="457" t="str">
        <f t="shared" si="30"/>
        <v/>
      </c>
      <c r="B244" s="414"/>
      <c r="C244" s="1046" t="str">
        <f>IF(Menu!$C$7 = "V","",IF(INDEX(loaituong,MATCH(C243,loaituong1,0),2)&lt;&gt;"",INDEX(loaituong,MATCH(C243,loaituong1,0),2),""))</f>
        <v/>
      </c>
      <c r="D244" s="1047"/>
      <c r="E244" s="1048"/>
      <c r="F244" s="375"/>
      <c r="G244" s="362"/>
      <c r="H244" s="715"/>
      <c r="I244" s="366"/>
      <c r="J244" s="367"/>
    </row>
    <row r="245" spans="1:13" ht="15" hidden="1" customHeight="1">
      <c r="A245" s="457">
        <f t="shared" si="30"/>
        <v>1</v>
      </c>
      <c r="B245" s="414"/>
      <c r="C245" s="347" t="str">
        <f>IF(Menu!$C$7 = "V","Tải tường phân bố trên 1m"," Tải tường phân bố trên 1m/ Wall dead surface load per 1m")</f>
        <v>Tải tường phân bố trên 1m</v>
      </c>
      <c r="D245" s="354"/>
      <c r="E245" s="354"/>
      <c r="F245" s="352"/>
      <c r="G245" s="352"/>
      <c r="H245" s="352"/>
      <c r="I245" s="365"/>
      <c r="J245" s="365">
        <f>SUM(J241:J244)*(F238-H238)</f>
        <v>0</v>
      </c>
    </row>
    <row r="246" spans="1:13" ht="15" hidden="1" customHeight="1">
      <c r="A246" s="457">
        <f t="shared" si="30"/>
        <v>1</v>
      </c>
      <c r="B246" s="414"/>
      <c r="C246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46" s="354"/>
      <c r="E246" s="354"/>
      <c r="F246" s="352"/>
      <c r="G246" s="352"/>
      <c r="H246" s="352"/>
      <c r="I246" s="360"/>
      <c r="J246" s="365">
        <f>J245*J238</f>
        <v>0</v>
      </c>
    </row>
    <row r="247" spans="1:13" ht="15" customHeight="1">
      <c r="A247" s="457">
        <v>1</v>
      </c>
      <c r="B247" s="414"/>
      <c r="C247" s="356"/>
      <c r="D247" s="908"/>
      <c r="E247" s="354"/>
      <c r="F247" s="352"/>
      <c r="G247" s="352"/>
      <c r="H247" s="352"/>
      <c r="I247" s="360"/>
      <c r="J247" s="910"/>
    </row>
    <row r="248" spans="1:13" ht="15" customHeight="1">
      <c r="A248" s="457">
        <f t="shared" si="15"/>
        <v>1</v>
      </c>
      <c r="B248" s="414"/>
      <c r="C248" s="1080" t="s">
        <v>1886</v>
      </c>
      <c r="D248" s="1081"/>
      <c r="E248" s="1081"/>
      <c r="F248" s="1081"/>
      <c r="G248" s="373">
        <f>Menu!$B$33</f>
        <v>3</v>
      </c>
      <c r="H248" s="384" t="s">
        <v>1752</v>
      </c>
      <c r="I248" s="383"/>
      <c r="J248" s="402"/>
    </row>
    <row r="249" spans="1:13" ht="21" customHeight="1">
      <c r="A249" s="457">
        <f t="shared" si="15"/>
        <v>1</v>
      </c>
      <c r="B249" s="414"/>
      <c r="C249" s="1082" t="s">
        <v>1885</v>
      </c>
      <c r="D249" s="1083"/>
      <c r="E249" s="1083"/>
      <c r="F249" s="1083"/>
      <c r="G249" s="850">
        <f>Menu!$B$34</f>
        <v>1.5</v>
      </c>
      <c r="H249" s="421" t="s">
        <v>1752</v>
      </c>
      <c r="I249" s="403"/>
      <c r="J249" s="404"/>
    </row>
    <row r="250" spans="1:13" ht="15" customHeight="1">
      <c r="A250" s="457">
        <v>1</v>
      </c>
      <c r="B250" s="414"/>
      <c r="C250" s="341"/>
      <c r="D250" s="341"/>
      <c r="E250" s="341"/>
      <c r="F250" s="341"/>
      <c r="G250" s="341"/>
      <c r="H250" s="341"/>
      <c r="I250" s="341"/>
      <c r="J250" s="341"/>
    </row>
    <row r="251" spans="1:13" ht="20.100000000000001" customHeight="1">
      <c r="A251" s="457">
        <f t="shared" ref="A251:A297" si="31">IF(C251="","",1)</f>
        <v>1</v>
      </c>
      <c r="B251" s="420" t="s">
        <v>1779</v>
      </c>
      <c r="C251" s="356" t="str">
        <f>IF(Menu!$C$7 = "V"," Hoạt tải"," Hoạt tải / Live loads")</f>
        <v xml:space="preserve"> Hoạt tải</v>
      </c>
      <c r="D251" s="377"/>
      <c r="E251" s="376"/>
      <c r="F251" s="394"/>
      <c r="G251" s="386"/>
      <c r="H251" s="377"/>
      <c r="I251" s="377"/>
      <c r="J251" s="377"/>
      <c r="M251" s="460" t="s">
        <v>2066</v>
      </c>
    </row>
    <row r="252" spans="1:13" ht="22.5" customHeight="1">
      <c r="A252" s="457">
        <f t="shared" si="31"/>
        <v>1</v>
      </c>
      <c r="B252" s="385"/>
      <c r="C252" s="1050" t="s">
        <v>1780</v>
      </c>
      <c r="D252" s="1051"/>
      <c r="E252" s="1051"/>
      <c r="F252" s="1052"/>
      <c r="G252" s="1050" t="s">
        <v>1814</v>
      </c>
      <c r="H252" s="1052"/>
      <c r="I252" s="1077" t="s">
        <v>1775</v>
      </c>
      <c r="J252" s="411" t="s">
        <v>1815</v>
      </c>
    </row>
    <row r="253" spans="1:13" ht="16.5">
      <c r="A253" s="457" t="str">
        <f t="shared" si="31"/>
        <v/>
      </c>
      <c r="B253" s="385"/>
      <c r="C253" s="1092" t="str">
        <f>IF(Menu!$C$7 = "V","", " The function of the rooms in the building")</f>
        <v/>
      </c>
      <c r="D253" s="1093"/>
      <c r="E253" s="1093"/>
      <c r="F253" s="1094"/>
      <c r="G253" s="193" t="s">
        <v>94</v>
      </c>
      <c r="H253" s="193" t="s">
        <v>95</v>
      </c>
      <c r="I253" s="1078"/>
      <c r="J253" s="193" t="s">
        <v>94</v>
      </c>
    </row>
    <row r="254" spans="1:13" ht="18.75" customHeight="1">
      <c r="A254" s="457">
        <f t="shared" si="31"/>
        <v>1</v>
      </c>
      <c r="B254" s="385"/>
      <c r="C254" s="1084" t="str">
        <f>IF(Menu!$C$7 = "V","Loại phòng",IF(Menu!$C$7 = "E", "Type of rooms","Loại phòng/ Type of rooms"))</f>
        <v>Loại phòng</v>
      </c>
      <c r="D254" s="1085"/>
      <c r="E254" s="1088" t="str">
        <f>IF(Menu!$C$7 = "V","Chức năng",IF(Menu!$C$7 = "E", "Function","Chức năng/ Function"))</f>
        <v>Chức năng</v>
      </c>
      <c r="F254" s="1089"/>
      <c r="G254" s="193" t="str">
        <f>IF(Menu!$C$7="V","","All")</f>
        <v/>
      </c>
      <c r="H254" s="193" t="str">
        <f>IF(Menu!$C$7 = "V","","Longterm")</f>
        <v/>
      </c>
      <c r="I254" s="1078"/>
      <c r="J254" s="193" t="str">
        <f>IF(Menu!$C$7="V","","All")</f>
        <v/>
      </c>
    </row>
    <row r="255" spans="1:13" ht="23.25" customHeight="1">
      <c r="A255" s="457" t="str">
        <f t="shared" ref="A255" si="32">IF(C255="","",1)</f>
        <v/>
      </c>
      <c r="B255" s="385"/>
      <c r="C255" s="1086"/>
      <c r="D255" s="1087"/>
      <c r="E255" s="1090"/>
      <c r="F255" s="1091"/>
      <c r="G255" s="412" t="s">
        <v>2089</v>
      </c>
      <c r="H255" s="412" t="s">
        <v>2090</v>
      </c>
      <c r="I255" s="1079"/>
      <c r="J255" s="415" t="s">
        <v>2010</v>
      </c>
    </row>
    <row r="256" spans="1:13" ht="15" customHeight="1">
      <c r="A256" s="457">
        <f t="shared" si="31"/>
        <v>1</v>
      </c>
      <c r="B256" s="341"/>
      <c r="C256" s="1043" t="s">
        <v>159</v>
      </c>
      <c r="D256" s="1044"/>
      <c r="E256" s="1056" t="s">
        <v>2256</v>
      </c>
      <c r="F256" s="1057"/>
      <c r="G256" s="390">
        <f t="array" ref="G256">IFERROR(INDEX(Base!$AO:$AR,MATCH(1,(C256=Base!AO:AO)*(E256=Base!AP:AP),0),3),"")</f>
        <v>5</v>
      </c>
      <c r="H256" s="390">
        <f t="array" ref="H256">IFERROR(INDEX(Base!$AO:$AR,MATCH(1,(C256=Base!AO:AO)*(E256=Base!AP:AP),0),4),"")</f>
        <v>1.8</v>
      </c>
      <c r="I256" s="392">
        <f>IF(C256="Hoạt tải xe cứu hỏa",1,IF(G256="","",IF(G256&lt;2,1.3,1.2)))</f>
        <v>1.2</v>
      </c>
      <c r="J256" s="396">
        <f>IFERROR(G256*I256,"")</f>
        <v>6</v>
      </c>
    </row>
    <row r="257" spans="1:10" ht="15" customHeight="1">
      <c r="A257" s="457" t="str">
        <f t="shared" si="31"/>
        <v/>
      </c>
      <c r="B257" s="341"/>
      <c r="C257" s="1061" t="str">
        <f>IF(Menu!$C$7 = "V","",VLOOKUP(Room1,Base!$AT$3:$AU$36,2,0))</f>
        <v/>
      </c>
      <c r="D257" s="1062"/>
      <c r="E257" s="1046" t="str">
        <f>IF(Menu!$C$7 = "V","",VLOOKUP(Blding1,Base!$AV$3:$AW$60,2,0))</f>
        <v/>
      </c>
      <c r="F257" s="1047"/>
      <c r="G257" s="391"/>
      <c r="H257" s="391"/>
      <c r="I257" s="393"/>
      <c r="J257" s="397"/>
    </row>
    <row r="258" spans="1:10" ht="15" customHeight="1">
      <c r="A258" s="457">
        <f t="shared" si="31"/>
        <v>1</v>
      </c>
      <c r="B258" s="341"/>
      <c r="C258" s="1043" t="s">
        <v>115</v>
      </c>
      <c r="D258" s="1045"/>
      <c r="E258" s="1056" t="s">
        <v>165</v>
      </c>
      <c r="F258" s="1057"/>
      <c r="G258" s="390">
        <f t="array" ref="G258">IFERROR(INDEX(Base!$AO:$AR,MATCH(1,(C258=Base!AO:AO)*(E258=Base!AP:AP),0),3),"")</f>
        <v>7.5</v>
      </c>
      <c r="H258" s="390">
        <f t="array" ref="H258">IFERROR(INDEX(Base!$AO:$AR,MATCH(1,(C258=Base!AO:AO)*(E258=Base!AP:AP),0),4),"")</f>
        <v>7.5</v>
      </c>
      <c r="I258" s="392">
        <f>IF(C258="Hoạt tải xe cứu hỏa",1,IF(G258="","",IF(G258&lt;2,1.3,1.2)))</f>
        <v>1.2</v>
      </c>
      <c r="J258" s="396">
        <f>IFERROR(G258*I258,"")</f>
        <v>9</v>
      </c>
    </row>
    <row r="259" spans="1:10" ht="15" customHeight="1">
      <c r="A259" s="457" t="str">
        <f t="shared" si="31"/>
        <v/>
      </c>
      <c r="B259" s="341"/>
      <c r="C259" s="1061" t="str">
        <f>IF(Menu!$C$7 = "V","",VLOOKUP(C258,Base!$AT$3:$AU$36,2,0))</f>
        <v/>
      </c>
      <c r="D259" s="1062"/>
      <c r="E259" s="1046" t="str">
        <f>IF(Menu!$C$7 = "V","",VLOOKUP(E258,Base!$AV$3:$AW$60,2,0))</f>
        <v/>
      </c>
      <c r="F259" s="1047"/>
      <c r="G259" s="391"/>
      <c r="H259" s="391"/>
      <c r="I259" s="393"/>
      <c r="J259" s="397"/>
    </row>
    <row r="260" spans="1:10" ht="15" customHeight="1">
      <c r="A260" s="457">
        <f t="shared" si="31"/>
        <v>1</v>
      </c>
      <c r="B260" s="341"/>
      <c r="C260" s="1043" t="s">
        <v>1745</v>
      </c>
      <c r="D260" s="1044"/>
      <c r="E260" s="1056" t="s">
        <v>165</v>
      </c>
      <c r="F260" s="1057"/>
      <c r="G260" s="390">
        <f t="array" ref="G260">IFERROR(INDEX(Base!$AO:$AR,MATCH(1,(C260=Base!AO:AO)*(E260=Base!AP:AP),0),3),"")</f>
        <v>7.5</v>
      </c>
      <c r="H260" s="390">
        <f t="array" ref="H260">IFERROR(INDEX(Base!$AO:$AR,MATCH(1,(C260=Base!AO:AO)*(E260=Base!AP:AP),0),4),"")</f>
        <v>7.5</v>
      </c>
      <c r="I260" s="392">
        <f>IF(C260="Hoạt tải xe cứu hỏa",1,IF(G260="","",IF(G260&lt;2,1.3,1.2)))</f>
        <v>1.2</v>
      </c>
      <c r="J260" s="396">
        <f>IFERROR(G260*I260,"")</f>
        <v>9</v>
      </c>
    </row>
    <row r="261" spans="1:10" ht="15" customHeight="1">
      <c r="A261" s="457" t="str">
        <f t="shared" si="31"/>
        <v/>
      </c>
      <c r="B261" s="341"/>
      <c r="C261" s="1061" t="str">
        <f>IF(Menu!$C$7 = "V","",VLOOKUP(C260,Base!$AT$3:$AU$36,2,0))</f>
        <v/>
      </c>
      <c r="D261" s="1062"/>
      <c r="E261" s="1046" t="str">
        <f>IF(Menu!$C$7 = "V","",VLOOKUP(E260,Base!$AV$3:$AW$60,2,0))</f>
        <v/>
      </c>
      <c r="F261" s="1047"/>
      <c r="G261" s="391"/>
      <c r="H261" s="391"/>
      <c r="I261" s="393"/>
      <c r="J261" s="397"/>
    </row>
    <row r="262" spans="1:10" ht="15" customHeight="1">
      <c r="A262" s="457">
        <f t="shared" si="31"/>
        <v>1</v>
      </c>
      <c r="B262" s="341"/>
      <c r="C262" s="1043" t="s">
        <v>136</v>
      </c>
      <c r="D262" s="1044"/>
      <c r="E262" s="1056" t="s">
        <v>100</v>
      </c>
      <c r="F262" s="1057"/>
      <c r="G262" s="390">
        <f t="array" ref="G262">IFERROR(INDEX(Base!$AO:$AR,MATCH(1,(C262=Base!AO:AO)*(E262=Base!AP:AP),0),3),"")</f>
        <v>3</v>
      </c>
      <c r="H262" s="390">
        <f t="array" ref="H262">IFERROR(INDEX(Base!$AO:$AR,MATCH(1,(C262=Base!AO:AO)*(E262=Base!AP:AP),0),4),"")</f>
        <v>1</v>
      </c>
      <c r="I262" s="392">
        <f>IF(C262="Hoạt tải xe cứu hỏa",1,IF(G262="","",IF(G262&lt;2,1.3,1.2)))</f>
        <v>1.2</v>
      </c>
      <c r="J262" s="396">
        <f>IFERROR(G262*I262,"")</f>
        <v>3.5999999999999996</v>
      </c>
    </row>
    <row r="263" spans="1:10" ht="15" customHeight="1">
      <c r="A263" s="457" t="str">
        <f t="shared" si="31"/>
        <v/>
      </c>
      <c r="B263" s="341"/>
      <c r="C263" s="1061" t="str">
        <f>IF(Menu!$C$7 = "V","",VLOOKUP(C262,Base!$AT$3:$AU$36,2,0))</f>
        <v/>
      </c>
      <c r="D263" s="1062"/>
      <c r="E263" s="1046" t="str">
        <f>IF(Menu!$C$7 = "V","",VLOOKUP(E262,Base!$AV$3:$AW$60,2,0))</f>
        <v/>
      </c>
      <c r="F263" s="1047"/>
      <c r="G263" s="391"/>
      <c r="H263" s="391"/>
      <c r="I263" s="393"/>
      <c r="J263" s="397"/>
    </row>
    <row r="264" spans="1:10" ht="15" customHeight="1">
      <c r="A264" s="457">
        <f t="shared" si="31"/>
        <v>1</v>
      </c>
      <c r="B264" s="341"/>
      <c r="C264" s="1043" t="s">
        <v>136</v>
      </c>
      <c r="D264" s="1044"/>
      <c r="E264" s="1056" t="s">
        <v>142</v>
      </c>
      <c r="F264" s="1057"/>
      <c r="G264" s="390">
        <f t="array" ref="G264">IFERROR(INDEX(Base!$AO:$AR,MATCH(1,(C264=Base!AO:AO)*(E264=Base!AP:AP),0),3),"")</f>
        <v>3</v>
      </c>
      <c r="H264" s="390">
        <f t="array" ref="H264">IFERROR(INDEX(Base!$AO:$AR,MATCH(1,(C264=Base!AO:AO)*(E264=Base!AP:AP),0),4),"")</f>
        <v>1</v>
      </c>
      <c r="I264" s="392">
        <f>IF(C264="Hoạt tải xe cứu hỏa",1,IF(G264="","",IF(G264&lt;2,1.3,1.2)))</f>
        <v>1.2</v>
      </c>
      <c r="J264" s="396">
        <f>IFERROR(G264*I264,"")</f>
        <v>3.5999999999999996</v>
      </c>
    </row>
    <row r="265" spans="1:10" ht="15" customHeight="1">
      <c r="A265" s="457" t="str">
        <f t="shared" si="31"/>
        <v/>
      </c>
      <c r="B265" s="341"/>
      <c r="C265" s="1061" t="str">
        <f>IF(Menu!$C$7 = "V","",VLOOKUP(C264,Base!$AT$3:$AU$36,2,0))</f>
        <v/>
      </c>
      <c r="D265" s="1062"/>
      <c r="E265" s="1046" t="str">
        <f>IF(Menu!$C$7 = "V","",VLOOKUP(E264,Base!$AV$3:$AW$60,2,0))</f>
        <v/>
      </c>
      <c r="F265" s="1047"/>
      <c r="G265" s="391"/>
      <c r="H265" s="391"/>
      <c r="I265" s="393"/>
      <c r="J265" s="397"/>
    </row>
    <row r="266" spans="1:10" ht="36.75" customHeight="1">
      <c r="A266" s="457">
        <f t="shared" si="31"/>
        <v>1</v>
      </c>
      <c r="B266" s="341"/>
      <c r="C266" s="1043" t="s">
        <v>169</v>
      </c>
      <c r="D266" s="1044"/>
      <c r="E266" s="1056" t="s">
        <v>100</v>
      </c>
      <c r="F266" s="1057"/>
      <c r="G266" s="390">
        <f t="array" ref="G266">IFERROR(INDEX(Base!$AO:$AR,MATCH(1,(C266=Base!AO:AO)*(E266=Base!AP:AP),0),3),"")</f>
        <v>3</v>
      </c>
      <c r="H266" s="390">
        <f t="array" ref="H266">IFERROR(INDEX(Base!$AO:$AR,MATCH(1,(C266=Base!AO:AO)*(E266=Base!AP:AP),0),4),"")</f>
        <v>1</v>
      </c>
      <c r="I266" s="392">
        <f>IF(C266="Hoạt tải xe cứu hỏa",1,IF(G266="","",IF(G266&lt;2,1.3,1.2)))</f>
        <v>1.2</v>
      </c>
      <c r="J266" s="396">
        <f>IFERROR(G266*I266,"")</f>
        <v>3.5999999999999996</v>
      </c>
    </row>
    <row r="267" spans="1:10" ht="15" customHeight="1">
      <c r="A267" s="457" t="str">
        <f t="shared" si="31"/>
        <v/>
      </c>
      <c r="B267" s="341"/>
      <c r="C267" s="1061" t="str">
        <f>IF(Menu!$C$7 = "V","",VLOOKUP(C266,Base!$AT$3:$AU$36,2,0))</f>
        <v/>
      </c>
      <c r="D267" s="1062"/>
      <c r="E267" s="1046" t="str">
        <f>IF(Menu!$C$7 = "V","",VLOOKUP(E266,Base!$AV$3:$AW$60,2,0))</f>
        <v/>
      </c>
      <c r="F267" s="1047"/>
      <c r="G267" s="391"/>
      <c r="H267" s="391"/>
      <c r="I267" s="393"/>
      <c r="J267" s="397"/>
    </row>
    <row r="268" spans="1:10" ht="39" customHeight="1">
      <c r="A268" s="457">
        <f t="shared" si="31"/>
        <v>1</v>
      </c>
      <c r="B268" s="341"/>
      <c r="C268" s="1043" t="s">
        <v>169</v>
      </c>
      <c r="D268" s="1044"/>
      <c r="E268" s="1056" t="s">
        <v>142</v>
      </c>
      <c r="F268" s="1057"/>
      <c r="G268" s="390">
        <f t="array" ref="G268">IFERROR(INDEX(Base!$AO:$AR,MATCH(1,(C268=Base!AO:AO)*(E268=Base!AP:AP),0),3),"")</f>
        <v>3</v>
      </c>
      <c r="H268" s="390">
        <f t="array" ref="H268">IFERROR(INDEX(Base!$AO:$AR,MATCH(1,(C268=Base!AO:AO)*(E268=Base!AP:AP),0),4),"")</f>
        <v>1</v>
      </c>
      <c r="I268" s="392">
        <f>IF(C268="Hoạt tải xe cứu hỏa",1,IF(G268="","",IF(G268&lt;2,1.3,1.2)))</f>
        <v>1.2</v>
      </c>
      <c r="J268" s="396">
        <f>IFERROR(G268*I268,"")</f>
        <v>3.5999999999999996</v>
      </c>
    </row>
    <row r="269" spans="1:10" ht="15" customHeight="1">
      <c r="A269" s="457" t="str">
        <f t="shared" si="31"/>
        <v/>
      </c>
      <c r="B269" s="341"/>
      <c r="C269" s="1061" t="str">
        <f>IF(Menu!$C$7 = "V","",VLOOKUP(C268,Base!$AT$3:$AU$36,2,0))</f>
        <v/>
      </c>
      <c r="D269" s="1062"/>
      <c r="E269" s="1046" t="str">
        <f>IF(Menu!$C$7 = "V","",VLOOKUP(E268,Base!$AV$3:$AW$60,2,0))</f>
        <v/>
      </c>
      <c r="F269" s="1047"/>
      <c r="G269" s="391"/>
      <c r="H269" s="391"/>
      <c r="I269" s="393"/>
      <c r="J269" s="397"/>
    </row>
    <row r="270" spans="1:10" ht="15" customHeight="1">
      <c r="A270" s="457">
        <f t="shared" si="31"/>
        <v>1</v>
      </c>
      <c r="B270" s="341"/>
      <c r="C270" s="1043" t="s">
        <v>127</v>
      </c>
      <c r="D270" s="1044"/>
      <c r="E270" s="1056" t="s">
        <v>128</v>
      </c>
      <c r="F270" s="1057"/>
      <c r="G270" s="390">
        <f t="array" ref="G270">IFERROR(INDEX(Base!$AO:$AR,MATCH(1,(C270=Base!AO:AO)*(E270=Base!AP:AP),0),3),"")</f>
        <v>2</v>
      </c>
      <c r="H270" s="390">
        <f t="array" ref="H270">IFERROR(INDEX(Base!$AO:$AR,MATCH(1,(C270=Base!AO:AO)*(E270=Base!AP:AP),0),4),"")</f>
        <v>0.7</v>
      </c>
      <c r="I270" s="392">
        <f>IF(C270="Hoạt tải xe cứu hỏa",1,IF(G270="","",IF(G270&lt;2,1.3,1.2)))</f>
        <v>1.2</v>
      </c>
      <c r="J270" s="396">
        <f>IFERROR(G270*I270,"")</f>
        <v>2.4</v>
      </c>
    </row>
    <row r="271" spans="1:10" ht="15" customHeight="1">
      <c r="A271" s="457" t="str">
        <f t="shared" si="31"/>
        <v/>
      </c>
      <c r="B271" s="341"/>
      <c r="C271" s="1061" t="str">
        <f>IF(Menu!$C$7 = "V","",VLOOKUP(C270,Base!$AT$3:$AU$36,2,0))</f>
        <v/>
      </c>
      <c r="D271" s="1062"/>
      <c r="E271" s="1046" t="str">
        <f>IF(Menu!$C$7 = "V","",VLOOKUP(E270,Base!$AV$3:$AW$60,2,0))</f>
        <v/>
      </c>
      <c r="F271" s="1047"/>
      <c r="G271" s="391"/>
      <c r="H271" s="391"/>
      <c r="I271" s="393"/>
      <c r="J271" s="397"/>
    </row>
    <row r="272" spans="1:10" ht="15" customHeight="1">
      <c r="A272" s="457">
        <f t="shared" si="31"/>
        <v>1</v>
      </c>
      <c r="B272" s="341"/>
      <c r="C272" s="1043" t="s">
        <v>96</v>
      </c>
      <c r="D272" s="1044"/>
      <c r="E272" s="1056" t="s">
        <v>98</v>
      </c>
      <c r="F272" s="1057"/>
      <c r="G272" s="390">
        <f t="array" ref="G272">IFERROR(INDEX(Base!$AO:$AR,MATCH(1,(C272=Base!AO:AO)*(E272=Base!AP:AP),0),3),"")</f>
        <v>1.5</v>
      </c>
      <c r="H272" s="390">
        <f t="array" ref="H272">IFERROR(INDEX(Base!$AO:$AR,MATCH(1,(C272=Base!AO:AO)*(E272=Base!AP:AP),0),4),"")</f>
        <v>0.3</v>
      </c>
      <c r="I272" s="392">
        <f>IF(C272="Hoạt tải xe cứu hỏa",1,IF(G272="","",IF(G272&lt;2,1.3,1.2)))</f>
        <v>1.3</v>
      </c>
      <c r="J272" s="396">
        <f>IFERROR(G272*I272,"")</f>
        <v>1.9500000000000002</v>
      </c>
    </row>
    <row r="273" spans="1:10" ht="15" customHeight="1">
      <c r="A273" s="457" t="str">
        <f t="shared" si="31"/>
        <v/>
      </c>
      <c r="B273" s="341"/>
      <c r="C273" s="1061" t="str">
        <f>IF(Menu!$C$7 = "V","",VLOOKUP(C272,Base!$AT$3:$AU$36,2,0))</f>
        <v/>
      </c>
      <c r="D273" s="1062"/>
      <c r="E273" s="1046" t="str">
        <f>IF(Menu!$C$7 = "V","",VLOOKUP(E272,Base!$AV$3:$AW$60,2,0))</f>
        <v/>
      </c>
      <c r="F273" s="1047"/>
      <c r="G273" s="391"/>
      <c r="H273" s="391"/>
      <c r="I273" s="393"/>
      <c r="J273" s="397"/>
    </row>
    <row r="274" spans="1:10" ht="15" customHeight="1">
      <c r="A274" s="457">
        <f t="shared" si="31"/>
        <v>1</v>
      </c>
      <c r="B274" s="341"/>
      <c r="C274" s="1043" t="s">
        <v>138</v>
      </c>
      <c r="D274" s="1044"/>
      <c r="E274" s="1056" t="s">
        <v>98</v>
      </c>
      <c r="F274" s="1057"/>
      <c r="G274" s="390">
        <f t="array" ref="G274">IFERROR(INDEX(Base!$AO:$AR,MATCH(1,(C274=Base!AO:AO)*(E274=Base!AP:AP),0),3),"")</f>
        <v>1.5</v>
      </c>
      <c r="H274" s="390">
        <f t="array" ref="H274">IFERROR(INDEX(Base!$AO:$AR,MATCH(1,(C274=Base!AO:AO)*(E274=Base!AP:AP),0),4),"")</f>
        <v>0.3</v>
      </c>
      <c r="I274" s="392">
        <f>IF(C274="Hoạt tải xe cứu hỏa",1,IF(G274="","",IF(G274&lt;2,1.3,1.2)))</f>
        <v>1.3</v>
      </c>
      <c r="J274" s="396">
        <f>IFERROR(G274*I274,"")</f>
        <v>1.9500000000000002</v>
      </c>
    </row>
    <row r="275" spans="1:10" ht="15" customHeight="1">
      <c r="A275" s="457" t="str">
        <f t="shared" si="31"/>
        <v/>
      </c>
      <c r="B275" s="341"/>
      <c r="C275" s="1061" t="str">
        <f>IF(Menu!$C$7 = "V","",VLOOKUP(C274,Base!$AT$3:$AU$36,2,0))</f>
        <v/>
      </c>
      <c r="D275" s="1062"/>
      <c r="E275" s="1046" t="str">
        <f>IF(Menu!$C$7 = "V","",VLOOKUP(E274,Base!$AV$3:$AW$60,2,0))</f>
        <v/>
      </c>
      <c r="F275" s="1047"/>
      <c r="G275" s="391"/>
      <c r="H275" s="391"/>
      <c r="I275" s="393"/>
      <c r="J275" s="397"/>
    </row>
    <row r="276" spans="1:10" ht="15" customHeight="1">
      <c r="A276" s="457">
        <f t="shared" si="31"/>
        <v>1</v>
      </c>
      <c r="B276" s="341"/>
      <c r="C276" s="1043" t="s">
        <v>99</v>
      </c>
      <c r="D276" s="1044"/>
      <c r="E276" s="1056" t="s">
        <v>98</v>
      </c>
      <c r="F276" s="1057"/>
      <c r="G276" s="390">
        <f t="array" ref="G276">IFERROR(INDEX(Base!$AO:$AR,MATCH(1,(C276=Base!AO:AO)*(E276=Base!AP:AP),0),3),"")</f>
        <v>1.5</v>
      </c>
      <c r="H276" s="390">
        <f t="array" ref="H276">IFERROR(INDEX(Base!$AO:$AR,MATCH(1,(C276=Base!AO:AO)*(E276=Base!AP:AP),0),4),"")</f>
        <v>1.3</v>
      </c>
      <c r="I276" s="392">
        <f>IF(C276="Hoạt tải xe cứu hỏa",1,IF(G276="","",IF(G276&lt;2,1.3,1.2)))</f>
        <v>1.3</v>
      </c>
      <c r="J276" s="396">
        <f>IFERROR(G276*I276,"")</f>
        <v>1.9500000000000002</v>
      </c>
    </row>
    <row r="277" spans="1:10" ht="15" customHeight="1">
      <c r="A277" s="457" t="str">
        <f t="shared" si="31"/>
        <v/>
      </c>
      <c r="B277" s="341"/>
      <c r="C277" s="1061" t="str">
        <f>IF(Menu!$C$7 = "V","",VLOOKUP(C276,Base!$AT$3:$AU$36,2,0))</f>
        <v/>
      </c>
      <c r="D277" s="1062"/>
      <c r="E277" s="1046" t="str">
        <f>IF(Menu!$C$7 = "V","",VLOOKUP(E276,Base!$AV$3:$AW$60,2,0))</f>
        <v/>
      </c>
      <c r="F277" s="1047"/>
      <c r="G277" s="391"/>
      <c r="H277" s="391"/>
      <c r="I277" s="393"/>
      <c r="J277" s="397"/>
    </row>
    <row r="278" spans="1:10" ht="15" customHeight="1">
      <c r="A278" s="457">
        <f t="shared" si="31"/>
        <v>1</v>
      </c>
      <c r="B278" s="341"/>
      <c r="C278" s="1043" t="s">
        <v>118</v>
      </c>
      <c r="D278" s="1044"/>
      <c r="E278" s="1056" t="s">
        <v>117</v>
      </c>
      <c r="F278" s="1057"/>
      <c r="G278" s="390">
        <f t="array" ref="G278">IFERROR(INDEX(Base!$AO:$AR,MATCH(1,(C278=Base!AO:AO)*(E278=Base!AP:AP),0),3),"")</f>
        <v>5</v>
      </c>
      <c r="H278" s="390">
        <f t="array" ref="H278">IFERROR(INDEX(Base!$AO:$AR,MATCH(1,(C278=Base!AO:AO)*(E278=Base!AP:AP),0),4),"")</f>
        <v>1.8</v>
      </c>
      <c r="I278" s="392">
        <f>IF(C278="Hoạt tải xe cứu hỏa",1,IF(G278="","",IF(G278&lt;2,1.3,1.2)))</f>
        <v>1.2</v>
      </c>
      <c r="J278" s="396">
        <f>IFERROR(G278*I278,"")</f>
        <v>6</v>
      </c>
    </row>
    <row r="279" spans="1:10" ht="15" customHeight="1">
      <c r="A279" s="457" t="str">
        <f t="shared" si="31"/>
        <v/>
      </c>
      <c r="B279" s="341"/>
      <c r="C279" s="1061" t="str">
        <f>IF(Menu!$C$7 = "V","",VLOOKUP(C278,Base!$AT$3:$AU$36,2,0))</f>
        <v/>
      </c>
      <c r="D279" s="1062"/>
      <c r="E279" s="1046" t="str">
        <f>IF(Menu!$C$7 = "V","",VLOOKUP(E278,Base!$AV$3:$AW$60,2,0))</f>
        <v/>
      </c>
      <c r="F279" s="1047"/>
      <c r="G279" s="391"/>
      <c r="H279" s="391"/>
      <c r="I279" s="393"/>
      <c r="J279" s="397"/>
    </row>
    <row r="280" spans="1:10" ht="15" customHeight="1">
      <c r="A280" s="457">
        <f t="shared" si="31"/>
        <v>1</v>
      </c>
      <c r="B280" s="341"/>
      <c r="C280" s="1043" t="s">
        <v>2084</v>
      </c>
      <c r="D280" s="1044"/>
      <c r="E280" s="1056" t="s">
        <v>2086</v>
      </c>
      <c r="F280" s="1057"/>
      <c r="G280" s="390">
        <f t="array" ref="G280">IFERROR(INDEX(Base!$AO:$AR,MATCH(1,(C280=Base!AO:AO)*(E280=Base!AP:AP),0),3),"")</f>
        <v>20</v>
      </c>
      <c r="H280" s="390">
        <f t="array" ref="H280">IFERROR(INDEX(Base!$AO:$AR,MATCH(1,(C280=Base!AO:AO)*(E280=Base!AP:AP),0),4),"")</f>
        <v>0</v>
      </c>
      <c r="I280" s="392">
        <f>IF(C280="Hoạt tải xe cứu hỏa",1,IF(G280="","",IF(G280&lt;2,1.3,1.2)))</f>
        <v>1</v>
      </c>
      <c r="J280" s="396">
        <f>IFERROR(G280*I280,"")</f>
        <v>20</v>
      </c>
    </row>
    <row r="281" spans="1:10" ht="15" customHeight="1">
      <c r="A281" s="457" t="str">
        <f t="shared" si="31"/>
        <v/>
      </c>
      <c r="B281" s="341"/>
      <c r="C281" s="1061" t="str">
        <f>IF(Menu!$C$7 = "V","",VLOOKUP(C280,Base!$AT$3:$AU$36,2,0))</f>
        <v/>
      </c>
      <c r="D281" s="1062"/>
      <c r="E281" s="1046" t="str">
        <f>IF(Menu!$C$7 = "V","",VLOOKUP(E280,Base!$AV$3:$AW$60,2,0))</f>
        <v/>
      </c>
      <c r="F281" s="1047"/>
      <c r="G281" s="391"/>
      <c r="H281" s="391"/>
      <c r="I281" s="393"/>
      <c r="J281" s="397"/>
    </row>
    <row r="282" spans="1:10" ht="15" customHeight="1">
      <c r="A282" s="457">
        <f t="shared" si="31"/>
        <v>1</v>
      </c>
      <c r="B282" s="341"/>
      <c r="C282" s="1043" t="s">
        <v>151</v>
      </c>
      <c r="D282" s="1044"/>
      <c r="E282" s="1056" t="s">
        <v>153</v>
      </c>
      <c r="F282" s="1057"/>
      <c r="G282" s="390">
        <f t="array" ref="G282">IFERROR(INDEX(Base!$AO:$AR,MATCH(1,(C282=Base!AO:AO)*(E282=Base!AP:AP),0),3),"")</f>
        <v>1.5</v>
      </c>
      <c r="H282" s="390">
        <f t="array" ref="H282">IFERROR(INDEX(Base!$AO:$AR,MATCH(1,(C282=Base!AO:AO)*(E282=Base!AP:AP),0),4),"")</f>
        <v>0.5</v>
      </c>
      <c r="I282" s="392">
        <f>IF(C282="Hoạt tải xe cứu hỏa",1,IF(G282="","",IF(G282&lt;2,1.3,1.2)))</f>
        <v>1.3</v>
      </c>
      <c r="J282" s="396">
        <f>IFERROR(G282*I282,"")</f>
        <v>1.9500000000000002</v>
      </c>
    </row>
    <row r="283" spans="1:10" ht="15" customHeight="1">
      <c r="A283" s="457" t="str">
        <f t="shared" si="31"/>
        <v/>
      </c>
      <c r="B283" s="341"/>
      <c r="C283" s="1061" t="str">
        <f>IF(Menu!$C$7 = "V","",VLOOKUP(C282,Base!$AT$3:$AU$36,2,0))</f>
        <v/>
      </c>
      <c r="D283" s="1062"/>
      <c r="E283" s="1046" t="str">
        <f>IF(Menu!$C$7 = "V","",VLOOKUP(E282,Base!$AV$3:$AW$60,2,0))</f>
        <v/>
      </c>
      <c r="F283" s="1047"/>
      <c r="G283" s="391"/>
      <c r="H283" s="391"/>
      <c r="I283" s="393"/>
      <c r="J283" s="397"/>
    </row>
    <row r="284" spans="1:10" ht="15" customHeight="1">
      <c r="A284" s="457">
        <f t="shared" si="31"/>
        <v>1</v>
      </c>
      <c r="B284" s="341"/>
      <c r="C284" s="1043" t="s">
        <v>112</v>
      </c>
      <c r="D284" s="1044"/>
      <c r="E284" s="1056" t="s">
        <v>114</v>
      </c>
      <c r="F284" s="1057"/>
      <c r="G284" s="390">
        <f t="array" ref="G284">IFERROR(INDEX(Base!$AO:$AR,MATCH(1,(C284=Base!AO:AO)*(E284=Base!AP:AP),0),3),"")</f>
        <v>4</v>
      </c>
      <c r="H284" s="390">
        <f t="array" ref="H284">IFERROR(INDEX(Base!$AO:$AR,MATCH(1,(C284=Base!AO:AO)*(E284=Base!AP:AP),0),4),"")</f>
        <v>1.4</v>
      </c>
      <c r="I284" s="392">
        <f>IF(C284="Hoạt tải xe cứu hỏa",1,IF(G284="","",IF(G284&lt;2,1.3,1.2)))</f>
        <v>1.2</v>
      </c>
      <c r="J284" s="396">
        <f>IFERROR(G284*I284,"")</f>
        <v>4.8</v>
      </c>
    </row>
    <row r="285" spans="1:10" ht="15" customHeight="1">
      <c r="A285" s="457" t="str">
        <f t="shared" si="31"/>
        <v/>
      </c>
      <c r="B285" s="341"/>
      <c r="C285" s="1061" t="str">
        <f>IF(Menu!$C$7 = "V","",VLOOKUP(C284,Base!$AT$3:$AU$36,2,0))</f>
        <v/>
      </c>
      <c r="D285" s="1062"/>
      <c r="E285" s="1046" t="str">
        <f>IF(Menu!$C$7 = "V","",VLOOKUP(E284,Base!$AV$3:$AW$60,2,0))</f>
        <v/>
      </c>
      <c r="F285" s="1047"/>
      <c r="G285" s="391"/>
      <c r="H285" s="391"/>
      <c r="I285" s="393"/>
      <c r="J285" s="397"/>
    </row>
    <row r="286" spans="1:10" ht="15" hidden="1" customHeight="1">
      <c r="A286" s="457" t="str">
        <f t="shared" si="31"/>
        <v/>
      </c>
      <c r="B286" s="341"/>
      <c r="C286" s="1043"/>
      <c r="D286" s="1044"/>
      <c r="E286" s="1056"/>
      <c r="F286" s="1057"/>
      <c r="G286" s="390">
        <f t="array" ref="G286">IFERROR(INDEX(Base!$AO:$AR,MATCH(1,(C286=Base!AO:AO)*(E286=Base!AP:AP),0),3),"")</f>
        <v>0</v>
      </c>
      <c r="H286" s="390">
        <f t="array" ref="H286">IFERROR(INDEX(Base!$AO:$AR,MATCH(1,(C286=Base!AO:AO)*(E286=Base!AP:AP),0),4),"")</f>
        <v>0</v>
      </c>
      <c r="I286" s="392">
        <f>IF(C286="Hoạt tải xe cứu hỏa",1,IF(G286="","",IF(G286&lt;2,1.3,1.2)))</f>
        <v>1.3</v>
      </c>
      <c r="J286" s="396">
        <f>IFERROR(G286*I286,"")</f>
        <v>0</v>
      </c>
    </row>
    <row r="287" spans="1:10" ht="15" hidden="1" customHeight="1">
      <c r="A287" s="457" t="str">
        <f t="shared" si="31"/>
        <v/>
      </c>
      <c r="B287" s="341"/>
      <c r="C287" s="1061" t="str">
        <f>IF(Menu!$C$7 = "V","",VLOOKUP(C286,Base!$AT$3:$AU$36,2,0))</f>
        <v/>
      </c>
      <c r="D287" s="1062"/>
      <c r="E287" s="1046" t="str">
        <f>IF(Menu!$C$7 = "V","",VLOOKUP(E286,Base!$AV$3:$AW$60,2,0))</f>
        <v/>
      </c>
      <c r="F287" s="1047"/>
      <c r="G287" s="391"/>
      <c r="H287" s="391"/>
      <c r="I287" s="393"/>
      <c r="J287" s="397"/>
    </row>
    <row r="288" spans="1:10" ht="15" hidden="1" customHeight="1">
      <c r="A288" s="457" t="str">
        <f t="shared" si="31"/>
        <v/>
      </c>
      <c r="B288" s="341"/>
      <c r="C288" s="1043"/>
      <c r="D288" s="1044"/>
      <c r="E288" s="1056"/>
      <c r="F288" s="1057"/>
      <c r="G288" s="390">
        <f t="array" ref="G288">IFERROR(INDEX(Base!$AO:$AR,MATCH(1,(C288=Base!AO:AO)*(E288=Base!AP:AP),0),3),"")</f>
        <v>0</v>
      </c>
      <c r="H288" s="390">
        <f t="array" ref="H288">IFERROR(INDEX(Base!$AO:$AR,MATCH(1,(C288=Base!AO:AO)*(E288=Base!AP:AP),0),4),"")</f>
        <v>0</v>
      </c>
      <c r="I288" s="392">
        <f>IF(C288="Hoạt tải xe cứu hỏa",1,IF(G288="","",IF(G288&lt;2,1.3,1.2)))</f>
        <v>1.3</v>
      </c>
      <c r="J288" s="396">
        <f>IFERROR(G288*I288,"")</f>
        <v>0</v>
      </c>
    </row>
    <row r="289" spans="1:10" ht="15" hidden="1" customHeight="1">
      <c r="A289" s="457" t="str">
        <f t="shared" si="31"/>
        <v/>
      </c>
      <c r="B289" s="341"/>
      <c r="C289" s="1061" t="str">
        <f>IF(Menu!$C$7 = "V","",VLOOKUP(C288,Base!$AT$3:$AU$36,2,0))</f>
        <v/>
      </c>
      <c r="D289" s="1062"/>
      <c r="E289" s="1046" t="str">
        <f>IF(Menu!$C$7 = "V","",VLOOKUP(E288,Base!$AV$3:$AW$60,2,0))</f>
        <v/>
      </c>
      <c r="F289" s="1047"/>
      <c r="G289" s="391"/>
      <c r="H289" s="391"/>
      <c r="I289" s="393"/>
      <c r="J289" s="397"/>
    </row>
    <row r="290" spans="1:10" ht="15" hidden="1" customHeight="1">
      <c r="A290" s="457" t="str">
        <f t="shared" si="31"/>
        <v/>
      </c>
      <c r="B290" s="341"/>
      <c r="C290" s="1043"/>
      <c r="D290" s="1044"/>
      <c r="E290" s="1056"/>
      <c r="F290" s="1057"/>
      <c r="G290" s="390">
        <f t="array" ref="G290">IFERROR(INDEX(Base!$AO:$AR,MATCH(1,(C290=Base!AO:AO)*(E290=Base!AP:AP),0),3),"")</f>
        <v>0</v>
      </c>
      <c r="H290" s="390">
        <f t="array" ref="H290">IFERROR(INDEX(Base!$AO:$AR,MATCH(1,(C290=Base!AO:AO)*(E290=Base!AP:AP),0),4),"")</f>
        <v>0</v>
      </c>
      <c r="I290" s="392">
        <f>IF(C290="Hoạt tải xe cứu hỏa",1,IF(G290="","",IF(G290&lt;2,1.3,1.2)))</f>
        <v>1.3</v>
      </c>
      <c r="J290" s="396">
        <f>IFERROR(G290*I290,"")</f>
        <v>0</v>
      </c>
    </row>
    <row r="291" spans="1:10" ht="15" hidden="1" customHeight="1">
      <c r="A291" s="457" t="str">
        <f t="shared" si="31"/>
        <v/>
      </c>
      <c r="B291" s="341"/>
      <c r="C291" s="1061" t="str">
        <f>IF(Menu!$C$7 = "V","",VLOOKUP(C290,Base!$AT$3:$AU$36,2,0))</f>
        <v/>
      </c>
      <c r="D291" s="1062"/>
      <c r="E291" s="1046" t="str">
        <f>IF(Menu!$C$7 = "V","",VLOOKUP(E290,Base!$AV$3:$AW$60,2,0))</f>
        <v/>
      </c>
      <c r="F291" s="1047"/>
      <c r="G291" s="391"/>
      <c r="H291" s="391"/>
      <c r="I291" s="393"/>
      <c r="J291" s="397"/>
    </row>
    <row r="292" spans="1:10" ht="15" hidden="1" customHeight="1">
      <c r="A292" s="457" t="str">
        <f t="shared" si="31"/>
        <v/>
      </c>
      <c r="B292" s="341"/>
      <c r="C292" s="1043"/>
      <c r="D292" s="1044"/>
      <c r="E292" s="1056"/>
      <c r="F292" s="1057"/>
      <c r="G292" s="390">
        <f t="array" ref="G292">IFERROR(INDEX(Base!$AO:$AR,MATCH(1,(C292=Base!AO:AO)*(E292=Base!AP:AP),0),3),"")</f>
        <v>0</v>
      </c>
      <c r="H292" s="390">
        <f t="array" ref="H292">IFERROR(INDEX(Base!$AO:$AR,MATCH(1,(C292=Base!AO:AO)*(E292=Base!AP:AP),0),4),"")</f>
        <v>0</v>
      </c>
      <c r="I292" s="392">
        <f>IF(C292="Hoạt tải xe cứu hỏa",1,IF(G292="","",IF(G292&lt;2,1.3,1.2)))</f>
        <v>1.3</v>
      </c>
      <c r="J292" s="396">
        <f>IFERROR(G292*I292,"")</f>
        <v>0</v>
      </c>
    </row>
    <row r="293" spans="1:10" ht="15" hidden="1" customHeight="1">
      <c r="A293" s="457" t="str">
        <f t="shared" si="31"/>
        <v/>
      </c>
      <c r="B293" s="341"/>
      <c r="C293" s="1061" t="str">
        <f>IF(Menu!$C$7 = "V","",VLOOKUP(C292,Base!$AT$3:$AU$36,2,0))</f>
        <v/>
      </c>
      <c r="D293" s="1062"/>
      <c r="E293" s="1046" t="str">
        <f>IF(Menu!$C$7 = "V","",VLOOKUP(E292,Base!$AV$3:$AW$60,2,0))</f>
        <v/>
      </c>
      <c r="F293" s="1047"/>
      <c r="G293" s="391"/>
      <c r="H293" s="391"/>
      <c r="I293" s="393"/>
      <c r="J293" s="397"/>
    </row>
    <row r="294" spans="1:10" ht="15" hidden="1" customHeight="1">
      <c r="A294" s="457" t="str">
        <f t="shared" si="31"/>
        <v/>
      </c>
      <c r="B294" s="341"/>
      <c r="C294" s="1043"/>
      <c r="D294" s="1044"/>
      <c r="E294" s="1056"/>
      <c r="F294" s="1057"/>
      <c r="G294" s="390">
        <f t="array" ref="G294">IFERROR(INDEX(Base!$AO:$AR,MATCH(1,(C294=Base!AO:AO)*(E294=Base!AP:AP),0),3),"")</f>
        <v>0</v>
      </c>
      <c r="H294" s="390">
        <f t="array" ref="H294">IFERROR(INDEX(Base!$AO:$AR,MATCH(1,(C294=Base!AO:AO)*(E294=Base!AP:AP),0),4),"")</f>
        <v>0</v>
      </c>
      <c r="I294" s="392">
        <f>IF(C294="Hoạt tải xe cứu hỏa",1.2,IF(G294="","",IF(G294&lt;2,1.3,1.2)))</f>
        <v>1.3</v>
      </c>
      <c r="J294" s="396">
        <f>IFERROR(G294*I294,"")</f>
        <v>0</v>
      </c>
    </row>
    <row r="295" spans="1:10" ht="15" hidden="1" customHeight="1">
      <c r="A295" s="457" t="str">
        <f t="shared" si="31"/>
        <v/>
      </c>
      <c r="B295" s="341"/>
      <c r="C295" s="1061" t="str">
        <f>IF(Menu!$C$7 = "V","",VLOOKUP(C294,Base!$AT$3:$AU$36,2,0))</f>
        <v/>
      </c>
      <c r="D295" s="1062"/>
      <c r="E295" s="1046" t="str">
        <f>IF(Menu!$C$7 = "V","",VLOOKUP(E294,Base!$AV$3:$AW$60,2,0))</f>
        <v/>
      </c>
      <c r="F295" s="1047"/>
      <c r="G295" s="395"/>
      <c r="H295" s="395"/>
      <c r="I295" s="393"/>
      <c r="J295" s="395"/>
    </row>
    <row r="296" spans="1:10" ht="15" customHeight="1">
      <c r="A296" s="457" t="str">
        <f t="shared" si="31"/>
        <v/>
      </c>
      <c r="B296" s="414"/>
      <c r="C296" s="341"/>
      <c r="D296" s="341"/>
      <c r="E296" s="341"/>
      <c r="F296" s="341"/>
      <c r="G296" s="341"/>
      <c r="H296" s="341"/>
      <c r="I296" s="341"/>
      <c r="J296" s="341"/>
    </row>
    <row r="297" spans="1:10" ht="15" customHeight="1">
      <c r="A297" s="457" t="str">
        <f t="shared" si="31"/>
        <v/>
      </c>
      <c r="B297" s="414"/>
      <c r="C297" s="341"/>
      <c r="D297" s="341"/>
      <c r="E297" s="341"/>
      <c r="F297" s="341"/>
      <c r="G297" s="341"/>
      <c r="H297" s="341"/>
      <c r="I297" s="341"/>
      <c r="J297" s="341"/>
    </row>
    <row r="298" spans="1:10" ht="15" customHeight="1">
      <c r="A298" s="457" t="str">
        <f t="shared" ref="A298:A361" si="33">IF(C298="","",1)</f>
        <v/>
      </c>
      <c r="B298" s="414"/>
      <c r="C298" s="341"/>
      <c r="D298" s="341"/>
      <c r="E298" s="341"/>
      <c r="F298" s="341"/>
      <c r="G298" s="341"/>
      <c r="H298" s="341"/>
      <c r="I298" s="341"/>
      <c r="J298" s="341"/>
    </row>
    <row r="299" spans="1:10" ht="15" customHeight="1">
      <c r="A299" s="457" t="str">
        <f t="shared" si="33"/>
        <v/>
      </c>
      <c r="B299" s="414"/>
      <c r="C299" s="341"/>
      <c r="D299" s="341"/>
      <c r="E299" s="341"/>
      <c r="F299" s="341"/>
      <c r="G299" s="341"/>
      <c r="H299" s="341"/>
      <c r="I299" s="341"/>
      <c r="J299" s="341"/>
    </row>
    <row r="300" spans="1:10" ht="15" customHeight="1">
      <c r="A300" s="457" t="str">
        <f t="shared" si="33"/>
        <v/>
      </c>
      <c r="B300" s="414"/>
      <c r="C300" s="341"/>
      <c r="D300" s="341"/>
      <c r="E300" s="341"/>
      <c r="F300" s="341"/>
      <c r="G300" s="341"/>
      <c r="H300" s="341"/>
      <c r="I300" s="341"/>
      <c r="J300" s="341"/>
    </row>
    <row r="301" spans="1:10" ht="15" customHeight="1">
      <c r="A301" s="457" t="str">
        <f t="shared" si="33"/>
        <v/>
      </c>
      <c r="B301" s="414"/>
      <c r="C301" s="341"/>
      <c r="D301" s="341"/>
      <c r="E301" s="341"/>
      <c r="F301" s="341"/>
      <c r="G301" s="341"/>
      <c r="H301" s="341"/>
      <c r="I301" s="341"/>
      <c r="J301" s="341"/>
    </row>
    <row r="302" spans="1:10" ht="15" customHeight="1">
      <c r="A302" s="457" t="str">
        <f t="shared" si="33"/>
        <v/>
      </c>
      <c r="B302" s="414"/>
      <c r="C302" s="341"/>
      <c r="D302" s="341"/>
      <c r="E302" s="341"/>
      <c r="F302" s="341"/>
      <c r="G302" s="341"/>
      <c r="H302" s="341"/>
      <c r="I302" s="341"/>
      <c r="J302" s="341"/>
    </row>
    <row r="303" spans="1:10" ht="15" customHeight="1">
      <c r="A303" s="457" t="str">
        <f t="shared" si="33"/>
        <v/>
      </c>
      <c r="B303" s="414"/>
      <c r="C303" s="341"/>
      <c r="D303" s="341"/>
      <c r="E303" s="341"/>
      <c r="F303" s="341"/>
      <c r="G303" s="341"/>
      <c r="H303" s="341"/>
      <c r="I303" s="341"/>
      <c r="J303" s="341"/>
    </row>
    <row r="304" spans="1:10" ht="15" customHeight="1">
      <c r="A304" s="457" t="str">
        <f t="shared" si="33"/>
        <v/>
      </c>
      <c r="B304" s="414"/>
      <c r="C304" s="341"/>
      <c r="D304" s="341"/>
      <c r="E304" s="341"/>
      <c r="F304" s="341"/>
      <c r="G304" s="341"/>
      <c r="H304" s="341"/>
      <c r="I304" s="341"/>
      <c r="J304" s="341"/>
    </row>
    <row r="305" spans="1:10" ht="15" customHeight="1">
      <c r="A305" s="457" t="str">
        <f t="shared" si="33"/>
        <v/>
      </c>
      <c r="B305" s="414"/>
      <c r="C305" s="341"/>
      <c r="D305" s="341"/>
      <c r="E305" s="341"/>
      <c r="F305" s="341"/>
      <c r="G305" s="341"/>
      <c r="H305" s="341"/>
      <c r="I305" s="341"/>
      <c r="J305" s="341"/>
    </row>
    <row r="306" spans="1:10" ht="15" customHeight="1">
      <c r="A306" s="457" t="str">
        <f t="shared" si="33"/>
        <v/>
      </c>
      <c r="B306" s="414"/>
      <c r="C306" s="341"/>
      <c r="D306" s="341"/>
      <c r="E306" s="341"/>
      <c r="F306" s="341"/>
      <c r="G306" s="341"/>
      <c r="H306" s="341"/>
      <c r="I306" s="341"/>
      <c r="J306" s="341"/>
    </row>
    <row r="307" spans="1:10" ht="15" customHeight="1">
      <c r="A307" s="457" t="str">
        <f t="shared" si="33"/>
        <v/>
      </c>
      <c r="B307" s="414"/>
      <c r="C307" s="341"/>
      <c r="D307" s="341"/>
      <c r="E307" s="341"/>
      <c r="F307" s="341"/>
      <c r="G307" s="341"/>
      <c r="H307" s="341"/>
      <c r="I307" s="341"/>
      <c r="J307" s="341"/>
    </row>
    <row r="308" spans="1:10" ht="15" customHeight="1">
      <c r="A308" s="457" t="str">
        <f t="shared" si="33"/>
        <v/>
      </c>
      <c r="B308" s="414"/>
      <c r="C308" s="341"/>
      <c r="D308" s="341"/>
      <c r="E308" s="341"/>
      <c r="F308" s="341"/>
      <c r="G308" s="341"/>
      <c r="H308" s="341"/>
      <c r="I308" s="341"/>
      <c r="J308" s="341"/>
    </row>
    <row r="309" spans="1:10" ht="15" customHeight="1">
      <c r="A309" s="457" t="str">
        <f t="shared" si="33"/>
        <v/>
      </c>
      <c r="B309" s="414"/>
      <c r="C309" s="341"/>
      <c r="D309" s="341"/>
      <c r="E309" s="341"/>
      <c r="F309" s="341"/>
      <c r="G309" s="341"/>
      <c r="H309" s="341"/>
      <c r="I309" s="341"/>
      <c r="J309" s="341"/>
    </row>
    <row r="310" spans="1:10" ht="15" customHeight="1">
      <c r="A310" s="457" t="str">
        <f t="shared" si="33"/>
        <v/>
      </c>
      <c r="B310" s="414"/>
      <c r="C310" s="341"/>
      <c r="D310" s="341"/>
      <c r="E310" s="341"/>
      <c r="F310" s="341"/>
      <c r="G310" s="341"/>
      <c r="H310" s="341"/>
      <c r="I310" s="341"/>
      <c r="J310" s="341"/>
    </row>
    <row r="311" spans="1:10" ht="15" customHeight="1">
      <c r="A311" s="457" t="str">
        <f t="shared" si="33"/>
        <v/>
      </c>
      <c r="B311" s="414"/>
      <c r="C311" s="341"/>
      <c r="D311" s="341"/>
      <c r="E311" s="341"/>
      <c r="F311" s="341"/>
      <c r="G311" s="341"/>
      <c r="H311" s="341"/>
      <c r="I311" s="341"/>
      <c r="J311" s="341"/>
    </row>
    <row r="312" spans="1:10" ht="15" customHeight="1">
      <c r="A312" s="457" t="str">
        <f t="shared" si="33"/>
        <v/>
      </c>
      <c r="B312" s="414"/>
      <c r="C312" s="341"/>
      <c r="D312" s="341"/>
      <c r="E312" s="341"/>
      <c r="F312" s="341"/>
      <c r="G312" s="341"/>
      <c r="H312" s="341"/>
      <c r="I312" s="341"/>
      <c r="J312" s="341"/>
    </row>
    <row r="313" spans="1:10" ht="15" customHeight="1">
      <c r="A313" s="457" t="str">
        <f t="shared" si="33"/>
        <v/>
      </c>
      <c r="B313" s="414"/>
      <c r="C313" s="341"/>
      <c r="D313" s="341"/>
      <c r="E313" s="341"/>
      <c r="F313" s="341"/>
      <c r="G313" s="341"/>
      <c r="H313" s="341"/>
      <c r="I313" s="341"/>
      <c r="J313" s="341"/>
    </row>
    <row r="314" spans="1:10" ht="15" customHeight="1">
      <c r="A314" s="457" t="str">
        <f t="shared" si="33"/>
        <v/>
      </c>
      <c r="B314" s="414"/>
      <c r="C314" s="341"/>
      <c r="D314" s="341"/>
      <c r="E314" s="341"/>
      <c r="F314" s="341"/>
      <c r="G314" s="341"/>
      <c r="H314" s="341"/>
      <c r="I314" s="341"/>
      <c r="J314" s="341"/>
    </row>
    <row r="315" spans="1:10" ht="15" customHeight="1">
      <c r="A315" s="457" t="str">
        <f t="shared" si="33"/>
        <v/>
      </c>
      <c r="B315" s="414"/>
      <c r="C315" s="341"/>
      <c r="D315" s="341"/>
      <c r="E315" s="341"/>
      <c r="F315" s="341"/>
      <c r="G315" s="341"/>
      <c r="H315" s="341"/>
      <c r="I315" s="341"/>
      <c r="J315" s="341"/>
    </row>
    <row r="316" spans="1:10" ht="15" customHeight="1">
      <c r="A316" s="457" t="str">
        <f t="shared" si="33"/>
        <v/>
      </c>
      <c r="B316" s="414"/>
      <c r="C316" s="341"/>
      <c r="D316" s="341"/>
      <c r="E316" s="341"/>
      <c r="F316" s="341"/>
      <c r="G316" s="341"/>
      <c r="H316" s="341"/>
      <c r="I316" s="341"/>
      <c r="J316" s="341"/>
    </row>
    <row r="317" spans="1:10" ht="15" customHeight="1">
      <c r="A317" s="457" t="str">
        <f t="shared" si="33"/>
        <v/>
      </c>
      <c r="B317" s="414"/>
      <c r="C317" s="341"/>
      <c r="D317" s="341"/>
      <c r="E317" s="341"/>
      <c r="F317" s="341"/>
      <c r="G317" s="341"/>
      <c r="H317" s="341"/>
      <c r="I317" s="341"/>
      <c r="J317" s="341"/>
    </row>
    <row r="318" spans="1:10" ht="15" customHeight="1">
      <c r="A318" s="457" t="str">
        <f t="shared" si="33"/>
        <v/>
      </c>
      <c r="B318" s="414"/>
      <c r="C318" s="341"/>
      <c r="D318" s="341"/>
      <c r="E318" s="341"/>
      <c r="F318" s="341"/>
      <c r="G318" s="341"/>
      <c r="H318" s="341"/>
      <c r="I318" s="341"/>
      <c r="J318" s="341"/>
    </row>
    <row r="319" spans="1:10" ht="15" customHeight="1">
      <c r="A319" s="457" t="str">
        <f t="shared" si="33"/>
        <v/>
      </c>
      <c r="B319" s="414"/>
      <c r="C319" s="341"/>
      <c r="D319" s="341"/>
      <c r="E319" s="341"/>
      <c r="F319" s="341"/>
      <c r="G319" s="341"/>
      <c r="H319" s="341"/>
      <c r="I319" s="341"/>
      <c r="J319" s="341"/>
    </row>
    <row r="320" spans="1:10" ht="15" customHeight="1">
      <c r="A320" s="457" t="str">
        <f t="shared" si="33"/>
        <v/>
      </c>
      <c r="B320" s="414"/>
      <c r="C320" s="341"/>
      <c r="D320" s="341"/>
      <c r="E320" s="341"/>
      <c r="F320" s="341"/>
      <c r="G320" s="341"/>
      <c r="H320" s="341"/>
      <c r="I320" s="341"/>
      <c r="J320" s="341"/>
    </row>
    <row r="321" spans="1:10" ht="15" customHeight="1">
      <c r="A321" s="457" t="str">
        <f t="shared" si="33"/>
        <v/>
      </c>
      <c r="B321" s="414"/>
      <c r="C321" s="341"/>
      <c r="D321" s="341"/>
      <c r="E321" s="341"/>
      <c r="F321" s="341"/>
      <c r="G321" s="341"/>
      <c r="H321" s="341"/>
      <c r="I321" s="341"/>
      <c r="J321" s="341"/>
    </row>
    <row r="322" spans="1:10" ht="15" customHeight="1">
      <c r="A322" s="457" t="str">
        <f t="shared" si="33"/>
        <v/>
      </c>
      <c r="B322" s="414"/>
      <c r="C322" s="341"/>
      <c r="D322" s="341"/>
      <c r="E322" s="341"/>
      <c r="F322" s="341"/>
      <c r="G322" s="341"/>
      <c r="H322" s="341"/>
      <c r="I322" s="341"/>
      <c r="J322" s="341"/>
    </row>
    <row r="323" spans="1:10" ht="15" customHeight="1">
      <c r="A323" s="457" t="str">
        <f t="shared" si="33"/>
        <v/>
      </c>
      <c r="B323" s="414"/>
      <c r="C323" s="341"/>
      <c r="D323" s="341"/>
      <c r="E323" s="341"/>
      <c r="F323" s="341"/>
      <c r="G323" s="341"/>
      <c r="H323" s="341"/>
      <c r="I323" s="341"/>
      <c r="J323" s="341"/>
    </row>
    <row r="324" spans="1:10" ht="15" customHeight="1">
      <c r="A324" s="457" t="str">
        <f t="shared" si="33"/>
        <v/>
      </c>
      <c r="B324" s="414"/>
      <c r="C324" s="341"/>
      <c r="D324" s="341"/>
      <c r="E324" s="341"/>
      <c r="F324" s="341"/>
      <c r="G324" s="341"/>
      <c r="H324" s="341"/>
      <c r="I324" s="341"/>
      <c r="J324" s="341"/>
    </row>
    <row r="325" spans="1:10" ht="15" customHeight="1">
      <c r="A325" s="457" t="str">
        <f t="shared" si="33"/>
        <v/>
      </c>
      <c r="B325" s="414"/>
      <c r="C325" s="341"/>
      <c r="D325" s="341"/>
      <c r="E325" s="341"/>
      <c r="F325" s="341"/>
      <c r="G325" s="341"/>
      <c r="H325" s="341"/>
      <c r="I325" s="341"/>
      <c r="J325" s="341"/>
    </row>
    <row r="326" spans="1:10" ht="15" customHeight="1">
      <c r="A326" s="457" t="str">
        <f t="shared" si="33"/>
        <v/>
      </c>
      <c r="B326" s="414"/>
      <c r="C326" s="341"/>
      <c r="D326" s="341"/>
      <c r="E326" s="341"/>
      <c r="F326" s="341"/>
      <c r="G326" s="341"/>
      <c r="H326" s="341"/>
      <c r="I326" s="341"/>
      <c r="J326" s="341"/>
    </row>
    <row r="327" spans="1:10" ht="15" customHeight="1">
      <c r="A327" s="457" t="str">
        <f t="shared" si="33"/>
        <v/>
      </c>
      <c r="B327" s="414"/>
      <c r="C327" s="341"/>
      <c r="D327" s="341"/>
      <c r="E327" s="341"/>
      <c r="F327" s="341"/>
      <c r="G327" s="341"/>
      <c r="H327" s="341"/>
      <c r="I327" s="341"/>
      <c r="J327" s="341"/>
    </row>
    <row r="328" spans="1:10" ht="15" customHeight="1">
      <c r="A328" s="457" t="str">
        <f t="shared" si="33"/>
        <v/>
      </c>
      <c r="B328" s="414"/>
      <c r="C328" s="341"/>
      <c r="D328" s="341"/>
      <c r="E328" s="341"/>
      <c r="F328" s="341"/>
      <c r="G328" s="341"/>
      <c r="H328" s="341"/>
      <c r="I328" s="341"/>
      <c r="J328" s="341"/>
    </row>
    <row r="329" spans="1:10" ht="15" customHeight="1">
      <c r="A329" s="457" t="str">
        <f t="shared" si="33"/>
        <v/>
      </c>
      <c r="B329" s="414"/>
      <c r="C329" s="341"/>
      <c r="D329" s="341"/>
      <c r="E329" s="341"/>
      <c r="F329" s="341"/>
      <c r="G329" s="341"/>
      <c r="H329" s="341"/>
      <c r="I329" s="341"/>
      <c r="J329" s="341"/>
    </row>
    <row r="330" spans="1:10" ht="15" customHeight="1">
      <c r="A330" s="457" t="str">
        <f t="shared" si="33"/>
        <v/>
      </c>
      <c r="B330" s="414"/>
      <c r="C330" s="341"/>
      <c r="D330" s="341"/>
      <c r="E330" s="341"/>
      <c r="F330" s="341"/>
      <c r="G330" s="341"/>
      <c r="H330" s="341"/>
      <c r="I330" s="341"/>
      <c r="J330" s="341"/>
    </row>
    <row r="331" spans="1:10" ht="15" customHeight="1">
      <c r="A331" s="457" t="str">
        <f t="shared" si="33"/>
        <v/>
      </c>
      <c r="B331" s="414"/>
      <c r="C331" s="341"/>
      <c r="D331" s="341"/>
      <c r="E331" s="341"/>
      <c r="F331" s="341"/>
      <c r="G331" s="341"/>
      <c r="H331" s="341"/>
      <c r="I331" s="341"/>
      <c r="J331" s="341"/>
    </row>
    <row r="332" spans="1:10" ht="15" customHeight="1">
      <c r="A332" s="457" t="str">
        <f t="shared" si="33"/>
        <v/>
      </c>
      <c r="B332" s="414"/>
      <c r="C332" s="341"/>
      <c r="D332" s="341"/>
      <c r="E332" s="341"/>
      <c r="F332" s="341"/>
      <c r="G332" s="341"/>
      <c r="H332" s="341"/>
      <c r="I332" s="341"/>
      <c r="J332" s="341"/>
    </row>
    <row r="333" spans="1:10" ht="15" customHeight="1">
      <c r="A333" s="457" t="str">
        <f t="shared" si="33"/>
        <v/>
      </c>
      <c r="B333" s="414"/>
      <c r="C333" s="341"/>
      <c r="D333" s="341"/>
      <c r="E333" s="341"/>
      <c r="F333" s="341"/>
      <c r="G333" s="341"/>
      <c r="H333" s="341"/>
      <c r="I333" s="341"/>
      <c r="J333" s="341"/>
    </row>
    <row r="334" spans="1:10" ht="15" customHeight="1">
      <c r="A334" s="457" t="str">
        <f t="shared" si="33"/>
        <v/>
      </c>
      <c r="B334" s="414"/>
      <c r="C334" s="341"/>
      <c r="D334" s="341"/>
      <c r="E334" s="341"/>
      <c r="F334" s="341"/>
      <c r="G334" s="341"/>
      <c r="H334" s="341"/>
      <c r="I334" s="341"/>
      <c r="J334" s="341"/>
    </row>
    <row r="335" spans="1:10" ht="15" customHeight="1">
      <c r="A335" s="457" t="str">
        <f t="shared" si="33"/>
        <v/>
      </c>
      <c r="B335" s="414"/>
      <c r="C335" s="341"/>
      <c r="D335" s="341"/>
      <c r="E335" s="341"/>
      <c r="F335" s="341"/>
      <c r="G335" s="341"/>
      <c r="H335" s="341"/>
      <c r="I335" s="341"/>
      <c r="J335" s="341"/>
    </row>
    <row r="336" spans="1:10" ht="15" customHeight="1">
      <c r="A336" s="457" t="str">
        <f t="shared" si="33"/>
        <v/>
      </c>
      <c r="B336" s="414"/>
      <c r="C336" s="341"/>
      <c r="D336" s="341"/>
      <c r="E336" s="341"/>
      <c r="F336" s="341"/>
      <c r="G336" s="341"/>
      <c r="H336" s="341"/>
      <c r="I336" s="341"/>
      <c r="J336" s="341"/>
    </row>
    <row r="337" spans="1:10" ht="15" customHeight="1">
      <c r="A337" s="457" t="str">
        <f t="shared" si="33"/>
        <v/>
      </c>
      <c r="B337" s="414"/>
      <c r="C337" s="341"/>
      <c r="D337" s="341"/>
      <c r="E337" s="341"/>
      <c r="F337" s="341"/>
      <c r="G337" s="341"/>
      <c r="H337" s="341"/>
      <c r="I337" s="341"/>
      <c r="J337" s="341"/>
    </row>
    <row r="338" spans="1:10" ht="15" customHeight="1">
      <c r="A338" s="457" t="str">
        <f t="shared" si="33"/>
        <v/>
      </c>
      <c r="B338" s="414"/>
      <c r="C338" s="341"/>
      <c r="D338" s="341"/>
      <c r="E338" s="341"/>
      <c r="F338" s="341"/>
      <c r="G338" s="341"/>
      <c r="H338" s="341"/>
      <c r="I338" s="341"/>
      <c r="J338" s="341"/>
    </row>
    <row r="339" spans="1:10" ht="15" customHeight="1">
      <c r="A339" s="457" t="str">
        <f t="shared" si="33"/>
        <v/>
      </c>
      <c r="B339" s="414"/>
      <c r="C339" s="341"/>
      <c r="D339" s="341"/>
      <c r="E339" s="341"/>
      <c r="F339" s="341"/>
      <c r="G339" s="341"/>
      <c r="H339" s="341"/>
      <c r="I339" s="341"/>
      <c r="J339" s="341"/>
    </row>
    <row r="340" spans="1:10" ht="15" customHeight="1">
      <c r="A340" s="457" t="str">
        <f t="shared" si="33"/>
        <v/>
      </c>
      <c r="B340" s="414"/>
      <c r="C340" s="341"/>
      <c r="D340" s="341"/>
      <c r="E340" s="341"/>
      <c r="F340" s="341"/>
      <c r="G340" s="341"/>
      <c r="H340" s="341"/>
      <c r="I340" s="341"/>
      <c r="J340" s="341"/>
    </row>
    <row r="341" spans="1:10" ht="15" customHeight="1">
      <c r="A341" s="457" t="str">
        <f t="shared" si="33"/>
        <v/>
      </c>
      <c r="B341" s="414"/>
      <c r="C341" s="341"/>
      <c r="D341" s="341"/>
      <c r="E341" s="341"/>
      <c r="F341" s="341"/>
      <c r="G341" s="341"/>
      <c r="H341" s="341"/>
      <c r="I341" s="341"/>
      <c r="J341" s="341"/>
    </row>
    <row r="342" spans="1:10" ht="15" customHeight="1">
      <c r="A342" s="457" t="str">
        <f t="shared" si="33"/>
        <v/>
      </c>
      <c r="B342" s="414"/>
      <c r="C342" s="341"/>
      <c r="D342" s="341"/>
      <c r="E342" s="341"/>
      <c r="F342" s="341"/>
      <c r="G342" s="341"/>
      <c r="H342" s="341"/>
      <c r="I342" s="341"/>
      <c r="J342" s="341"/>
    </row>
    <row r="343" spans="1:10" ht="15" customHeight="1">
      <c r="A343" s="457" t="str">
        <f t="shared" si="33"/>
        <v/>
      </c>
      <c r="B343" s="414"/>
      <c r="C343" s="341"/>
      <c r="D343" s="341"/>
      <c r="E343" s="341"/>
      <c r="F343" s="341"/>
      <c r="G343" s="341"/>
      <c r="H343" s="341"/>
      <c r="I343" s="341"/>
      <c r="J343" s="341"/>
    </row>
    <row r="344" spans="1:10" ht="15" customHeight="1">
      <c r="A344" s="457" t="str">
        <f t="shared" si="33"/>
        <v/>
      </c>
      <c r="B344" s="414"/>
      <c r="C344" s="341"/>
      <c r="D344" s="341"/>
      <c r="E344" s="341"/>
      <c r="F344" s="341"/>
      <c r="G344" s="341"/>
      <c r="H344" s="341"/>
      <c r="I344" s="341"/>
      <c r="J344" s="341"/>
    </row>
    <row r="345" spans="1:10" ht="15" customHeight="1">
      <c r="A345" s="457" t="str">
        <f t="shared" si="33"/>
        <v/>
      </c>
      <c r="B345" s="414"/>
      <c r="C345" s="341"/>
      <c r="D345" s="341"/>
      <c r="E345" s="341"/>
      <c r="F345" s="341"/>
      <c r="G345" s="341"/>
      <c r="H345" s="341"/>
      <c r="I345" s="341"/>
      <c r="J345" s="341"/>
    </row>
    <row r="346" spans="1:10" ht="15" customHeight="1">
      <c r="A346" s="457" t="str">
        <f t="shared" si="33"/>
        <v/>
      </c>
      <c r="B346" s="414"/>
      <c r="C346" s="341"/>
      <c r="D346" s="341"/>
      <c r="E346" s="341"/>
      <c r="F346" s="341"/>
      <c r="G346" s="341"/>
      <c r="H346" s="341"/>
      <c r="I346" s="341"/>
      <c r="J346" s="341"/>
    </row>
    <row r="347" spans="1:10" ht="15" customHeight="1">
      <c r="A347" s="457" t="str">
        <f t="shared" si="33"/>
        <v/>
      </c>
      <c r="B347" s="414"/>
      <c r="C347" s="341"/>
      <c r="D347" s="341"/>
      <c r="E347" s="341"/>
      <c r="F347" s="341"/>
      <c r="G347" s="341"/>
      <c r="H347" s="341"/>
      <c r="I347" s="341"/>
      <c r="J347" s="341"/>
    </row>
    <row r="348" spans="1:10" ht="15" customHeight="1">
      <c r="A348" s="457" t="str">
        <f t="shared" si="33"/>
        <v/>
      </c>
      <c r="B348" s="414"/>
      <c r="C348" s="341"/>
      <c r="D348" s="341"/>
      <c r="E348" s="341"/>
      <c r="F348" s="341"/>
      <c r="G348" s="341"/>
      <c r="H348" s="341"/>
      <c r="I348" s="341"/>
      <c r="J348" s="341"/>
    </row>
    <row r="349" spans="1:10" ht="15" customHeight="1">
      <c r="A349" s="457" t="str">
        <f t="shared" si="33"/>
        <v/>
      </c>
      <c r="B349" s="414"/>
      <c r="C349" s="341"/>
      <c r="D349" s="341"/>
      <c r="E349" s="341"/>
      <c r="F349" s="341"/>
      <c r="G349" s="341"/>
      <c r="H349" s="341"/>
      <c r="I349" s="341"/>
      <c r="J349" s="341"/>
    </row>
    <row r="350" spans="1:10" ht="15" customHeight="1">
      <c r="A350" s="457" t="str">
        <f t="shared" si="33"/>
        <v/>
      </c>
      <c r="B350" s="414"/>
      <c r="C350" s="341"/>
      <c r="D350" s="341"/>
      <c r="E350" s="341"/>
      <c r="F350" s="341"/>
      <c r="G350" s="341"/>
      <c r="H350" s="341"/>
      <c r="I350" s="341"/>
      <c r="J350" s="341"/>
    </row>
    <row r="351" spans="1:10" ht="15" customHeight="1">
      <c r="A351" s="457" t="str">
        <f t="shared" si="33"/>
        <v/>
      </c>
      <c r="B351" s="414"/>
      <c r="C351" s="341"/>
      <c r="D351" s="341"/>
      <c r="E351" s="341"/>
      <c r="F351" s="341"/>
      <c r="G351" s="341"/>
      <c r="H351" s="341"/>
      <c r="I351" s="341"/>
      <c r="J351" s="341"/>
    </row>
    <row r="352" spans="1:10" ht="15" customHeight="1">
      <c r="A352" s="457" t="str">
        <f t="shared" si="33"/>
        <v/>
      </c>
      <c r="B352" s="414"/>
      <c r="C352" s="341"/>
      <c r="D352" s="341"/>
      <c r="E352" s="341"/>
      <c r="F352" s="341"/>
      <c r="G352" s="341"/>
      <c r="H352" s="341"/>
      <c r="I352" s="341"/>
      <c r="J352" s="341"/>
    </row>
    <row r="353" spans="1:10" ht="15" customHeight="1">
      <c r="A353" s="457" t="str">
        <f t="shared" si="33"/>
        <v/>
      </c>
      <c r="B353" s="414"/>
      <c r="C353" s="341"/>
      <c r="D353" s="341"/>
      <c r="E353" s="341"/>
      <c r="F353" s="341"/>
      <c r="G353" s="341"/>
      <c r="H353" s="341"/>
      <c r="I353" s="341"/>
      <c r="J353" s="341"/>
    </row>
    <row r="354" spans="1:10" ht="15" customHeight="1">
      <c r="A354" s="457" t="str">
        <f t="shared" si="33"/>
        <v/>
      </c>
      <c r="B354" s="414"/>
      <c r="C354" s="341"/>
      <c r="D354" s="341"/>
      <c r="E354" s="341"/>
      <c r="F354" s="341"/>
      <c r="G354" s="341"/>
      <c r="H354" s="341"/>
      <c r="I354" s="341"/>
      <c r="J354" s="341"/>
    </row>
    <row r="355" spans="1:10" ht="15" customHeight="1">
      <c r="A355" s="457" t="str">
        <f t="shared" si="33"/>
        <v/>
      </c>
      <c r="B355" s="414"/>
      <c r="C355" s="341"/>
      <c r="D355" s="341"/>
      <c r="E355" s="341"/>
      <c r="F355" s="341"/>
      <c r="G355" s="341"/>
      <c r="H355" s="341"/>
      <c r="I355" s="341"/>
      <c r="J355" s="341"/>
    </row>
    <row r="356" spans="1:10" ht="15" customHeight="1">
      <c r="A356" s="457" t="str">
        <f t="shared" si="33"/>
        <v/>
      </c>
      <c r="B356" s="414"/>
      <c r="C356" s="341"/>
      <c r="D356" s="341"/>
      <c r="E356" s="341"/>
      <c r="F356" s="341"/>
      <c r="G356" s="341"/>
      <c r="H356" s="341"/>
      <c r="I356" s="341"/>
      <c r="J356" s="341"/>
    </row>
    <row r="357" spans="1:10" ht="15" customHeight="1">
      <c r="A357" s="457" t="str">
        <f t="shared" si="33"/>
        <v/>
      </c>
      <c r="B357" s="414"/>
      <c r="C357" s="341"/>
      <c r="D357" s="341"/>
      <c r="E357" s="341"/>
      <c r="F357" s="341"/>
      <c r="G357" s="341"/>
      <c r="H357" s="341"/>
      <c r="I357" s="341"/>
      <c r="J357" s="341"/>
    </row>
    <row r="358" spans="1:10" ht="15" customHeight="1">
      <c r="A358" s="457" t="str">
        <f t="shared" si="33"/>
        <v/>
      </c>
      <c r="B358" s="414"/>
      <c r="C358" s="341"/>
      <c r="D358" s="341"/>
      <c r="E358" s="341"/>
      <c r="F358" s="341"/>
      <c r="G358" s="341"/>
      <c r="H358" s="341"/>
      <c r="I358" s="341"/>
      <c r="J358" s="341"/>
    </row>
    <row r="359" spans="1:10" ht="15" customHeight="1">
      <c r="A359" s="457" t="str">
        <f t="shared" si="33"/>
        <v/>
      </c>
      <c r="B359" s="414"/>
      <c r="C359" s="341"/>
      <c r="D359" s="341"/>
      <c r="E359" s="341"/>
      <c r="F359" s="341"/>
      <c r="G359" s="341"/>
      <c r="H359" s="341"/>
      <c r="I359" s="341"/>
      <c r="J359" s="341"/>
    </row>
    <row r="360" spans="1:10" ht="15" customHeight="1">
      <c r="A360" s="457" t="str">
        <f t="shared" si="33"/>
        <v/>
      </c>
      <c r="B360" s="414"/>
      <c r="C360" s="341"/>
      <c r="D360" s="341"/>
      <c r="E360" s="341"/>
      <c r="F360" s="341"/>
      <c r="G360" s="341"/>
      <c r="H360" s="341"/>
      <c r="I360" s="341"/>
      <c r="J360" s="341"/>
    </row>
    <row r="361" spans="1:10" ht="15" customHeight="1">
      <c r="A361" s="457" t="str">
        <f t="shared" si="33"/>
        <v/>
      </c>
      <c r="B361" s="414"/>
      <c r="C361" s="341"/>
      <c r="D361" s="341"/>
      <c r="E361" s="341"/>
      <c r="F361" s="341"/>
      <c r="G361" s="341"/>
      <c r="H361" s="341"/>
      <c r="I361" s="341"/>
      <c r="J361" s="341"/>
    </row>
    <row r="362" spans="1:10" ht="15" customHeight="1">
      <c r="A362" s="457" t="str">
        <f t="shared" ref="A362:A417" si="34">IF(C362="","",1)</f>
        <v/>
      </c>
      <c r="B362" s="414"/>
      <c r="C362" s="341"/>
      <c r="D362" s="341"/>
      <c r="E362" s="341"/>
      <c r="F362" s="341"/>
      <c r="G362" s="341"/>
      <c r="H362" s="341"/>
      <c r="I362" s="341"/>
      <c r="J362" s="341"/>
    </row>
    <row r="363" spans="1:10" ht="15" customHeight="1">
      <c r="A363" s="457" t="str">
        <f t="shared" si="34"/>
        <v/>
      </c>
      <c r="B363" s="414"/>
      <c r="C363" s="341"/>
      <c r="D363" s="341"/>
      <c r="E363" s="341"/>
      <c r="F363" s="341"/>
      <c r="G363" s="341"/>
      <c r="H363" s="341"/>
      <c r="I363" s="341"/>
      <c r="J363" s="341"/>
    </row>
    <row r="364" spans="1:10" ht="15" customHeight="1">
      <c r="A364" s="457" t="str">
        <f t="shared" si="34"/>
        <v/>
      </c>
      <c r="B364" s="414"/>
      <c r="C364" s="341"/>
      <c r="D364" s="341"/>
      <c r="E364" s="341"/>
      <c r="F364" s="341"/>
      <c r="G364" s="341"/>
      <c r="H364" s="341"/>
      <c r="I364" s="341"/>
      <c r="J364" s="341"/>
    </row>
    <row r="365" spans="1:10" ht="15" customHeight="1">
      <c r="A365" s="457" t="str">
        <f t="shared" si="34"/>
        <v/>
      </c>
      <c r="B365" s="414"/>
      <c r="C365" s="341"/>
      <c r="D365" s="341"/>
      <c r="E365" s="341"/>
      <c r="F365" s="341"/>
      <c r="G365" s="341"/>
      <c r="H365" s="341"/>
      <c r="I365" s="341"/>
      <c r="J365" s="341"/>
    </row>
    <row r="366" spans="1:10" ht="15" customHeight="1">
      <c r="A366" s="457" t="str">
        <f t="shared" si="34"/>
        <v/>
      </c>
      <c r="B366" s="414"/>
      <c r="C366" s="341"/>
      <c r="D366" s="341"/>
      <c r="E366" s="341"/>
      <c r="F366" s="341"/>
      <c r="G366" s="341"/>
      <c r="H366" s="341"/>
      <c r="I366" s="341"/>
      <c r="J366" s="341"/>
    </row>
    <row r="367" spans="1:10" ht="15" customHeight="1">
      <c r="A367" s="457" t="str">
        <f t="shared" si="34"/>
        <v/>
      </c>
      <c r="B367" s="414"/>
      <c r="C367" s="341"/>
      <c r="D367" s="341"/>
      <c r="E367" s="341"/>
      <c r="F367" s="341"/>
      <c r="G367" s="341"/>
      <c r="H367" s="341"/>
      <c r="I367" s="341"/>
      <c r="J367" s="341"/>
    </row>
    <row r="368" spans="1:10" ht="15" customHeight="1">
      <c r="A368" s="457" t="str">
        <f t="shared" si="34"/>
        <v/>
      </c>
      <c r="B368" s="414"/>
      <c r="C368" s="341"/>
      <c r="D368" s="341"/>
      <c r="E368" s="341"/>
      <c r="F368" s="341"/>
      <c r="G368" s="341"/>
      <c r="H368" s="341"/>
      <c r="I368" s="341"/>
      <c r="J368" s="341"/>
    </row>
    <row r="369" spans="1:10" ht="15" customHeight="1">
      <c r="A369" s="457" t="str">
        <f t="shared" si="34"/>
        <v/>
      </c>
      <c r="B369" s="414"/>
      <c r="C369" s="341"/>
      <c r="D369" s="341"/>
      <c r="E369" s="341"/>
      <c r="F369" s="341"/>
      <c r="G369" s="341"/>
      <c r="H369" s="341"/>
      <c r="I369" s="341"/>
      <c r="J369" s="341"/>
    </row>
    <row r="370" spans="1:10" ht="15" customHeight="1">
      <c r="A370" s="457" t="str">
        <f t="shared" si="34"/>
        <v/>
      </c>
      <c r="B370" s="414"/>
      <c r="C370" s="341"/>
      <c r="D370" s="341"/>
      <c r="E370" s="341"/>
      <c r="F370" s="341"/>
      <c r="G370" s="341"/>
      <c r="H370" s="341"/>
      <c r="I370" s="341"/>
      <c r="J370" s="341"/>
    </row>
    <row r="371" spans="1:10" ht="15" customHeight="1">
      <c r="A371" s="457" t="str">
        <f t="shared" si="34"/>
        <v/>
      </c>
      <c r="B371" s="414"/>
      <c r="C371" s="341"/>
      <c r="D371" s="341"/>
      <c r="E371" s="341"/>
      <c r="F371" s="341"/>
      <c r="G371" s="341"/>
      <c r="H371" s="341"/>
      <c r="I371" s="341"/>
      <c r="J371" s="341"/>
    </row>
    <row r="372" spans="1:10" ht="15" customHeight="1">
      <c r="A372" s="457" t="str">
        <f t="shared" si="34"/>
        <v/>
      </c>
      <c r="B372" s="414"/>
      <c r="C372" s="341"/>
      <c r="D372" s="341"/>
      <c r="E372" s="341"/>
      <c r="F372" s="341"/>
      <c r="G372" s="341"/>
      <c r="H372" s="341"/>
      <c r="I372" s="341"/>
      <c r="J372" s="341"/>
    </row>
    <row r="373" spans="1:10" ht="15" customHeight="1">
      <c r="A373" s="457" t="str">
        <f t="shared" si="34"/>
        <v/>
      </c>
      <c r="B373" s="414"/>
      <c r="C373" s="341"/>
      <c r="D373" s="341"/>
      <c r="E373" s="341"/>
      <c r="F373" s="341"/>
      <c r="G373" s="341"/>
      <c r="H373" s="341"/>
      <c r="I373" s="341"/>
      <c r="J373" s="341"/>
    </row>
    <row r="374" spans="1:10" ht="15" customHeight="1">
      <c r="A374" s="457" t="str">
        <f t="shared" si="34"/>
        <v/>
      </c>
      <c r="B374" s="414"/>
      <c r="C374" s="341"/>
      <c r="D374" s="341"/>
      <c r="E374" s="341"/>
      <c r="F374" s="341"/>
      <c r="G374" s="341"/>
      <c r="H374" s="341"/>
      <c r="I374" s="341"/>
      <c r="J374" s="341"/>
    </row>
    <row r="375" spans="1:10" ht="15" customHeight="1">
      <c r="A375" s="457" t="str">
        <f t="shared" si="34"/>
        <v/>
      </c>
      <c r="B375" s="414"/>
      <c r="C375" s="341"/>
      <c r="D375" s="341"/>
      <c r="E375" s="341"/>
      <c r="F375" s="341"/>
      <c r="G375" s="341"/>
      <c r="H375" s="341"/>
      <c r="I375" s="341"/>
      <c r="J375" s="341"/>
    </row>
    <row r="376" spans="1:10" ht="15" customHeight="1">
      <c r="A376" s="457" t="str">
        <f t="shared" si="34"/>
        <v/>
      </c>
      <c r="B376" s="414"/>
      <c r="C376" s="341"/>
      <c r="D376" s="341"/>
      <c r="E376" s="341"/>
      <c r="F376" s="341"/>
      <c r="G376" s="341"/>
      <c r="H376" s="341"/>
      <c r="I376" s="341"/>
      <c r="J376" s="341"/>
    </row>
    <row r="377" spans="1:10" ht="15" customHeight="1">
      <c r="A377" s="457" t="str">
        <f t="shared" si="34"/>
        <v/>
      </c>
      <c r="B377" s="414"/>
      <c r="C377" s="341"/>
      <c r="D377" s="341"/>
      <c r="E377" s="341"/>
      <c r="F377" s="341"/>
      <c r="G377" s="341"/>
      <c r="H377" s="341"/>
      <c r="I377" s="341"/>
      <c r="J377" s="341"/>
    </row>
    <row r="378" spans="1:10" ht="15" customHeight="1">
      <c r="A378" s="457" t="str">
        <f t="shared" si="34"/>
        <v/>
      </c>
      <c r="B378" s="414"/>
      <c r="C378" s="341"/>
      <c r="D378" s="341"/>
      <c r="E378" s="341"/>
      <c r="F378" s="341"/>
      <c r="G378" s="341"/>
      <c r="H378" s="341"/>
      <c r="I378" s="341"/>
      <c r="J378" s="341"/>
    </row>
    <row r="379" spans="1:10" ht="15" customHeight="1">
      <c r="A379" s="457" t="str">
        <f t="shared" si="34"/>
        <v/>
      </c>
      <c r="B379" s="414"/>
      <c r="C379" s="341"/>
      <c r="D379" s="341"/>
      <c r="E379" s="341"/>
      <c r="F379" s="341"/>
      <c r="G379" s="341"/>
      <c r="H379" s="341"/>
      <c r="I379" s="341"/>
      <c r="J379" s="341"/>
    </row>
    <row r="380" spans="1:10" ht="15" customHeight="1">
      <c r="A380" s="457" t="str">
        <f t="shared" si="34"/>
        <v/>
      </c>
      <c r="B380" s="414"/>
      <c r="C380" s="341"/>
      <c r="D380" s="341"/>
      <c r="E380" s="341"/>
      <c r="F380" s="341"/>
      <c r="G380" s="341"/>
      <c r="H380" s="341"/>
      <c r="I380" s="341"/>
      <c r="J380" s="341"/>
    </row>
    <row r="381" spans="1:10" ht="15" customHeight="1">
      <c r="A381" s="457" t="str">
        <f t="shared" si="34"/>
        <v/>
      </c>
      <c r="B381" s="414"/>
      <c r="C381" s="341"/>
      <c r="D381" s="341"/>
      <c r="E381" s="341"/>
      <c r="F381" s="341"/>
      <c r="G381" s="341"/>
      <c r="H381" s="341"/>
      <c r="I381" s="341"/>
      <c r="J381" s="341"/>
    </row>
    <row r="382" spans="1:10" ht="15" customHeight="1">
      <c r="A382" s="457" t="str">
        <f t="shared" si="34"/>
        <v/>
      </c>
      <c r="B382" s="414"/>
      <c r="C382" s="341"/>
      <c r="D382" s="341"/>
      <c r="E382" s="341"/>
      <c r="F382" s="341"/>
      <c r="G382" s="341"/>
      <c r="H382" s="341"/>
      <c r="I382" s="341"/>
      <c r="J382" s="341"/>
    </row>
    <row r="383" spans="1:10" ht="15" customHeight="1">
      <c r="A383" s="457" t="str">
        <f t="shared" si="34"/>
        <v/>
      </c>
    </row>
    <row r="384" spans="1:10" ht="15" customHeight="1">
      <c r="A384" s="457" t="str">
        <f t="shared" si="34"/>
        <v/>
      </c>
    </row>
    <row r="385" spans="1:1" ht="15" customHeight="1">
      <c r="A385" s="457" t="str">
        <f t="shared" si="34"/>
        <v/>
      </c>
    </row>
    <row r="386" spans="1:1" ht="15" customHeight="1">
      <c r="A386" s="457" t="str">
        <f t="shared" si="34"/>
        <v/>
      </c>
    </row>
    <row r="387" spans="1:1" ht="15" customHeight="1">
      <c r="A387" s="457" t="str">
        <f t="shared" si="34"/>
        <v/>
      </c>
    </row>
    <row r="388" spans="1:1" ht="15" customHeight="1">
      <c r="A388" s="457" t="str">
        <f t="shared" si="34"/>
        <v/>
      </c>
    </row>
    <row r="389" spans="1:1" ht="15" customHeight="1">
      <c r="A389" s="457" t="str">
        <f t="shared" si="34"/>
        <v/>
      </c>
    </row>
    <row r="390" spans="1:1" ht="15" customHeight="1">
      <c r="A390" s="457" t="str">
        <f t="shared" si="34"/>
        <v/>
      </c>
    </row>
    <row r="391" spans="1:1" ht="15" customHeight="1">
      <c r="A391" s="457" t="str">
        <f t="shared" si="34"/>
        <v/>
      </c>
    </row>
    <row r="392" spans="1:1" ht="15" customHeight="1">
      <c r="A392" s="457" t="str">
        <f t="shared" si="34"/>
        <v/>
      </c>
    </row>
    <row r="393" spans="1:1" ht="15" customHeight="1">
      <c r="A393" s="457" t="str">
        <f t="shared" si="34"/>
        <v/>
      </c>
    </row>
    <row r="394" spans="1:1" ht="15" customHeight="1">
      <c r="A394" s="457" t="str">
        <f t="shared" si="34"/>
        <v/>
      </c>
    </row>
    <row r="395" spans="1:1" ht="15" customHeight="1">
      <c r="A395" s="457" t="str">
        <f t="shared" si="34"/>
        <v/>
      </c>
    </row>
    <row r="396" spans="1:1" ht="15" customHeight="1">
      <c r="A396" s="457" t="str">
        <f t="shared" si="34"/>
        <v/>
      </c>
    </row>
    <row r="397" spans="1:1" ht="15" customHeight="1">
      <c r="A397" s="457" t="str">
        <f t="shared" si="34"/>
        <v/>
      </c>
    </row>
    <row r="398" spans="1:1" ht="15" customHeight="1">
      <c r="A398" s="457" t="str">
        <f t="shared" si="34"/>
        <v/>
      </c>
    </row>
    <row r="399" spans="1:1" ht="15" customHeight="1">
      <c r="A399" s="457" t="str">
        <f t="shared" si="34"/>
        <v/>
      </c>
    </row>
    <row r="400" spans="1:1" ht="15" customHeight="1">
      <c r="A400" s="457" t="str">
        <f t="shared" si="34"/>
        <v/>
      </c>
    </row>
    <row r="401" spans="1:1" ht="15" customHeight="1">
      <c r="A401" s="457" t="str">
        <f t="shared" si="34"/>
        <v/>
      </c>
    </row>
    <row r="402" spans="1:1" ht="15" customHeight="1">
      <c r="A402" s="457" t="str">
        <f t="shared" si="34"/>
        <v/>
      </c>
    </row>
    <row r="403" spans="1:1" ht="15" customHeight="1">
      <c r="A403" s="457" t="str">
        <f t="shared" si="34"/>
        <v/>
      </c>
    </row>
    <row r="404" spans="1:1" ht="15" customHeight="1">
      <c r="A404" s="457" t="str">
        <f t="shared" si="34"/>
        <v/>
      </c>
    </row>
    <row r="405" spans="1:1" ht="15" customHeight="1">
      <c r="A405" s="457" t="str">
        <f t="shared" si="34"/>
        <v/>
      </c>
    </row>
    <row r="406" spans="1:1" ht="15" customHeight="1">
      <c r="A406" s="457" t="str">
        <f t="shared" si="34"/>
        <v/>
      </c>
    </row>
    <row r="407" spans="1:1" ht="15" customHeight="1">
      <c r="A407" s="457" t="str">
        <f t="shared" si="34"/>
        <v/>
      </c>
    </row>
    <row r="408" spans="1:1" ht="15" customHeight="1">
      <c r="A408" s="457" t="str">
        <f t="shared" si="34"/>
        <v/>
      </c>
    </row>
    <row r="409" spans="1:1" ht="15" customHeight="1">
      <c r="A409" s="457" t="str">
        <f t="shared" si="34"/>
        <v/>
      </c>
    </row>
    <row r="410" spans="1:1" ht="15" customHeight="1">
      <c r="A410" s="457" t="str">
        <f t="shared" si="34"/>
        <v/>
      </c>
    </row>
    <row r="411" spans="1:1" ht="15" customHeight="1">
      <c r="A411" s="457" t="str">
        <f t="shared" si="34"/>
        <v/>
      </c>
    </row>
    <row r="412" spans="1:1" ht="15" customHeight="1">
      <c r="A412" s="457" t="str">
        <f t="shared" si="34"/>
        <v/>
      </c>
    </row>
    <row r="413" spans="1:1" ht="15" customHeight="1">
      <c r="A413" s="457" t="str">
        <f t="shared" si="34"/>
        <v/>
      </c>
    </row>
    <row r="414" spans="1:1" ht="15" customHeight="1">
      <c r="A414" s="457" t="str">
        <f t="shared" si="34"/>
        <v/>
      </c>
    </row>
    <row r="415" spans="1:1" ht="15" customHeight="1">
      <c r="A415" s="457" t="str">
        <f t="shared" si="34"/>
        <v/>
      </c>
    </row>
    <row r="416" spans="1:1" ht="15" customHeight="1">
      <c r="A416" s="457" t="str">
        <f t="shared" si="34"/>
        <v/>
      </c>
    </row>
    <row r="417" spans="1:1" ht="15" customHeight="1">
      <c r="A417" s="457" t="str">
        <f t="shared" si="34"/>
        <v/>
      </c>
    </row>
    <row r="418" spans="1:1" ht="15" customHeight="1">
      <c r="A418" s="457" t="str">
        <f t="shared" ref="A418:A431" si="35">IF(C418="","",1)</f>
        <v/>
      </c>
    </row>
    <row r="419" spans="1:1" ht="15" customHeight="1">
      <c r="A419" s="457" t="str">
        <f t="shared" si="35"/>
        <v/>
      </c>
    </row>
    <row r="420" spans="1:1" ht="15" customHeight="1">
      <c r="A420" s="457" t="str">
        <f t="shared" si="35"/>
        <v/>
      </c>
    </row>
    <row r="421" spans="1:1" ht="15" customHeight="1">
      <c r="A421" s="457" t="str">
        <f t="shared" si="35"/>
        <v/>
      </c>
    </row>
    <row r="422" spans="1:1" ht="15" customHeight="1">
      <c r="A422" s="457" t="str">
        <f t="shared" si="35"/>
        <v/>
      </c>
    </row>
    <row r="423" spans="1:1" ht="15" customHeight="1">
      <c r="A423" s="457" t="str">
        <f t="shared" si="35"/>
        <v/>
      </c>
    </row>
    <row r="424" spans="1:1" ht="15" customHeight="1">
      <c r="A424" s="457" t="str">
        <f t="shared" si="35"/>
        <v/>
      </c>
    </row>
    <row r="425" spans="1:1" ht="15" customHeight="1">
      <c r="A425" s="457" t="str">
        <f t="shared" si="35"/>
        <v/>
      </c>
    </row>
    <row r="426" spans="1:1" ht="15" customHeight="1">
      <c r="A426" s="457" t="str">
        <f t="shared" si="35"/>
        <v/>
      </c>
    </row>
    <row r="427" spans="1:1" ht="15" customHeight="1">
      <c r="A427" s="457" t="str">
        <f t="shared" si="35"/>
        <v/>
      </c>
    </row>
    <row r="428" spans="1:1" ht="15" customHeight="1">
      <c r="A428" s="457" t="str">
        <f t="shared" si="35"/>
        <v/>
      </c>
    </row>
    <row r="429" spans="1:1" ht="15" customHeight="1">
      <c r="A429" s="457" t="str">
        <f t="shared" si="35"/>
        <v/>
      </c>
    </row>
    <row r="430" spans="1:1" ht="15" customHeight="1">
      <c r="A430" s="457" t="str">
        <f t="shared" si="35"/>
        <v/>
      </c>
    </row>
    <row r="431" spans="1:1" ht="15" customHeight="1">
      <c r="A431" s="457" t="str">
        <f t="shared" si="35"/>
        <v/>
      </c>
    </row>
    <row r="432" spans="1:1" ht="15" customHeight="1">
      <c r="A432" s="457" t="str">
        <f t="shared" ref="A432:A466" si="36">IF(C432="","",1)</f>
        <v/>
      </c>
    </row>
    <row r="433" spans="1:1" ht="15" customHeight="1">
      <c r="A433" s="457" t="str">
        <f t="shared" si="36"/>
        <v/>
      </c>
    </row>
    <row r="434" spans="1:1" ht="15" customHeight="1">
      <c r="A434" s="457" t="str">
        <f t="shared" si="36"/>
        <v/>
      </c>
    </row>
    <row r="435" spans="1:1" ht="15" customHeight="1">
      <c r="A435" s="457" t="str">
        <f t="shared" si="36"/>
        <v/>
      </c>
    </row>
    <row r="436" spans="1:1" ht="15" customHeight="1">
      <c r="A436" s="457" t="str">
        <f t="shared" si="36"/>
        <v/>
      </c>
    </row>
    <row r="437" spans="1:1" ht="15" customHeight="1">
      <c r="A437" s="457" t="str">
        <f t="shared" si="36"/>
        <v/>
      </c>
    </row>
    <row r="438" spans="1:1" ht="15" customHeight="1">
      <c r="A438" s="457" t="str">
        <f t="shared" si="36"/>
        <v/>
      </c>
    </row>
    <row r="439" spans="1:1" ht="15" customHeight="1">
      <c r="A439" s="457" t="str">
        <f t="shared" si="36"/>
        <v/>
      </c>
    </row>
    <row r="440" spans="1:1" ht="15" customHeight="1">
      <c r="A440" s="457" t="str">
        <f t="shared" si="36"/>
        <v/>
      </c>
    </row>
    <row r="441" spans="1:1" ht="15" customHeight="1">
      <c r="A441" s="457" t="str">
        <f t="shared" si="36"/>
        <v/>
      </c>
    </row>
    <row r="442" spans="1:1" ht="15" customHeight="1">
      <c r="A442" s="457" t="str">
        <f t="shared" si="36"/>
        <v/>
      </c>
    </row>
    <row r="443" spans="1:1" ht="15" customHeight="1">
      <c r="A443" s="457" t="str">
        <f t="shared" si="36"/>
        <v/>
      </c>
    </row>
    <row r="444" spans="1:1" ht="15" customHeight="1">
      <c r="A444" s="457" t="str">
        <f t="shared" si="36"/>
        <v/>
      </c>
    </row>
    <row r="445" spans="1:1" ht="15" customHeight="1">
      <c r="A445" s="457" t="str">
        <f t="shared" si="36"/>
        <v/>
      </c>
    </row>
    <row r="446" spans="1:1" ht="15" customHeight="1">
      <c r="A446" s="457" t="str">
        <f t="shared" si="36"/>
        <v/>
      </c>
    </row>
    <row r="447" spans="1:1" ht="15" customHeight="1">
      <c r="A447" s="457" t="str">
        <f t="shared" si="36"/>
        <v/>
      </c>
    </row>
    <row r="448" spans="1:1" ht="15" customHeight="1">
      <c r="A448" s="457" t="str">
        <f t="shared" si="36"/>
        <v/>
      </c>
    </row>
    <row r="449" spans="1:1" ht="15" customHeight="1">
      <c r="A449" s="457" t="str">
        <f t="shared" si="36"/>
        <v/>
      </c>
    </row>
    <row r="450" spans="1:1" ht="15" customHeight="1">
      <c r="A450" s="457" t="str">
        <f t="shared" si="36"/>
        <v/>
      </c>
    </row>
    <row r="451" spans="1:1" ht="15" customHeight="1">
      <c r="A451" s="457" t="str">
        <f t="shared" si="36"/>
        <v/>
      </c>
    </row>
    <row r="452" spans="1:1" ht="15" customHeight="1">
      <c r="A452" s="457" t="str">
        <f t="shared" si="36"/>
        <v/>
      </c>
    </row>
    <row r="453" spans="1:1" ht="15" customHeight="1">
      <c r="A453" s="457" t="str">
        <f t="shared" si="36"/>
        <v/>
      </c>
    </row>
    <row r="454" spans="1:1" ht="15" customHeight="1">
      <c r="A454" s="457" t="str">
        <f t="shared" si="36"/>
        <v/>
      </c>
    </row>
    <row r="455" spans="1:1" ht="15" customHeight="1">
      <c r="A455" s="457" t="str">
        <f t="shared" si="36"/>
        <v/>
      </c>
    </row>
    <row r="456" spans="1:1" ht="15" customHeight="1">
      <c r="A456" s="457" t="str">
        <f t="shared" si="36"/>
        <v/>
      </c>
    </row>
    <row r="457" spans="1:1" ht="15" customHeight="1">
      <c r="A457" s="457" t="str">
        <f t="shared" si="36"/>
        <v/>
      </c>
    </row>
    <row r="458" spans="1:1" ht="15" customHeight="1">
      <c r="A458" s="457" t="str">
        <f t="shared" si="36"/>
        <v/>
      </c>
    </row>
    <row r="459" spans="1:1" ht="15" customHeight="1">
      <c r="A459" s="457" t="str">
        <f t="shared" si="36"/>
        <v/>
      </c>
    </row>
    <row r="460" spans="1:1" ht="15" customHeight="1">
      <c r="A460" s="457" t="str">
        <f t="shared" si="36"/>
        <v/>
      </c>
    </row>
    <row r="461" spans="1:1" ht="15" customHeight="1">
      <c r="A461" s="457" t="str">
        <f t="shared" si="36"/>
        <v/>
      </c>
    </row>
    <row r="462" spans="1:1" ht="15" customHeight="1">
      <c r="A462" s="457" t="str">
        <f t="shared" si="36"/>
        <v/>
      </c>
    </row>
    <row r="463" spans="1:1" ht="15" customHeight="1">
      <c r="A463" s="457" t="str">
        <f t="shared" si="36"/>
        <v/>
      </c>
    </row>
    <row r="464" spans="1:1" ht="15" customHeight="1">
      <c r="A464" s="457" t="str">
        <f t="shared" si="36"/>
        <v/>
      </c>
    </row>
    <row r="465" spans="1:1" ht="15" customHeight="1">
      <c r="A465" s="457" t="str">
        <f t="shared" si="36"/>
        <v/>
      </c>
    </row>
    <row r="466" spans="1:1" ht="15" customHeight="1">
      <c r="A466" s="457" t="str">
        <f t="shared" si="36"/>
        <v/>
      </c>
    </row>
    <row r="467" spans="1:1" ht="15" customHeight="1">
      <c r="A467" s="457"/>
    </row>
    <row r="468" spans="1:1" ht="15" customHeight="1">
      <c r="A468" s="457"/>
    </row>
    <row r="469" spans="1:1" ht="15" customHeight="1">
      <c r="A469" s="457"/>
    </row>
    <row r="470" spans="1:1" ht="15" customHeight="1">
      <c r="A470" s="457"/>
    </row>
    <row r="471" spans="1:1" ht="15" customHeight="1">
      <c r="A471" s="457"/>
    </row>
    <row r="472" spans="1:1" ht="15" customHeight="1">
      <c r="A472" s="457"/>
    </row>
    <row r="473" spans="1:1" ht="15" customHeight="1">
      <c r="A473" s="457"/>
    </row>
    <row r="474" spans="1:1" ht="15" customHeight="1">
      <c r="A474" s="457"/>
    </row>
    <row r="475" spans="1:1" ht="15" customHeight="1">
      <c r="A475" s="457" t="str">
        <f t="shared" ref="A475:A538" si="37">IF(C475="","",1)</f>
        <v/>
      </c>
    </row>
    <row r="476" spans="1:1" ht="15" customHeight="1">
      <c r="A476" s="457" t="str">
        <f t="shared" si="37"/>
        <v/>
      </c>
    </row>
    <row r="477" spans="1:1" ht="15" customHeight="1">
      <c r="A477" s="457" t="str">
        <f t="shared" si="37"/>
        <v/>
      </c>
    </row>
    <row r="478" spans="1:1" ht="15" customHeight="1">
      <c r="A478" s="457" t="str">
        <f t="shared" si="37"/>
        <v/>
      </c>
    </row>
    <row r="479" spans="1:1" ht="15" customHeight="1">
      <c r="A479" s="457" t="str">
        <f t="shared" si="37"/>
        <v/>
      </c>
    </row>
    <row r="480" spans="1:1" ht="15" customHeight="1">
      <c r="A480" s="457" t="str">
        <f t="shared" si="37"/>
        <v/>
      </c>
    </row>
    <row r="481" spans="1:1" ht="15" customHeight="1">
      <c r="A481" s="457" t="str">
        <f t="shared" si="37"/>
        <v/>
      </c>
    </row>
    <row r="482" spans="1:1" ht="15" customHeight="1">
      <c r="A482" s="457" t="str">
        <f t="shared" si="37"/>
        <v/>
      </c>
    </row>
    <row r="483" spans="1:1" ht="15" customHeight="1">
      <c r="A483" s="457" t="str">
        <f t="shared" si="37"/>
        <v/>
      </c>
    </row>
    <row r="484" spans="1:1" ht="15" customHeight="1">
      <c r="A484" s="457" t="str">
        <f t="shared" si="37"/>
        <v/>
      </c>
    </row>
    <row r="485" spans="1:1" ht="15" customHeight="1">
      <c r="A485" s="457" t="str">
        <f t="shared" si="37"/>
        <v/>
      </c>
    </row>
    <row r="486" spans="1:1" ht="15" customHeight="1">
      <c r="A486" s="457" t="str">
        <f t="shared" si="37"/>
        <v/>
      </c>
    </row>
    <row r="487" spans="1:1" ht="15" customHeight="1">
      <c r="A487" s="457" t="str">
        <f t="shared" si="37"/>
        <v/>
      </c>
    </row>
    <row r="488" spans="1:1" ht="15" customHeight="1">
      <c r="A488" s="457" t="str">
        <f t="shared" si="37"/>
        <v/>
      </c>
    </row>
    <row r="489" spans="1:1" ht="15" customHeight="1">
      <c r="A489" s="457" t="str">
        <f t="shared" si="37"/>
        <v/>
      </c>
    </row>
    <row r="490" spans="1:1" ht="15" customHeight="1">
      <c r="A490" s="457" t="str">
        <f t="shared" si="37"/>
        <v/>
      </c>
    </row>
    <row r="491" spans="1:1" ht="15" customHeight="1">
      <c r="A491" s="457" t="str">
        <f t="shared" si="37"/>
        <v/>
      </c>
    </row>
    <row r="492" spans="1:1" ht="15" customHeight="1">
      <c r="A492" s="457" t="str">
        <f t="shared" si="37"/>
        <v/>
      </c>
    </row>
    <row r="493" spans="1:1" ht="15" customHeight="1">
      <c r="A493" s="457" t="str">
        <f t="shared" si="37"/>
        <v/>
      </c>
    </row>
    <row r="494" spans="1:1" ht="15" customHeight="1">
      <c r="A494" s="457" t="str">
        <f t="shared" si="37"/>
        <v/>
      </c>
    </row>
    <row r="495" spans="1:1" ht="15" customHeight="1">
      <c r="A495" s="457" t="str">
        <f t="shared" si="37"/>
        <v/>
      </c>
    </row>
    <row r="496" spans="1:1" ht="15" customHeight="1">
      <c r="A496" s="457" t="str">
        <f t="shared" si="37"/>
        <v/>
      </c>
    </row>
    <row r="497" spans="1:1" ht="15" customHeight="1">
      <c r="A497" s="457" t="str">
        <f t="shared" si="37"/>
        <v/>
      </c>
    </row>
    <row r="498" spans="1:1" ht="15" customHeight="1">
      <c r="A498" s="457" t="str">
        <f t="shared" si="37"/>
        <v/>
      </c>
    </row>
    <row r="499" spans="1:1" ht="15" customHeight="1">
      <c r="A499" s="457" t="str">
        <f t="shared" si="37"/>
        <v/>
      </c>
    </row>
    <row r="500" spans="1:1" ht="15" customHeight="1">
      <c r="A500" s="457" t="str">
        <f t="shared" si="37"/>
        <v/>
      </c>
    </row>
    <row r="501" spans="1:1" ht="15" customHeight="1">
      <c r="A501" s="457" t="str">
        <f t="shared" si="37"/>
        <v/>
      </c>
    </row>
    <row r="502" spans="1:1" ht="15" customHeight="1">
      <c r="A502" s="457" t="str">
        <f t="shared" si="37"/>
        <v/>
      </c>
    </row>
    <row r="503" spans="1:1" ht="15" customHeight="1">
      <c r="A503" s="457" t="str">
        <f t="shared" si="37"/>
        <v/>
      </c>
    </row>
    <row r="504" spans="1:1" ht="15" customHeight="1">
      <c r="A504" s="457" t="str">
        <f t="shared" si="37"/>
        <v/>
      </c>
    </row>
    <row r="505" spans="1:1" ht="15" customHeight="1">
      <c r="A505" s="457" t="str">
        <f t="shared" si="37"/>
        <v/>
      </c>
    </row>
    <row r="506" spans="1:1" ht="15" customHeight="1">
      <c r="A506" s="457" t="str">
        <f t="shared" si="37"/>
        <v/>
      </c>
    </row>
    <row r="507" spans="1:1" ht="15" customHeight="1">
      <c r="A507" s="457" t="str">
        <f t="shared" si="37"/>
        <v/>
      </c>
    </row>
    <row r="508" spans="1:1" ht="15" customHeight="1">
      <c r="A508" s="457" t="str">
        <f t="shared" si="37"/>
        <v/>
      </c>
    </row>
    <row r="509" spans="1:1" ht="15" customHeight="1">
      <c r="A509" s="457" t="str">
        <f t="shared" si="37"/>
        <v/>
      </c>
    </row>
    <row r="510" spans="1:1" ht="15" customHeight="1">
      <c r="A510" s="457" t="str">
        <f t="shared" si="37"/>
        <v/>
      </c>
    </row>
    <row r="511" spans="1:1" ht="15" customHeight="1">
      <c r="A511" s="457" t="str">
        <f t="shared" si="37"/>
        <v/>
      </c>
    </row>
    <row r="512" spans="1:1" ht="15" customHeight="1">
      <c r="A512" s="457" t="str">
        <f t="shared" si="37"/>
        <v/>
      </c>
    </row>
    <row r="513" spans="1:1" ht="15" customHeight="1">
      <c r="A513" s="457" t="str">
        <f t="shared" si="37"/>
        <v/>
      </c>
    </row>
    <row r="514" spans="1:1" ht="15" customHeight="1">
      <c r="A514" s="457" t="str">
        <f t="shared" si="37"/>
        <v/>
      </c>
    </row>
    <row r="515" spans="1:1" ht="15" customHeight="1">
      <c r="A515" s="457" t="str">
        <f t="shared" si="37"/>
        <v/>
      </c>
    </row>
    <row r="516" spans="1:1" ht="15" customHeight="1">
      <c r="A516" s="457" t="str">
        <f t="shared" si="37"/>
        <v/>
      </c>
    </row>
    <row r="517" spans="1:1" ht="15" customHeight="1">
      <c r="A517" s="457" t="str">
        <f t="shared" si="37"/>
        <v/>
      </c>
    </row>
    <row r="518" spans="1:1" ht="15" customHeight="1">
      <c r="A518" s="457" t="str">
        <f t="shared" si="37"/>
        <v/>
      </c>
    </row>
    <row r="519" spans="1:1" ht="15" customHeight="1">
      <c r="A519" s="457" t="str">
        <f t="shared" si="37"/>
        <v/>
      </c>
    </row>
    <row r="520" spans="1:1" ht="15" customHeight="1">
      <c r="A520" s="457" t="str">
        <f t="shared" si="37"/>
        <v/>
      </c>
    </row>
    <row r="521" spans="1:1" ht="15" customHeight="1">
      <c r="A521" s="457" t="str">
        <f t="shared" si="37"/>
        <v/>
      </c>
    </row>
    <row r="522" spans="1:1" ht="15" customHeight="1">
      <c r="A522" s="457" t="str">
        <f t="shared" si="37"/>
        <v/>
      </c>
    </row>
    <row r="523" spans="1:1" ht="15" customHeight="1">
      <c r="A523" s="457" t="str">
        <f t="shared" si="37"/>
        <v/>
      </c>
    </row>
    <row r="524" spans="1:1" ht="15" customHeight="1">
      <c r="A524" s="457" t="str">
        <f t="shared" si="37"/>
        <v/>
      </c>
    </row>
    <row r="525" spans="1:1" ht="15" customHeight="1">
      <c r="A525" s="457" t="str">
        <f t="shared" si="37"/>
        <v/>
      </c>
    </row>
    <row r="526" spans="1:1" ht="15" customHeight="1">
      <c r="A526" s="457" t="str">
        <f t="shared" si="37"/>
        <v/>
      </c>
    </row>
    <row r="527" spans="1:1" ht="15" customHeight="1">
      <c r="A527" s="457" t="str">
        <f t="shared" si="37"/>
        <v/>
      </c>
    </row>
    <row r="528" spans="1:1" ht="15" customHeight="1">
      <c r="A528" s="457" t="str">
        <f t="shared" si="37"/>
        <v/>
      </c>
    </row>
    <row r="529" spans="1:1" ht="15" customHeight="1">
      <c r="A529" s="457" t="str">
        <f t="shared" si="37"/>
        <v/>
      </c>
    </row>
    <row r="530" spans="1:1" ht="15" customHeight="1">
      <c r="A530" s="457" t="str">
        <f t="shared" si="37"/>
        <v/>
      </c>
    </row>
    <row r="531" spans="1:1" ht="15" customHeight="1">
      <c r="A531" s="457" t="str">
        <f t="shared" si="37"/>
        <v/>
      </c>
    </row>
    <row r="532" spans="1:1" ht="15" customHeight="1">
      <c r="A532" s="457" t="str">
        <f t="shared" si="37"/>
        <v/>
      </c>
    </row>
    <row r="533" spans="1:1" ht="15" customHeight="1">
      <c r="A533" s="457" t="str">
        <f t="shared" si="37"/>
        <v/>
      </c>
    </row>
    <row r="534" spans="1:1" ht="15" customHeight="1">
      <c r="A534" s="457" t="str">
        <f t="shared" si="37"/>
        <v/>
      </c>
    </row>
    <row r="535" spans="1:1" ht="15" customHeight="1">
      <c r="A535" s="457" t="str">
        <f t="shared" si="37"/>
        <v/>
      </c>
    </row>
    <row r="536" spans="1:1" ht="15" customHeight="1">
      <c r="A536" s="457" t="str">
        <f t="shared" si="37"/>
        <v/>
      </c>
    </row>
    <row r="537" spans="1:1" ht="15" customHeight="1">
      <c r="A537" s="457" t="str">
        <f t="shared" si="37"/>
        <v/>
      </c>
    </row>
    <row r="538" spans="1:1" ht="15" customHeight="1">
      <c r="A538" s="457" t="str">
        <f t="shared" si="37"/>
        <v/>
      </c>
    </row>
    <row r="539" spans="1:1" ht="15" customHeight="1">
      <c r="A539" s="457" t="str">
        <f t="shared" ref="A539:A553" si="38">IF(C539="","",1)</f>
        <v/>
      </c>
    </row>
    <row r="540" spans="1:1" ht="15" customHeight="1">
      <c r="A540" s="457" t="str">
        <f t="shared" si="38"/>
        <v/>
      </c>
    </row>
    <row r="541" spans="1:1" ht="15" customHeight="1">
      <c r="A541" s="457" t="str">
        <f t="shared" si="38"/>
        <v/>
      </c>
    </row>
    <row r="542" spans="1:1" ht="15" customHeight="1">
      <c r="A542" s="457" t="str">
        <f t="shared" si="38"/>
        <v/>
      </c>
    </row>
    <row r="543" spans="1:1" ht="15" customHeight="1">
      <c r="A543" s="457" t="str">
        <f t="shared" si="38"/>
        <v/>
      </c>
    </row>
    <row r="544" spans="1:1" ht="15" customHeight="1">
      <c r="A544" s="457" t="str">
        <f t="shared" si="38"/>
        <v/>
      </c>
    </row>
    <row r="545" spans="1:1" ht="15" customHeight="1">
      <c r="A545" s="457" t="str">
        <f t="shared" si="38"/>
        <v/>
      </c>
    </row>
    <row r="546" spans="1:1" ht="15" customHeight="1">
      <c r="A546" s="457" t="str">
        <f t="shared" si="38"/>
        <v/>
      </c>
    </row>
    <row r="547" spans="1:1" ht="15" customHeight="1">
      <c r="A547" s="457" t="str">
        <f t="shared" si="38"/>
        <v/>
      </c>
    </row>
    <row r="548" spans="1:1" ht="15" customHeight="1">
      <c r="A548" s="457" t="str">
        <f t="shared" si="38"/>
        <v/>
      </c>
    </row>
    <row r="549" spans="1:1" ht="15" customHeight="1">
      <c r="A549" s="457" t="str">
        <f t="shared" si="38"/>
        <v/>
      </c>
    </row>
    <row r="550" spans="1:1" ht="15" customHeight="1">
      <c r="A550" s="457" t="str">
        <f t="shared" si="38"/>
        <v/>
      </c>
    </row>
    <row r="551" spans="1:1" ht="15" customHeight="1">
      <c r="A551" s="457" t="str">
        <f t="shared" si="38"/>
        <v/>
      </c>
    </row>
    <row r="552" spans="1:1" ht="15" customHeight="1">
      <c r="A552" s="457" t="str">
        <f t="shared" si="38"/>
        <v/>
      </c>
    </row>
    <row r="553" spans="1:1" ht="15" customHeight="1">
      <c r="A553" s="457" t="str">
        <f t="shared" si="38"/>
        <v/>
      </c>
    </row>
    <row r="554" spans="1:1" ht="15" customHeight="1">
      <c r="A554" s="457"/>
    </row>
    <row r="555" spans="1:1" ht="15" customHeight="1">
      <c r="A555" s="457"/>
    </row>
    <row r="556" spans="1:1" ht="15" customHeight="1">
      <c r="A556" s="457"/>
    </row>
    <row r="557" spans="1:1" ht="15" customHeight="1">
      <c r="A557" s="457"/>
    </row>
    <row r="558" spans="1:1" ht="15" customHeight="1">
      <c r="A558" s="457"/>
    </row>
    <row r="559" spans="1:1" ht="15" customHeight="1">
      <c r="A559" s="457" t="str">
        <f t="shared" ref="A559:A622" si="39">IF(C559="","",1)</f>
        <v/>
      </c>
    </row>
    <row r="560" spans="1:1" ht="15" customHeight="1">
      <c r="A560" s="457" t="str">
        <f t="shared" si="39"/>
        <v/>
      </c>
    </row>
    <row r="561" spans="1:1" ht="15" customHeight="1">
      <c r="A561" s="457" t="str">
        <f t="shared" si="39"/>
        <v/>
      </c>
    </row>
    <row r="562" spans="1:1" ht="15" customHeight="1">
      <c r="A562" s="457" t="str">
        <f t="shared" si="39"/>
        <v/>
      </c>
    </row>
    <row r="563" spans="1:1" ht="15" customHeight="1">
      <c r="A563" s="457" t="str">
        <f t="shared" si="39"/>
        <v/>
      </c>
    </row>
    <row r="564" spans="1:1" ht="15" customHeight="1">
      <c r="A564" s="457" t="str">
        <f t="shared" si="39"/>
        <v/>
      </c>
    </row>
    <row r="565" spans="1:1" ht="15" customHeight="1">
      <c r="A565" s="457" t="str">
        <f t="shared" si="39"/>
        <v/>
      </c>
    </row>
    <row r="566" spans="1:1" ht="15" customHeight="1">
      <c r="A566" s="457" t="str">
        <f t="shared" si="39"/>
        <v/>
      </c>
    </row>
    <row r="567" spans="1:1" ht="15" customHeight="1">
      <c r="A567" s="457" t="str">
        <f t="shared" si="39"/>
        <v/>
      </c>
    </row>
    <row r="568" spans="1:1" ht="15" customHeight="1">
      <c r="A568" s="457" t="str">
        <f t="shared" si="39"/>
        <v/>
      </c>
    </row>
    <row r="569" spans="1:1" ht="15" customHeight="1">
      <c r="A569" s="457" t="str">
        <f t="shared" si="39"/>
        <v/>
      </c>
    </row>
    <row r="570" spans="1:1" ht="15" customHeight="1">
      <c r="A570" s="457" t="str">
        <f t="shared" si="39"/>
        <v/>
      </c>
    </row>
    <row r="571" spans="1:1" ht="15" customHeight="1">
      <c r="A571" s="457" t="str">
        <f t="shared" si="39"/>
        <v/>
      </c>
    </row>
    <row r="572" spans="1:1" ht="15" customHeight="1">
      <c r="A572" s="457" t="str">
        <f t="shared" si="39"/>
        <v/>
      </c>
    </row>
    <row r="573" spans="1:1" ht="15" customHeight="1">
      <c r="A573" s="457" t="str">
        <f t="shared" si="39"/>
        <v/>
      </c>
    </row>
    <row r="574" spans="1:1" ht="15" customHeight="1">
      <c r="A574" s="457" t="str">
        <f t="shared" si="39"/>
        <v/>
      </c>
    </row>
    <row r="575" spans="1:1" ht="15" customHeight="1">
      <c r="A575" s="457" t="str">
        <f t="shared" si="39"/>
        <v/>
      </c>
    </row>
    <row r="576" spans="1:1" ht="15" customHeight="1">
      <c r="A576" s="457" t="str">
        <f t="shared" si="39"/>
        <v/>
      </c>
    </row>
    <row r="577" spans="1:1" ht="15" customHeight="1">
      <c r="A577" s="457" t="str">
        <f t="shared" si="39"/>
        <v/>
      </c>
    </row>
    <row r="578" spans="1:1" ht="15" customHeight="1">
      <c r="A578" s="457" t="str">
        <f t="shared" si="39"/>
        <v/>
      </c>
    </row>
    <row r="579" spans="1:1" ht="15" customHeight="1">
      <c r="A579" s="457" t="str">
        <f t="shared" si="39"/>
        <v/>
      </c>
    </row>
    <row r="580" spans="1:1" ht="15" customHeight="1">
      <c r="A580" s="457" t="str">
        <f t="shared" si="39"/>
        <v/>
      </c>
    </row>
    <row r="581" spans="1:1" ht="15" customHeight="1">
      <c r="A581" s="457" t="str">
        <f t="shared" si="39"/>
        <v/>
      </c>
    </row>
    <row r="582" spans="1:1" ht="15" customHeight="1">
      <c r="A582" s="457" t="str">
        <f t="shared" si="39"/>
        <v/>
      </c>
    </row>
    <row r="583" spans="1:1" ht="15" customHeight="1">
      <c r="A583" s="457" t="str">
        <f t="shared" si="39"/>
        <v/>
      </c>
    </row>
    <row r="584" spans="1:1" ht="15" customHeight="1">
      <c r="A584" s="457" t="str">
        <f t="shared" si="39"/>
        <v/>
      </c>
    </row>
    <row r="585" spans="1:1" ht="15" customHeight="1">
      <c r="A585" s="457" t="str">
        <f t="shared" si="39"/>
        <v/>
      </c>
    </row>
    <row r="586" spans="1:1" ht="15" customHeight="1">
      <c r="A586" s="457" t="str">
        <f t="shared" si="39"/>
        <v/>
      </c>
    </row>
    <row r="587" spans="1:1" ht="15" customHeight="1">
      <c r="A587" s="457" t="str">
        <f t="shared" si="39"/>
        <v/>
      </c>
    </row>
    <row r="588" spans="1:1" ht="15" customHeight="1">
      <c r="A588" s="457" t="str">
        <f t="shared" si="39"/>
        <v/>
      </c>
    </row>
    <row r="589" spans="1:1" ht="15" customHeight="1">
      <c r="A589" s="457" t="str">
        <f t="shared" si="39"/>
        <v/>
      </c>
    </row>
    <row r="590" spans="1:1" ht="15" customHeight="1">
      <c r="A590" s="457" t="str">
        <f t="shared" si="39"/>
        <v/>
      </c>
    </row>
    <row r="591" spans="1:1" ht="15" customHeight="1">
      <c r="A591" s="457" t="str">
        <f t="shared" si="39"/>
        <v/>
      </c>
    </row>
    <row r="592" spans="1:1" ht="15" customHeight="1">
      <c r="A592" s="457" t="str">
        <f t="shared" si="39"/>
        <v/>
      </c>
    </row>
    <row r="593" spans="1:1" ht="15" customHeight="1">
      <c r="A593" s="457" t="str">
        <f t="shared" si="39"/>
        <v/>
      </c>
    </row>
    <row r="594" spans="1:1" ht="15" customHeight="1">
      <c r="A594" s="457" t="str">
        <f t="shared" si="39"/>
        <v/>
      </c>
    </row>
    <row r="595" spans="1:1" ht="15" customHeight="1">
      <c r="A595" s="457" t="str">
        <f t="shared" si="39"/>
        <v/>
      </c>
    </row>
    <row r="596" spans="1:1" ht="15" customHeight="1">
      <c r="A596" s="457" t="str">
        <f t="shared" si="39"/>
        <v/>
      </c>
    </row>
    <row r="597" spans="1:1" ht="15" customHeight="1">
      <c r="A597" s="457" t="str">
        <f t="shared" si="39"/>
        <v/>
      </c>
    </row>
    <row r="598" spans="1:1" ht="15" customHeight="1">
      <c r="A598" s="457" t="str">
        <f t="shared" si="39"/>
        <v/>
      </c>
    </row>
    <row r="599" spans="1:1" ht="15" customHeight="1">
      <c r="A599" s="457" t="str">
        <f t="shared" si="39"/>
        <v/>
      </c>
    </row>
    <row r="600" spans="1:1" ht="15" customHeight="1">
      <c r="A600" s="457" t="str">
        <f t="shared" si="39"/>
        <v/>
      </c>
    </row>
    <row r="601" spans="1:1" ht="15" customHeight="1">
      <c r="A601" s="457" t="str">
        <f t="shared" si="39"/>
        <v/>
      </c>
    </row>
    <row r="602" spans="1:1" ht="15" customHeight="1">
      <c r="A602" s="457" t="str">
        <f t="shared" si="39"/>
        <v/>
      </c>
    </row>
    <row r="603" spans="1:1" ht="15" customHeight="1">
      <c r="A603" s="457" t="str">
        <f t="shared" si="39"/>
        <v/>
      </c>
    </row>
    <row r="604" spans="1:1" ht="15" customHeight="1">
      <c r="A604" s="457" t="str">
        <f t="shared" si="39"/>
        <v/>
      </c>
    </row>
    <row r="605" spans="1:1" ht="15" customHeight="1">
      <c r="A605" s="457" t="str">
        <f t="shared" si="39"/>
        <v/>
      </c>
    </row>
    <row r="606" spans="1:1" ht="15" customHeight="1">
      <c r="A606" s="457" t="str">
        <f t="shared" si="39"/>
        <v/>
      </c>
    </row>
    <row r="607" spans="1:1" ht="15" customHeight="1">
      <c r="A607" s="457" t="str">
        <f t="shared" si="39"/>
        <v/>
      </c>
    </row>
    <row r="608" spans="1:1" ht="15" customHeight="1">
      <c r="A608" s="457" t="str">
        <f t="shared" si="39"/>
        <v/>
      </c>
    </row>
    <row r="609" spans="1:1" ht="15" customHeight="1">
      <c r="A609" s="457" t="str">
        <f t="shared" si="39"/>
        <v/>
      </c>
    </row>
    <row r="610" spans="1:1" ht="15" customHeight="1">
      <c r="A610" s="457" t="str">
        <f t="shared" si="39"/>
        <v/>
      </c>
    </row>
    <row r="611" spans="1:1" ht="15" customHeight="1">
      <c r="A611" s="457" t="str">
        <f t="shared" si="39"/>
        <v/>
      </c>
    </row>
    <row r="612" spans="1:1" ht="15" customHeight="1">
      <c r="A612" s="457" t="str">
        <f t="shared" si="39"/>
        <v/>
      </c>
    </row>
    <row r="613" spans="1:1" ht="15" customHeight="1">
      <c r="A613" s="457" t="str">
        <f t="shared" si="39"/>
        <v/>
      </c>
    </row>
    <row r="614" spans="1:1" ht="15" customHeight="1">
      <c r="A614" s="457" t="str">
        <f t="shared" si="39"/>
        <v/>
      </c>
    </row>
    <row r="615" spans="1:1" ht="15" customHeight="1">
      <c r="A615" s="457" t="str">
        <f t="shared" si="39"/>
        <v/>
      </c>
    </row>
    <row r="616" spans="1:1" ht="15" customHeight="1">
      <c r="A616" s="457" t="str">
        <f t="shared" si="39"/>
        <v/>
      </c>
    </row>
    <row r="617" spans="1:1" ht="15" customHeight="1">
      <c r="A617" s="457" t="str">
        <f t="shared" si="39"/>
        <v/>
      </c>
    </row>
    <row r="618" spans="1:1" ht="15" customHeight="1">
      <c r="A618" s="457" t="str">
        <f t="shared" si="39"/>
        <v/>
      </c>
    </row>
    <row r="619" spans="1:1" ht="15" customHeight="1">
      <c r="A619" s="457" t="str">
        <f t="shared" si="39"/>
        <v/>
      </c>
    </row>
    <row r="620" spans="1:1" ht="15" customHeight="1">
      <c r="A620" s="457" t="str">
        <f t="shared" si="39"/>
        <v/>
      </c>
    </row>
    <row r="621" spans="1:1" ht="15" customHeight="1">
      <c r="A621" s="457" t="str">
        <f t="shared" si="39"/>
        <v/>
      </c>
    </row>
    <row r="622" spans="1:1" ht="15" customHeight="1">
      <c r="A622" s="457" t="str">
        <f t="shared" si="39"/>
        <v/>
      </c>
    </row>
    <row r="623" spans="1:1" ht="15" customHeight="1">
      <c r="A623" s="457" t="str">
        <f t="shared" ref="A623:A637" si="40">IF(C623="","",1)</f>
        <v/>
      </c>
    </row>
    <row r="624" spans="1:1" ht="15" customHeight="1">
      <c r="A624" s="457" t="str">
        <f t="shared" si="40"/>
        <v/>
      </c>
    </row>
    <row r="625" spans="1:1" ht="15" customHeight="1">
      <c r="A625" s="457" t="str">
        <f t="shared" si="40"/>
        <v/>
      </c>
    </row>
    <row r="626" spans="1:1" ht="15" customHeight="1">
      <c r="A626" s="457" t="str">
        <f t="shared" si="40"/>
        <v/>
      </c>
    </row>
    <row r="627" spans="1:1" ht="15" customHeight="1">
      <c r="A627" s="457" t="str">
        <f t="shared" si="40"/>
        <v/>
      </c>
    </row>
    <row r="628" spans="1:1" ht="15" customHeight="1">
      <c r="A628" s="457" t="str">
        <f t="shared" si="40"/>
        <v/>
      </c>
    </row>
    <row r="629" spans="1:1" ht="15" customHeight="1">
      <c r="A629" s="457" t="str">
        <f t="shared" si="40"/>
        <v/>
      </c>
    </row>
    <row r="630" spans="1:1" ht="15" customHeight="1">
      <c r="A630" s="457" t="str">
        <f t="shared" si="40"/>
        <v/>
      </c>
    </row>
    <row r="631" spans="1:1" ht="15" customHeight="1">
      <c r="A631" s="457" t="str">
        <f t="shared" si="40"/>
        <v/>
      </c>
    </row>
    <row r="632" spans="1:1" ht="15" customHeight="1">
      <c r="A632" s="457" t="str">
        <f t="shared" si="40"/>
        <v/>
      </c>
    </row>
    <row r="633" spans="1:1" ht="15" customHeight="1">
      <c r="A633" s="457" t="str">
        <f t="shared" si="40"/>
        <v/>
      </c>
    </row>
    <row r="634" spans="1:1" ht="15" customHeight="1">
      <c r="A634" s="457" t="str">
        <f t="shared" si="40"/>
        <v/>
      </c>
    </row>
    <row r="635" spans="1:1" ht="15" customHeight="1">
      <c r="A635" s="457" t="str">
        <f t="shared" si="40"/>
        <v/>
      </c>
    </row>
    <row r="636" spans="1:1" ht="15" customHeight="1">
      <c r="A636" s="457" t="str">
        <f t="shared" si="40"/>
        <v/>
      </c>
    </row>
    <row r="637" spans="1:1" ht="15" customHeight="1">
      <c r="A637" s="457" t="str">
        <f t="shared" si="40"/>
        <v/>
      </c>
    </row>
    <row r="638" spans="1:1" ht="15" customHeight="1">
      <c r="A638" s="457"/>
    </row>
    <row r="639" spans="1:1" ht="15" customHeight="1">
      <c r="A639" s="457"/>
    </row>
    <row r="640" spans="1:1" ht="15" customHeight="1">
      <c r="A640" s="457"/>
    </row>
  </sheetData>
  <mergeCells count="268">
    <mergeCell ref="H63:H64"/>
    <mergeCell ref="C65:E65"/>
    <mergeCell ref="C66:E66"/>
    <mergeCell ref="C67:E67"/>
    <mergeCell ref="C68:E68"/>
    <mergeCell ref="C69:E69"/>
    <mergeCell ref="C70:E70"/>
    <mergeCell ref="C59:E59"/>
    <mergeCell ref="C60:E60"/>
    <mergeCell ref="H53:H54"/>
    <mergeCell ref="C55:E55"/>
    <mergeCell ref="C56:E56"/>
    <mergeCell ref="C57:E57"/>
    <mergeCell ref="C58:E58"/>
    <mergeCell ref="H221:H222"/>
    <mergeCell ref="C223:E223"/>
    <mergeCell ref="C224:E224"/>
    <mergeCell ref="C225:E225"/>
    <mergeCell ref="H104:H105"/>
    <mergeCell ref="C194:E195"/>
    <mergeCell ref="H194:H195"/>
    <mergeCell ref="C106:E106"/>
    <mergeCell ref="C107:E107"/>
    <mergeCell ref="C108:E108"/>
    <mergeCell ref="C109:E109"/>
    <mergeCell ref="C185:E186"/>
    <mergeCell ref="H185:H186"/>
    <mergeCell ref="C187:E187"/>
    <mergeCell ref="C188:E188"/>
    <mergeCell ref="C189:E189"/>
    <mergeCell ref="C190:E190"/>
    <mergeCell ref="C143:E143"/>
    <mergeCell ref="C144:E144"/>
    <mergeCell ref="C242:E242"/>
    <mergeCell ref="C243:E243"/>
    <mergeCell ref="C244:E244"/>
    <mergeCell ref="C226:E226"/>
    <mergeCell ref="C230:E231"/>
    <mergeCell ref="H230:H231"/>
    <mergeCell ref="C232:E232"/>
    <mergeCell ref="C233:E233"/>
    <mergeCell ref="C234:E234"/>
    <mergeCell ref="C235:E235"/>
    <mergeCell ref="C239:E240"/>
    <mergeCell ref="H239:H240"/>
    <mergeCell ref="C146:E146"/>
    <mergeCell ref="C149:E150"/>
    <mergeCell ref="C129:E129"/>
    <mergeCell ref="C121:E121"/>
    <mergeCell ref="C122:E122"/>
    <mergeCell ref="C123:E123"/>
    <mergeCell ref="C119:E119"/>
    <mergeCell ref="C127:E128"/>
    <mergeCell ref="C241:E241"/>
    <mergeCell ref="H73:H74"/>
    <mergeCell ref="C84:E85"/>
    <mergeCell ref="H84:H85"/>
    <mergeCell ref="C93:E94"/>
    <mergeCell ref="H93:H94"/>
    <mergeCell ref="C120:E120"/>
    <mergeCell ref="C1:J1"/>
    <mergeCell ref="C2:J2"/>
    <mergeCell ref="C3:J3"/>
    <mergeCell ref="C118:E118"/>
    <mergeCell ref="C96:E96"/>
    <mergeCell ref="C97:E97"/>
    <mergeCell ref="C98:E98"/>
    <mergeCell ref="C99:E99"/>
    <mergeCell ref="C100:E100"/>
    <mergeCell ref="C114:E114"/>
    <mergeCell ref="C115:E115"/>
    <mergeCell ref="C33:E34"/>
    <mergeCell ref="H33:H34"/>
    <mergeCell ref="C4:E4"/>
    <mergeCell ref="F4:J4"/>
    <mergeCell ref="C112:E113"/>
    <mergeCell ref="H112:H113"/>
    <mergeCell ref="C25:E25"/>
    <mergeCell ref="I252:I255"/>
    <mergeCell ref="C248:F248"/>
    <mergeCell ref="C249:F249"/>
    <mergeCell ref="C254:D255"/>
    <mergeCell ref="E254:F255"/>
    <mergeCell ref="C176:E177"/>
    <mergeCell ref="C133:E133"/>
    <mergeCell ref="C134:E134"/>
    <mergeCell ref="C135:E135"/>
    <mergeCell ref="H157:H158"/>
    <mergeCell ref="H141:H142"/>
    <mergeCell ref="C252:F252"/>
    <mergeCell ref="C253:F253"/>
    <mergeCell ref="H167:H168"/>
    <mergeCell ref="C169:E169"/>
    <mergeCell ref="C170:E170"/>
    <mergeCell ref="C171:E171"/>
    <mergeCell ref="C172:E172"/>
    <mergeCell ref="C196:E196"/>
    <mergeCell ref="C197:E197"/>
    <mergeCell ref="C198:E198"/>
    <mergeCell ref="C199:E199"/>
    <mergeCell ref="C203:E204"/>
    <mergeCell ref="H203:H204"/>
    <mergeCell ref="C5:J5"/>
    <mergeCell ref="C16:D16"/>
    <mergeCell ref="C14:D15"/>
    <mergeCell ref="E14:F14"/>
    <mergeCell ref="E15:F15"/>
    <mergeCell ref="E16:F16"/>
    <mergeCell ref="C12:D13"/>
    <mergeCell ref="H176:H177"/>
    <mergeCell ref="C178:E178"/>
    <mergeCell ref="C136:E136"/>
    <mergeCell ref="C137:E137"/>
    <mergeCell ref="C138:E138"/>
    <mergeCell ref="C43:E43"/>
    <mergeCell ref="C44:E44"/>
    <mergeCell ref="E12:F13"/>
    <mergeCell ref="C18:J18"/>
    <mergeCell ref="G12:H12"/>
    <mergeCell ref="I12:J12"/>
    <mergeCell ref="C20:E21"/>
    <mergeCell ref="H20:H21"/>
    <mergeCell ref="C22:E22"/>
    <mergeCell ref="C23:E23"/>
    <mergeCell ref="C24:E24"/>
    <mergeCell ref="C26:E26"/>
    <mergeCell ref="E295:F295"/>
    <mergeCell ref="G252:H252"/>
    <mergeCell ref="E287:F287"/>
    <mergeCell ref="E285:F285"/>
    <mergeCell ref="E275:F275"/>
    <mergeCell ref="E277:F277"/>
    <mergeCell ref="E279:F279"/>
    <mergeCell ref="E281:F281"/>
    <mergeCell ref="E283:F283"/>
    <mergeCell ref="E265:F265"/>
    <mergeCell ref="E267:F267"/>
    <mergeCell ref="E269:F269"/>
    <mergeCell ref="E271:F271"/>
    <mergeCell ref="E273:F273"/>
    <mergeCell ref="E257:F257"/>
    <mergeCell ref="E259:F259"/>
    <mergeCell ref="E261:F261"/>
    <mergeCell ref="E288:F288"/>
    <mergeCell ref="E290:F290"/>
    <mergeCell ref="E292:F292"/>
    <mergeCell ref="E294:F294"/>
    <mergeCell ref="E289:F289"/>
    <mergeCell ref="E293:F293"/>
    <mergeCell ref="E291:F291"/>
    <mergeCell ref="E278:F278"/>
    <mergeCell ref="E280:F280"/>
    <mergeCell ref="E282:F282"/>
    <mergeCell ref="E284:F284"/>
    <mergeCell ref="C289:D289"/>
    <mergeCell ref="C291:D291"/>
    <mergeCell ref="C293:D293"/>
    <mergeCell ref="C288:D288"/>
    <mergeCell ref="C287:D287"/>
    <mergeCell ref="C278:D278"/>
    <mergeCell ref="E286:F286"/>
    <mergeCell ref="C279:D279"/>
    <mergeCell ref="C281:D281"/>
    <mergeCell ref="C280:D280"/>
    <mergeCell ref="C295:D295"/>
    <mergeCell ref="C290:D290"/>
    <mergeCell ref="C292:D292"/>
    <mergeCell ref="C294:D294"/>
    <mergeCell ref="C286:D286"/>
    <mergeCell ref="C283:D283"/>
    <mergeCell ref="C285:D285"/>
    <mergeCell ref="C282:D282"/>
    <mergeCell ref="C284:D284"/>
    <mergeCell ref="E258:F258"/>
    <mergeCell ref="E260:F260"/>
    <mergeCell ref="C264:D264"/>
    <mergeCell ref="C266:D266"/>
    <mergeCell ref="C268:D268"/>
    <mergeCell ref="E263:F263"/>
    <mergeCell ref="C276:D276"/>
    <mergeCell ref="C273:D273"/>
    <mergeCell ref="E266:F266"/>
    <mergeCell ref="E268:F268"/>
    <mergeCell ref="E270:F270"/>
    <mergeCell ref="E272:F272"/>
    <mergeCell ref="E274:F274"/>
    <mergeCell ref="E276:F276"/>
    <mergeCell ref="C270:D270"/>
    <mergeCell ref="C272:D272"/>
    <mergeCell ref="C274:D274"/>
    <mergeCell ref="C259:D259"/>
    <mergeCell ref="C261:D261"/>
    <mergeCell ref="C263:D263"/>
    <mergeCell ref="C267:D267"/>
    <mergeCell ref="C269:D269"/>
    <mergeCell ref="C271:D271"/>
    <mergeCell ref="C277:D277"/>
    <mergeCell ref="E264:F264"/>
    <mergeCell ref="C265:D265"/>
    <mergeCell ref="C260:D260"/>
    <mergeCell ref="C275:D275"/>
    <mergeCell ref="C262:D262"/>
    <mergeCell ref="E262:F262"/>
    <mergeCell ref="C181:E181"/>
    <mergeCell ref="C49:E49"/>
    <mergeCell ref="C180:E180"/>
    <mergeCell ref="C179:E179"/>
    <mergeCell ref="C157:E158"/>
    <mergeCell ref="C151:E151"/>
    <mergeCell ref="C152:E152"/>
    <mergeCell ref="C153:E153"/>
    <mergeCell ref="C154:E154"/>
    <mergeCell ref="C160:E160"/>
    <mergeCell ref="C161:E161"/>
    <mergeCell ref="C162:E162"/>
    <mergeCell ref="C167:E168"/>
    <mergeCell ref="C258:D258"/>
    <mergeCell ref="C159:E159"/>
    <mergeCell ref="C256:D256"/>
    <mergeCell ref="C257:D257"/>
    <mergeCell ref="C89:E89"/>
    <mergeCell ref="C104:E105"/>
    <mergeCell ref="E256:F256"/>
    <mergeCell ref="C205:E205"/>
    <mergeCell ref="C206:E206"/>
    <mergeCell ref="C207:E207"/>
    <mergeCell ref="C208:E208"/>
    <mergeCell ref="C212:E213"/>
    <mergeCell ref="C27:E27"/>
    <mergeCell ref="C75:E75"/>
    <mergeCell ref="C77:E77"/>
    <mergeCell ref="C221:E222"/>
    <mergeCell ref="C78:E78"/>
    <mergeCell ref="C79:E79"/>
    <mergeCell ref="C80:E80"/>
    <mergeCell ref="C73:E74"/>
    <mergeCell ref="C35:E35"/>
    <mergeCell ref="C36:E36"/>
    <mergeCell ref="C37:E37"/>
    <mergeCell ref="C38:E38"/>
    <mergeCell ref="C76:E76"/>
    <mergeCell ref="C53:E54"/>
    <mergeCell ref="C63:E64"/>
    <mergeCell ref="C145:E145"/>
    <mergeCell ref="H212:H213"/>
    <mergeCell ref="C214:E214"/>
    <mergeCell ref="C215:E215"/>
    <mergeCell ref="C216:E216"/>
    <mergeCell ref="C217:E217"/>
    <mergeCell ref="H127:H128"/>
    <mergeCell ref="C41:E42"/>
    <mergeCell ref="H41:H42"/>
    <mergeCell ref="C50:E50"/>
    <mergeCell ref="C141:E142"/>
    <mergeCell ref="H149:H150"/>
    <mergeCell ref="C45:E45"/>
    <mergeCell ref="C46:E46"/>
    <mergeCell ref="C47:E47"/>
    <mergeCell ref="C48:E48"/>
    <mergeCell ref="C130:E130"/>
    <mergeCell ref="C131:E131"/>
    <mergeCell ref="C132:E132"/>
    <mergeCell ref="C86:E86"/>
    <mergeCell ref="C87:E87"/>
    <mergeCell ref="C95:E95"/>
    <mergeCell ref="C116:E116"/>
    <mergeCell ref="C117:E117"/>
    <mergeCell ref="C88:E88"/>
  </mergeCells>
  <phoneticPr fontId="15" type="noConversion"/>
  <dataValidations count="24">
    <dataValidation type="list" allowBlank="1" showInputMessage="1" showErrorMessage="1" sqref="E256">
      <formula1>BldingType1</formula1>
    </dataValidation>
    <dataValidation type="list" allowBlank="1" showInputMessage="1" showErrorMessage="1" sqref="C294:D294 C260:D260 C262:D262 C264:D264 C266:D266 C268:D268 C270:D270 C272:D272 C274:D274 C276:D276 C278:D278 C280:D280 C282:D282 C284:D284 C286:D286 C288:D288 C290:D290 C292:D292 C256 C258">
      <formula1>RTValLIST</formula1>
    </dataValidation>
    <dataValidation type="list" allowBlank="1" showInputMessage="1" showErrorMessage="1" sqref="E294">
      <formula1>BldingType20</formula1>
    </dataValidation>
    <dataValidation type="list" allowBlank="1" showInputMessage="1" showErrorMessage="1" sqref="E292">
      <formula1>BldingType19</formula1>
    </dataValidation>
    <dataValidation type="list" allowBlank="1" showInputMessage="1" showErrorMessage="1" sqref="E290">
      <formula1>BldingType18</formula1>
    </dataValidation>
    <dataValidation type="list" allowBlank="1" showInputMessage="1" showErrorMessage="1" sqref="E288">
      <formula1>BldingType17</formula1>
    </dataValidation>
    <dataValidation type="list" allowBlank="1" showInputMessage="1" showErrorMessage="1" sqref="E286">
      <formula1>BldingType16</formula1>
    </dataValidation>
    <dataValidation type="list" allowBlank="1" showInputMessage="1" showErrorMessage="1" sqref="E284">
      <formula1>BldingType15</formula1>
    </dataValidation>
    <dataValidation type="list" allowBlank="1" showInputMessage="1" showErrorMessage="1" sqref="E282">
      <formula1>BldingType14</formula1>
    </dataValidation>
    <dataValidation type="list" allowBlank="1" showInputMessage="1" showErrorMessage="1" sqref="E280">
      <formula1>BldingType13</formula1>
    </dataValidation>
    <dataValidation type="list" allowBlank="1" showInputMessage="1" showErrorMessage="1" sqref="E278">
      <formula1>BldingType12</formula1>
    </dataValidation>
    <dataValidation type="list" allowBlank="1" showInputMessage="1" showErrorMessage="1" sqref="E276">
      <formula1>BldingType11</formula1>
    </dataValidation>
    <dataValidation type="list" allowBlank="1" showInputMessage="1" showErrorMessage="1" sqref="E274">
      <formula1>BldingType10</formula1>
    </dataValidation>
    <dataValidation type="list" allowBlank="1" showInputMessage="1" showErrorMessage="1" sqref="E272">
      <formula1>BldingType9</formula1>
    </dataValidation>
    <dataValidation type="list" allowBlank="1" showInputMessage="1" showErrorMessage="1" sqref="E270">
      <formula1>BldingType8</formula1>
    </dataValidation>
    <dataValidation type="list" allowBlank="1" showInputMessage="1" showErrorMessage="1" sqref="E268">
      <formula1>BldingType7</formula1>
    </dataValidation>
    <dataValidation type="list" allowBlank="1" showInputMessage="1" showErrorMessage="1" sqref="E266">
      <formula1>BldingType6</formula1>
    </dataValidation>
    <dataValidation type="list" allowBlank="1" showInputMessage="1" showErrorMessage="1" sqref="E264">
      <formula1>BldingType5</formula1>
    </dataValidation>
    <dataValidation type="list" allowBlank="1" showInputMessage="1" showErrorMessage="1" sqref="E262">
      <formula1>BldingType4</formula1>
    </dataValidation>
    <dataValidation type="list" allowBlank="1" showInputMessage="1" showErrorMessage="1" sqref="E260">
      <formula1>BldingType3</formula1>
    </dataValidation>
    <dataValidation type="list" allowBlank="1" showInputMessage="1" showErrorMessage="1" sqref="E258">
      <formula1>BldingType2</formula1>
    </dataValidation>
    <dataValidation type="list" allowBlank="1" showInputMessage="1" showErrorMessage="1" sqref="E166 E175 E184 E193 E202 E211 E220 E229 E238">
      <formula1>Loaicaotuong</formula1>
    </dataValidation>
    <dataValidation type="list" allowBlank="1" showInputMessage="1" showErrorMessage="1" sqref="C169:E169 C171:E171 C178:E178 C180:E180 C187:E187 C189:E189 C196:E196 C198:E198 C205:E205 C207:E207 C214:E214 C216:E216 C223:E223 C225:E225 C232:E232 C234:E234 C241:E241 C243:E243">
      <formula1>loaituong1</formula1>
    </dataValidation>
    <dataValidation type="list" allowBlank="1" showInputMessage="1" showErrorMessage="1" sqref="C22:E22 C24:E24 C26:E26 C75:E75 C77:E77 C79:E79 C86:E86 C95:E95 C97:E97 C99:E99 C114:E114 C116:E116 C118:E118 C120:E120 C122:E122 C129:E129 C133:E133 C135:E135 C137:E137 C43:E43 C45:E45 C47:E47 C49:E49 C143:E143 C145:E145 C151:E151 C153:E153 C159:E159 C161:E161 C35:E35 C37:E37 C88:E88 C106:E106 C108:E108 C131:E131 C55:E55 C57:E57 C65:E65 C67:E67 C69:E69 C59:E59">
      <formula1>cautao2</formula1>
    </dataValidation>
  </dataValidations>
  <pageMargins left="0.98425196850393704" right="0.59055118110236227" top="1.1023622047244095" bottom="0.59055118110236227" header="0.51181102362204722" footer="0.51181102362204722"/>
  <pageSetup paperSize="9" scale="72" fitToHeight="0" orientation="portrait" horizontalDpi="1200" verticalDpi="1200" r:id="rId1"/>
  <headerFooter alignWithMargins="0"/>
  <rowBreaks count="1" manualBreakCount="1">
    <brk id="250" min="1" max="9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/>
  </sheetPr>
  <dimension ref="A1:AC547"/>
  <sheetViews>
    <sheetView view="pageBreakPreview" zoomScale="85" zoomScaleNormal="85" zoomScaleSheetLayoutView="85" zoomScalePageLayoutView="82" workbookViewId="0">
      <selection activeCell="U11" sqref="U11"/>
    </sheetView>
  </sheetViews>
  <sheetFormatPr defaultColWidth="9" defaultRowHeight="20.100000000000001" customHeight="1"/>
  <cols>
    <col min="1" max="1" width="3.109375" style="461" customWidth="1"/>
    <col min="2" max="2" width="5.109375" style="461" customWidth="1"/>
    <col min="3" max="3" width="6" style="461" customWidth="1"/>
    <col min="4" max="4" width="8.33203125" style="884" customWidth="1"/>
    <col min="5" max="5" width="1.6640625" style="513" customWidth="1"/>
    <col min="6" max="6" width="5.109375" style="567" customWidth="1"/>
    <col min="7" max="7" width="5.77734375" style="567" customWidth="1"/>
    <col min="8" max="8" width="9" style="567" customWidth="1"/>
    <col min="9" max="9" width="7" style="567" customWidth="1"/>
    <col min="10" max="10" width="9.6640625" style="567" customWidth="1"/>
    <col min="11" max="12" width="9.33203125" style="567" customWidth="1"/>
    <col min="13" max="15" width="7.6640625" style="567" customWidth="1"/>
    <col min="16" max="16" width="9.6640625" style="567" customWidth="1"/>
    <col min="17" max="18" width="8.6640625" style="567" customWidth="1"/>
    <col min="19" max="29" width="13.109375" style="461" customWidth="1"/>
    <col min="30" max="16384" width="9" style="461"/>
  </cols>
  <sheetData>
    <row r="1" spans="1:20" s="458" customFormat="1" ht="26.25" customHeight="1">
      <c r="A1" s="457">
        <v>1</v>
      </c>
      <c r="D1" s="884"/>
      <c r="E1" s="1"/>
      <c r="F1" s="1095" t="s">
        <v>2088</v>
      </c>
      <c r="G1" s="1096"/>
      <c r="H1" s="1096"/>
      <c r="I1" s="1096"/>
      <c r="J1" s="1096"/>
      <c r="K1" s="1096"/>
      <c r="L1" s="1096"/>
      <c r="M1" s="1096"/>
      <c r="N1" s="1096"/>
      <c r="O1" s="1096"/>
      <c r="P1" s="1096"/>
      <c r="Q1" s="1096"/>
      <c r="R1" s="1097"/>
    </row>
    <row r="2" spans="1:20" s="458" customFormat="1" ht="18" customHeight="1">
      <c r="A2" s="457">
        <v>1</v>
      </c>
      <c r="D2" s="884"/>
      <c r="E2" s="1"/>
      <c r="F2" s="1098" t="str">
        <f>IF(Menu!$C$7="V","","LOADS AND ACTIONS ")</f>
        <v/>
      </c>
      <c r="G2" s="1099"/>
      <c r="H2" s="1099"/>
      <c r="I2" s="1099"/>
      <c r="J2" s="1099"/>
      <c r="K2" s="1099"/>
      <c r="L2" s="1099"/>
      <c r="M2" s="1099"/>
      <c r="N2" s="1099"/>
      <c r="O2" s="1099"/>
      <c r="P2" s="1099"/>
      <c r="Q2" s="1099"/>
      <c r="R2" s="1100"/>
      <c r="T2" s="460" t="s">
        <v>2066</v>
      </c>
    </row>
    <row r="3" spans="1:20" s="458" customFormat="1" ht="20.25" customHeight="1">
      <c r="A3" s="457">
        <v>1</v>
      </c>
      <c r="D3" s="884"/>
      <c r="E3" s="1"/>
      <c r="F3" s="1183" t="str">
        <f>IF(Menu!$C$7="V"," Tải trọng gió","Tải trọng gió/Wind loads ")</f>
        <v xml:space="preserve"> Tải trọng gió</v>
      </c>
      <c r="G3" s="1184"/>
      <c r="H3" s="1184"/>
      <c r="I3" s="1184"/>
      <c r="J3" s="1184"/>
      <c r="K3" s="1184"/>
      <c r="L3" s="1184"/>
      <c r="M3" s="1184"/>
      <c r="N3" s="1184"/>
      <c r="O3" s="1184"/>
      <c r="P3" s="1184"/>
      <c r="Q3" s="1184"/>
      <c r="R3" s="1185"/>
    </row>
    <row r="4" spans="1:20" s="458" customFormat="1" ht="15" customHeight="1">
      <c r="A4" s="457">
        <v>1</v>
      </c>
      <c r="D4" s="884"/>
      <c r="E4" s="1"/>
      <c r="F4" s="671" t="str">
        <f>IF(Menu!$C$7="V","  Tiêu chuẩn áp dụng:","Tiêu chuẩn áp dụng/Standard in used: ")</f>
        <v xml:space="preserve">  Tiêu chuẩn áp dụng:</v>
      </c>
      <c r="G4" s="671"/>
      <c r="H4" s="671"/>
      <c r="I4" s="671"/>
      <c r="J4" s="671"/>
      <c r="K4" s="1104" t="str">
        <f>+Menu!B11&amp;", "&amp;Menu!C11&amp;", "&amp;"QCVN 02/2009-BXD"</f>
        <v>TCVN 2737:1995, TCXD 299: 1999, QCVN 02/2009-BXD</v>
      </c>
      <c r="L4" s="1104"/>
      <c r="M4" s="1104"/>
      <c r="N4" s="1104"/>
      <c r="O4" s="1104"/>
      <c r="P4" s="1104"/>
      <c r="Q4" s="1104"/>
      <c r="R4" s="1104"/>
    </row>
    <row r="5" spans="1:20" s="458" customFormat="1" ht="15" customHeight="1">
      <c r="A5" s="457">
        <v>1</v>
      </c>
      <c r="D5" s="884"/>
      <c r="E5" s="1"/>
      <c r="F5" s="582" t="s">
        <v>1781</v>
      </c>
      <c r="G5" s="583" t="str">
        <f>IF(Menu!C7="V","Tĩnh tải gió"," Tải trọng gió/Wind loads")</f>
        <v>Tĩnh tải gió</v>
      </c>
      <c r="H5" s="377"/>
      <c r="I5" s="377"/>
      <c r="J5" s="377"/>
      <c r="K5" s="377"/>
      <c r="L5" s="377"/>
      <c r="M5" s="377"/>
      <c r="N5" s="584"/>
      <c r="O5" s="584"/>
      <c r="P5" s="421"/>
      <c r="Q5" s="421"/>
      <c r="R5" s="421"/>
      <c r="S5" s="459"/>
      <c r="T5" s="460" t="s">
        <v>2065</v>
      </c>
    </row>
    <row r="6" spans="1:20" s="458" customFormat="1" ht="15" customHeight="1">
      <c r="A6" s="457">
        <v>1</v>
      </c>
      <c r="D6" s="884"/>
      <c r="E6" s="1"/>
      <c r="F6" s="585"/>
      <c r="G6" s="1191" t="str">
        <f>IF(Menu!C7="V","Tiêu chuẩn tham khảo",IF(Menu!C7="E", "General Information","Tiêu chuẩn tham khảo/Starndards for refered "))</f>
        <v>Tiêu chuẩn tham khảo</v>
      </c>
      <c r="H6" s="1191"/>
      <c r="I6" s="1191"/>
      <c r="J6" s="1191"/>
      <c r="K6" s="1191"/>
      <c r="L6" s="1191"/>
      <c r="M6" s="1191"/>
      <c r="N6" s="1191"/>
      <c r="O6" s="586"/>
      <c r="P6" s="384"/>
      <c r="Q6" s="384"/>
      <c r="R6" s="402"/>
      <c r="S6" s="459"/>
    </row>
    <row r="7" spans="1:20" s="458" customFormat="1" ht="15" customHeight="1">
      <c r="A7" s="457">
        <v>1</v>
      </c>
      <c r="D7" s="884"/>
      <c r="E7" s="1"/>
      <c r="F7" s="589" t="s">
        <v>1782</v>
      </c>
      <c r="G7" s="590" t="s">
        <v>1889</v>
      </c>
      <c r="H7" s="421"/>
      <c r="I7" s="591"/>
      <c r="J7" s="377"/>
      <c r="K7" s="377"/>
      <c r="L7" s="377"/>
      <c r="M7" s="377"/>
      <c r="N7" s="584"/>
      <c r="O7" s="584"/>
      <c r="P7" s="421"/>
      <c r="Q7" s="421"/>
      <c r="R7" s="404"/>
    </row>
    <row r="8" spans="1:20" s="458" customFormat="1" ht="18" customHeight="1">
      <c r="A8" s="457">
        <v>1</v>
      </c>
      <c r="D8" s="884"/>
      <c r="E8" s="1"/>
      <c r="F8" s="422" t="s">
        <v>20</v>
      </c>
      <c r="G8" s="422" t="str">
        <f>IF(Menu!$C$7 = "V","Thành phần tĩnh của tải trọng gió","Thành phần tĩnh của tải trọng gió/ Static component of wind load")</f>
        <v>Thành phần tĩnh của tải trọng gió</v>
      </c>
      <c r="H8" s="341"/>
      <c r="I8" s="341"/>
      <c r="J8" s="341"/>
      <c r="K8" s="341"/>
      <c r="L8" s="341"/>
      <c r="M8" s="341"/>
      <c r="N8" s="587"/>
      <c r="O8" s="587"/>
      <c r="P8" s="385"/>
      <c r="Q8" s="385"/>
      <c r="R8" s="385"/>
    </row>
    <row r="9" spans="1:20" s="458" customFormat="1" ht="18.75" customHeight="1">
      <c r="A9" s="457">
        <v>1</v>
      </c>
      <c r="D9" s="884"/>
      <c r="E9" s="1"/>
      <c r="F9" s="1203" t="str">
        <f>IF(Menu!$C$7 = "V","Thông số tính toán","Thông số tính toán/Parameters for calculation")</f>
        <v>Thông số tính toán</v>
      </c>
      <c r="G9" s="1204"/>
      <c r="H9" s="1204"/>
      <c r="I9" s="1204"/>
      <c r="J9" s="1204"/>
      <c r="K9" s="1205"/>
      <c r="L9" s="1183" t="str">
        <f>IF(Menu!$C$7 = "V","Thông số hình học của công trình"," Thông số hình học công trình/ Building size parameters")</f>
        <v>Thông số hình học của công trình</v>
      </c>
      <c r="M9" s="1184"/>
      <c r="N9" s="1184"/>
      <c r="O9" s="1184"/>
      <c r="P9" s="1184"/>
      <c r="Q9" s="1184"/>
      <c r="R9" s="1185"/>
    </row>
    <row r="10" spans="1:20" s="458" customFormat="1" ht="15" customHeight="1">
      <c r="A10" s="457">
        <v>1</v>
      </c>
      <c r="D10" s="884"/>
      <c r="E10" s="1"/>
      <c r="F10" s="592" t="str">
        <f>IF(Menu!$C$7 = "V","Tỉnh:","Tỉnh-TP/City-Pro:")</f>
        <v>Tỉnh:</v>
      </c>
      <c r="G10" s="593"/>
      <c r="H10" s="594"/>
      <c r="I10" s="384"/>
      <c r="J10" s="1199" t="str">
        <f>Menu!B14</f>
        <v>50. Quảng Trị</v>
      </c>
      <c r="K10" s="1200"/>
      <c r="L10" s="595" t="s">
        <v>29</v>
      </c>
      <c r="M10" s="385"/>
      <c r="N10" s="596" t="s">
        <v>3</v>
      </c>
      <c r="O10" s="597">
        <f>H24</f>
        <v>135.80000000000001</v>
      </c>
      <c r="P10" s="872" t="s">
        <v>2101</v>
      </c>
      <c r="Q10" s="714" t="s">
        <v>2100</v>
      </c>
      <c r="R10" s="598"/>
    </row>
    <row r="11" spans="1:20" s="458" customFormat="1" ht="18" customHeight="1">
      <c r="A11" s="457">
        <v>1</v>
      </c>
      <c r="D11" s="884"/>
      <c r="E11" s="1"/>
      <c r="F11" s="599" t="str">
        <f>IF(Menu!$C$7 = "V","Quận, huyện:"," Quận, huyện/District:")</f>
        <v>Quận, huyện:</v>
      </c>
      <c r="G11" s="600"/>
      <c r="H11" s="385"/>
      <c r="I11" s="385"/>
      <c r="J11" s="1201" t="str">
        <f>Menu!B15</f>
        <v>Huyện Gio Linh</v>
      </c>
      <c r="K11" s="1202"/>
      <c r="L11" s="601" t="s">
        <v>31</v>
      </c>
      <c r="M11" s="421"/>
      <c r="N11" s="602" t="s">
        <v>1890</v>
      </c>
      <c r="O11" s="603">
        <f>Menu!C13</f>
        <v>-0.55000000000000004</v>
      </c>
      <c r="P11" s="888"/>
      <c r="R11" s="598"/>
    </row>
    <row r="12" spans="1:20" s="458" customFormat="1" ht="15" customHeight="1">
      <c r="A12" s="457">
        <v>1</v>
      </c>
      <c r="D12" s="884"/>
      <c r="E12" s="1"/>
      <c r="F12" s="604" t="str">
        <f>IF(Menu!$C$7 = "V","Vùng áp lực gió:","Vùng áp lực gió/ Wind pressure zone:")</f>
        <v>Vùng áp lực gió:</v>
      </c>
      <c r="G12" s="568"/>
      <c r="H12" s="341"/>
      <c r="I12" s="605"/>
      <c r="J12" s="606"/>
      <c r="K12" s="716" t="str">
        <f>Menu!C17</f>
        <v>II.B</v>
      </c>
      <c r="L12" s="592" t="s">
        <v>33</v>
      </c>
      <c r="M12" s="594"/>
      <c r="N12" s="594"/>
      <c r="O12" s="594"/>
      <c r="P12" s="594"/>
      <c r="Q12" s="384"/>
      <c r="R12" s="402"/>
    </row>
    <row r="13" spans="1:20" s="458" customFormat="1" ht="15" customHeight="1">
      <c r="A13" s="457">
        <v>1</v>
      </c>
      <c r="D13" s="884"/>
      <c r="E13" s="1"/>
      <c r="F13" s="604" t="str">
        <f>IF(Menu!$C$7 = "V","Dạng địa hình:","Dạng địa hình/ Topographical type:")</f>
        <v>Dạng địa hình:</v>
      </c>
      <c r="G13" s="341"/>
      <c r="H13" s="605"/>
      <c r="I13" s="385"/>
      <c r="J13" s="606"/>
      <c r="K13" s="716" t="str">
        <f>Menu!B17</f>
        <v>A</v>
      </c>
      <c r="L13" s="607" t="str">
        <f>IF(Menu!$C$7 = "V",""," Value of static component of wind load W at level z ")</f>
        <v/>
      </c>
      <c r="M13" s="608"/>
      <c r="N13" s="608"/>
      <c r="O13" s="608"/>
      <c r="P13" s="608"/>
      <c r="Q13" s="385"/>
      <c r="R13" s="588"/>
    </row>
    <row r="14" spans="1:20" s="458" customFormat="1" ht="15" customHeight="1">
      <c r="A14" s="457">
        <v>1</v>
      </c>
      <c r="D14" s="884"/>
      <c r="E14" s="1"/>
      <c r="F14" s="599" t="str">
        <f>IF(Menu!$C$7 = "V","Áp lực gió tĩnh Wo:","Áp lực gió tĩnh/Wind static pressure Wo:")</f>
        <v>Áp lực gió tĩnh Wo:</v>
      </c>
      <c r="G14" s="422"/>
      <c r="H14" s="341"/>
      <c r="I14" s="341"/>
      <c r="J14" s="606"/>
      <c r="K14" s="609"/>
      <c r="L14" s="1196" t="s">
        <v>1891</v>
      </c>
      <c r="M14" s="1197"/>
      <c r="N14" s="1197"/>
      <c r="O14" s="1197"/>
      <c r="P14" s="1197"/>
      <c r="Q14" s="1197"/>
      <c r="R14" s="1198"/>
    </row>
    <row r="15" spans="1:20" s="458" customFormat="1" ht="18" customHeight="1">
      <c r="A15" s="457">
        <v>1</v>
      </c>
      <c r="D15" s="884"/>
      <c r="E15" s="1"/>
      <c r="F15" s="599"/>
      <c r="G15" s="422"/>
      <c r="H15" s="341"/>
      <c r="I15" s="341"/>
      <c r="J15" s="717">
        <f>VLOOKUP(K12,'Wind base'!T5:U13,2,FALSE)</f>
        <v>95</v>
      </c>
      <c r="K15" s="718" t="s">
        <v>1974</v>
      </c>
      <c r="L15" s="875" t="str">
        <f>IF(Menu!$C$7 = "V","Tải trọng phân bố","Tải trọng phân bố/Distributed load")</f>
        <v>Tải trọng phân bố</v>
      </c>
      <c r="M15" s="414"/>
      <c r="N15" s="414"/>
      <c r="O15" s="414"/>
      <c r="P15" s="414"/>
      <c r="Q15" s="414"/>
      <c r="R15" s="871"/>
    </row>
    <row r="16" spans="1:20" s="458" customFormat="1" ht="18" customHeight="1">
      <c r="A16" s="457">
        <v>1</v>
      </c>
      <c r="D16" s="884"/>
      <c r="E16" s="1"/>
      <c r="F16" s="610" t="str">
        <f>IF(Menu!$C$7 = "V","Cấp công trình:","Cấp công trình/Building grade:")</f>
        <v>Cấp công trình:</v>
      </c>
      <c r="G16" s="341"/>
      <c r="H16" s="385"/>
      <c r="I16" s="385"/>
      <c r="J16" s="606"/>
      <c r="K16" s="718" t="str">
        <f>Menu!B16</f>
        <v>Cấp II</v>
      </c>
      <c r="L16" s="610" t="str">
        <f>IF(Menu!$C$7 = "V","Tải trọng gió đẩy:","Tải trọng gió đẩy/ Push wind load:")</f>
        <v>Tải trọng gió đẩy:</v>
      </c>
      <c r="M16" s="343"/>
      <c r="N16" s="385"/>
      <c r="O16" s="385"/>
      <c r="P16" s="611" t="s">
        <v>2097</v>
      </c>
      <c r="Q16" s="605"/>
      <c r="R16" s="588"/>
    </row>
    <row r="17" spans="1:26" s="458" customFormat="1" ht="18" customHeight="1">
      <c r="A17" s="457">
        <v>1</v>
      </c>
      <c r="D17" s="884"/>
      <c r="E17" s="1"/>
      <c r="F17" s="610" t="str">
        <f>IF(Menu!$C$7 = "V","Hệ số độ tin cậy (n):","Hệ số độ tin cậy/ Reliability factor (n):")</f>
        <v>Hệ số độ tin cậy (n):</v>
      </c>
      <c r="G17" s="385"/>
      <c r="H17" s="385"/>
      <c r="I17" s="614"/>
      <c r="J17" s="606"/>
      <c r="K17" s="719">
        <f>IF($K$16="Cấp I",1.37,1.2)</f>
        <v>1.2</v>
      </c>
      <c r="L17" s="612" t="str">
        <f>IF(Menu!$C$7 = "V","Tải trọng gió hút:","Tải trọng gió hút/Pull wind load:")</f>
        <v>Tải trọng gió hút:</v>
      </c>
      <c r="M17" s="590"/>
      <c r="N17" s="421"/>
      <c r="O17" s="421"/>
      <c r="P17" s="376" t="s">
        <v>2098</v>
      </c>
      <c r="Q17" s="613"/>
      <c r="R17" s="404"/>
    </row>
    <row r="18" spans="1:26" s="458" customFormat="1" ht="15" customHeight="1">
      <c r="A18" s="457">
        <v>1</v>
      </c>
      <c r="D18" s="884"/>
      <c r="E18" s="1"/>
      <c r="F18" s="599" t="str">
        <f>IF(Menu!$C$7 = "V","Hệ số khí động:","Hệ số khí động/Aero-dynamic coefficent:")</f>
        <v>Hệ số khí động:</v>
      </c>
      <c r="G18" s="422"/>
      <c r="H18" s="385"/>
      <c r="I18" s="385"/>
      <c r="J18" s="385"/>
      <c r="K18" s="588"/>
      <c r="L18" s="875" t="str">
        <f>IF(Menu!$C$7 = "V","Tải trọng tập trung","Tải trọng tập trung/Concentrated load")</f>
        <v>Tải trọng tập trung</v>
      </c>
      <c r="M18" s="385"/>
      <c r="N18" s="385"/>
      <c r="O18" s="385"/>
      <c r="P18" s="385"/>
      <c r="Q18" s="385"/>
      <c r="R18" s="588"/>
      <c r="X18" s="459"/>
      <c r="Y18" s="459"/>
      <c r="Z18" s="459"/>
    </row>
    <row r="19" spans="1:26" s="458" customFormat="1" ht="19.5">
      <c r="A19" s="457">
        <v>1</v>
      </c>
      <c r="D19" s="884"/>
      <c r="E19" s="1"/>
      <c r="F19" s="876"/>
      <c r="G19" s="877" t="s">
        <v>1892</v>
      </c>
      <c r="H19" s="878">
        <f>Menu!L6</f>
        <v>0.8</v>
      </c>
      <c r="I19" s="596" t="s">
        <v>1893</v>
      </c>
      <c r="J19" s="878">
        <f>Menu!N6</f>
        <v>0.6</v>
      </c>
      <c r="K19" s="588"/>
      <c r="L19" s="610" t="str">
        <f>IF(Menu!$C$7 = "V","Theo phương X:","Theo phương X/ Direction X:")</f>
        <v>Theo phương X:</v>
      </c>
      <c r="M19" s="343"/>
      <c r="N19" s="385"/>
      <c r="O19" s="385"/>
      <c r="P19" s="611" t="s">
        <v>2091</v>
      </c>
      <c r="Q19" s="605"/>
      <c r="R19" s="588"/>
      <c r="X19" s="459"/>
      <c r="Y19" s="459"/>
      <c r="Z19" s="459"/>
    </row>
    <row r="20" spans="1:26" s="458" customFormat="1" ht="21" customHeight="1">
      <c r="A20" s="457">
        <v>1</v>
      </c>
      <c r="D20" s="884"/>
      <c r="E20" s="1"/>
      <c r="F20" s="615"/>
      <c r="G20" s="394"/>
      <c r="H20" s="720"/>
      <c r="I20" s="616"/>
      <c r="J20" s="720"/>
      <c r="K20" s="404"/>
      <c r="L20" s="590" t="str">
        <f>IF(Menu!$C$7 = "V","Theo phương Y:","Theo phương Y/ Direction Y:")</f>
        <v>Theo phương Y:</v>
      </c>
      <c r="M20" s="590"/>
      <c r="N20" s="421"/>
      <c r="O20" s="421"/>
      <c r="P20" s="376" t="s">
        <v>2092</v>
      </c>
      <c r="Q20" s="613"/>
      <c r="R20" s="404"/>
      <c r="X20" s="459"/>
      <c r="Y20" s="459"/>
      <c r="Z20" s="459"/>
    </row>
    <row r="21" spans="1:26" ht="19.5" customHeight="1">
      <c r="A21" s="457">
        <v>1</v>
      </c>
      <c r="F21" s="879" t="str">
        <f>IF(Menu!$C$7 = "V","Tổng tải trọng gió lên từng tầng","Tổng tải trọng gió lên từng tầng/ Total wind load applied to floor level")</f>
        <v>Tổng tải trọng gió lên từng tầng</v>
      </c>
      <c r="G21" s="880"/>
      <c r="H21" s="881"/>
      <c r="I21" s="882"/>
      <c r="J21" s="883"/>
      <c r="K21" s="882"/>
      <c r="L21" s="617"/>
      <c r="M21" s="618"/>
      <c r="N21" s="619"/>
      <c r="O21" s="619"/>
      <c r="P21" s="618"/>
      <c r="Q21" s="618"/>
      <c r="R21" s="620"/>
      <c r="S21" s="458"/>
      <c r="X21" s="459"/>
      <c r="Y21" s="459"/>
      <c r="Z21" s="459"/>
    </row>
    <row r="22" spans="1:26" ht="57" customHeight="1">
      <c r="A22" s="457">
        <v>1</v>
      </c>
      <c r="D22" s="885" t="s">
        <v>35</v>
      </c>
      <c r="F22" s="1195" t="s">
        <v>50</v>
      </c>
      <c r="G22" s="1195"/>
      <c r="H22" s="621" t="s">
        <v>5</v>
      </c>
      <c r="I22" s="887" t="s">
        <v>2099</v>
      </c>
      <c r="J22" s="621" t="s">
        <v>6</v>
      </c>
      <c r="K22" s="1186" t="str">
        <f>IF(Menu!$C$7 = "V","Tải trọng phân bố","Tải trọng phân bố
/Distributed load")</f>
        <v>Tải trọng phân bố</v>
      </c>
      <c r="L22" s="1187"/>
      <c r="M22" s="1188" t="str">
        <f>IF(Menu!$C$7 = "V","Thông số hình học","Thông số hình học
/Building size")</f>
        <v>Thông số hình học</v>
      </c>
      <c r="N22" s="1188"/>
      <c r="O22" s="1192" t="str">
        <f>IF(Menu!$C$7 = "V","Tải trọng tập trung","Tải trọng tập trung/Concentrated load")</f>
        <v>Tải trọng tập trung</v>
      </c>
      <c r="P22" s="1193"/>
      <c r="Q22" s="1193"/>
      <c r="R22" s="1194"/>
      <c r="S22" s="458"/>
      <c r="T22" s="459"/>
      <c r="U22" s="458"/>
      <c r="V22" s="458"/>
      <c r="W22" s="458"/>
      <c r="X22" s="459"/>
      <c r="Y22" s="459"/>
      <c r="Z22" s="459"/>
    </row>
    <row r="23" spans="1:26" ht="21.75" customHeight="1">
      <c r="A23" s="457">
        <v>1</v>
      </c>
      <c r="D23" s="885" t="s">
        <v>36</v>
      </c>
      <c r="F23" s="1206" t="str">
        <f>IF(Menu!$C$7 = "V","","Floor level")</f>
        <v/>
      </c>
      <c r="G23" s="1207"/>
      <c r="H23" s="622" t="str">
        <f>IF(Menu!$C$7 = "V","","Level")</f>
        <v/>
      </c>
      <c r="I23" s="622" t="s">
        <v>36</v>
      </c>
      <c r="J23" s="622" t="str">
        <f>IF(Menu!$C$7 = "V","","k factor")</f>
        <v/>
      </c>
      <c r="K23" s="874" t="s">
        <v>2095</v>
      </c>
      <c r="L23" s="874" t="s">
        <v>2096</v>
      </c>
      <c r="M23" s="870" t="s">
        <v>2093</v>
      </c>
      <c r="N23" s="870" t="s">
        <v>2094</v>
      </c>
      <c r="O23" s="1189" t="s">
        <v>1784</v>
      </c>
      <c r="P23" s="1190"/>
      <c r="Q23" s="1189" t="s">
        <v>1785</v>
      </c>
      <c r="R23" s="1190"/>
      <c r="T23" s="459"/>
      <c r="U23" s="460"/>
      <c r="W23" s="458"/>
      <c r="X23" s="459"/>
      <c r="Y23" s="459"/>
      <c r="Z23" s="459"/>
    </row>
    <row r="24" spans="1:26" s="458" customFormat="1" ht="15" customHeight="1">
      <c r="A24" s="457">
        <f t="shared" ref="A24:A55" si="0">IF(F24="","",1)</f>
        <v>1</v>
      </c>
      <c r="D24" s="623">
        <f>IF(H24=0,IF(F24&lt;&gt;"",IF(H24&lt;=0,0,Menu!J9),"")-$O$11,IF(F24&lt;&gt;"",IF(H24&lt;=0,0,Menu!J9),""))</f>
        <v>5.6</v>
      </c>
      <c r="E24" s="1"/>
      <c r="F24" s="1171" t="str">
        <f>Menu!I9</f>
        <v>TMAI</v>
      </c>
      <c r="G24" s="1172"/>
      <c r="H24" s="623">
        <f>IF(F24&lt;&gt;"",Menu!K9,"")</f>
        <v>135.80000000000001</v>
      </c>
      <c r="I24" s="623">
        <f>IF(F24&lt;&gt;"",IF(AND(D24&gt;=0,H24&gt;=0),D24/2,0),"")</f>
        <v>2.8</v>
      </c>
      <c r="J24" s="623">
        <f>IF(F24&lt;&gt;"",IF(AND(D24&gt;=0,H24&gt;=0),IF($K$13="A",0.857*(H24-$O$11)^0.1316,IF($K$13="B",0.6583*(H24-$O$11)^0.1808,0.346*(H24-$O$11)^0.2791)),""),"")</f>
        <v>1.6364450947739118</v>
      </c>
      <c r="K24" s="873">
        <f>IF(AND(D24&gt;=0,H24&gt;=0),IF(F24&lt;&gt;"",$K$17*$J$15*$J24*$H$19*$I24/100,""),"")</f>
        <v>4.1788261940146603</v>
      </c>
      <c r="L24" s="873">
        <f>IF(AND(D24&gt;=0,H24&gt;=0),IF(F24&lt;&gt;"",$K$17*$J$15*$J24*$J$19*$I24/100,""),"")</f>
        <v>3.134119645510995</v>
      </c>
      <c r="M24" s="873">
        <f>IF(J24&lt;&gt;"",Menu!M9,"")</f>
        <v>70.844999999999999</v>
      </c>
      <c r="N24" s="873">
        <f>IF(J24&lt;&gt;"",Menu!N9,"")</f>
        <v>27.35</v>
      </c>
      <c r="O24" s="1173">
        <f>IF(AND(D24&gt;=0,H24&gt;=0),IF(F24&lt;&gt;"",(K24+L24)*N24,""),"")</f>
        <v>200.00906871102669</v>
      </c>
      <c r="P24" s="1173"/>
      <c r="Q24" s="1173">
        <f>IF(AND(D24&gt;=0,H24&gt;=0),IF(F24&lt;&gt;"",(K24+L24)*M24,""),"")</f>
        <v>518.08564800119507</v>
      </c>
      <c r="R24" s="1173"/>
      <c r="S24" s="458">
        <f>O24*-1</f>
        <v>-200.00906871102669</v>
      </c>
      <c r="T24" s="886">
        <f>Q24*-1</f>
        <v>-518.08564800119507</v>
      </c>
      <c r="U24" s="886"/>
      <c r="V24" s="873">
        <v>223.3865778028015</v>
      </c>
      <c r="W24" s="873">
        <v>578.64066195391126</v>
      </c>
      <c r="X24" s="873"/>
    </row>
    <row r="25" spans="1:26" s="458" customFormat="1" ht="15" customHeight="1">
      <c r="A25" s="457">
        <f t="shared" si="0"/>
        <v>1</v>
      </c>
      <c r="D25" s="623">
        <f>IF(H25=0,IF(F25&lt;&gt;"",IF(H25&lt;=0,0,Menu!J10),"")-$O$11,IF(F25&lt;&gt;"",IF(H25&lt;=0,0,Menu!J10),""))</f>
        <v>3.4</v>
      </c>
      <c r="E25" s="1"/>
      <c r="F25" s="1171" t="str">
        <f>Menu!I10</f>
        <v>TTUM</v>
      </c>
      <c r="G25" s="1172"/>
      <c r="H25" s="623">
        <f>IF(F25&lt;&gt;"",Menu!K10,"")</f>
        <v>130.19999999999999</v>
      </c>
      <c r="I25" s="623">
        <f>IF(F25&lt;&gt;"",IF(AND(D25&gt;=0,H25&gt;=0),D24/2+D25/2,0),"")</f>
        <v>4.5</v>
      </c>
      <c r="J25" s="623">
        <f t="shared" ref="J25:J88" si="1">IF(F25&lt;&gt;"",IF(AND(D25&gt;=0,H25&gt;=0),IF($K$13="A",0.857*(H25-$O$11)^0.1316,IF($K$13="B",0.6583*(H25-$O$11)^0.1808,0.346*(H25-$O$11)^0.2791)),""),"")</f>
        <v>1.6274383632870997</v>
      </c>
      <c r="K25" s="873">
        <f t="shared" ref="K25:K88" si="2">IF(AND(D25&gt;=0,H25&gt;=0),IF(F25&lt;&gt;"",$K$17*$J$15*$J25*$H$19*$I25/100,""),"")</f>
        <v>6.679007042930257</v>
      </c>
      <c r="L25" s="873">
        <f t="shared" ref="L25:L88" si="3">IF(AND(D25&gt;=0,H25&gt;=0),IF(F25&lt;&gt;"",$K$17*$J$15*$J25*$J$19*$I25/100,""),"")</f>
        <v>5.0092552821976923</v>
      </c>
      <c r="M25" s="873">
        <f>IF(J25&lt;&gt;"",Menu!M10,"")</f>
        <v>70.844999999999999</v>
      </c>
      <c r="N25" s="873">
        <f>IF(J25&lt;&gt;"",Menu!N10,"")</f>
        <v>27.35</v>
      </c>
      <c r="O25" s="1173">
        <f t="shared" ref="O25:O64" si="4">IF(AND(D25&gt;=0,H25&gt;=0),IF(F25&lt;&gt;"",(K25+L25)*N25,""),"")</f>
        <v>319.67397459224941</v>
      </c>
      <c r="P25" s="1173"/>
      <c r="Q25" s="1173">
        <f t="shared" ref="Q25:Q88" si="5">IF(AND(D25&gt;=0,H25&gt;=0),IF(F25&lt;&gt;"",(K25+L25)*M25,""),"")</f>
        <v>828.05494442368956</v>
      </c>
      <c r="R25" s="1173"/>
      <c r="S25" s="458">
        <f t="shared" ref="S25:S53" si="6">O25*-1</f>
        <v>-319.67397459224941</v>
      </c>
      <c r="T25" s="886">
        <f t="shared" ref="T25:T53" si="7">Q25*-1</f>
        <v>-828.05494442368956</v>
      </c>
      <c r="U25" s="886"/>
      <c r="V25" s="873">
        <v>356.3022513992322</v>
      </c>
      <c r="W25" s="873">
        <v>922.9335649132945</v>
      </c>
      <c r="X25" s="873"/>
    </row>
    <row r="26" spans="1:26" s="458" customFormat="1" ht="15" customHeight="1">
      <c r="A26" s="457">
        <f t="shared" si="0"/>
        <v>1</v>
      </c>
      <c r="D26" s="623">
        <f>IF(H26=0,IF(F26&lt;&gt;"",IF(H26&lt;=0,0,Menu!J11),"")-$O$11,IF(F26&lt;&gt;"",IF(H26&lt;=0,0,Menu!J11),""))</f>
        <v>3.4</v>
      </c>
      <c r="E26" s="1"/>
      <c r="F26" s="1171" t="str">
        <f>Menu!I11</f>
        <v>T38</v>
      </c>
      <c r="G26" s="1172"/>
      <c r="H26" s="623">
        <f>IF(F26&lt;&gt;"",Menu!K11,"")</f>
        <v>126.8</v>
      </c>
      <c r="I26" s="623">
        <f t="shared" ref="I26:I89" si="8">IF(F26&lt;&gt;"",IF(AND(D26&gt;=0,H26&gt;=0),D25/2+D26/2,0),"")</f>
        <v>3.4</v>
      </c>
      <c r="J26" s="623">
        <f t="shared" si="1"/>
        <v>1.6218051816510293</v>
      </c>
      <c r="K26" s="873">
        <f t="shared" si="2"/>
        <v>5.0288935072635121</v>
      </c>
      <c r="L26" s="873">
        <f t="shared" si="3"/>
        <v>3.7716701304476334</v>
      </c>
      <c r="M26" s="873">
        <f>IF(J26&lt;&gt;"",Menu!M11,"")</f>
        <v>70.844999999999999</v>
      </c>
      <c r="N26" s="873">
        <f>IF(J26&lt;&gt;"",Menu!N11,"")</f>
        <v>27.35</v>
      </c>
      <c r="O26" s="1173">
        <f t="shared" si="4"/>
        <v>240.69541549139987</v>
      </c>
      <c r="P26" s="1173"/>
      <c r="Q26" s="1173">
        <f t="shared" si="5"/>
        <v>623.47593091364615</v>
      </c>
      <c r="R26" s="1173"/>
      <c r="S26" s="458">
        <f t="shared" si="6"/>
        <v>-240.69541549139987</v>
      </c>
      <c r="T26" s="886">
        <f t="shared" si="7"/>
        <v>-623.47593091364615</v>
      </c>
      <c r="U26" s="886"/>
      <c r="V26" s="873">
        <v>267.92677770814169</v>
      </c>
      <c r="W26" s="873">
        <v>694.01362218403278</v>
      </c>
      <c r="X26" s="873"/>
    </row>
    <row r="27" spans="1:26" s="458" customFormat="1" ht="15" customHeight="1">
      <c r="A27" s="457">
        <f t="shared" si="0"/>
        <v>1</v>
      </c>
      <c r="D27" s="623">
        <f>IF(H27=0,IF(F27&lt;&gt;"",IF(H27&lt;=0,0,Menu!J12),"")-$O$11,IF(F27&lt;&gt;"",IF(H27&lt;=0,0,Menu!J12),""))</f>
        <v>3.4</v>
      </c>
      <c r="E27" s="1"/>
      <c r="F27" s="1171" t="str">
        <f>Menu!I12</f>
        <v>T37</v>
      </c>
      <c r="G27" s="1172"/>
      <c r="H27" s="623">
        <f>IF(F27&lt;&gt;"",Menu!K12,"")</f>
        <v>123.4</v>
      </c>
      <c r="I27" s="623">
        <f t="shared" si="8"/>
        <v>3.4</v>
      </c>
      <c r="J27" s="623">
        <f t="shared" si="1"/>
        <v>1.6160398483572045</v>
      </c>
      <c r="K27" s="873">
        <f t="shared" si="2"/>
        <v>5.0110163617860204</v>
      </c>
      <c r="L27" s="873">
        <f t="shared" si="3"/>
        <v>3.7582622713395146</v>
      </c>
      <c r="M27" s="873">
        <f>IF(J27&lt;&gt;"",Menu!M12,"")</f>
        <v>70.844999999999999</v>
      </c>
      <c r="N27" s="873">
        <f>IF(J27&lt;&gt;"",Menu!N12,"")</f>
        <v>27.35</v>
      </c>
      <c r="O27" s="1173">
        <f t="shared" si="4"/>
        <v>239.83977061598338</v>
      </c>
      <c r="P27" s="1173"/>
      <c r="Q27" s="1173">
        <f t="shared" si="5"/>
        <v>621.25954476377842</v>
      </c>
      <c r="R27" s="1173"/>
      <c r="S27" s="458">
        <f t="shared" si="6"/>
        <v>-239.83977061598338</v>
      </c>
      <c r="T27" s="886">
        <f t="shared" si="7"/>
        <v>-621.25954476377842</v>
      </c>
      <c r="U27" s="886"/>
      <c r="V27" s="873">
        <v>266.61911575713367</v>
      </c>
      <c r="W27" s="873">
        <v>690.62637132775626</v>
      </c>
      <c r="X27" s="873"/>
    </row>
    <row r="28" spans="1:26" s="458" customFormat="1" ht="15" customHeight="1">
      <c r="A28" s="457">
        <f t="shared" si="0"/>
        <v>1</v>
      </c>
      <c r="D28" s="623">
        <f>IF(H28=0,IF(F28&lt;&gt;"",IF(H28&lt;=0,0,Menu!J13),"")-$O$11,IF(F28&lt;&gt;"",IF(H28&lt;=0,0,Menu!J13),""))</f>
        <v>3.4</v>
      </c>
      <c r="E28" s="1"/>
      <c r="F28" s="1171" t="str">
        <f>Menu!I13</f>
        <v>T36</v>
      </c>
      <c r="G28" s="1172"/>
      <c r="H28" s="623">
        <f>IF(F28&lt;&gt;"",Menu!K13,"")</f>
        <v>120</v>
      </c>
      <c r="I28" s="623">
        <f t="shared" si="8"/>
        <v>3.4</v>
      </c>
      <c r="J28" s="623">
        <f t="shared" si="1"/>
        <v>1.6101355074692645</v>
      </c>
      <c r="K28" s="873">
        <f t="shared" si="2"/>
        <v>4.9927081815606948</v>
      </c>
      <c r="L28" s="873">
        <f t="shared" si="3"/>
        <v>3.7445311361705218</v>
      </c>
      <c r="M28" s="873">
        <f>IF(J28&lt;&gt;"",Menu!M13,"")</f>
        <v>70.844999999999999</v>
      </c>
      <c r="N28" s="873">
        <f>IF(J28&lt;&gt;"",Menu!N13,"")</f>
        <v>27.35</v>
      </c>
      <c r="O28" s="1173">
        <f t="shared" si="4"/>
        <v>238.96349533994876</v>
      </c>
      <c r="P28" s="1173"/>
      <c r="Q28" s="1173">
        <f t="shared" si="5"/>
        <v>618.98971946466804</v>
      </c>
      <c r="R28" s="1173"/>
      <c r="S28" s="458">
        <f t="shared" si="6"/>
        <v>-238.96349533994876</v>
      </c>
      <c r="T28" s="886">
        <f t="shared" si="7"/>
        <v>-618.98971946466804</v>
      </c>
      <c r="U28" s="886"/>
      <c r="V28" s="873">
        <v>265.28173138877247</v>
      </c>
      <c r="W28" s="873">
        <v>687.16213017322059</v>
      </c>
      <c r="X28" s="873"/>
    </row>
    <row r="29" spans="1:26" s="458" customFormat="1" ht="15" customHeight="1">
      <c r="A29" s="457">
        <f t="shared" si="0"/>
        <v>1</v>
      </c>
      <c r="D29" s="623">
        <f>IF(H29=0,IF(F29&lt;&gt;"",IF(H29&lt;=0,0,Menu!J14),"")-$O$11,IF(F29&lt;&gt;"",IF(H29&lt;=0,0,Menu!J14),""))</f>
        <v>3.4</v>
      </c>
      <c r="E29" s="1"/>
      <c r="F29" s="1171" t="str">
        <f>Menu!I14</f>
        <v>T35</v>
      </c>
      <c r="G29" s="1172"/>
      <c r="H29" s="623">
        <f>IF(F29&lt;&gt;"",Menu!K14,"")</f>
        <v>116.6</v>
      </c>
      <c r="I29" s="623">
        <f t="shared" si="8"/>
        <v>3.4</v>
      </c>
      <c r="J29" s="623">
        <f t="shared" si="1"/>
        <v>1.6040847413647203</v>
      </c>
      <c r="K29" s="873">
        <f t="shared" si="2"/>
        <v>4.9739459660237246</v>
      </c>
      <c r="L29" s="873">
        <f t="shared" si="3"/>
        <v>3.7304594745177941</v>
      </c>
      <c r="M29" s="873">
        <f>IF(J29&lt;&gt;"",Menu!M14,"")</f>
        <v>70.844999999999999</v>
      </c>
      <c r="N29" s="873">
        <f>IF(J29&lt;&gt;"",Menu!N14,"")</f>
        <v>27.35</v>
      </c>
      <c r="O29" s="1173">
        <f t="shared" si="4"/>
        <v>238.06548879881058</v>
      </c>
      <c r="P29" s="1173"/>
      <c r="Q29" s="1173">
        <f t="shared" si="5"/>
        <v>616.66360343516396</v>
      </c>
      <c r="R29" s="1173"/>
      <c r="S29" s="458">
        <f t="shared" si="6"/>
        <v>-238.06548879881058</v>
      </c>
      <c r="T29" s="886">
        <f t="shared" si="7"/>
        <v>-616.66360343516396</v>
      </c>
      <c r="U29" s="886"/>
      <c r="V29" s="873">
        <v>263.91308141701711</v>
      </c>
      <c r="W29" s="873">
        <v>683.61690138897893</v>
      </c>
      <c r="X29" s="873"/>
    </row>
    <row r="30" spans="1:26" s="458" customFormat="1" ht="15" customHeight="1">
      <c r="A30" s="457">
        <f t="shared" si="0"/>
        <v>1</v>
      </c>
      <c r="D30" s="623">
        <f>IF(H30=0,IF(F30&lt;&gt;"",IF(H30&lt;=0,0,Menu!J15),"")-$O$11,IF(F30&lt;&gt;"",IF(H30&lt;=0,0,Menu!J15),""))</f>
        <v>3.4</v>
      </c>
      <c r="E30" s="1"/>
      <c r="F30" s="1171" t="str">
        <f>Menu!I15</f>
        <v>T34</v>
      </c>
      <c r="G30" s="1172"/>
      <c r="H30" s="623">
        <f>IF(F30&lt;&gt;"",Menu!K15,"")</f>
        <v>113.2</v>
      </c>
      <c r="I30" s="623">
        <f t="shared" si="8"/>
        <v>3.4</v>
      </c>
      <c r="J30" s="623">
        <f t="shared" si="1"/>
        <v>1.5978795068450087</v>
      </c>
      <c r="K30" s="873">
        <f t="shared" si="2"/>
        <v>4.9547047748250028</v>
      </c>
      <c r="L30" s="873">
        <f t="shared" si="3"/>
        <v>3.7160285811187519</v>
      </c>
      <c r="M30" s="873">
        <f>IF(J30&lt;&gt;"",Menu!M15,"")</f>
        <v>70.844999999999999</v>
      </c>
      <c r="N30" s="873">
        <f>IF(J30&lt;&gt;"",Menu!N15,"")</f>
        <v>27.35</v>
      </c>
      <c r="O30" s="1173">
        <f t="shared" si="4"/>
        <v>237.14455728506169</v>
      </c>
      <c r="P30" s="1173"/>
      <c r="Q30" s="1173">
        <f t="shared" si="5"/>
        <v>614.27810460183525</v>
      </c>
      <c r="R30" s="1173"/>
      <c r="S30" s="458">
        <f t="shared" si="6"/>
        <v>-237.14455728506169</v>
      </c>
      <c r="T30" s="886">
        <f t="shared" si="7"/>
        <v>-614.27810460183525</v>
      </c>
      <c r="U30" s="886"/>
      <c r="V30" s="873">
        <v>262.51149483258524</v>
      </c>
      <c r="W30" s="873">
        <v>679.98635654166367</v>
      </c>
      <c r="X30" s="873"/>
    </row>
    <row r="31" spans="1:26" s="458" customFormat="1" ht="15" customHeight="1">
      <c r="A31" s="457">
        <f t="shared" si="0"/>
        <v>1</v>
      </c>
      <c r="D31" s="623">
        <f>IF(H31=0,IF(F31&lt;&gt;"",IF(H31&lt;=0,0,Menu!J16),"")-$O$11,IF(F31&lt;&gt;"",IF(H31&lt;=0,0,Menu!J16),""))</f>
        <v>3.4</v>
      </c>
      <c r="E31" s="1"/>
      <c r="F31" s="1171" t="str">
        <f>Menu!I16</f>
        <v>T33</v>
      </c>
      <c r="G31" s="1172"/>
      <c r="H31" s="623">
        <f>IF(F31&lt;&gt;"",Menu!K16,"")</f>
        <v>109.8</v>
      </c>
      <c r="I31" s="623">
        <f t="shared" si="8"/>
        <v>3.4</v>
      </c>
      <c r="J31" s="623">
        <f t="shared" si="1"/>
        <v>1.5915110618217603</v>
      </c>
      <c r="K31" s="873">
        <f t="shared" si="2"/>
        <v>4.934957500496914</v>
      </c>
      <c r="L31" s="873">
        <f t="shared" si="3"/>
        <v>3.701218125372685</v>
      </c>
      <c r="M31" s="873">
        <f>IF(J31&lt;&gt;"",Menu!M16,"")</f>
        <v>70.844999999999999</v>
      </c>
      <c r="N31" s="873">
        <f>IF(J31&lt;&gt;"",Menu!N16,"")</f>
        <v>27.35</v>
      </c>
      <c r="O31" s="1173">
        <f t="shared" si="4"/>
        <v>236.19940336753356</v>
      </c>
      <c r="P31" s="1173"/>
      <c r="Q31" s="1173">
        <f t="shared" si="5"/>
        <v>611.82986221473175</v>
      </c>
      <c r="R31" s="1173"/>
      <c r="S31" s="458">
        <f t="shared" si="6"/>
        <v>-236.19940336753356</v>
      </c>
      <c r="T31" s="886">
        <f t="shared" si="7"/>
        <v>-611.82986221473175</v>
      </c>
      <c r="U31" s="886"/>
      <c r="V31" s="873">
        <v>261.07515802418692</v>
      </c>
      <c r="W31" s="873">
        <v>676.26579781438829</v>
      </c>
      <c r="X31" s="873"/>
    </row>
    <row r="32" spans="1:26" s="458" customFormat="1" ht="15" customHeight="1">
      <c r="A32" s="457">
        <f t="shared" si="0"/>
        <v>1</v>
      </c>
      <c r="D32" s="623">
        <f>IF(H32=0,IF(F32&lt;&gt;"",IF(H32&lt;=0,0,Menu!J17),"")-$O$11,IF(F32&lt;&gt;"",IF(H32&lt;=0,0,Menu!J17),""))</f>
        <v>3.4</v>
      </c>
      <c r="E32" s="1"/>
      <c r="F32" s="1171" t="str">
        <f>Menu!I17</f>
        <v>T32</v>
      </c>
      <c r="G32" s="1172"/>
      <c r="H32" s="623">
        <f>IF(F32&lt;&gt;"",Menu!K17,"")</f>
        <v>106.4</v>
      </c>
      <c r="I32" s="623">
        <f t="shared" si="8"/>
        <v>3.4</v>
      </c>
      <c r="J32" s="623">
        <f t="shared" si="1"/>
        <v>1.5849698808512469</v>
      </c>
      <c r="K32" s="873">
        <f t="shared" si="2"/>
        <v>4.9146746065435467</v>
      </c>
      <c r="L32" s="873">
        <f t="shared" si="3"/>
        <v>3.6860059549076594</v>
      </c>
      <c r="M32" s="873">
        <f>IF(J32&lt;&gt;"",Menu!M17,"")</f>
        <v>70.844999999999999</v>
      </c>
      <c r="N32" s="873">
        <f>IF(J32&lt;&gt;"",Menu!N17,"")</f>
        <v>27.35</v>
      </c>
      <c r="O32" s="1173">
        <f t="shared" si="4"/>
        <v>235.2286133556905</v>
      </c>
      <c r="P32" s="1173"/>
      <c r="Q32" s="1173">
        <f t="shared" si="5"/>
        <v>609.31521437601066</v>
      </c>
      <c r="R32" s="1173"/>
      <c r="S32" s="458">
        <f t="shared" si="6"/>
        <v>-235.2286133556905</v>
      </c>
      <c r="T32" s="886">
        <f t="shared" si="7"/>
        <v>-609.31521437601066</v>
      </c>
      <c r="U32" s="886"/>
      <c r="V32" s="873">
        <v>259.60209777613375</v>
      </c>
      <c r="W32" s="873">
        <v>672.45011396527207</v>
      </c>
      <c r="X32" s="873"/>
    </row>
    <row r="33" spans="1:24" s="458" customFormat="1" ht="15" customHeight="1">
      <c r="A33" s="457">
        <f t="shared" si="0"/>
        <v>1</v>
      </c>
      <c r="D33" s="623">
        <f>IF(H33=0,IF(F33&lt;&gt;"",IF(H33&lt;=0,0,Menu!J18),"")-$O$11,IF(F33&lt;&gt;"",IF(H33&lt;=0,0,Menu!J18),""))</f>
        <v>3.4</v>
      </c>
      <c r="E33" s="1"/>
      <c r="F33" s="1171" t="str">
        <f>Menu!I18</f>
        <v>T31</v>
      </c>
      <c r="G33" s="1172"/>
      <c r="H33" s="623">
        <f>IF(F33&lt;&gt;"",Menu!K18,"")</f>
        <v>103</v>
      </c>
      <c r="I33" s="623">
        <f t="shared" si="8"/>
        <v>3.4</v>
      </c>
      <c r="J33" s="623">
        <f t="shared" si="1"/>
        <v>1.5782455574061076</v>
      </c>
      <c r="K33" s="873">
        <f t="shared" si="2"/>
        <v>4.8938238244048584</v>
      </c>
      <c r="L33" s="873">
        <f t="shared" si="3"/>
        <v>3.6703678683036434</v>
      </c>
      <c r="M33" s="873">
        <f>IF(J33&lt;&gt;"",Menu!M18,"")</f>
        <v>70.844999999999999</v>
      </c>
      <c r="N33" s="873">
        <f>IF(J33&lt;&gt;"",Menu!N18,"")</f>
        <v>27.35</v>
      </c>
      <c r="O33" s="1173">
        <f t="shared" si="4"/>
        <v>234.23064279557752</v>
      </c>
      <c r="P33" s="1173"/>
      <c r="Q33" s="1173">
        <f t="shared" si="5"/>
        <v>606.73016046993382</v>
      </c>
      <c r="R33" s="1173"/>
      <c r="S33" s="458">
        <f t="shared" si="6"/>
        <v>-234.23064279557752</v>
      </c>
      <c r="T33" s="886">
        <f t="shared" si="7"/>
        <v>-606.73016046993382</v>
      </c>
      <c r="U33" s="886"/>
      <c r="V33" s="873">
        <v>258.09016162527132</v>
      </c>
      <c r="W33" s="873">
        <v>668.53372944578962</v>
      </c>
      <c r="X33" s="873"/>
    </row>
    <row r="34" spans="1:24" s="458" customFormat="1" ht="15" customHeight="1">
      <c r="A34" s="457">
        <f t="shared" si="0"/>
        <v>1</v>
      </c>
      <c r="D34" s="623">
        <f>IF(H34=0,IF(F34&lt;&gt;"",IF(H34&lt;=0,0,Menu!J19),"")-$O$11,IF(F34&lt;&gt;"",IF(H34&lt;=0,0,Menu!J19),""))</f>
        <v>3.4</v>
      </c>
      <c r="E34" s="1"/>
      <c r="F34" s="1171" t="str">
        <f>Menu!I19</f>
        <v>T30</v>
      </c>
      <c r="G34" s="1172"/>
      <c r="H34" s="623">
        <f>IF(F34&lt;&gt;"",Menu!K19,"")</f>
        <v>99.6</v>
      </c>
      <c r="I34" s="623">
        <f t="shared" si="8"/>
        <v>3.4</v>
      </c>
      <c r="J34" s="623">
        <f t="shared" si="1"/>
        <v>1.5713266902901557</v>
      </c>
      <c r="K34" s="873">
        <f t="shared" si="2"/>
        <v>4.8723698012517147</v>
      </c>
      <c r="L34" s="873">
        <f t="shared" si="3"/>
        <v>3.654277350938786</v>
      </c>
      <c r="M34" s="873">
        <f>IF(J34&lt;&gt;"",Menu!M19,"")</f>
        <v>70.844999999999999</v>
      </c>
      <c r="N34" s="873">
        <f>IF(J34&lt;&gt;"",Menu!N19,"")</f>
        <v>27.35</v>
      </c>
      <c r="O34" s="1173">
        <f t="shared" si="4"/>
        <v>233.20379961241019</v>
      </c>
      <c r="P34" s="1173"/>
      <c r="Q34" s="1173">
        <f t="shared" si="5"/>
        <v>604.07031749693601</v>
      </c>
      <c r="R34" s="1173"/>
      <c r="S34" s="458">
        <f t="shared" si="6"/>
        <v>-233.20379961241019</v>
      </c>
      <c r="T34" s="886">
        <f t="shared" si="7"/>
        <v>-604.07031749693601</v>
      </c>
      <c r="U34" s="886"/>
      <c r="V34" s="873">
        <v>256.53699506545439</v>
      </c>
      <c r="W34" s="873">
        <v>664.5105453532766</v>
      </c>
      <c r="X34" s="873"/>
    </row>
    <row r="35" spans="1:24" s="458" customFormat="1" ht="15" customHeight="1">
      <c r="A35" s="457">
        <f t="shared" si="0"/>
        <v>1</v>
      </c>
      <c r="D35" s="623">
        <f>IF(H35=0,IF(F35&lt;&gt;"",IF(H35&lt;=0,0,Menu!J20),"")-$O$11,IF(F35&lt;&gt;"",IF(H35&lt;=0,0,Menu!J20),""))</f>
        <v>3.4</v>
      </c>
      <c r="E35" s="1"/>
      <c r="F35" s="1171" t="str">
        <f>Menu!I20</f>
        <v>T29</v>
      </c>
      <c r="G35" s="1172"/>
      <c r="H35" s="623">
        <f>IF(F35&lt;&gt;"",Menu!K20,"")</f>
        <v>96.2</v>
      </c>
      <c r="I35" s="623">
        <f t="shared" si="8"/>
        <v>3.4</v>
      </c>
      <c r="J35" s="623">
        <f t="shared" si="1"/>
        <v>1.5642007509876328</v>
      </c>
      <c r="K35" s="873">
        <f t="shared" si="2"/>
        <v>4.850273688662452</v>
      </c>
      <c r="L35" s="873">
        <f t="shared" si="3"/>
        <v>3.6377052664968388</v>
      </c>
      <c r="M35" s="873">
        <f>IF(J35&lt;&gt;"",Menu!M20,"")</f>
        <v>70.844999999999999</v>
      </c>
      <c r="N35" s="873">
        <f>IF(J35&lt;&gt;"",Menu!N20,"")</f>
        <v>27.35</v>
      </c>
      <c r="O35" s="1173">
        <f t="shared" si="4"/>
        <v>232.14622442360661</v>
      </c>
      <c r="P35" s="1173"/>
      <c r="Q35" s="1173">
        <f t="shared" si="5"/>
        <v>601.33086907825987</v>
      </c>
      <c r="R35" s="1173"/>
      <c r="S35" s="458">
        <f t="shared" si="6"/>
        <v>-232.14622442360661</v>
      </c>
      <c r="T35" s="886">
        <f t="shared" si="7"/>
        <v>-601.33086907825987</v>
      </c>
      <c r="U35" s="886"/>
      <c r="V35" s="873">
        <v>254.94001496753526</v>
      </c>
      <c r="W35" s="873">
        <v>660.3738705804401</v>
      </c>
      <c r="X35" s="873"/>
    </row>
    <row r="36" spans="1:24" s="458" customFormat="1" ht="15" customHeight="1">
      <c r="A36" s="457">
        <f t="shared" si="0"/>
        <v>1</v>
      </c>
      <c r="D36" s="623">
        <f>IF(H36=0,IF(F36&lt;&gt;"",IF(H36&lt;=0,0,Menu!J21),"")-$O$11,IF(F36&lt;&gt;"",IF(H36&lt;=0,0,Menu!J21),""))</f>
        <v>3.4</v>
      </c>
      <c r="E36" s="1"/>
      <c r="F36" s="1171" t="str">
        <f>Menu!I21</f>
        <v>T28</v>
      </c>
      <c r="G36" s="1172"/>
      <c r="H36" s="623">
        <f>IF(F36&lt;&gt;"",Menu!K21,"")</f>
        <v>92.8</v>
      </c>
      <c r="I36" s="623">
        <f t="shared" si="8"/>
        <v>3.4</v>
      </c>
      <c r="J36" s="623">
        <f t="shared" si="1"/>
        <v>1.5568539279511393</v>
      </c>
      <c r="K36" s="873">
        <f t="shared" si="2"/>
        <v>4.8274926597908925</v>
      </c>
      <c r="L36" s="873">
        <f t="shared" si="3"/>
        <v>3.62061949484317</v>
      </c>
      <c r="M36" s="873">
        <f>IF(J36&lt;&gt;"",Menu!M21,"")</f>
        <v>70.844999999999999</v>
      </c>
      <c r="N36" s="873">
        <f>IF(J36&lt;&gt;"",Menu!N21,"")</f>
        <v>27.35</v>
      </c>
      <c r="O36" s="1173">
        <f t="shared" si="4"/>
        <v>231.0558674292416</v>
      </c>
      <c r="P36" s="1173"/>
      <c r="Q36" s="1173">
        <f t="shared" si="5"/>
        <v>598.50650559505016</v>
      </c>
      <c r="R36" s="1173"/>
      <c r="S36" s="458">
        <f t="shared" si="6"/>
        <v>-231.0558674292416</v>
      </c>
      <c r="T36" s="886">
        <f t="shared" si="7"/>
        <v>-598.50650559505016</v>
      </c>
      <c r="U36" s="886"/>
      <c r="V36" s="873">
        <v>253.29637842902957</v>
      </c>
      <c r="W36" s="873">
        <v>656.11634112631077</v>
      </c>
      <c r="X36" s="873"/>
    </row>
    <row r="37" spans="1:24" s="458" customFormat="1" ht="15" customHeight="1">
      <c r="A37" s="457">
        <f t="shared" si="0"/>
        <v>1</v>
      </c>
      <c r="D37" s="623">
        <f>IF(H37=0,IF(F37&lt;&gt;"",IF(H37&lt;=0,0,Menu!J22),"")-$O$11,IF(F37&lt;&gt;"",IF(H37&lt;=0,0,Menu!J22),""))</f>
        <v>3.4</v>
      </c>
      <c r="E37" s="1"/>
      <c r="F37" s="1171" t="str">
        <f>Menu!I22</f>
        <v>T27</v>
      </c>
      <c r="G37" s="1172"/>
      <c r="H37" s="623">
        <f>IF(F37&lt;&gt;"",Menu!K22,"")</f>
        <v>89.4</v>
      </c>
      <c r="I37" s="623">
        <f t="shared" si="8"/>
        <v>3.4</v>
      </c>
      <c r="J37" s="623">
        <f t="shared" si="1"/>
        <v>1.5492709428159028</v>
      </c>
      <c r="K37" s="873">
        <f t="shared" si="2"/>
        <v>4.8039793394835524</v>
      </c>
      <c r="L37" s="873">
        <f t="shared" si="3"/>
        <v>3.6029845046126634</v>
      </c>
      <c r="M37" s="873">
        <f>IF(J37&lt;&gt;"",Menu!M22,"")</f>
        <v>70.844999999999999</v>
      </c>
      <c r="N37" s="873">
        <f>IF(J37&lt;&gt;"",Menu!N22,"")</f>
        <v>27.35</v>
      </c>
      <c r="O37" s="1173">
        <f t="shared" si="4"/>
        <v>229.93046113603154</v>
      </c>
      <c r="P37" s="1173"/>
      <c r="Q37" s="1173">
        <f t="shared" si="5"/>
        <v>595.59135353499641</v>
      </c>
      <c r="R37" s="1173"/>
      <c r="S37" s="458">
        <f t="shared" si="6"/>
        <v>-229.93046113603154</v>
      </c>
      <c r="T37" s="886">
        <f t="shared" si="7"/>
        <v>-595.59135353499641</v>
      </c>
      <c r="U37" s="886"/>
      <c r="V37" s="873">
        <v>251.60294606930464</v>
      </c>
      <c r="W37" s="873">
        <v>651.72982501937429</v>
      </c>
      <c r="X37" s="873"/>
    </row>
    <row r="38" spans="1:24" s="458" customFormat="1" ht="15" customHeight="1">
      <c r="A38" s="457">
        <f t="shared" si="0"/>
        <v>1</v>
      </c>
      <c r="D38" s="623">
        <f>IF(H38=0,IF(F38&lt;&gt;"",IF(H38&lt;=0,0,Menu!J23),"")-$O$11,IF(F38&lt;&gt;"",IF(H38&lt;=0,0,Menu!J23),""))</f>
        <v>3.4</v>
      </c>
      <c r="E38" s="1"/>
      <c r="F38" s="1171" t="str">
        <f>Menu!I23</f>
        <v>T26</v>
      </c>
      <c r="G38" s="1172"/>
      <c r="H38" s="623">
        <f>IF(F38&lt;&gt;"",Menu!K23,"")</f>
        <v>86</v>
      </c>
      <c r="I38" s="623">
        <f t="shared" si="8"/>
        <v>3.4</v>
      </c>
      <c r="J38" s="623">
        <f t="shared" si="1"/>
        <v>1.5414348322037517</v>
      </c>
      <c r="K38" s="873">
        <f t="shared" si="2"/>
        <v>4.7796811276973923</v>
      </c>
      <c r="L38" s="873">
        <f t="shared" si="3"/>
        <v>3.5847608457730447</v>
      </c>
      <c r="M38" s="873">
        <f>IF(J38&lt;&gt;"",Menu!M23,"")</f>
        <v>70.844999999999999</v>
      </c>
      <c r="N38" s="873">
        <f>IF(J38&lt;&gt;"",Menu!N23,"")</f>
        <v>27.35</v>
      </c>
      <c r="O38" s="1173">
        <f t="shared" si="4"/>
        <v>228.7674879744165</v>
      </c>
      <c r="P38" s="1173"/>
      <c r="Q38" s="1173">
        <f t="shared" si="5"/>
        <v>592.57889161051321</v>
      </c>
      <c r="R38" s="1173"/>
      <c r="S38" s="458">
        <f t="shared" si="6"/>
        <v>-228.7674879744165</v>
      </c>
      <c r="T38" s="886">
        <f t="shared" si="7"/>
        <v>-592.57889161051321</v>
      </c>
      <c r="U38" s="886"/>
      <c r="V38" s="873">
        <v>249.85623852821124</v>
      </c>
      <c r="W38" s="873">
        <v>647.20530963550732</v>
      </c>
      <c r="X38" s="873"/>
    </row>
    <row r="39" spans="1:24" s="458" customFormat="1" ht="15" customHeight="1">
      <c r="A39" s="457">
        <f t="shared" si="0"/>
        <v>1</v>
      </c>
      <c r="D39" s="623">
        <f>IF(H39=0,IF(F39&lt;&gt;"",IF(H39&lt;=0,0,Menu!J24),"")-$O$11,IF(F39&lt;&gt;"",IF(H39&lt;=0,0,Menu!J24),""))</f>
        <v>3.4</v>
      </c>
      <c r="E39" s="1"/>
      <c r="F39" s="1171" t="str">
        <f>Menu!I24</f>
        <v>T25</v>
      </c>
      <c r="G39" s="1172"/>
      <c r="H39" s="623">
        <f>IF(F39&lt;&gt;"",Menu!K24,"")</f>
        <v>82.6</v>
      </c>
      <c r="I39" s="623">
        <f t="shared" si="8"/>
        <v>3.4</v>
      </c>
      <c r="J39" s="623">
        <f t="shared" si="1"/>
        <v>1.5333266870389446</v>
      </c>
      <c r="K39" s="873">
        <f t="shared" si="2"/>
        <v>4.7545393911703595</v>
      </c>
      <c r="L39" s="873">
        <f t="shared" si="3"/>
        <v>3.5659045433777692</v>
      </c>
      <c r="M39" s="873">
        <f>IF(J39&lt;&gt;"",Menu!M24,"")</f>
        <v>70.844999999999999</v>
      </c>
      <c r="N39" s="873">
        <f>IF(J39&lt;&gt;"",Menu!N24,"")</f>
        <v>27.35</v>
      </c>
      <c r="O39" s="1173">
        <f t="shared" si="4"/>
        <v>227.56414160989132</v>
      </c>
      <c r="P39" s="1173"/>
      <c r="Q39" s="1173">
        <f t="shared" si="5"/>
        <v>589.46185054306216</v>
      </c>
      <c r="R39" s="1173"/>
      <c r="S39" s="458">
        <f t="shared" si="6"/>
        <v>-227.56414160989132</v>
      </c>
      <c r="T39" s="886">
        <f t="shared" si="7"/>
        <v>-589.46185054306216</v>
      </c>
      <c r="U39" s="886"/>
      <c r="V39" s="873">
        <v>248.05238458753979</v>
      </c>
      <c r="W39" s="873">
        <v>642.5327673164262</v>
      </c>
      <c r="X39" s="873"/>
    </row>
    <row r="40" spans="1:24" s="458" customFormat="1" ht="15" customHeight="1">
      <c r="A40" s="457">
        <f t="shared" si="0"/>
        <v>1</v>
      </c>
      <c r="D40" s="623">
        <f>IF(H40=0,IF(F40&lt;&gt;"",IF(H40&lt;=0,0,Menu!J25),"")-$O$11,IF(F40&lt;&gt;"",IF(H40&lt;=0,0,Menu!J25),""))</f>
        <v>3.4</v>
      </c>
      <c r="E40" s="1"/>
      <c r="F40" s="1171" t="str">
        <f>Menu!I25</f>
        <v>T24</v>
      </c>
      <c r="G40" s="1172"/>
      <c r="H40" s="623">
        <f>IF(F40&lt;&gt;"",Menu!K25,"")</f>
        <v>79.2</v>
      </c>
      <c r="I40" s="623">
        <f t="shared" si="8"/>
        <v>3.4</v>
      </c>
      <c r="J40" s="623">
        <f t="shared" si="1"/>
        <v>1.524925338985736</v>
      </c>
      <c r="K40" s="873">
        <f t="shared" si="2"/>
        <v>4.7284884911269698</v>
      </c>
      <c r="L40" s="873">
        <f t="shared" si="3"/>
        <v>3.5463663683452271</v>
      </c>
      <c r="M40" s="873">
        <f>IF(J40&lt;&gt;"",Menu!M25,"")</f>
        <v>70.844999999999999</v>
      </c>
      <c r="N40" s="873">
        <f>IF(J40&lt;&gt;"",Menu!N25,"")</f>
        <v>27.35</v>
      </c>
      <c r="O40" s="1173">
        <f t="shared" si="4"/>
        <v>226.31728040656458</v>
      </c>
      <c r="P40" s="1173"/>
      <c r="Q40" s="1173">
        <f t="shared" si="5"/>
        <v>586.23209251930768</v>
      </c>
      <c r="R40" s="1173"/>
      <c r="S40" s="458">
        <f t="shared" si="6"/>
        <v>-226.31728040656458</v>
      </c>
      <c r="T40" s="886">
        <f t="shared" si="7"/>
        <v>-586.23209251930768</v>
      </c>
      <c r="U40" s="886"/>
      <c r="V40" s="873">
        <v>246.18705888591506</v>
      </c>
      <c r="W40" s="873">
        <v>637.70099403190682</v>
      </c>
      <c r="X40" s="873"/>
    </row>
    <row r="41" spans="1:24" s="458" customFormat="1" ht="15" customHeight="1">
      <c r="A41" s="457">
        <f t="shared" si="0"/>
        <v>1</v>
      </c>
      <c r="D41" s="623">
        <f>IF(H41=0,IF(F41&lt;&gt;"",IF(H41&lt;=0,0,Menu!J26),"")-$O$11,IF(F41&lt;&gt;"",IF(H41&lt;=0,0,Menu!J26),""))</f>
        <v>3.4</v>
      </c>
      <c r="E41" s="1"/>
      <c r="F41" s="1171" t="str">
        <f>Menu!I26</f>
        <v>T23</v>
      </c>
      <c r="G41" s="1172"/>
      <c r="H41" s="623">
        <f>IF(F41&lt;&gt;"",Menu!K26,"")</f>
        <v>75.8</v>
      </c>
      <c r="I41" s="623">
        <f t="shared" si="8"/>
        <v>3.4</v>
      </c>
      <c r="J41" s="623">
        <f t="shared" si="1"/>
        <v>1.5162069805139042</v>
      </c>
      <c r="K41" s="873">
        <f t="shared" si="2"/>
        <v>4.7014546051775143</v>
      </c>
      <c r="L41" s="873">
        <f t="shared" si="3"/>
        <v>3.5260909538831355</v>
      </c>
      <c r="M41" s="873">
        <f>IF(J41&lt;&gt;"",Menu!M26,"")</f>
        <v>70.844999999999999</v>
      </c>
      <c r="N41" s="873">
        <f>IF(J41&lt;&gt;"",Menu!N26,"")</f>
        <v>27.35</v>
      </c>
      <c r="O41" s="1173">
        <f t="shared" si="4"/>
        <v>225.02337104030877</v>
      </c>
      <c r="P41" s="1173"/>
      <c r="Q41" s="1173">
        <f t="shared" si="5"/>
        <v>582.8804651316517</v>
      </c>
      <c r="R41" s="1173"/>
      <c r="S41" s="458">
        <f t="shared" si="6"/>
        <v>-225.02337104030877</v>
      </c>
      <c r="T41" s="886">
        <f t="shared" si="7"/>
        <v>-582.8804651316517</v>
      </c>
      <c r="U41" s="886"/>
      <c r="V41" s="873">
        <v>244.25540659649963</v>
      </c>
      <c r="W41" s="873">
        <v>632.69741427162762</v>
      </c>
      <c r="X41" s="873"/>
    </row>
    <row r="42" spans="1:24" s="458" customFormat="1" ht="15" customHeight="1">
      <c r="A42" s="457">
        <f t="shared" si="0"/>
        <v>1</v>
      </c>
      <c r="D42" s="623">
        <f>IF(H42=0,IF(F42&lt;&gt;"",IF(H42&lt;=0,0,Menu!J27),"")-$O$11,IF(F42&lt;&gt;"",IF(H42&lt;=0,0,Menu!J27),""))</f>
        <v>3.4</v>
      </c>
      <c r="E42" s="1"/>
      <c r="F42" s="1171" t="str">
        <f>Menu!I27</f>
        <v>T22</v>
      </c>
      <c r="G42" s="1172"/>
      <c r="H42" s="623">
        <f>IF(F42&lt;&gt;"",Menu!K27,"")</f>
        <v>72.400000000000006</v>
      </c>
      <c r="I42" s="623">
        <f t="shared" si="8"/>
        <v>3.4</v>
      </c>
      <c r="J42" s="623">
        <f t="shared" si="1"/>
        <v>1.5071447008842513</v>
      </c>
      <c r="K42" s="873">
        <f t="shared" si="2"/>
        <v>4.6733542885018862</v>
      </c>
      <c r="L42" s="873">
        <f t="shared" si="3"/>
        <v>3.5050157163764144</v>
      </c>
      <c r="M42" s="873">
        <f>IF(J42&lt;&gt;"",Menu!M27,"")</f>
        <v>70.844999999999999</v>
      </c>
      <c r="N42" s="873">
        <f>IF(J42&lt;&gt;"",Menu!N27,"")</f>
        <v>27.35</v>
      </c>
      <c r="O42" s="1173">
        <f t="shared" si="4"/>
        <v>223.6784196334215</v>
      </c>
      <c r="P42" s="1173"/>
      <c r="Q42" s="1173">
        <f t="shared" si="5"/>
        <v>579.39662299560314</v>
      </c>
      <c r="R42" s="1173"/>
      <c r="S42" s="458">
        <f t="shared" si="6"/>
        <v>-223.6784196334215</v>
      </c>
      <c r="T42" s="886">
        <f t="shared" si="7"/>
        <v>-579.39662299560314</v>
      </c>
      <c r="U42" s="886"/>
      <c r="V42" s="873">
        <v>242.25195162206384</v>
      </c>
      <c r="W42" s="873">
        <v>627.50784324186884</v>
      </c>
      <c r="X42" s="873"/>
    </row>
    <row r="43" spans="1:24" s="458" customFormat="1" ht="15" customHeight="1">
      <c r="A43" s="457">
        <f t="shared" si="0"/>
        <v>1</v>
      </c>
      <c r="D43" s="623">
        <f>IF(H43=0,IF(F43&lt;&gt;"",IF(H43&lt;=0,0,Menu!J28),"")-$O$11,IF(F43&lt;&gt;"",IF(H43&lt;=0,0,Menu!J28),""))</f>
        <v>3.4</v>
      </c>
      <c r="E43" s="1"/>
      <c r="F43" s="1171" t="str">
        <f>Menu!I28</f>
        <v>T21</v>
      </c>
      <c r="G43" s="1172"/>
      <c r="H43" s="623">
        <f>IF(F43&lt;&gt;"",Menu!K28,"")</f>
        <v>69</v>
      </c>
      <c r="I43" s="623">
        <f t="shared" si="8"/>
        <v>3.4</v>
      </c>
      <c r="J43" s="623">
        <f t="shared" si="1"/>
        <v>1.4977079145519359</v>
      </c>
      <c r="K43" s="873">
        <f t="shared" si="2"/>
        <v>4.6440927014426423</v>
      </c>
      <c r="L43" s="873">
        <f t="shared" si="3"/>
        <v>3.4830695260819819</v>
      </c>
      <c r="M43" s="873">
        <f>IF(J43&lt;&gt;"",Menu!M28,"")</f>
        <v>70.844999999999999</v>
      </c>
      <c r="N43" s="873">
        <f>IF(J43&lt;&gt;"",Menu!N28,"")</f>
        <v>27.35</v>
      </c>
      <c r="O43" s="1173">
        <f t="shared" si="4"/>
        <v>222.2778869227985</v>
      </c>
      <c r="P43" s="1173"/>
      <c r="Q43" s="1173">
        <f t="shared" si="5"/>
        <v>575.76880800898209</v>
      </c>
      <c r="R43" s="1173"/>
      <c r="S43" s="458">
        <f t="shared" si="6"/>
        <v>-222.2778869227985</v>
      </c>
      <c r="T43" s="886">
        <f t="shared" si="7"/>
        <v>-575.76880800898209</v>
      </c>
      <c r="U43" s="886"/>
      <c r="V43" s="873">
        <v>240.1704837439413</v>
      </c>
      <c r="W43" s="873">
        <v>622.11619454623474</v>
      </c>
      <c r="X43" s="873"/>
    </row>
    <row r="44" spans="1:24" s="458" customFormat="1" ht="15" customHeight="1">
      <c r="A44" s="457">
        <f t="shared" si="0"/>
        <v>1</v>
      </c>
      <c r="D44" s="623">
        <f>IF(H44=0,IF(F44&lt;&gt;"",IF(H44&lt;=0,0,Menu!J29),"")-$O$11,IF(F44&lt;&gt;"",IF(H44&lt;=0,0,Menu!J29),""))</f>
        <v>3.4</v>
      </c>
      <c r="E44" s="1"/>
      <c r="F44" s="1171" t="str">
        <f>Menu!I29</f>
        <v>T20</v>
      </c>
      <c r="G44" s="1172"/>
      <c r="H44" s="623">
        <f>IF(F44&lt;&gt;"",Menu!K29,"")</f>
        <v>65.599999999999994</v>
      </c>
      <c r="I44" s="623">
        <f t="shared" si="8"/>
        <v>3.4</v>
      </c>
      <c r="J44" s="623">
        <f t="shared" si="1"/>
        <v>1.4878616504102724</v>
      </c>
      <c r="K44" s="873">
        <f t="shared" si="2"/>
        <v>4.613561405592173</v>
      </c>
      <c r="L44" s="873">
        <f t="shared" si="3"/>
        <v>3.4601710541941291</v>
      </c>
      <c r="M44" s="873">
        <f>IF(J44&lt;&gt;"",Menu!M29,"")</f>
        <v>70.844999999999999</v>
      </c>
      <c r="N44" s="873">
        <f>IF(J44&lt;&gt;"",Menu!N29,"")</f>
        <v>27.35</v>
      </c>
      <c r="O44" s="1173">
        <f t="shared" si="4"/>
        <v>220.81658277515541</v>
      </c>
      <c r="P44" s="1173"/>
      <c r="Q44" s="1173">
        <f t="shared" si="5"/>
        <v>571.98357611356062</v>
      </c>
      <c r="R44" s="1173"/>
      <c r="S44" s="458">
        <f t="shared" si="6"/>
        <v>-220.81658277515541</v>
      </c>
      <c r="T44" s="886">
        <f t="shared" si="7"/>
        <v>-571.98357611356062</v>
      </c>
      <c r="U44" s="886"/>
      <c r="V44" s="873">
        <v>238.00391860645067</v>
      </c>
      <c r="W44" s="873">
        <v>616.50411750179148</v>
      </c>
      <c r="X44" s="873"/>
    </row>
    <row r="45" spans="1:24" s="458" customFormat="1" ht="15" customHeight="1">
      <c r="A45" s="457">
        <f t="shared" si="0"/>
        <v>1</v>
      </c>
      <c r="D45" s="623">
        <f>IF(H45=0,IF(F45&lt;&gt;"",IF(H45&lt;=0,0,Menu!J30),"")-$O$11,IF(F45&lt;&gt;"",IF(H45&lt;=0,0,Menu!J30),""))</f>
        <v>3.4</v>
      </c>
      <c r="E45" s="1"/>
      <c r="F45" s="1171" t="str">
        <f>Menu!I30</f>
        <v>T19</v>
      </c>
      <c r="G45" s="1172"/>
      <c r="H45" s="623">
        <f>IF(F45&lt;&gt;"",Menu!K30,"")</f>
        <v>62.2</v>
      </c>
      <c r="I45" s="623">
        <f t="shared" si="8"/>
        <v>3.4</v>
      </c>
      <c r="J45" s="623">
        <f t="shared" si="1"/>
        <v>1.4775656588755697</v>
      </c>
      <c r="K45" s="873">
        <f t="shared" si="2"/>
        <v>4.5816355950413659</v>
      </c>
      <c r="L45" s="873">
        <f t="shared" si="3"/>
        <v>3.436226696281024</v>
      </c>
      <c r="M45" s="873">
        <f>IF(J45&lt;&gt;"",Menu!M30,"")</f>
        <v>70.844999999999999</v>
      </c>
      <c r="N45" s="873">
        <f>IF(J45&lt;&gt;"",Menu!N30,"")</f>
        <v>27.35</v>
      </c>
      <c r="O45" s="1173">
        <f t="shared" si="4"/>
        <v>219.28853366766737</v>
      </c>
      <c r="P45" s="1173"/>
      <c r="Q45" s="1173">
        <f t="shared" si="5"/>
        <v>568.02545402873466</v>
      </c>
      <c r="R45" s="1173"/>
      <c r="S45" s="458">
        <f t="shared" si="6"/>
        <v>-219.28853366766737</v>
      </c>
      <c r="T45" s="886">
        <f t="shared" si="7"/>
        <v>-568.02545402873466</v>
      </c>
      <c r="U45" s="886"/>
      <c r="V45" s="873">
        <v>235.7441222237818</v>
      </c>
      <c r="W45" s="873">
        <v>610.65054255736095</v>
      </c>
      <c r="X45" s="873"/>
    </row>
    <row r="46" spans="1:24" s="458" customFormat="1" ht="15" customHeight="1">
      <c r="A46" s="457">
        <f t="shared" si="0"/>
        <v>1</v>
      </c>
      <c r="D46" s="623">
        <f>IF(H46=0,IF(F46&lt;&gt;"",IF(H46&lt;=0,0,Menu!J31),"")-$O$11,IF(F46&lt;&gt;"",IF(H46&lt;=0,0,Menu!J31),""))</f>
        <v>3.4</v>
      </c>
      <c r="E46" s="1"/>
      <c r="F46" s="1171" t="str">
        <f>Menu!I31</f>
        <v>T18</v>
      </c>
      <c r="G46" s="1172"/>
      <c r="H46" s="623">
        <f>IF(F46&lt;&gt;"",Menu!K31,"")</f>
        <v>58.8</v>
      </c>
      <c r="I46" s="623">
        <f t="shared" si="8"/>
        <v>3.4</v>
      </c>
      <c r="J46" s="623">
        <f t="shared" si="1"/>
        <v>1.4667732773938802</v>
      </c>
      <c r="K46" s="873">
        <f t="shared" si="2"/>
        <v>4.548170578542944</v>
      </c>
      <c r="L46" s="873">
        <f t="shared" si="3"/>
        <v>3.411127933907208</v>
      </c>
      <c r="M46" s="873">
        <f>IF(J46&lt;&gt;"",Menu!M31,"")</f>
        <v>70.844999999999999</v>
      </c>
      <c r="N46" s="873">
        <f>IF(J46&lt;&gt;"",Menu!N31,"")</f>
        <v>27.35</v>
      </c>
      <c r="O46" s="1173">
        <f t="shared" si="4"/>
        <v>217.68681431551167</v>
      </c>
      <c r="P46" s="1173"/>
      <c r="Q46" s="1173">
        <f t="shared" si="5"/>
        <v>563.87650311453103</v>
      </c>
      <c r="R46" s="1173"/>
      <c r="S46" s="458">
        <f t="shared" si="6"/>
        <v>-217.68681431551167</v>
      </c>
      <c r="T46" s="886">
        <f t="shared" si="7"/>
        <v>-563.87650311453103</v>
      </c>
      <c r="U46" s="886"/>
      <c r="V46" s="873">
        <v>233.3816885487764</v>
      </c>
      <c r="W46" s="873">
        <v>604.53110512753426</v>
      </c>
      <c r="X46" s="873"/>
    </row>
    <row r="47" spans="1:24" s="458" customFormat="1" ht="15" customHeight="1">
      <c r="A47" s="457">
        <f t="shared" si="0"/>
        <v>1</v>
      </c>
      <c r="D47" s="623">
        <f>IF(H47=0,IF(F47&lt;&gt;"",IF(H47&lt;=0,0,Menu!J32),"")-$O$11,IF(F47&lt;&gt;"",IF(H47&lt;=0,0,Menu!J32),""))</f>
        <v>3.4</v>
      </c>
      <c r="E47" s="1"/>
      <c r="F47" s="1171" t="str">
        <f>Menu!I32</f>
        <v>T17</v>
      </c>
      <c r="G47" s="1172"/>
      <c r="H47" s="623">
        <f>IF(F47&lt;&gt;"",Menu!K32,"")</f>
        <v>55.4</v>
      </c>
      <c r="I47" s="623">
        <f t="shared" si="8"/>
        <v>3.4</v>
      </c>
      <c r="J47" s="623">
        <f t="shared" si="1"/>
        <v>1.4554299709226242</v>
      </c>
      <c r="K47" s="873">
        <f t="shared" si="2"/>
        <v>4.5129972538368728</v>
      </c>
      <c r="L47" s="873">
        <f t="shared" si="3"/>
        <v>3.3847479403776544</v>
      </c>
      <c r="M47" s="873">
        <f>IF(J47&lt;&gt;"",Menu!M32,"")</f>
        <v>70.844999999999999</v>
      </c>
      <c r="N47" s="873">
        <f>IF(J47&lt;&gt;"",Menu!N32,"")</f>
        <v>27.35</v>
      </c>
      <c r="O47" s="1173">
        <f t="shared" si="4"/>
        <v>216.00333106176734</v>
      </c>
      <c r="P47" s="1173"/>
      <c r="Q47" s="1173">
        <f t="shared" si="5"/>
        <v>559.5157582841282</v>
      </c>
      <c r="R47" s="1173"/>
      <c r="S47" s="458">
        <f t="shared" si="6"/>
        <v>-216.00333106176734</v>
      </c>
      <c r="T47" s="886">
        <f t="shared" si="7"/>
        <v>-559.5157582841282</v>
      </c>
      <c r="U47" s="886"/>
      <c r="V47" s="873">
        <v>230.90565404808805</v>
      </c>
      <c r="W47" s="873">
        <v>598.11740625363063</v>
      </c>
      <c r="X47" s="873"/>
    </row>
    <row r="48" spans="1:24" s="463" customFormat="1" ht="15" customHeight="1">
      <c r="A48" s="462">
        <f t="shared" si="0"/>
        <v>1</v>
      </c>
      <c r="D48" s="623">
        <f>IF(H48=0,IF(F48&lt;&gt;"",IF(H48&lt;=0,0,Menu!J33),"")-$O$11,IF(F48&lt;&gt;"",IF(H48&lt;=0,0,Menu!J33),""))</f>
        <v>3.4</v>
      </c>
      <c r="E48" s="515"/>
      <c r="F48" s="1171" t="str">
        <f>Menu!I33</f>
        <v>T16</v>
      </c>
      <c r="G48" s="1172"/>
      <c r="H48" s="623">
        <f>IF(F48&lt;&gt;"",Menu!K33,"")</f>
        <v>52</v>
      </c>
      <c r="I48" s="623">
        <f t="shared" si="8"/>
        <v>3.4</v>
      </c>
      <c r="J48" s="623">
        <f t="shared" si="1"/>
        <v>1.4434714280804195</v>
      </c>
      <c r="K48" s="873">
        <f t="shared" si="2"/>
        <v>4.4759162041917646</v>
      </c>
      <c r="L48" s="873">
        <f t="shared" si="3"/>
        <v>3.3569371531438232</v>
      </c>
      <c r="M48" s="873">
        <f>IF(J48&lt;&gt;"",Menu!M33,"")</f>
        <v>70.844999999999999</v>
      </c>
      <c r="N48" s="873">
        <f>IF(J48&lt;&gt;"",Menu!N33,"")</f>
        <v>27.35</v>
      </c>
      <c r="O48" s="1173">
        <f t="shared" si="4"/>
        <v>214.22853932312833</v>
      </c>
      <c r="P48" s="1173"/>
      <c r="Q48" s="1173">
        <f t="shared" si="5"/>
        <v>554.91849610043971</v>
      </c>
      <c r="R48" s="1173"/>
      <c r="S48" s="458">
        <f t="shared" si="6"/>
        <v>-214.22853932312833</v>
      </c>
      <c r="T48" s="886">
        <f t="shared" si="7"/>
        <v>-554.91849610043971</v>
      </c>
      <c r="U48" s="886"/>
      <c r="V48" s="873">
        <v>228.30312638802931</v>
      </c>
      <c r="W48" s="873">
        <v>591.37605078464117</v>
      </c>
      <c r="X48" s="873"/>
    </row>
    <row r="49" spans="1:24" s="458" customFormat="1" ht="15" customHeight="1">
      <c r="A49" s="457">
        <f t="shared" si="0"/>
        <v>1</v>
      </c>
      <c r="D49" s="623">
        <f>IF(H49=0,IF(F49&lt;&gt;"",IF(H49&lt;=0,0,Menu!J34),"")-$O$11,IF(F49&lt;&gt;"",IF(H49&lt;=0,0,Menu!J34),""))</f>
        <v>3.4</v>
      </c>
      <c r="E49" s="1"/>
      <c r="F49" s="1171" t="str">
        <f>Menu!I34</f>
        <v>T15</v>
      </c>
      <c r="G49" s="1172"/>
      <c r="H49" s="623">
        <f>IF(F49&lt;&gt;"",Menu!K34,"")</f>
        <v>48.6</v>
      </c>
      <c r="I49" s="623">
        <f t="shared" si="8"/>
        <v>3.4</v>
      </c>
      <c r="J49" s="623">
        <f t="shared" si="1"/>
        <v>1.430821038959208</v>
      </c>
      <c r="K49" s="873">
        <f t="shared" si="2"/>
        <v>4.4366898776047119</v>
      </c>
      <c r="L49" s="873">
        <f t="shared" si="3"/>
        <v>3.3275174082035339</v>
      </c>
      <c r="M49" s="873">
        <f>IF(J49&lt;&gt;"",Menu!M34,"")</f>
        <v>70.844999999999999</v>
      </c>
      <c r="N49" s="873">
        <f>IF(J49&lt;&gt;"",Menu!N34,"")</f>
        <v>27.35</v>
      </c>
      <c r="O49" s="1173">
        <f t="shared" si="4"/>
        <v>212.35106926685552</v>
      </c>
      <c r="P49" s="1173"/>
      <c r="Q49" s="1173">
        <f t="shared" si="5"/>
        <v>550.0552651630851</v>
      </c>
      <c r="R49" s="1173"/>
      <c r="S49" s="458">
        <f t="shared" si="6"/>
        <v>-212.35106926685552</v>
      </c>
      <c r="T49" s="886">
        <f t="shared" si="7"/>
        <v>-550.0552651630851</v>
      </c>
      <c r="U49" s="886"/>
      <c r="V49" s="873">
        <v>225.55879392951974</v>
      </c>
      <c r="W49" s="873">
        <v>584.26737681670295</v>
      </c>
      <c r="X49" s="873"/>
    </row>
    <row r="50" spans="1:24" s="458" customFormat="1" ht="15" customHeight="1">
      <c r="A50" s="457">
        <f t="shared" si="0"/>
        <v>1</v>
      </c>
      <c r="D50" s="623">
        <f>IF(H50=0,IF(F50&lt;&gt;"",IF(H50&lt;=0,0,Menu!J35),"")-$O$11,IF(F50&lt;&gt;"",IF(H50&lt;=0,0,Menu!J35),""))</f>
        <v>3.4</v>
      </c>
      <c r="E50" s="1"/>
      <c r="F50" s="1171" t="str">
        <f>Menu!I35</f>
        <v>T14</v>
      </c>
      <c r="G50" s="1172"/>
      <c r="H50" s="623">
        <f>IF(F50&lt;&gt;"",Menu!K35,"")</f>
        <v>45.2</v>
      </c>
      <c r="I50" s="623">
        <f t="shared" si="8"/>
        <v>3.4</v>
      </c>
      <c r="J50" s="623">
        <f t="shared" si="1"/>
        <v>1.4173864950943977</v>
      </c>
      <c r="K50" s="873">
        <f t="shared" si="2"/>
        <v>4.3950320439887083</v>
      </c>
      <c r="L50" s="873">
        <f t="shared" si="3"/>
        <v>3.2962740329915317</v>
      </c>
      <c r="M50" s="873">
        <f>IF(J50&lt;&gt;"",Menu!M35,"")</f>
        <v>70.844999999999999</v>
      </c>
      <c r="N50" s="873">
        <f>IF(J50&lt;&gt;"",Menu!N35,"")</f>
        <v>27.35</v>
      </c>
      <c r="O50" s="1173">
        <f t="shared" si="4"/>
        <v>210.35722120540959</v>
      </c>
      <c r="P50" s="1173"/>
      <c r="Q50" s="1173">
        <f t="shared" si="5"/>
        <v>544.89057902366505</v>
      </c>
      <c r="R50" s="1173"/>
      <c r="S50" s="458">
        <f t="shared" si="6"/>
        <v>-210.35722120540959</v>
      </c>
      <c r="T50" s="886">
        <f t="shared" si="7"/>
        <v>-544.89057902366505</v>
      </c>
      <c r="U50" s="886"/>
      <c r="V50" s="873">
        <v>222.6542665116182</v>
      </c>
      <c r="W50" s="873">
        <v>576.74374811757184</v>
      </c>
      <c r="X50" s="873"/>
    </row>
    <row r="51" spans="1:24" s="458" customFormat="1" ht="15" customHeight="1">
      <c r="A51" s="457">
        <f t="shared" si="0"/>
        <v>1</v>
      </c>
      <c r="D51" s="623">
        <f>IF(H51=0,IF(F51&lt;&gt;"",IF(H51&lt;=0,0,Menu!J36),"")-$O$11,IF(F51&lt;&gt;"",IF(H51&lt;=0,0,Menu!J36),""))</f>
        <v>3.4</v>
      </c>
      <c r="E51" s="1"/>
      <c r="F51" s="1171" t="str">
        <f>Menu!I36</f>
        <v>T13</v>
      </c>
      <c r="G51" s="1172"/>
      <c r="H51" s="623">
        <f>IF(F51&lt;&gt;"",Menu!K36,"")</f>
        <v>41.8</v>
      </c>
      <c r="I51" s="623">
        <f t="shared" si="8"/>
        <v>3.4</v>
      </c>
      <c r="J51" s="623">
        <f t="shared" si="1"/>
        <v>1.4030551147272099</v>
      </c>
      <c r="K51" s="873">
        <f t="shared" si="2"/>
        <v>4.3505932997461336</v>
      </c>
      <c r="L51" s="873">
        <f t="shared" si="3"/>
        <v>3.2629449748095993</v>
      </c>
      <c r="M51" s="873">
        <f>IF(J51&lt;&gt;"",Menu!M36,"")</f>
        <v>70.844999999999999</v>
      </c>
      <c r="N51" s="873">
        <f>IF(J51&lt;&gt;"",Menu!N36,"")</f>
        <v>27.35</v>
      </c>
      <c r="O51" s="1173">
        <f t="shared" si="4"/>
        <v>208.23027180909932</v>
      </c>
      <c r="P51" s="1173"/>
      <c r="Q51" s="1173">
        <f t="shared" si="5"/>
        <v>539.38111906090091</v>
      </c>
      <c r="R51" s="1173"/>
      <c r="S51" s="458">
        <f t="shared" si="6"/>
        <v>-208.23027180909932</v>
      </c>
      <c r="T51" s="886">
        <f t="shared" si="7"/>
        <v>-539.38111906090091</v>
      </c>
      <c r="U51" s="886"/>
      <c r="V51" s="873">
        <v>219.56717202441064</v>
      </c>
      <c r="W51" s="873">
        <v>568.74721396962968</v>
      </c>
      <c r="X51" s="873"/>
    </row>
    <row r="52" spans="1:24" s="458" customFormat="1" ht="15" customHeight="1">
      <c r="A52" s="457">
        <f t="shared" si="0"/>
        <v>1</v>
      </c>
      <c r="D52" s="623">
        <f>IF(H52=0,IF(F52&lt;&gt;"",IF(H52&lt;=0,0,Menu!J37),"")-$O$11,IF(F52&lt;&gt;"",IF(H52&lt;=0,0,Menu!J37),""))</f>
        <v>3.4</v>
      </c>
      <c r="E52" s="1"/>
      <c r="F52" s="1171" t="str">
        <f>Menu!I37</f>
        <v>T12</v>
      </c>
      <c r="G52" s="1172"/>
      <c r="H52" s="623">
        <f>IF(F52&lt;&gt;"",Menu!K37,"")</f>
        <v>38.4</v>
      </c>
      <c r="I52" s="623">
        <f t="shared" si="8"/>
        <v>3.4</v>
      </c>
      <c r="J52" s="623">
        <f t="shared" si="1"/>
        <v>1.3876872688235908</v>
      </c>
      <c r="K52" s="873">
        <f t="shared" si="2"/>
        <v>4.30294068316819</v>
      </c>
      <c r="L52" s="873">
        <f t="shared" si="3"/>
        <v>3.2272055123761425</v>
      </c>
      <c r="M52" s="873">
        <f>IF(J52&lt;&gt;"",Menu!M37,"")</f>
        <v>70.844999999999999</v>
      </c>
      <c r="N52" s="873">
        <f>IF(J52&lt;&gt;"",Menu!N37,"")</f>
        <v>27.35</v>
      </c>
      <c r="O52" s="1173">
        <f t="shared" si="4"/>
        <v>205.94949844813752</v>
      </c>
      <c r="P52" s="1173"/>
      <c r="Q52" s="1173">
        <f t="shared" si="5"/>
        <v>533.47320722333825</v>
      </c>
      <c r="R52" s="1173"/>
      <c r="S52" s="458">
        <f t="shared" si="6"/>
        <v>-205.94949844813752</v>
      </c>
      <c r="T52" s="886">
        <f t="shared" si="7"/>
        <v>-533.47320722333825</v>
      </c>
      <c r="U52" s="886"/>
      <c r="V52" s="873">
        <v>216.2698903523854</v>
      </c>
      <c r="W52" s="873">
        <v>560.20622968975294</v>
      </c>
      <c r="X52" s="873"/>
    </row>
    <row r="53" spans="1:24" s="458" customFormat="1" ht="15" customHeight="1">
      <c r="A53" s="457">
        <f t="shared" si="0"/>
        <v>1</v>
      </c>
      <c r="D53" s="623">
        <f>IF(H53=0,IF(F53&lt;&gt;"",IF(H53&lt;=0,0,Menu!J38),"")-$O$11,IF(F53&lt;&gt;"",IF(H53&lt;=0,0,Menu!J38),""))</f>
        <v>3.4</v>
      </c>
      <c r="E53" s="1"/>
      <c r="F53" s="1171" t="str">
        <f>Menu!I38</f>
        <v>T11</v>
      </c>
      <c r="G53" s="1172"/>
      <c r="H53" s="623">
        <f>IF(F53&lt;&gt;"",Menu!K38,"")</f>
        <v>35</v>
      </c>
      <c r="I53" s="623">
        <f t="shared" si="8"/>
        <v>3.4</v>
      </c>
      <c r="J53" s="623">
        <f t="shared" si="1"/>
        <v>1.3711068922594736</v>
      </c>
      <c r="K53" s="873">
        <f t="shared" si="2"/>
        <v>4.2515282515181756</v>
      </c>
      <c r="L53" s="873">
        <f t="shared" si="3"/>
        <v>3.1886461886386313</v>
      </c>
      <c r="M53" s="873">
        <f>IF(J53&lt;&gt;"",Menu!M38,"")</f>
        <v>70.844999999999999</v>
      </c>
      <c r="N53" s="873">
        <f>IF(J53&lt;&gt;"",Menu!N38,"")</f>
        <v>27.35</v>
      </c>
      <c r="O53" s="1173">
        <f t="shared" si="4"/>
        <v>203.48877093828867</v>
      </c>
      <c r="P53" s="1173"/>
      <c r="Q53" s="1173">
        <f t="shared" si="5"/>
        <v>527.09915821290895</v>
      </c>
      <c r="R53" s="1173"/>
      <c r="S53" s="458">
        <f t="shared" si="6"/>
        <v>-203.48877093828867</v>
      </c>
      <c r="T53" s="886">
        <f t="shared" si="7"/>
        <v>-527.09915821290895</v>
      </c>
      <c r="U53" s="886"/>
      <c r="V53" s="873">
        <v>212.72773280410129</v>
      </c>
      <c r="W53" s="873">
        <v>551.0309407863457</v>
      </c>
      <c r="X53" s="873"/>
    </row>
    <row r="54" spans="1:24" s="458" customFormat="1" ht="15" customHeight="1">
      <c r="A54" s="457">
        <f t="shared" si="0"/>
        <v>1</v>
      </c>
      <c r="D54" s="623">
        <f>IF(H54=0,IF(F54&lt;&gt;"",IF(H54&lt;=0,0,Menu!J39),"")-$O$11,IF(F54&lt;&gt;"",IF(H54&lt;=0,0,Menu!J39),""))</f>
        <v>3.4</v>
      </c>
      <c r="E54" s="1"/>
      <c r="F54" s="1171" t="str">
        <f>Menu!I39</f>
        <v>T10</v>
      </c>
      <c r="G54" s="1172"/>
      <c r="H54" s="623">
        <f>IF(F54&lt;&gt;"",Menu!K39,"")</f>
        <v>31.6</v>
      </c>
      <c r="I54" s="623">
        <f t="shared" si="8"/>
        <v>3.4</v>
      </c>
      <c r="J54" s="623">
        <f t="shared" si="1"/>
        <v>1.3530873645921921</v>
      </c>
      <c r="K54" s="873">
        <f t="shared" si="2"/>
        <v>4.1956533001274696</v>
      </c>
      <c r="L54" s="873">
        <f t="shared" si="3"/>
        <v>3.1467399750956018</v>
      </c>
      <c r="M54" s="873">
        <f>IF(J54&lt;&gt;"",Menu!M39,"")</f>
        <v>70.844999999999999</v>
      </c>
      <c r="N54" s="873">
        <f>IF(J54&lt;&gt;"",Menu!N39,"")</f>
        <v>27.35</v>
      </c>
      <c r="O54" s="1173">
        <f t="shared" si="4"/>
        <v>200.81445607735102</v>
      </c>
      <c r="P54" s="1173"/>
      <c r="Q54" s="1173">
        <f t="shared" si="5"/>
        <v>520.17185158317852</v>
      </c>
      <c r="R54" s="1173"/>
      <c r="S54" s="458">
        <f t="shared" ref="S54:S64" si="9">O54*-1</f>
        <v>-200.81445607735102</v>
      </c>
      <c r="T54" s="886">
        <f t="shared" ref="T54:T64" si="10">Q54*-1</f>
        <v>-520.17185158317852</v>
      </c>
      <c r="V54" s="873">
        <v>208.89624413221094</v>
      </c>
      <c r="W54" s="873">
        <v>541.10619435270507</v>
      </c>
      <c r="X54" s="873"/>
    </row>
    <row r="55" spans="1:24" s="458" customFormat="1" ht="15" customHeight="1">
      <c r="A55" s="457">
        <f t="shared" si="0"/>
        <v>1</v>
      </c>
      <c r="D55" s="623">
        <f>IF(H55=0,IF(F55&lt;&gt;"",IF(H55&lt;=0,0,Menu!J40),"")-$O$11,IF(F55&lt;&gt;"",IF(H55&lt;=0,0,Menu!J40),""))</f>
        <v>3.4</v>
      </c>
      <c r="E55" s="1"/>
      <c r="F55" s="1171" t="str">
        <f>Menu!I40</f>
        <v>T9</v>
      </c>
      <c r="G55" s="1172"/>
      <c r="H55" s="623">
        <f>IF(F55&lt;&gt;"",Menu!K40,"")</f>
        <v>28.2</v>
      </c>
      <c r="I55" s="623">
        <f t="shared" si="8"/>
        <v>3.4</v>
      </c>
      <c r="J55" s="623">
        <f t="shared" si="1"/>
        <v>1.3333297297823201</v>
      </c>
      <c r="K55" s="873">
        <f t="shared" si="2"/>
        <v>4.134388826109018</v>
      </c>
      <c r="L55" s="873">
        <f t="shared" si="3"/>
        <v>3.1007916195817637</v>
      </c>
      <c r="M55" s="873">
        <f>IF(J55&lt;&gt;"",Menu!M40,"")</f>
        <v>70.844999999999999</v>
      </c>
      <c r="N55" s="873">
        <f>IF(J55&lt;&gt;"",Menu!N40,"")</f>
        <v>27.35</v>
      </c>
      <c r="O55" s="1173">
        <f t="shared" si="4"/>
        <v>197.88218518964288</v>
      </c>
      <c r="P55" s="1173"/>
      <c r="Q55" s="1173">
        <f t="shared" si="5"/>
        <v>512.57635867496344</v>
      </c>
      <c r="R55" s="1173"/>
      <c r="S55" s="458">
        <f t="shared" si="9"/>
        <v>-197.88218518964288</v>
      </c>
      <c r="T55" s="886">
        <f t="shared" si="10"/>
        <v>-512.57635867496344</v>
      </c>
      <c r="V55" s="873">
        <v>204.7170591203778</v>
      </c>
      <c r="W55" s="873">
        <v>530.28080633942102</v>
      </c>
      <c r="X55" s="873"/>
    </row>
    <row r="56" spans="1:24" s="458" customFormat="1" ht="15" customHeight="1">
      <c r="A56" s="457">
        <f t="shared" ref="A56:A87" si="11">IF(F56="","",1)</f>
        <v>1</v>
      </c>
      <c r="D56" s="623">
        <f>IF(H56=0,IF(F56&lt;&gt;"",IF(H56&lt;=0,0,Menu!J41),"")-$O$11,IF(F56&lt;&gt;"",IF(H56&lt;=0,0,Menu!J41),""))</f>
        <v>3.4</v>
      </c>
      <c r="E56" s="1"/>
      <c r="F56" s="1171" t="str">
        <f>Menu!I41</f>
        <v>T8</v>
      </c>
      <c r="G56" s="1172"/>
      <c r="H56" s="623">
        <f>IF(F56&lt;&gt;"",Menu!K41,"")</f>
        <v>24.8</v>
      </c>
      <c r="I56" s="623">
        <f t="shared" si="8"/>
        <v>3.4</v>
      </c>
      <c r="J56" s="623">
        <f t="shared" si="1"/>
        <v>1.3114276074128006</v>
      </c>
      <c r="K56" s="873">
        <f t="shared" si="2"/>
        <v>4.0664747250656124</v>
      </c>
      <c r="L56" s="873">
        <f t="shared" si="3"/>
        <v>3.0498560437992093</v>
      </c>
      <c r="M56" s="873">
        <f>IF(J56&lt;&gt;"",Menu!M41,"")</f>
        <v>70.844999999999999</v>
      </c>
      <c r="N56" s="873">
        <f>IF(J56&lt;&gt;"",Menu!N41,"")</f>
        <v>27.35</v>
      </c>
      <c r="O56" s="1173">
        <f t="shared" si="4"/>
        <v>194.6316465284529</v>
      </c>
      <c r="P56" s="1173"/>
      <c r="Q56" s="1173">
        <f t="shared" si="5"/>
        <v>504.15645332022831</v>
      </c>
      <c r="R56" s="1173"/>
      <c r="S56" s="458">
        <f t="shared" si="9"/>
        <v>-194.6316465284529</v>
      </c>
      <c r="T56" s="886">
        <f t="shared" si="10"/>
        <v>-504.15645332022831</v>
      </c>
      <c r="V56" s="873">
        <v>200.11126011519738</v>
      </c>
      <c r="W56" s="873">
        <v>518.35035549766576</v>
      </c>
      <c r="X56" s="873"/>
    </row>
    <row r="57" spans="1:24" s="458" customFormat="1" ht="15" customHeight="1">
      <c r="A57" s="457">
        <f t="shared" si="11"/>
        <v>1</v>
      </c>
      <c r="D57" s="623">
        <f>IF(H57=0,IF(F57&lt;&gt;"",IF(H57&lt;=0,0,Menu!J42),"")-$O$11,IF(F57&lt;&gt;"",IF(H57&lt;=0,0,Menu!J42),""))</f>
        <v>3.4</v>
      </c>
      <c r="E57" s="1"/>
      <c r="F57" s="1171" t="str">
        <f>Menu!I42</f>
        <v>T7</v>
      </c>
      <c r="G57" s="1172"/>
      <c r="H57" s="623">
        <f>IF(F57&lt;&gt;"",Menu!K42,"")</f>
        <v>21.4</v>
      </c>
      <c r="I57" s="623">
        <f t="shared" si="8"/>
        <v>3.4</v>
      </c>
      <c r="J57" s="623">
        <f t="shared" si="1"/>
        <v>1.2868075648542212</v>
      </c>
      <c r="K57" s="873">
        <f t="shared" si="2"/>
        <v>3.990132897099969</v>
      </c>
      <c r="L57" s="873">
        <f t="shared" si="3"/>
        <v>2.9925996728249773</v>
      </c>
      <c r="M57" s="873">
        <f>IF(J57&lt;&gt;"",Menu!M42,"")</f>
        <v>70.844999999999999</v>
      </c>
      <c r="N57" s="873">
        <f>IF(J57&lt;&gt;"",Menu!N42,"")</f>
        <v>27.35</v>
      </c>
      <c r="O57" s="1173">
        <f t="shared" si="4"/>
        <v>190.9777357874473</v>
      </c>
      <c r="P57" s="1173"/>
      <c r="Q57" s="1173">
        <f t="shared" si="5"/>
        <v>494.69168891633285</v>
      </c>
      <c r="R57" s="1173"/>
      <c r="S57" s="458">
        <f t="shared" si="9"/>
        <v>-190.9777357874473</v>
      </c>
      <c r="T57" s="886">
        <f t="shared" si="10"/>
        <v>-494.69168891633285</v>
      </c>
      <c r="V57" s="873">
        <v>194.96815097305742</v>
      </c>
      <c r="W57" s="873">
        <v>505.02810441266007</v>
      </c>
      <c r="X57" s="873"/>
    </row>
    <row r="58" spans="1:24" s="458" customFormat="1" ht="15" customHeight="1">
      <c r="A58" s="457">
        <f t="shared" si="11"/>
        <v>1</v>
      </c>
      <c r="D58" s="623">
        <f>IF(H58=0,IF(F58&lt;&gt;"",IF(H58&lt;=0,0,Menu!J43),"")-$O$11,IF(F58&lt;&gt;"",IF(H58&lt;=0,0,Menu!J43),""))</f>
        <v>3.4</v>
      </c>
      <c r="E58" s="1"/>
      <c r="F58" s="1171" t="str">
        <f>Menu!I43</f>
        <v>T6</v>
      </c>
      <c r="G58" s="1172"/>
      <c r="H58" s="623">
        <f>IF(F58&lt;&gt;"",Menu!K43,"")</f>
        <v>18</v>
      </c>
      <c r="I58" s="623">
        <f t="shared" si="8"/>
        <v>3.4</v>
      </c>
      <c r="J58" s="623">
        <f t="shared" si="1"/>
        <v>1.2586207315082181</v>
      </c>
      <c r="K58" s="873">
        <f t="shared" si="2"/>
        <v>3.9027311642606826</v>
      </c>
      <c r="L58" s="873">
        <f t="shared" si="3"/>
        <v>2.9270483731955119</v>
      </c>
      <c r="M58" s="873">
        <f>IF(J58&lt;&gt;"",Menu!M43,"")</f>
        <v>70.844999999999999</v>
      </c>
      <c r="N58" s="873">
        <f>IF(J58&lt;&gt;"",Menu!N43,"")</f>
        <v>27.35</v>
      </c>
      <c r="O58" s="1173">
        <f t="shared" si="4"/>
        <v>186.79447034942692</v>
      </c>
      <c r="P58" s="1173"/>
      <c r="Q58" s="1173">
        <f t="shared" si="5"/>
        <v>483.85573133108409</v>
      </c>
      <c r="R58" s="1173"/>
      <c r="S58" s="458">
        <f t="shared" si="9"/>
        <v>-186.79447034942692</v>
      </c>
      <c r="T58" s="886">
        <f t="shared" si="10"/>
        <v>-483.85573133108409</v>
      </c>
      <c r="V58" s="873">
        <v>189.12497802515875</v>
      </c>
      <c r="W58" s="873">
        <v>489.89247050063511</v>
      </c>
      <c r="X58" s="873"/>
    </row>
    <row r="59" spans="1:24" s="458" customFormat="1" ht="15" customHeight="1">
      <c r="A59" s="457">
        <f t="shared" si="11"/>
        <v>1</v>
      </c>
      <c r="D59" s="623">
        <f>IF(H59=0,IF(F59&lt;&gt;"",IF(H59&lt;=0,0,Menu!J44),"")-$O$11,IF(F59&lt;&gt;"",IF(H59&lt;=0,0,Menu!J44),""))</f>
        <v>3.4</v>
      </c>
      <c r="E59" s="1"/>
      <c r="F59" s="1171" t="str">
        <f>Menu!I44</f>
        <v>T5</v>
      </c>
      <c r="G59" s="1172"/>
      <c r="H59" s="623">
        <f>IF(F59&lt;&gt;"",Menu!K44,"")</f>
        <v>14.6</v>
      </c>
      <c r="I59" s="623">
        <f t="shared" si="8"/>
        <v>3.4</v>
      </c>
      <c r="J59" s="623">
        <f t="shared" si="1"/>
        <v>1.2255276790081922</v>
      </c>
      <c r="K59" s="873">
        <f t="shared" si="2"/>
        <v>3.8001162270686017</v>
      </c>
      <c r="L59" s="873">
        <f t="shared" si="3"/>
        <v>2.8500871703014514</v>
      </c>
      <c r="M59" s="873">
        <f>IF(J59&lt;&gt;"",Menu!M44,"")</f>
        <v>70.844999999999999</v>
      </c>
      <c r="N59" s="873">
        <f>IF(J59&lt;&gt;"",Menu!N44,"")</f>
        <v>27.35</v>
      </c>
      <c r="O59" s="1173">
        <f t="shared" si="4"/>
        <v>181.88306291807095</v>
      </c>
      <c r="P59" s="1173"/>
      <c r="Q59" s="1173">
        <f t="shared" si="5"/>
        <v>471.13365968668137</v>
      </c>
      <c r="R59" s="1173"/>
      <c r="S59" s="458">
        <f t="shared" si="9"/>
        <v>-181.88306291807095</v>
      </c>
      <c r="T59" s="886">
        <f t="shared" si="10"/>
        <v>-471.13365968668137</v>
      </c>
      <c r="V59" s="873">
        <v>182.32697009840382</v>
      </c>
      <c r="W59" s="873">
        <v>472.28351724392752</v>
      </c>
      <c r="X59" s="873"/>
    </row>
    <row r="60" spans="1:24" s="458" customFormat="1" ht="15" customHeight="1">
      <c r="A60" s="457">
        <f t="shared" si="11"/>
        <v>1</v>
      </c>
      <c r="D60" s="623">
        <f>IF(H60=0,IF(F60&lt;&gt;"",IF(H60&lt;=0,0,Menu!J45),"")-$O$11,IF(F60&lt;&gt;"",IF(H60&lt;=0,0,Menu!J45),""))</f>
        <v>3.4</v>
      </c>
      <c r="E60" s="1"/>
      <c r="F60" s="1171" t="str">
        <f>Menu!I45</f>
        <v>T4</v>
      </c>
      <c r="G60" s="1172"/>
      <c r="H60" s="623">
        <f>IF(F60&lt;&gt;"",Menu!K45,"")</f>
        <v>11.2</v>
      </c>
      <c r="I60" s="623">
        <f t="shared" si="8"/>
        <v>3.4</v>
      </c>
      <c r="J60" s="623">
        <f t="shared" si="1"/>
        <v>1.1852168173488278</v>
      </c>
      <c r="K60" s="873">
        <f t="shared" si="2"/>
        <v>3.6751203072352454</v>
      </c>
      <c r="L60" s="873">
        <f t="shared" si="3"/>
        <v>2.7563402304264337</v>
      </c>
      <c r="M60" s="873">
        <f>IF(J60&lt;&gt;"",Menu!M45,"")</f>
        <v>70.844999999999999</v>
      </c>
      <c r="N60" s="873">
        <f>IF(J60&lt;&gt;"",Menu!N45,"")</f>
        <v>27.35</v>
      </c>
      <c r="O60" s="1173">
        <f t="shared" si="4"/>
        <v>175.90044570504693</v>
      </c>
      <c r="P60" s="1173"/>
      <c r="Q60" s="1173">
        <f t="shared" si="5"/>
        <v>455.63682179064165</v>
      </c>
      <c r="R60" s="1173"/>
      <c r="S60" s="458">
        <f t="shared" si="9"/>
        <v>-175.90044570504693</v>
      </c>
      <c r="T60" s="886">
        <f t="shared" si="10"/>
        <v>-455.63682179064165</v>
      </c>
      <c r="V60" s="873">
        <v>174.13864355110931</v>
      </c>
      <c r="W60" s="873">
        <v>451.0732066683122</v>
      </c>
      <c r="X60" s="873"/>
    </row>
    <row r="61" spans="1:24" s="458" customFormat="1" ht="15" customHeight="1">
      <c r="A61" s="457">
        <f t="shared" si="11"/>
        <v>1</v>
      </c>
      <c r="D61" s="623">
        <f>IF(H61=0,IF(F61&lt;&gt;"",IF(H61&lt;=0,0,Menu!J46),"")-$O$11,IF(F61&lt;&gt;"",IF(H61&lt;=0,0,Menu!J46),""))</f>
        <v>3.4</v>
      </c>
      <c r="E61" s="1"/>
      <c r="F61" s="1171" t="str">
        <f>Menu!I46</f>
        <v>T3</v>
      </c>
      <c r="G61" s="1172"/>
      <c r="H61" s="623">
        <f>IF(F61&lt;&gt;"",Menu!K46,"")</f>
        <v>7.8</v>
      </c>
      <c r="I61" s="623">
        <f t="shared" si="8"/>
        <v>3.4</v>
      </c>
      <c r="J61" s="623">
        <f t="shared" si="1"/>
        <v>1.1331170178457686</v>
      </c>
      <c r="K61" s="873">
        <f t="shared" si="2"/>
        <v>3.5135692489361592</v>
      </c>
      <c r="L61" s="873">
        <f t="shared" si="3"/>
        <v>2.6351769367021194</v>
      </c>
      <c r="M61" s="873">
        <f>IF(J61&lt;&gt;"",Menu!M46,"")</f>
        <v>70.844999999999999</v>
      </c>
      <c r="N61" s="873">
        <f>IF(J61&lt;&gt;"",Menu!N46,"")</f>
        <v>27.35</v>
      </c>
      <c r="O61" s="1173">
        <f t="shared" si="4"/>
        <v>168.16820817720694</v>
      </c>
      <c r="P61" s="1173"/>
      <c r="Q61" s="1173">
        <f t="shared" si="5"/>
        <v>435.60792352154385</v>
      </c>
      <c r="R61" s="1173"/>
      <c r="S61" s="458">
        <f t="shared" si="9"/>
        <v>-168.16820817720694</v>
      </c>
      <c r="T61" s="886">
        <f t="shared" si="10"/>
        <v>-435.60792352154385</v>
      </c>
      <c r="V61" s="873">
        <v>163.70925256988957</v>
      </c>
      <c r="W61" s="873">
        <v>424.05784271714174</v>
      </c>
      <c r="X61" s="873"/>
    </row>
    <row r="62" spans="1:24" s="458" customFormat="1" ht="15" customHeight="1">
      <c r="A62" s="457">
        <f t="shared" si="11"/>
        <v>1</v>
      </c>
      <c r="D62" s="623">
        <f>IF(H62=0,IF(F62&lt;&gt;"",IF(H62&lt;=0,0,Menu!J47),"")-$O$11,IF(F62&lt;&gt;"",IF(H62&lt;=0,0,Menu!J47),""))</f>
        <v>4.4000000000000004</v>
      </c>
      <c r="E62" s="1"/>
      <c r="F62" s="1171" t="str">
        <f>Menu!I47</f>
        <v>T2</v>
      </c>
      <c r="G62" s="1172"/>
      <c r="H62" s="623">
        <f>IF(F62&lt;&gt;"",Menu!K47,"")</f>
        <v>4.4000000000000004</v>
      </c>
      <c r="I62" s="623">
        <f t="shared" si="8"/>
        <v>3.9000000000000004</v>
      </c>
      <c r="J62" s="623">
        <f t="shared" si="1"/>
        <v>1.0577690757154821</v>
      </c>
      <c r="K62" s="873">
        <f t="shared" si="2"/>
        <v>3.7622730485048272</v>
      </c>
      <c r="L62" s="873">
        <f t="shared" si="3"/>
        <v>2.82170478637862</v>
      </c>
      <c r="M62" s="873">
        <f>IF(J62&lt;&gt;"",Menu!M47,"")</f>
        <v>70.844999999999999</v>
      </c>
      <c r="N62" s="873">
        <f>IF(J62&lt;&gt;"",Menu!N47,"")</f>
        <v>27.35</v>
      </c>
      <c r="O62" s="1173">
        <f t="shared" si="4"/>
        <v>180.07179378406227</v>
      </c>
      <c r="P62" s="1173"/>
      <c r="Q62" s="1173">
        <f t="shared" si="5"/>
        <v>466.44190971231779</v>
      </c>
      <c r="R62" s="1173"/>
      <c r="S62" s="458">
        <f t="shared" si="9"/>
        <v>-180.07179378406227</v>
      </c>
      <c r="T62" s="886">
        <f t="shared" si="10"/>
        <v>-466.44190971231779</v>
      </c>
      <c r="V62" s="481">
        <v>170.84513679892856</v>
      </c>
      <c r="W62" s="873">
        <v>442.54200060402536</v>
      </c>
      <c r="X62" s="873"/>
    </row>
    <row r="63" spans="1:24" s="458" customFormat="1" ht="15" customHeight="1">
      <c r="A63" s="457">
        <f t="shared" si="11"/>
        <v>1</v>
      </c>
      <c r="D63" s="623">
        <f>IF(H63=0,IF(F63&lt;&gt;"",IF(H63&lt;=0,0,Menu!J48),"")-$O$11,IF(F63&lt;&gt;"",IF(H63&lt;=0,0,Menu!J48),""))</f>
        <v>0.55000000000000004</v>
      </c>
      <c r="E63" s="1"/>
      <c r="F63" s="1171" t="str">
        <f>Menu!I48</f>
        <v>T1</v>
      </c>
      <c r="G63" s="1172"/>
      <c r="H63" s="623">
        <f>IF(F63&lt;&gt;"",Menu!K48,"")</f>
        <v>0</v>
      </c>
      <c r="I63" s="623">
        <f t="shared" si="8"/>
        <v>2.4750000000000001</v>
      </c>
      <c r="J63" s="623">
        <f t="shared" si="1"/>
        <v>0.79215934859539738</v>
      </c>
      <c r="K63" s="873">
        <f t="shared" si="2"/>
        <v>1.788062081649531</v>
      </c>
      <c r="L63" s="873">
        <f t="shared" si="3"/>
        <v>1.3410465612371483</v>
      </c>
      <c r="M63" s="873">
        <f>IF(J63&lt;&gt;"",Menu!M48,"")</f>
        <v>70.844999999999999</v>
      </c>
      <c r="N63" s="873">
        <f>IF(J63&lt;&gt;"",Menu!N48,"")</f>
        <v>27.35</v>
      </c>
      <c r="O63" s="1173">
        <f t="shared" si="4"/>
        <v>85.581121382950684</v>
      </c>
      <c r="P63" s="1173"/>
      <c r="Q63" s="1173">
        <f t="shared" si="5"/>
        <v>221.6817018053068</v>
      </c>
      <c r="R63" s="1173"/>
      <c r="S63" s="458">
        <f t="shared" si="9"/>
        <v>-85.581121382950684</v>
      </c>
      <c r="T63" s="886">
        <f t="shared" si="10"/>
        <v>-221.6817018053068</v>
      </c>
      <c r="V63" s="481">
        <v>72.876275910077041</v>
      </c>
      <c r="W63" s="873">
        <v>188.77220354111179</v>
      </c>
      <c r="X63" s="873"/>
    </row>
    <row r="64" spans="1:24" s="458" customFormat="1" ht="15" customHeight="1">
      <c r="A64" s="457">
        <f t="shared" si="11"/>
        <v>1</v>
      </c>
      <c r="D64" s="623">
        <f>IF(H64=0,IF(F64&lt;&gt;"",IF(H64&lt;=0,0,Menu!J49),"")-$O$11,IF(F64&lt;&gt;"",IF(H64&lt;=0,0,Menu!J49),""))</f>
        <v>0</v>
      </c>
      <c r="E64" s="1"/>
      <c r="F64" s="1171" t="str">
        <f>Menu!I49</f>
        <v>B1</v>
      </c>
      <c r="G64" s="1172"/>
      <c r="H64" s="623">
        <f>IF(F64&lt;&gt;"",Menu!K49,"")</f>
        <v>-4.6500000000000004</v>
      </c>
      <c r="I64" s="623">
        <f t="shared" si="8"/>
        <v>0</v>
      </c>
      <c r="J64" s="623" t="str">
        <f t="shared" si="1"/>
        <v/>
      </c>
      <c r="K64" s="873" t="str">
        <f t="shared" si="2"/>
        <v/>
      </c>
      <c r="L64" s="873" t="str">
        <f t="shared" si="3"/>
        <v/>
      </c>
      <c r="M64" s="873" t="str">
        <f>IF(J64&lt;&gt;"",Menu!M49,"")</f>
        <v/>
      </c>
      <c r="N64" s="873" t="str">
        <f>IF(J64&lt;&gt;"",Menu!N49,"")</f>
        <v/>
      </c>
      <c r="O64" s="1173" t="str">
        <f t="shared" si="4"/>
        <v/>
      </c>
      <c r="P64" s="1173"/>
      <c r="Q64" s="1173" t="str">
        <f t="shared" si="5"/>
        <v/>
      </c>
      <c r="R64" s="1173"/>
      <c r="S64" s="458" t="e">
        <f t="shared" si="9"/>
        <v>#VALUE!</v>
      </c>
      <c r="T64" s="886" t="e">
        <f t="shared" si="10"/>
        <v>#VALUE!</v>
      </c>
    </row>
    <row r="65" spans="1:20" s="458" customFormat="1" ht="15" customHeight="1">
      <c r="A65" s="457">
        <f t="shared" si="11"/>
        <v>1</v>
      </c>
      <c r="D65" s="623">
        <f>IF(H65=0,IF(F65&lt;&gt;"",IF(H65&lt;=0,0,Menu!J50),"")-$O$11,IF(F65&lt;&gt;"",IF(H65&lt;=0,0,Menu!J50),""))</f>
        <v>0</v>
      </c>
      <c r="E65" s="1"/>
      <c r="F65" s="1171" t="str">
        <f>Menu!I50</f>
        <v>BASE</v>
      </c>
      <c r="G65" s="1172"/>
      <c r="H65" s="623">
        <f>IF(F65&lt;&gt;"",Menu!K50,"")</f>
        <v>-7.65</v>
      </c>
      <c r="I65" s="623">
        <f t="shared" si="8"/>
        <v>0</v>
      </c>
      <c r="J65" s="623" t="str">
        <f t="shared" si="1"/>
        <v/>
      </c>
      <c r="K65" s="873" t="str">
        <f t="shared" si="2"/>
        <v/>
      </c>
      <c r="L65" s="873" t="str">
        <f t="shared" si="3"/>
        <v/>
      </c>
      <c r="M65" s="873" t="str">
        <f>IF(J65&lt;&gt;"",Menu!M50,"")</f>
        <v/>
      </c>
      <c r="N65" s="873" t="str">
        <f>IF(J65&lt;&gt;"",Menu!N50,"")</f>
        <v/>
      </c>
      <c r="O65" s="1173" t="str">
        <f t="shared" ref="O65:O102" si="12">IF(AND(D65&gt;=0,H65&gt;=0),IF(F65&lt;&gt;"",(K65+L65)*N65,""),"")</f>
        <v/>
      </c>
      <c r="P65" s="1173"/>
      <c r="Q65" s="1173" t="str">
        <f t="shared" si="5"/>
        <v/>
      </c>
      <c r="R65" s="1173"/>
      <c r="T65" s="886"/>
    </row>
    <row r="66" spans="1:20" s="458" customFormat="1" ht="15" customHeight="1">
      <c r="A66" s="457" t="str">
        <f t="shared" si="11"/>
        <v/>
      </c>
      <c r="D66" s="623" t="str">
        <f>IF(H66=0,IF(F66&lt;&gt;"",IF(H66&lt;=0,0,Menu!J51),"")-$O$11,IF(F66&lt;&gt;"",IF(H66&lt;=0,0,Menu!J51),""))</f>
        <v/>
      </c>
      <c r="E66" s="1"/>
      <c r="F66" s="1171" t="str">
        <f>Menu!I51</f>
        <v/>
      </c>
      <c r="G66" s="1172"/>
      <c r="H66" s="623" t="str">
        <f>IF(F66&lt;&gt;"",Menu!K51,"")</f>
        <v/>
      </c>
      <c r="I66" s="623" t="str">
        <f t="shared" si="8"/>
        <v/>
      </c>
      <c r="J66" s="623" t="str">
        <f t="shared" si="1"/>
        <v/>
      </c>
      <c r="K66" s="873" t="str">
        <f t="shared" si="2"/>
        <v/>
      </c>
      <c r="L66" s="873" t="str">
        <f t="shared" si="3"/>
        <v/>
      </c>
      <c r="M66" s="873" t="str">
        <f>IF(J66&lt;&gt;"",Menu!M51,"")</f>
        <v/>
      </c>
      <c r="N66" s="873" t="str">
        <f>IF(J66&lt;&gt;"",Menu!N51,"")</f>
        <v/>
      </c>
      <c r="O66" s="1173" t="str">
        <f t="shared" si="12"/>
        <v/>
      </c>
      <c r="P66" s="1173"/>
      <c r="Q66" s="1173" t="str">
        <f t="shared" si="5"/>
        <v/>
      </c>
      <c r="R66" s="1173"/>
    </row>
    <row r="67" spans="1:20" s="458" customFormat="1" ht="15" customHeight="1">
      <c r="A67" s="457" t="str">
        <f t="shared" si="11"/>
        <v/>
      </c>
      <c r="D67" s="623" t="str">
        <f>IF(H67=0,IF(F67&lt;&gt;"",IF(H67&lt;=0,0,Menu!J52),"")-$O$11,IF(F67&lt;&gt;"",IF(H67&lt;=0,0,Menu!J52),""))</f>
        <v/>
      </c>
      <c r="E67" s="1"/>
      <c r="F67" s="1171" t="str">
        <f>Menu!I52</f>
        <v/>
      </c>
      <c r="G67" s="1172"/>
      <c r="H67" s="623" t="str">
        <f>IF(F67&lt;&gt;"",Menu!K52,"")</f>
        <v/>
      </c>
      <c r="I67" s="623" t="str">
        <f t="shared" si="8"/>
        <v/>
      </c>
      <c r="J67" s="623" t="str">
        <f t="shared" si="1"/>
        <v/>
      </c>
      <c r="K67" s="873" t="str">
        <f t="shared" si="2"/>
        <v/>
      </c>
      <c r="L67" s="873" t="str">
        <f t="shared" si="3"/>
        <v/>
      </c>
      <c r="M67" s="873" t="str">
        <f>IF(J67&lt;&gt;"",Menu!M52,"")</f>
        <v/>
      </c>
      <c r="N67" s="873" t="str">
        <f>IF(J67&lt;&gt;"",Menu!N52,"")</f>
        <v/>
      </c>
      <c r="O67" s="1173" t="str">
        <f t="shared" si="12"/>
        <v/>
      </c>
      <c r="P67" s="1173"/>
      <c r="Q67" s="1173" t="str">
        <f t="shared" si="5"/>
        <v/>
      </c>
      <c r="R67" s="1173"/>
    </row>
    <row r="68" spans="1:20" s="458" customFormat="1" ht="15" customHeight="1">
      <c r="A68" s="457" t="str">
        <f t="shared" si="11"/>
        <v/>
      </c>
      <c r="D68" s="623" t="str">
        <f>IF(H68=0,IF(F68&lt;&gt;"",IF(H68&lt;=0,0,Menu!J53),"")-$O$11,IF(F68&lt;&gt;"",IF(H68&lt;=0,0,Menu!J53),""))</f>
        <v/>
      </c>
      <c r="E68" s="1"/>
      <c r="F68" s="1171" t="str">
        <f>Menu!I53</f>
        <v/>
      </c>
      <c r="G68" s="1172"/>
      <c r="H68" s="623" t="str">
        <f>IF(F68&lt;&gt;"",Menu!K53,"")</f>
        <v/>
      </c>
      <c r="I68" s="623" t="str">
        <f t="shared" si="8"/>
        <v/>
      </c>
      <c r="J68" s="623" t="str">
        <f t="shared" si="1"/>
        <v/>
      </c>
      <c r="K68" s="873" t="str">
        <f t="shared" si="2"/>
        <v/>
      </c>
      <c r="L68" s="873" t="str">
        <f t="shared" si="3"/>
        <v/>
      </c>
      <c r="M68" s="873" t="str">
        <f>IF(J68&lt;&gt;"",Menu!M53,"")</f>
        <v/>
      </c>
      <c r="N68" s="873" t="str">
        <f>IF(J68&lt;&gt;"",Menu!N53,"")</f>
        <v/>
      </c>
      <c r="O68" s="1173" t="str">
        <f t="shared" si="12"/>
        <v/>
      </c>
      <c r="P68" s="1173"/>
      <c r="Q68" s="1173" t="str">
        <f t="shared" si="5"/>
        <v/>
      </c>
      <c r="R68" s="1173"/>
    </row>
    <row r="69" spans="1:20" s="458" customFormat="1" ht="15" customHeight="1">
      <c r="A69" s="457" t="str">
        <f t="shared" si="11"/>
        <v/>
      </c>
      <c r="D69" s="623" t="str">
        <f>IF(H69=0,IF(F69&lt;&gt;"",IF(H69&lt;=0,0,Menu!J54),"")-$O$11,IF(F69&lt;&gt;"",IF(H69&lt;=0,0,Menu!J54),""))</f>
        <v/>
      </c>
      <c r="E69" s="1"/>
      <c r="F69" s="1171" t="str">
        <f>Menu!I54</f>
        <v/>
      </c>
      <c r="G69" s="1172"/>
      <c r="H69" s="623" t="str">
        <f>IF(F69&lt;&gt;"",Menu!K54,"")</f>
        <v/>
      </c>
      <c r="I69" s="623" t="str">
        <f t="shared" si="8"/>
        <v/>
      </c>
      <c r="J69" s="623" t="str">
        <f t="shared" si="1"/>
        <v/>
      </c>
      <c r="K69" s="873" t="str">
        <f t="shared" si="2"/>
        <v/>
      </c>
      <c r="L69" s="873" t="str">
        <f t="shared" si="3"/>
        <v/>
      </c>
      <c r="M69" s="873" t="str">
        <f>IF(J69&lt;&gt;"",Menu!M54,"")</f>
        <v/>
      </c>
      <c r="N69" s="873" t="str">
        <f>IF(J69&lt;&gt;"",Menu!N54,"")</f>
        <v/>
      </c>
      <c r="O69" s="1173" t="str">
        <f t="shared" si="12"/>
        <v/>
      </c>
      <c r="P69" s="1173"/>
      <c r="Q69" s="1173" t="str">
        <f t="shared" si="5"/>
        <v/>
      </c>
      <c r="R69" s="1173"/>
    </row>
    <row r="70" spans="1:20" s="458" customFormat="1" ht="15" customHeight="1">
      <c r="A70" s="457" t="str">
        <f t="shared" si="11"/>
        <v/>
      </c>
      <c r="D70" s="623" t="str">
        <f>IF(H70=0,IF(F70&lt;&gt;"",IF(H70&lt;=0,0,Menu!J55),"")-$O$11,IF(F70&lt;&gt;"",IF(H70&lt;=0,0,Menu!J55),""))</f>
        <v/>
      </c>
      <c r="E70" s="1"/>
      <c r="F70" s="1171" t="str">
        <f>Menu!I55</f>
        <v/>
      </c>
      <c r="G70" s="1172"/>
      <c r="H70" s="623" t="str">
        <f>IF(F70&lt;&gt;"",Menu!K55,"")</f>
        <v/>
      </c>
      <c r="I70" s="623" t="str">
        <f t="shared" si="8"/>
        <v/>
      </c>
      <c r="J70" s="623" t="str">
        <f t="shared" si="1"/>
        <v/>
      </c>
      <c r="K70" s="873" t="str">
        <f t="shared" si="2"/>
        <v/>
      </c>
      <c r="L70" s="873" t="str">
        <f t="shared" si="3"/>
        <v/>
      </c>
      <c r="M70" s="873" t="str">
        <f>IF(J70&lt;&gt;"",Menu!M55,"")</f>
        <v/>
      </c>
      <c r="N70" s="873" t="str">
        <f>IF(J70&lt;&gt;"",Menu!N55,"")</f>
        <v/>
      </c>
      <c r="O70" s="1173" t="str">
        <f t="shared" si="12"/>
        <v/>
      </c>
      <c r="P70" s="1173"/>
      <c r="Q70" s="1173" t="str">
        <f t="shared" si="5"/>
        <v/>
      </c>
      <c r="R70" s="1173"/>
    </row>
    <row r="71" spans="1:20" s="458" customFormat="1" ht="15" customHeight="1">
      <c r="A71" s="457" t="str">
        <f t="shared" si="11"/>
        <v/>
      </c>
      <c r="D71" s="623" t="str">
        <f>IF(H71=0,IF(F71&lt;&gt;"",IF(H71&lt;=0,0,Menu!J56),"")-$O$11,IF(F71&lt;&gt;"",IF(H71&lt;=0,0,Menu!J56),""))</f>
        <v/>
      </c>
      <c r="E71" s="1"/>
      <c r="F71" s="1171" t="str">
        <f>Menu!I56</f>
        <v/>
      </c>
      <c r="G71" s="1172"/>
      <c r="H71" s="623" t="str">
        <f>IF(F71&lt;&gt;"",Menu!K56,"")</f>
        <v/>
      </c>
      <c r="I71" s="623" t="str">
        <f t="shared" si="8"/>
        <v/>
      </c>
      <c r="J71" s="623" t="str">
        <f t="shared" si="1"/>
        <v/>
      </c>
      <c r="K71" s="873" t="str">
        <f t="shared" si="2"/>
        <v/>
      </c>
      <c r="L71" s="873" t="str">
        <f t="shared" si="3"/>
        <v/>
      </c>
      <c r="M71" s="873" t="str">
        <f>IF(J71&lt;&gt;"",Menu!M56,"")</f>
        <v/>
      </c>
      <c r="N71" s="873" t="str">
        <f>IF(J71&lt;&gt;"",Menu!N56,"")</f>
        <v/>
      </c>
      <c r="O71" s="1173" t="str">
        <f t="shared" si="12"/>
        <v/>
      </c>
      <c r="P71" s="1173"/>
      <c r="Q71" s="1173" t="str">
        <f t="shared" si="5"/>
        <v/>
      </c>
      <c r="R71" s="1173"/>
    </row>
    <row r="72" spans="1:20" s="458" customFormat="1" ht="15" customHeight="1">
      <c r="A72" s="457" t="str">
        <f t="shared" si="11"/>
        <v/>
      </c>
      <c r="D72" s="623" t="str">
        <f>IF(H72=0,IF(F72&lt;&gt;"",IF(H72&lt;=0,0,Menu!J57),"")-$O$11,IF(F72&lt;&gt;"",IF(H72&lt;=0,0,Menu!J57),""))</f>
        <v/>
      </c>
      <c r="E72" s="1"/>
      <c r="F72" s="1171" t="str">
        <f>Menu!I57</f>
        <v/>
      </c>
      <c r="G72" s="1172"/>
      <c r="H72" s="623" t="str">
        <f>IF(F72&lt;&gt;"",Menu!K57,"")</f>
        <v/>
      </c>
      <c r="I72" s="623" t="str">
        <f t="shared" si="8"/>
        <v/>
      </c>
      <c r="J72" s="623" t="str">
        <f t="shared" si="1"/>
        <v/>
      </c>
      <c r="K72" s="873" t="str">
        <f t="shared" si="2"/>
        <v/>
      </c>
      <c r="L72" s="873" t="str">
        <f t="shared" si="3"/>
        <v/>
      </c>
      <c r="M72" s="873" t="str">
        <f>IF(J72&lt;&gt;"",Menu!M57,"")</f>
        <v/>
      </c>
      <c r="N72" s="873" t="str">
        <f>IF(J72&lt;&gt;"",Menu!N57,"")</f>
        <v/>
      </c>
      <c r="O72" s="1173" t="str">
        <f t="shared" si="12"/>
        <v/>
      </c>
      <c r="P72" s="1173"/>
      <c r="Q72" s="1173" t="str">
        <f t="shared" si="5"/>
        <v/>
      </c>
      <c r="R72" s="1173"/>
    </row>
    <row r="73" spans="1:20" s="458" customFormat="1" ht="15" customHeight="1">
      <c r="A73" s="457" t="str">
        <f t="shared" si="11"/>
        <v/>
      </c>
      <c r="D73" s="623" t="str">
        <f>IF(H73=0,IF(F73&lt;&gt;"",IF(H73&lt;=0,0,Menu!J58),"")-$O$11,IF(F73&lt;&gt;"",IF(H73&lt;=0,0,Menu!J58),""))</f>
        <v/>
      </c>
      <c r="E73" s="1"/>
      <c r="F73" s="1171" t="str">
        <f>Menu!I58</f>
        <v/>
      </c>
      <c r="G73" s="1172"/>
      <c r="H73" s="623" t="str">
        <f>IF(F73&lt;&gt;"",Menu!K58,"")</f>
        <v/>
      </c>
      <c r="I73" s="623" t="str">
        <f t="shared" si="8"/>
        <v/>
      </c>
      <c r="J73" s="623" t="str">
        <f t="shared" si="1"/>
        <v/>
      </c>
      <c r="K73" s="873" t="str">
        <f t="shared" si="2"/>
        <v/>
      </c>
      <c r="L73" s="873" t="str">
        <f t="shared" si="3"/>
        <v/>
      </c>
      <c r="M73" s="873" t="str">
        <f>IF(J73&lt;&gt;"",Menu!M58,"")</f>
        <v/>
      </c>
      <c r="N73" s="873" t="str">
        <f>IF(J73&lt;&gt;"",Menu!N58,"")</f>
        <v/>
      </c>
      <c r="O73" s="1173" t="str">
        <f t="shared" si="12"/>
        <v/>
      </c>
      <c r="P73" s="1173"/>
      <c r="Q73" s="1173" t="str">
        <f t="shared" si="5"/>
        <v/>
      </c>
      <c r="R73" s="1173"/>
    </row>
    <row r="74" spans="1:20" s="458" customFormat="1" ht="15" customHeight="1">
      <c r="A74" s="457" t="str">
        <f t="shared" si="11"/>
        <v/>
      </c>
      <c r="D74" s="623" t="str">
        <f>IF(H74=0,IF(F74&lt;&gt;"",IF(H74&lt;=0,0,Menu!J59),"")-$O$11,IF(F74&lt;&gt;"",IF(H74&lt;=0,0,Menu!J59),""))</f>
        <v/>
      </c>
      <c r="E74" s="1"/>
      <c r="F74" s="1171" t="str">
        <f>Menu!I59</f>
        <v/>
      </c>
      <c r="G74" s="1172"/>
      <c r="H74" s="623" t="str">
        <f>IF(F74&lt;&gt;"",Menu!K59,"")</f>
        <v/>
      </c>
      <c r="I74" s="623" t="str">
        <f t="shared" si="8"/>
        <v/>
      </c>
      <c r="J74" s="623" t="str">
        <f t="shared" si="1"/>
        <v/>
      </c>
      <c r="K74" s="873" t="str">
        <f t="shared" si="2"/>
        <v/>
      </c>
      <c r="L74" s="873" t="str">
        <f t="shared" si="3"/>
        <v/>
      </c>
      <c r="M74" s="873" t="str">
        <f>IF(J74&lt;&gt;"",Menu!M59,"")</f>
        <v/>
      </c>
      <c r="N74" s="873" t="str">
        <f>IF(J74&lt;&gt;"",Menu!N59,"")</f>
        <v/>
      </c>
      <c r="O74" s="1173" t="str">
        <f t="shared" si="12"/>
        <v/>
      </c>
      <c r="P74" s="1173"/>
      <c r="Q74" s="1173" t="str">
        <f t="shared" si="5"/>
        <v/>
      </c>
      <c r="R74" s="1173"/>
    </row>
    <row r="75" spans="1:20" s="458" customFormat="1" ht="15" customHeight="1">
      <c r="A75" s="457" t="str">
        <f t="shared" si="11"/>
        <v/>
      </c>
      <c r="D75" s="623" t="str">
        <f>IF(H75=0,IF(F75&lt;&gt;"",IF(H75&lt;=0,0,Menu!J60),"")-$O$11,IF(F75&lt;&gt;"",IF(H75&lt;=0,0,Menu!J60),""))</f>
        <v/>
      </c>
      <c r="E75" s="1"/>
      <c r="F75" s="1171" t="str">
        <f>Menu!I60</f>
        <v/>
      </c>
      <c r="G75" s="1172"/>
      <c r="H75" s="623" t="str">
        <f>IF(F75&lt;&gt;"",Menu!K60,"")</f>
        <v/>
      </c>
      <c r="I75" s="623" t="str">
        <f t="shared" si="8"/>
        <v/>
      </c>
      <c r="J75" s="623" t="str">
        <f t="shared" si="1"/>
        <v/>
      </c>
      <c r="K75" s="873" t="str">
        <f t="shared" si="2"/>
        <v/>
      </c>
      <c r="L75" s="873" t="str">
        <f t="shared" si="3"/>
        <v/>
      </c>
      <c r="M75" s="873" t="str">
        <f>IF(J75&lt;&gt;"",Menu!M60,"")</f>
        <v/>
      </c>
      <c r="N75" s="873" t="str">
        <f>IF(J75&lt;&gt;"",Menu!N60,"")</f>
        <v/>
      </c>
      <c r="O75" s="1173" t="str">
        <f t="shared" si="12"/>
        <v/>
      </c>
      <c r="P75" s="1173"/>
      <c r="Q75" s="1173" t="str">
        <f t="shared" si="5"/>
        <v/>
      </c>
      <c r="R75" s="1173"/>
    </row>
    <row r="76" spans="1:20" s="458" customFormat="1" ht="15" customHeight="1">
      <c r="A76" s="457" t="str">
        <f t="shared" si="11"/>
        <v/>
      </c>
      <c r="D76" s="623" t="str">
        <f>IF(H76=0,IF(F76&lt;&gt;"",IF(H76&lt;=0,0,Menu!J61),"")-$O$11,IF(F76&lt;&gt;"",IF(H76&lt;=0,0,Menu!J61),""))</f>
        <v/>
      </c>
      <c r="E76" s="1"/>
      <c r="F76" s="1171" t="str">
        <f>Menu!I61</f>
        <v/>
      </c>
      <c r="G76" s="1172"/>
      <c r="H76" s="623" t="str">
        <f>IF(F76&lt;&gt;"",Menu!K61,"")</f>
        <v/>
      </c>
      <c r="I76" s="623" t="str">
        <f t="shared" si="8"/>
        <v/>
      </c>
      <c r="J76" s="623" t="str">
        <f t="shared" si="1"/>
        <v/>
      </c>
      <c r="K76" s="873" t="str">
        <f t="shared" si="2"/>
        <v/>
      </c>
      <c r="L76" s="873" t="str">
        <f t="shared" si="3"/>
        <v/>
      </c>
      <c r="M76" s="873" t="str">
        <f>IF(J76&lt;&gt;"",Menu!M61,"")</f>
        <v/>
      </c>
      <c r="N76" s="873" t="str">
        <f>IF(J76&lt;&gt;"",Menu!N61,"")</f>
        <v/>
      </c>
      <c r="O76" s="1173" t="str">
        <f t="shared" si="12"/>
        <v/>
      </c>
      <c r="P76" s="1173"/>
      <c r="Q76" s="1173" t="str">
        <f t="shared" si="5"/>
        <v/>
      </c>
      <c r="R76" s="1173"/>
    </row>
    <row r="77" spans="1:20" s="458" customFormat="1" ht="15" customHeight="1">
      <c r="A77" s="457" t="str">
        <f t="shared" si="11"/>
        <v/>
      </c>
      <c r="D77" s="623" t="str">
        <f>IF(H77=0,IF(F77&lt;&gt;"",IF(H77&lt;=0,0,Menu!J62),"")-$O$11,IF(F77&lt;&gt;"",IF(H77&lt;=0,0,Menu!J62),""))</f>
        <v/>
      </c>
      <c r="E77" s="1"/>
      <c r="F77" s="1171" t="str">
        <f>Menu!I62</f>
        <v/>
      </c>
      <c r="G77" s="1172"/>
      <c r="H77" s="623" t="str">
        <f>IF(F77&lt;&gt;"",Menu!K62,"")</f>
        <v/>
      </c>
      <c r="I77" s="623" t="str">
        <f t="shared" si="8"/>
        <v/>
      </c>
      <c r="J77" s="623" t="str">
        <f t="shared" si="1"/>
        <v/>
      </c>
      <c r="K77" s="873" t="str">
        <f t="shared" si="2"/>
        <v/>
      </c>
      <c r="L77" s="873" t="str">
        <f t="shared" si="3"/>
        <v/>
      </c>
      <c r="M77" s="873" t="str">
        <f>IF(J77&lt;&gt;"",Menu!M62,"")</f>
        <v/>
      </c>
      <c r="N77" s="873" t="str">
        <f>IF(J77&lt;&gt;"",Menu!N62,"")</f>
        <v/>
      </c>
      <c r="O77" s="1173" t="str">
        <f t="shared" si="12"/>
        <v/>
      </c>
      <c r="P77" s="1173"/>
      <c r="Q77" s="1173" t="str">
        <f t="shared" si="5"/>
        <v/>
      </c>
      <c r="R77" s="1173"/>
    </row>
    <row r="78" spans="1:20" s="458" customFormat="1" ht="15" customHeight="1">
      <c r="A78" s="457" t="str">
        <f t="shared" si="11"/>
        <v/>
      </c>
      <c r="D78" s="623" t="str">
        <f>IF(H78=0,IF(F78&lt;&gt;"",IF(H78&lt;=0,0,Menu!J63),"")-$O$11,IF(F78&lt;&gt;"",IF(H78&lt;=0,0,Menu!J63),""))</f>
        <v/>
      </c>
      <c r="E78" s="1"/>
      <c r="F78" s="1171" t="str">
        <f>Menu!I63</f>
        <v/>
      </c>
      <c r="G78" s="1172"/>
      <c r="H78" s="623" t="str">
        <f>IF(F78&lt;&gt;"",Menu!K63,"")</f>
        <v/>
      </c>
      <c r="I78" s="623" t="str">
        <f t="shared" si="8"/>
        <v/>
      </c>
      <c r="J78" s="623" t="str">
        <f t="shared" si="1"/>
        <v/>
      </c>
      <c r="K78" s="873" t="str">
        <f t="shared" si="2"/>
        <v/>
      </c>
      <c r="L78" s="873" t="str">
        <f t="shared" si="3"/>
        <v/>
      </c>
      <c r="M78" s="873" t="str">
        <f>IF(J78&lt;&gt;"",Menu!M63,"")</f>
        <v/>
      </c>
      <c r="N78" s="873" t="str">
        <f>IF(J78&lt;&gt;"",Menu!N63,"")</f>
        <v/>
      </c>
      <c r="O78" s="1173" t="str">
        <f t="shared" si="12"/>
        <v/>
      </c>
      <c r="P78" s="1173"/>
      <c r="Q78" s="1173" t="str">
        <f t="shared" si="5"/>
        <v/>
      </c>
      <c r="R78" s="1173"/>
    </row>
    <row r="79" spans="1:20" s="458" customFormat="1" ht="15" customHeight="1">
      <c r="A79" s="457" t="str">
        <f t="shared" si="11"/>
        <v/>
      </c>
      <c r="D79" s="623" t="str">
        <f>IF(H79=0,IF(F79&lt;&gt;"",IF(H79&lt;=0,0,Menu!J64),"")-$O$11,IF(F79&lt;&gt;"",IF(H79&lt;=0,0,Menu!J64),""))</f>
        <v/>
      </c>
      <c r="E79" s="1"/>
      <c r="F79" s="1171" t="str">
        <f>Menu!I64</f>
        <v/>
      </c>
      <c r="G79" s="1172"/>
      <c r="H79" s="623" t="str">
        <f>IF(F79&lt;&gt;"",Menu!K64,"")</f>
        <v/>
      </c>
      <c r="I79" s="623" t="str">
        <f t="shared" si="8"/>
        <v/>
      </c>
      <c r="J79" s="623" t="str">
        <f t="shared" si="1"/>
        <v/>
      </c>
      <c r="K79" s="873" t="str">
        <f t="shared" si="2"/>
        <v/>
      </c>
      <c r="L79" s="873" t="str">
        <f t="shared" si="3"/>
        <v/>
      </c>
      <c r="M79" s="873" t="str">
        <f>IF(J79&lt;&gt;"",Menu!M64,"")</f>
        <v/>
      </c>
      <c r="N79" s="873" t="str">
        <f>IF(J79&lt;&gt;"",Menu!N64,"")</f>
        <v/>
      </c>
      <c r="O79" s="1173" t="str">
        <f t="shared" si="12"/>
        <v/>
      </c>
      <c r="P79" s="1173"/>
      <c r="Q79" s="1173" t="str">
        <f t="shared" si="5"/>
        <v/>
      </c>
      <c r="R79" s="1173"/>
    </row>
    <row r="80" spans="1:20" s="458" customFormat="1" ht="15" customHeight="1">
      <c r="A80" s="457" t="str">
        <f t="shared" si="11"/>
        <v/>
      </c>
      <c r="D80" s="623" t="str">
        <f>IF(H80=0,IF(F80&lt;&gt;"",IF(H80&lt;=0,0,Menu!J65),"")-$O$11,IF(F80&lt;&gt;"",IF(H80&lt;=0,0,Menu!J65),""))</f>
        <v/>
      </c>
      <c r="E80" s="1"/>
      <c r="F80" s="1171" t="str">
        <f>Menu!I65</f>
        <v/>
      </c>
      <c r="G80" s="1172"/>
      <c r="H80" s="623" t="str">
        <f>IF(F80&lt;&gt;"",Menu!K65,"")</f>
        <v/>
      </c>
      <c r="I80" s="623" t="str">
        <f t="shared" si="8"/>
        <v/>
      </c>
      <c r="J80" s="623" t="str">
        <f t="shared" si="1"/>
        <v/>
      </c>
      <c r="K80" s="873" t="str">
        <f t="shared" si="2"/>
        <v/>
      </c>
      <c r="L80" s="873" t="str">
        <f t="shared" si="3"/>
        <v/>
      </c>
      <c r="M80" s="873" t="str">
        <f>IF(J80&lt;&gt;"",Menu!M65,"")</f>
        <v/>
      </c>
      <c r="N80" s="873" t="str">
        <f>IF(J80&lt;&gt;"",Menu!N65,"")</f>
        <v/>
      </c>
      <c r="O80" s="1173" t="str">
        <f t="shared" si="12"/>
        <v/>
      </c>
      <c r="P80" s="1173"/>
      <c r="Q80" s="1173" t="str">
        <f t="shared" si="5"/>
        <v/>
      </c>
      <c r="R80" s="1173"/>
    </row>
    <row r="81" spans="1:18" s="458" customFormat="1" ht="15" customHeight="1">
      <c r="A81" s="457" t="str">
        <f t="shared" si="11"/>
        <v/>
      </c>
      <c r="D81" s="623" t="str">
        <f>IF(H81=0,IF(F81&lt;&gt;"",IF(H81&lt;=0,0,Menu!J66),"")-$O$11,IF(F81&lt;&gt;"",IF(H81&lt;=0,0,Menu!J66),""))</f>
        <v/>
      </c>
      <c r="E81" s="1"/>
      <c r="F81" s="1171" t="str">
        <f>Menu!I66</f>
        <v/>
      </c>
      <c r="G81" s="1172"/>
      <c r="H81" s="623" t="str">
        <f>IF(F81&lt;&gt;"",Menu!K66,"")</f>
        <v/>
      </c>
      <c r="I81" s="623" t="str">
        <f t="shared" si="8"/>
        <v/>
      </c>
      <c r="J81" s="623" t="str">
        <f t="shared" si="1"/>
        <v/>
      </c>
      <c r="K81" s="873" t="str">
        <f t="shared" si="2"/>
        <v/>
      </c>
      <c r="L81" s="873" t="str">
        <f t="shared" si="3"/>
        <v/>
      </c>
      <c r="M81" s="873" t="str">
        <f>IF(J81&lt;&gt;"",Menu!M66,"")</f>
        <v/>
      </c>
      <c r="N81" s="873" t="str">
        <f>IF(J81&lt;&gt;"",Menu!N66,"")</f>
        <v/>
      </c>
      <c r="O81" s="1173" t="str">
        <f t="shared" si="12"/>
        <v/>
      </c>
      <c r="P81" s="1173"/>
      <c r="Q81" s="1173" t="str">
        <f t="shared" si="5"/>
        <v/>
      </c>
      <c r="R81" s="1173"/>
    </row>
    <row r="82" spans="1:18" s="458" customFormat="1" ht="15" customHeight="1">
      <c r="A82" s="457" t="str">
        <f t="shared" si="11"/>
        <v/>
      </c>
      <c r="D82" s="623" t="str">
        <f>IF(H82=0,IF(F82&lt;&gt;"",IF(H82&lt;=0,0,Menu!J67),"")-$O$11,IF(F82&lt;&gt;"",IF(H82&lt;=0,0,Menu!J67),""))</f>
        <v/>
      </c>
      <c r="E82" s="1"/>
      <c r="F82" s="1171" t="str">
        <f>Menu!I67</f>
        <v/>
      </c>
      <c r="G82" s="1172"/>
      <c r="H82" s="623" t="str">
        <f>IF(F82&lt;&gt;"",Menu!K67,"")</f>
        <v/>
      </c>
      <c r="I82" s="623" t="str">
        <f t="shared" si="8"/>
        <v/>
      </c>
      <c r="J82" s="623" t="str">
        <f t="shared" si="1"/>
        <v/>
      </c>
      <c r="K82" s="873" t="str">
        <f t="shared" si="2"/>
        <v/>
      </c>
      <c r="L82" s="873" t="str">
        <f t="shared" si="3"/>
        <v/>
      </c>
      <c r="M82" s="873" t="str">
        <f>IF(J82&lt;&gt;"",Menu!M67,"")</f>
        <v/>
      </c>
      <c r="N82" s="873" t="str">
        <f>IF(J82&lt;&gt;"",Menu!N67,"")</f>
        <v/>
      </c>
      <c r="O82" s="1173" t="str">
        <f t="shared" si="12"/>
        <v/>
      </c>
      <c r="P82" s="1173"/>
      <c r="Q82" s="1173" t="str">
        <f t="shared" si="5"/>
        <v/>
      </c>
      <c r="R82" s="1173"/>
    </row>
    <row r="83" spans="1:18" s="458" customFormat="1" ht="15" customHeight="1">
      <c r="A83" s="457" t="str">
        <f t="shared" si="11"/>
        <v/>
      </c>
      <c r="D83" s="623" t="str">
        <f>IF(H83=0,IF(F83&lt;&gt;"",IF(H83&lt;=0,0,Menu!J68),"")-$O$11,IF(F83&lt;&gt;"",IF(H83&lt;=0,0,Menu!J68),""))</f>
        <v/>
      </c>
      <c r="E83" s="1"/>
      <c r="F83" s="1171" t="str">
        <f>Menu!I68</f>
        <v/>
      </c>
      <c r="G83" s="1172"/>
      <c r="H83" s="623" t="str">
        <f>IF(F83&lt;&gt;"",Menu!K68,"")</f>
        <v/>
      </c>
      <c r="I83" s="623" t="str">
        <f t="shared" si="8"/>
        <v/>
      </c>
      <c r="J83" s="623" t="str">
        <f t="shared" si="1"/>
        <v/>
      </c>
      <c r="K83" s="873" t="str">
        <f t="shared" si="2"/>
        <v/>
      </c>
      <c r="L83" s="873" t="str">
        <f t="shared" si="3"/>
        <v/>
      </c>
      <c r="M83" s="873" t="str">
        <f>IF(J83&lt;&gt;"",Menu!M68,"")</f>
        <v/>
      </c>
      <c r="N83" s="873" t="str">
        <f>IF(J83&lt;&gt;"",Menu!N68,"")</f>
        <v/>
      </c>
      <c r="O83" s="1173" t="str">
        <f t="shared" si="12"/>
        <v/>
      </c>
      <c r="P83" s="1173"/>
      <c r="Q83" s="1173" t="str">
        <f t="shared" si="5"/>
        <v/>
      </c>
      <c r="R83" s="1173"/>
    </row>
    <row r="84" spans="1:18" s="458" customFormat="1" ht="15" customHeight="1">
      <c r="A84" s="457" t="str">
        <f t="shared" si="11"/>
        <v/>
      </c>
      <c r="D84" s="623" t="str">
        <f>IF(H84=0,IF(F84&lt;&gt;"",IF(H84&lt;=0,0,Menu!J69),"")-$O$11,IF(F84&lt;&gt;"",IF(H84&lt;=0,0,Menu!J69),""))</f>
        <v/>
      </c>
      <c r="E84" s="1"/>
      <c r="F84" s="1171" t="str">
        <f>Menu!I69</f>
        <v/>
      </c>
      <c r="G84" s="1172"/>
      <c r="H84" s="623" t="str">
        <f>IF(F84&lt;&gt;"",Menu!K69,"")</f>
        <v/>
      </c>
      <c r="I84" s="623" t="str">
        <f t="shared" si="8"/>
        <v/>
      </c>
      <c r="J84" s="623" t="str">
        <f t="shared" si="1"/>
        <v/>
      </c>
      <c r="K84" s="873" t="str">
        <f t="shared" si="2"/>
        <v/>
      </c>
      <c r="L84" s="873" t="str">
        <f t="shared" si="3"/>
        <v/>
      </c>
      <c r="M84" s="873" t="str">
        <f>IF(J84&lt;&gt;"",Menu!M69,"")</f>
        <v/>
      </c>
      <c r="N84" s="873" t="str">
        <f>IF(J84&lt;&gt;"",Menu!N69,"")</f>
        <v/>
      </c>
      <c r="O84" s="1173" t="str">
        <f t="shared" si="12"/>
        <v/>
      </c>
      <c r="P84" s="1173"/>
      <c r="Q84" s="1173" t="str">
        <f t="shared" si="5"/>
        <v/>
      </c>
      <c r="R84" s="1173"/>
    </row>
    <row r="85" spans="1:18" s="458" customFormat="1" ht="15" customHeight="1">
      <c r="A85" s="457" t="str">
        <f t="shared" si="11"/>
        <v/>
      </c>
      <c r="D85" s="623" t="str">
        <f>IF(H85=0,IF(F85&lt;&gt;"",IF(H85&lt;=0,0,Menu!J70),"")-$O$11,IF(F85&lt;&gt;"",IF(H85&lt;=0,0,Menu!J70),""))</f>
        <v/>
      </c>
      <c r="E85" s="1"/>
      <c r="F85" s="1171" t="str">
        <f>Menu!I70</f>
        <v/>
      </c>
      <c r="G85" s="1172"/>
      <c r="H85" s="623" t="str">
        <f>IF(F85&lt;&gt;"",Menu!K70,"")</f>
        <v/>
      </c>
      <c r="I85" s="623" t="str">
        <f t="shared" si="8"/>
        <v/>
      </c>
      <c r="J85" s="623" t="str">
        <f t="shared" si="1"/>
        <v/>
      </c>
      <c r="K85" s="873" t="str">
        <f t="shared" si="2"/>
        <v/>
      </c>
      <c r="L85" s="873" t="str">
        <f t="shared" si="3"/>
        <v/>
      </c>
      <c r="M85" s="873" t="str">
        <f>IF(J85&lt;&gt;"",Menu!M70,"")</f>
        <v/>
      </c>
      <c r="N85" s="873" t="str">
        <f>IF(J85&lt;&gt;"",Menu!N70,"")</f>
        <v/>
      </c>
      <c r="O85" s="1173" t="str">
        <f t="shared" si="12"/>
        <v/>
      </c>
      <c r="P85" s="1173"/>
      <c r="Q85" s="1173" t="str">
        <f t="shared" si="5"/>
        <v/>
      </c>
      <c r="R85" s="1173"/>
    </row>
    <row r="86" spans="1:18" s="458" customFormat="1" ht="15" customHeight="1">
      <c r="A86" s="457" t="str">
        <f t="shared" si="11"/>
        <v/>
      </c>
      <c r="D86" s="623" t="str">
        <f>IF(H86=0,IF(F86&lt;&gt;"",IF(H86&lt;=0,0,Menu!J71),"")-$O$11,IF(F86&lt;&gt;"",IF(H86&lt;=0,0,Menu!J71),""))</f>
        <v/>
      </c>
      <c r="E86" s="1"/>
      <c r="F86" s="1171" t="str">
        <f>Menu!I71</f>
        <v/>
      </c>
      <c r="G86" s="1172"/>
      <c r="H86" s="623" t="str">
        <f>IF(F86&lt;&gt;"",Menu!K71,"")</f>
        <v/>
      </c>
      <c r="I86" s="623" t="str">
        <f t="shared" si="8"/>
        <v/>
      </c>
      <c r="J86" s="623" t="str">
        <f t="shared" si="1"/>
        <v/>
      </c>
      <c r="K86" s="873" t="str">
        <f t="shared" si="2"/>
        <v/>
      </c>
      <c r="L86" s="873" t="str">
        <f t="shared" si="3"/>
        <v/>
      </c>
      <c r="M86" s="873" t="str">
        <f>IF(J86&lt;&gt;"",Menu!M71,"")</f>
        <v/>
      </c>
      <c r="N86" s="873" t="str">
        <f>IF(J86&lt;&gt;"",Menu!N71,"")</f>
        <v/>
      </c>
      <c r="O86" s="1173" t="str">
        <f t="shared" si="12"/>
        <v/>
      </c>
      <c r="P86" s="1173"/>
      <c r="Q86" s="1173" t="str">
        <f t="shared" si="5"/>
        <v/>
      </c>
      <c r="R86" s="1173"/>
    </row>
    <row r="87" spans="1:18" s="458" customFormat="1" ht="15" customHeight="1">
      <c r="A87" s="457" t="str">
        <f t="shared" si="11"/>
        <v/>
      </c>
      <c r="D87" s="623" t="str">
        <f>IF(H87=0,IF(F87&lt;&gt;"",IF(H87&lt;=0,0,Menu!J72),"")-$O$11,IF(F87&lt;&gt;"",IF(H87&lt;=0,0,Menu!J72),""))</f>
        <v/>
      </c>
      <c r="E87" s="1"/>
      <c r="F87" s="1171" t="str">
        <f>Menu!I72</f>
        <v/>
      </c>
      <c r="G87" s="1172"/>
      <c r="H87" s="623" t="str">
        <f>IF(F87&lt;&gt;"",Menu!K72,"")</f>
        <v/>
      </c>
      <c r="I87" s="623" t="str">
        <f t="shared" si="8"/>
        <v/>
      </c>
      <c r="J87" s="623" t="str">
        <f t="shared" si="1"/>
        <v/>
      </c>
      <c r="K87" s="873" t="str">
        <f t="shared" si="2"/>
        <v/>
      </c>
      <c r="L87" s="873" t="str">
        <f t="shared" si="3"/>
        <v/>
      </c>
      <c r="M87" s="873" t="str">
        <f>IF(J87&lt;&gt;"",Menu!M72,"")</f>
        <v/>
      </c>
      <c r="N87" s="873" t="str">
        <f>IF(J87&lt;&gt;"",Menu!N72,"")</f>
        <v/>
      </c>
      <c r="O87" s="1173" t="str">
        <f t="shared" si="12"/>
        <v/>
      </c>
      <c r="P87" s="1173"/>
      <c r="Q87" s="1173" t="str">
        <f t="shared" si="5"/>
        <v/>
      </c>
      <c r="R87" s="1173"/>
    </row>
    <row r="88" spans="1:18" s="458" customFormat="1" ht="15" customHeight="1">
      <c r="A88" s="457" t="str">
        <f t="shared" ref="A88:A103" si="13">IF(F88="","",1)</f>
        <v/>
      </c>
      <c r="D88" s="623" t="str">
        <f>IF(H88=0,IF(F88&lt;&gt;"",IF(H88&lt;=0,0,Menu!J73),"")-$O$11,IF(F88&lt;&gt;"",IF(H88&lt;=0,0,Menu!J73),""))</f>
        <v/>
      </c>
      <c r="E88" s="1"/>
      <c r="F88" s="1171" t="str">
        <f>Menu!I73</f>
        <v/>
      </c>
      <c r="G88" s="1172"/>
      <c r="H88" s="623" t="str">
        <f>IF(F88&lt;&gt;"",Menu!K73,"")</f>
        <v/>
      </c>
      <c r="I88" s="623" t="str">
        <f t="shared" si="8"/>
        <v/>
      </c>
      <c r="J88" s="623" t="str">
        <f t="shared" si="1"/>
        <v/>
      </c>
      <c r="K88" s="873" t="str">
        <f t="shared" si="2"/>
        <v/>
      </c>
      <c r="L88" s="873" t="str">
        <f t="shared" si="3"/>
        <v/>
      </c>
      <c r="M88" s="873" t="str">
        <f>IF(J88&lt;&gt;"",Menu!M73,"")</f>
        <v/>
      </c>
      <c r="N88" s="873" t="str">
        <f>IF(J88&lt;&gt;"",Menu!N73,"")</f>
        <v/>
      </c>
      <c r="O88" s="1173" t="str">
        <f t="shared" si="12"/>
        <v/>
      </c>
      <c r="P88" s="1173"/>
      <c r="Q88" s="1173" t="str">
        <f t="shared" si="5"/>
        <v/>
      </c>
      <c r="R88" s="1173"/>
    </row>
    <row r="89" spans="1:18" s="458" customFormat="1" ht="15" customHeight="1">
      <c r="A89" s="457" t="str">
        <f t="shared" si="13"/>
        <v/>
      </c>
      <c r="D89" s="623" t="str">
        <f>IF(H89=0,IF(F89&lt;&gt;"",IF(H89&lt;=0,0,Menu!J74),"")-$O$11,IF(F89&lt;&gt;"",IF(H89&lt;=0,0,Menu!J74),""))</f>
        <v/>
      </c>
      <c r="E89" s="1"/>
      <c r="F89" s="1171" t="str">
        <f>Menu!I74</f>
        <v/>
      </c>
      <c r="G89" s="1172"/>
      <c r="H89" s="623" t="str">
        <f>IF(F89&lt;&gt;"",Menu!K74,"")</f>
        <v/>
      </c>
      <c r="I89" s="623" t="str">
        <f t="shared" si="8"/>
        <v/>
      </c>
      <c r="J89" s="623" t="str">
        <f t="shared" ref="J89:J102" si="14">IF(F89&lt;&gt;"",IF(AND(D89&gt;=0,H89&gt;=0),IF($K$13="A",0.857*(H89-$O$11)^0.1316,IF($K$13="B",0.6583*(H89-$O$11)^0.1808,0.346*(H89-$O$11)^0.2791)),""),"")</f>
        <v/>
      </c>
      <c r="K89" s="873" t="str">
        <f t="shared" ref="K89:K102" si="15">IF(AND(D89&gt;=0,H89&gt;=0),IF(F89&lt;&gt;"",$K$17*$J$15*$J89*$H$19*$I89/100,""),"")</f>
        <v/>
      </c>
      <c r="L89" s="873" t="str">
        <f t="shared" ref="L89:L102" si="16">IF(AND(D89&gt;=0,H89&gt;=0),IF(F89&lt;&gt;"",$K$17*$J$15*$J89*$J$19*$I89/100,""),"")</f>
        <v/>
      </c>
      <c r="M89" s="873" t="str">
        <f>IF(J89&lt;&gt;"",Menu!M74,"")</f>
        <v/>
      </c>
      <c r="N89" s="873" t="str">
        <f>IF(J89&lt;&gt;"",Menu!N74,"")</f>
        <v/>
      </c>
      <c r="O89" s="1173" t="str">
        <f t="shared" si="12"/>
        <v/>
      </c>
      <c r="P89" s="1173"/>
      <c r="Q89" s="1173" t="str">
        <f t="shared" ref="Q89:Q102" si="17">IF(AND(D89&gt;=0,H89&gt;=0),IF(F89&lt;&gt;"",(K89+L89)*M89,""),"")</f>
        <v/>
      </c>
      <c r="R89" s="1173"/>
    </row>
    <row r="90" spans="1:18" s="458" customFormat="1" ht="15" customHeight="1">
      <c r="A90" s="457" t="str">
        <f t="shared" si="13"/>
        <v/>
      </c>
      <c r="D90" s="623" t="str">
        <f>IF(H90=0,IF(F90&lt;&gt;"",IF(H90&lt;=0,0,Menu!J75),"")-$O$11,IF(F90&lt;&gt;"",IF(H90&lt;=0,0,Menu!J75),""))</f>
        <v/>
      </c>
      <c r="E90" s="1"/>
      <c r="F90" s="1171" t="str">
        <f>Menu!I75</f>
        <v/>
      </c>
      <c r="G90" s="1172"/>
      <c r="H90" s="623" t="str">
        <f>IF(F90&lt;&gt;"",Menu!K75,"")</f>
        <v/>
      </c>
      <c r="I90" s="623" t="str">
        <f t="shared" ref="I90:I102" si="18">IF(F90&lt;&gt;"",IF(AND(D90&gt;=0,H90&gt;=0),D89/2+D90/2,0),"")</f>
        <v/>
      </c>
      <c r="J90" s="623" t="str">
        <f t="shared" si="14"/>
        <v/>
      </c>
      <c r="K90" s="873" t="str">
        <f t="shared" si="15"/>
        <v/>
      </c>
      <c r="L90" s="873" t="str">
        <f t="shared" si="16"/>
        <v/>
      </c>
      <c r="M90" s="873" t="str">
        <f>IF(J90&lt;&gt;"",Menu!M75,"")</f>
        <v/>
      </c>
      <c r="N90" s="873" t="str">
        <f>IF(J90&lt;&gt;"",Menu!N75,"")</f>
        <v/>
      </c>
      <c r="O90" s="1173" t="str">
        <f t="shared" si="12"/>
        <v/>
      </c>
      <c r="P90" s="1173"/>
      <c r="Q90" s="1173" t="str">
        <f t="shared" si="17"/>
        <v/>
      </c>
      <c r="R90" s="1173"/>
    </row>
    <row r="91" spans="1:18" s="458" customFormat="1" ht="15" customHeight="1">
      <c r="A91" s="457" t="str">
        <f t="shared" si="13"/>
        <v/>
      </c>
      <c r="D91" s="623" t="str">
        <f>IF(H91=0,IF(F91&lt;&gt;"",IF(H91&lt;=0,0,Menu!J76),"")-$O$11,IF(F91&lt;&gt;"",IF(H91&lt;=0,0,Menu!J76),""))</f>
        <v/>
      </c>
      <c r="E91" s="1"/>
      <c r="F91" s="1171" t="str">
        <f>Menu!I76</f>
        <v/>
      </c>
      <c r="G91" s="1172"/>
      <c r="H91" s="623" t="str">
        <f>IF(F91&lt;&gt;"",Menu!K76,"")</f>
        <v/>
      </c>
      <c r="I91" s="623" t="str">
        <f t="shared" si="18"/>
        <v/>
      </c>
      <c r="J91" s="623" t="str">
        <f t="shared" si="14"/>
        <v/>
      </c>
      <c r="K91" s="873" t="str">
        <f t="shared" si="15"/>
        <v/>
      </c>
      <c r="L91" s="873" t="str">
        <f t="shared" si="16"/>
        <v/>
      </c>
      <c r="M91" s="873" t="str">
        <f>IF(J91&lt;&gt;"",Menu!M76,"")</f>
        <v/>
      </c>
      <c r="N91" s="873" t="str">
        <f>IF(J91&lt;&gt;"",Menu!N76,"")</f>
        <v/>
      </c>
      <c r="O91" s="1173" t="str">
        <f t="shared" si="12"/>
        <v/>
      </c>
      <c r="P91" s="1173"/>
      <c r="Q91" s="1173" t="str">
        <f t="shared" si="17"/>
        <v/>
      </c>
      <c r="R91" s="1173"/>
    </row>
    <row r="92" spans="1:18" s="458" customFormat="1" ht="15" customHeight="1">
      <c r="A92" s="457" t="str">
        <f t="shared" si="13"/>
        <v/>
      </c>
      <c r="D92" s="623" t="str">
        <f>IF(H92=0,IF(F92&lt;&gt;"",IF(H92&lt;=0,0,Menu!J77),"")-$O$11,IF(F92&lt;&gt;"",IF(H92&lt;=0,0,Menu!J77),""))</f>
        <v/>
      </c>
      <c r="E92" s="1"/>
      <c r="F92" s="1171" t="str">
        <f>Menu!I77</f>
        <v/>
      </c>
      <c r="G92" s="1172"/>
      <c r="H92" s="623" t="str">
        <f>IF(F92&lt;&gt;"",Menu!K77,"")</f>
        <v/>
      </c>
      <c r="I92" s="623" t="str">
        <f t="shared" si="18"/>
        <v/>
      </c>
      <c r="J92" s="623" t="str">
        <f t="shared" si="14"/>
        <v/>
      </c>
      <c r="K92" s="873" t="str">
        <f t="shared" si="15"/>
        <v/>
      </c>
      <c r="L92" s="873" t="str">
        <f t="shared" si="16"/>
        <v/>
      </c>
      <c r="M92" s="873" t="str">
        <f>IF(J92&lt;&gt;"",Menu!M77,"")</f>
        <v/>
      </c>
      <c r="N92" s="873" t="str">
        <f>IF(J92&lt;&gt;"",Menu!N77,"")</f>
        <v/>
      </c>
      <c r="O92" s="1173" t="str">
        <f t="shared" si="12"/>
        <v/>
      </c>
      <c r="P92" s="1173"/>
      <c r="Q92" s="1173" t="str">
        <f t="shared" si="17"/>
        <v/>
      </c>
      <c r="R92" s="1173"/>
    </row>
    <row r="93" spans="1:18" s="458" customFormat="1" ht="15" customHeight="1">
      <c r="A93" s="457" t="str">
        <f t="shared" si="13"/>
        <v/>
      </c>
      <c r="D93" s="623" t="str">
        <f>IF(H93=0,IF(F93&lt;&gt;"",IF(H93&lt;=0,0,Menu!J78),"")-$O$11,IF(F93&lt;&gt;"",IF(H93&lt;=0,0,Menu!J78),""))</f>
        <v/>
      </c>
      <c r="E93" s="1"/>
      <c r="F93" s="1171" t="str">
        <f>Menu!I78</f>
        <v/>
      </c>
      <c r="G93" s="1172"/>
      <c r="H93" s="623" t="str">
        <f>IF(F93&lt;&gt;"",Menu!K78,"")</f>
        <v/>
      </c>
      <c r="I93" s="623" t="str">
        <f t="shared" si="18"/>
        <v/>
      </c>
      <c r="J93" s="623" t="str">
        <f t="shared" si="14"/>
        <v/>
      </c>
      <c r="K93" s="873" t="str">
        <f t="shared" si="15"/>
        <v/>
      </c>
      <c r="L93" s="873" t="str">
        <f t="shared" si="16"/>
        <v/>
      </c>
      <c r="M93" s="873" t="str">
        <f>IF(J93&lt;&gt;"",Menu!M78,"")</f>
        <v/>
      </c>
      <c r="N93" s="873" t="str">
        <f>IF(J93&lt;&gt;"",Menu!N78,"")</f>
        <v/>
      </c>
      <c r="O93" s="1173" t="str">
        <f t="shared" si="12"/>
        <v/>
      </c>
      <c r="P93" s="1173"/>
      <c r="Q93" s="1173" t="str">
        <f t="shared" si="17"/>
        <v/>
      </c>
      <c r="R93" s="1173"/>
    </row>
    <row r="94" spans="1:18" s="458" customFormat="1" ht="15" customHeight="1">
      <c r="A94" s="457" t="str">
        <f t="shared" si="13"/>
        <v/>
      </c>
      <c r="D94" s="623" t="str">
        <f>IF(H94=0,IF(F94&lt;&gt;"",IF(H94&lt;=0,0,Menu!J79),"")-$O$11,IF(F94&lt;&gt;"",IF(H94&lt;=0,0,Menu!J79),""))</f>
        <v/>
      </c>
      <c r="E94" s="1"/>
      <c r="F94" s="1171" t="str">
        <f>Menu!I79</f>
        <v/>
      </c>
      <c r="G94" s="1172"/>
      <c r="H94" s="623" t="str">
        <f>IF(F94&lt;&gt;"",Menu!K79,"")</f>
        <v/>
      </c>
      <c r="I94" s="623" t="str">
        <f t="shared" si="18"/>
        <v/>
      </c>
      <c r="J94" s="623" t="str">
        <f t="shared" si="14"/>
        <v/>
      </c>
      <c r="K94" s="873" t="str">
        <f t="shared" si="15"/>
        <v/>
      </c>
      <c r="L94" s="873" t="str">
        <f t="shared" si="16"/>
        <v/>
      </c>
      <c r="M94" s="873" t="str">
        <f>IF(J94&lt;&gt;"",Menu!M79,"")</f>
        <v/>
      </c>
      <c r="N94" s="873" t="str">
        <f>IF(J94&lt;&gt;"",Menu!N79,"")</f>
        <v/>
      </c>
      <c r="O94" s="1173" t="str">
        <f t="shared" si="12"/>
        <v/>
      </c>
      <c r="P94" s="1173"/>
      <c r="Q94" s="1173" t="str">
        <f t="shared" si="17"/>
        <v/>
      </c>
      <c r="R94" s="1173"/>
    </row>
    <row r="95" spans="1:18" s="458" customFormat="1" ht="15" customHeight="1">
      <c r="A95" s="457" t="str">
        <f t="shared" si="13"/>
        <v/>
      </c>
      <c r="D95" s="623" t="str">
        <f>IF(H95=0,IF(F95&lt;&gt;"",IF(H95&lt;=0,0,Menu!J80),"")-$O$11,IF(F95&lt;&gt;"",IF(H95&lt;=0,0,Menu!J80),""))</f>
        <v/>
      </c>
      <c r="E95" s="1"/>
      <c r="F95" s="1171" t="str">
        <f>Menu!I80</f>
        <v/>
      </c>
      <c r="G95" s="1172"/>
      <c r="H95" s="623" t="str">
        <f>IF(F95&lt;&gt;"",Menu!K80,"")</f>
        <v/>
      </c>
      <c r="I95" s="623" t="str">
        <f t="shared" si="18"/>
        <v/>
      </c>
      <c r="J95" s="623" t="str">
        <f t="shared" si="14"/>
        <v/>
      </c>
      <c r="K95" s="873" t="str">
        <f t="shared" si="15"/>
        <v/>
      </c>
      <c r="L95" s="873" t="str">
        <f t="shared" si="16"/>
        <v/>
      </c>
      <c r="M95" s="873" t="str">
        <f>IF(J95&lt;&gt;"",Menu!M80,"")</f>
        <v/>
      </c>
      <c r="N95" s="873" t="str">
        <f>IF(J95&lt;&gt;"",Menu!N80,"")</f>
        <v/>
      </c>
      <c r="O95" s="1173" t="str">
        <f t="shared" si="12"/>
        <v/>
      </c>
      <c r="P95" s="1173"/>
      <c r="Q95" s="1173" t="str">
        <f t="shared" si="17"/>
        <v/>
      </c>
      <c r="R95" s="1173"/>
    </row>
    <row r="96" spans="1:18" s="458" customFormat="1" ht="15" customHeight="1">
      <c r="A96" s="457" t="str">
        <f t="shared" si="13"/>
        <v/>
      </c>
      <c r="D96" s="623" t="str">
        <f>IF(H96=0,IF(F96&lt;&gt;"",IF(H96&lt;=0,0,Menu!J81),"")-$O$11,IF(F96&lt;&gt;"",IF(H96&lt;=0,0,Menu!J81),""))</f>
        <v/>
      </c>
      <c r="E96" s="1"/>
      <c r="F96" s="1171" t="str">
        <f>Menu!I81</f>
        <v/>
      </c>
      <c r="G96" s="1172"/>
      <c r="H96" s="623" t="str">
        <f>IF(F96&lt;&gt;"",Menu!K81,"")</f>
        <v/>
      </c>
      <c r="I96" s="623" t="str">
        <f t="shared" si="18"/>
        <v/>
      </c>
      <c r="J96" s="623" t="str">
        <f t="shared" si="14"/>
        <v/>
      </c>
      <c r="K96" s="873" t="str">
        <f t="shared" si="15"/>
        <v/>
      </c>
      <c r="L96" s="873" t="str">
        <f t="shared" si="16"/>
        <v/>
      </c>
      <c r="M96" s="873" t="str">
        <f>IF(J96&lt;&gt;"",Menu!M81,"")</f>
        <v/>
      </c>
      <c r="N96" s="873" t="str">
        <f>IF(J96&lt;&gt;"",Menu!N81,"")</f>
        <v/>
      </c>
      <c r="O96" s="1173" t="str">
        <f t="shared" si="12"/>
        <v/>
      </c>
      <c r="P96" s="1173"/>
      <c r="Q96" s="1173" t="str">
        <f t="shared" si="17"/>
        <v/>
      </c>
      <c r="R96" s="1173"/>
    </row>
    <row r="97" spans="1:20" s="458" customFormat="1" ht="15" customHeight="1">
      <c r="A97" s="457" t="str">
        <f t="shared" si="13"/>
        <v/>
      </c>
      <c r="D97" s="623" t="str">
        <f>IF(H97=0,IF(F97&lt;&gt;"",IF(H97&lt;=0,0,Menu!J82),"")-$O$11,IF(F97&lt;&gt;"",IF(H97&lt;=0,0,Menu!J82),""))</f>
        <v/>
      </c>
      <c r="E97" s="1"/>
      <c r="F97" s="1171" t="str">
        <f>Menu!I82</f>
        <v/>
      </c>
      <c r="G97" s="1172"/>
      <c r="H97" s="623" t="str">
        <f>IF(F97&lt;&gt;"",Menu!K82,"")</f>
        <v/>
      </c>
      <c r="I97" s="623" t="str">
        <f t="shared" si="18"/>
        <v/>
      </c>
      <c r="J97" s="623" t="str">
        <f t="shared" si="14"/>
        <v/>
      </c>
      <c r="K97" s="873" t="str">
        <f t="shared" si="15"/>
        <v/>
      </c>
      <c r="L97" s="873" t="str">
        <f t="shared" si="16"/>
        <v/>
      </c>
      <c r="M97" s="873" t="str">
        <f>IF(J97&lt;&gt;"",Menu!M82,"")</f>
        <v/>
      </c>
      <c r="N97" s="873" t="str">
        <f>IF(J97&lt;&gt;"",Menu!N82,"")</f>
        <v/>
      </c>
      <c r="O97" s="1173" t="str">
        <f t="shared" si="12"/>
        <v/>
      </c>
      <c r="P97" s="1173"/>
      <c r="Q97" s="1173" t="str">
        <f t="shared" si="17"/>
        <v/>
      </c>
      <c r="R97" s="1173"/>
    </row>
    <row r="98" spans="1:20" s="458" customFormat="1" ht="15" customHeight="1">
      <c r="A98" s="457" t="str">
        <f t="shared" si="13"/>
        <v/>
      </c>
      <c r="D98" s="623" t="str">
        <f>IF(H98=0,IF(F98&lt;&gt;"",IF(H98&lt;=0,0,Menu!J83),"")-$O$11,IF(F98&lt;&gt;"",IF(H98&lt;=0,0,Menu!J83),""))</f>
        <v/>
      </c>
      <c r="E98" s="1"/>
      <c r="F98" s="1171" t="str">
        <f>Menu!I83</f>
        <v/>
      </c>
      <c r="G98" s="1172"/>
      <c r="H98" s="623" t="str">
        <f>IF(F98&lt;&gt;"",Menu!K83,"")</f>
        <v/>
      </c>
      <c r="I98" s="623" t="str">
        <f t="shared" si="18"/>
        <v/>
      </c>
      <c r="J98" s="623" t="str">
        <f t="shared" si="14"/>
        <v/>
      </c>
      <c r="K98" s="873" t="str">
        <f t="shared" si="15"/>
        <v/>
      </c>
      <c r="L98" s="873" t="str">
        <f t="shared" si="16"/>
        <v/>
      </c>
      <c r="M98" s="873" t="str">
        <f>IF(J98&lt;&gt;"",Menu!M83,"")</f>
        <v/>
      </c>
      <c r="N98" s="873" t="str">
        <f>IF(J98&lt;&gt;"",Menu!N83,"")</f>
        <v/>
      </c>
      <c r="O98" s="1173" t="str">
        <f t="shared" si="12"/>
        <v/>
      </c>
      <c r="P98" s="1173"/>
      <c r="Q98" s="1173" t="str">
        <f t="shared" si="17"/>
        <v/>
      </c>
      <c r="R98" s="1173"/>
    </row>
    <row r="99" spans="1:20" s="458" customFormat="1" ht="15" customHeight="1">
      <c r="A99" s="457" t="str">
        <f t="shared" si="13"/>
        <v/>
      </c>
      <c r="D99" s="623" t="str">
        <f>IF(H99=0,IF(F99&lt;&gt;"",IF(H99&lt;=0,0,Menu!J84),"")-$O$11,IF(F99&lt;&gt;"",IF(H99&lt;=0,0,Menu!J84),""))</f>
        <v/>
      </c>
      <c r="E99" s="1"/>
      <c r="F99" s="1171" t="str">
        <f>Menu!I84</f>
        <v/>
      </c>
      <c r="G99" s="1172"/>
      <c r="H99" s="623" t="str">
        <f>IF(F99&lt;&gt;"",Menu!K84,"")</f>
        <v/>
      </c>
      <c r="I99" s="623" t="str">
        <f t="shared" si="18"/>
        <v/>
      </c>
      <c r="J99" s="623" t="str">
        <f t="shared" si="14"/>
        <v/>
      </c>
      <c r="K99" s="873" t="str">
        <f t="shared" si="15"/>
        <v/>
      </c>
      <c r="L99" s="873" t="str">
        <f t="shared" si="16"/>
        <v/>
      </c>
      <c r="M99" s="873" t="str">
        <f>IF(J99&lt;&gt;"",Menu!M84,"")</f>
        <v/>
      </c>
      <c r="N99" s="873" t="str">
        <f>IF(J99&lt;&gt;"",Menu!N84,"")</f>
        <v/>
      </c>
      <c r="O99" s="1173" t="str">
        <f t="shared" si="12"/>
        <v/>
      </c>
      <c r="P99" s="1173"/>
      <c r="Q99" s="1173" t="str">
        <f t="shared" si="17"/>
        <v/>
      </c>
      <c r="R99" s="1173"/>
    </row>
    <row r="100" spans="1:20" s="458" customFormat="1" ht="15" customHeight="1">
      <c r="A100" s="457" t="str">
        <f t="shared" si="13"/>
        <v/>
      </c>
      <c r="D100" s="623" t="str">
        <f>IF(H100=0,IF(F100&lt;&gt;"",IF(H100&lt;=0,0,Menu!J85),"")-$O$11,IF(F100&lt;&gt;"",IF(H100&lt;=0,0,Menu!J85),""))</f>
        <v/>
      </c>
      <c r="E100" s="1"/>
      <c r="F100" s="1171" t="str">
        <f>Menu!I85</f>
        <v/>
      </c>
      <c r="G100" s="1172"/>
      <c r="H100" s="623" t="str">
        <f>IF(F100&lt;&gt;"",Menu!K85,"")</f>
        <v/>
      </c>
      <c r="I100" s="623" t="str">
        <f t="shared" si="18"/>
        <v/>
      </c>
      <c r="J100" s="623" t="str">
        <f t="shared" si="14"/>
        <v/>
      </c>
      <c r="K100" s="873" t="str">
        <f t="shared" si="15"/>
        <v/>
      </c>
      <c r="L100" s="873" t="str">
        <f t="shared" si="16"/>
        <v/>
      </c>
      <c r="M100" s="873" t="str">
        <f>IF(J100&lt;&gt;"",Menu!M85,"")</f>
        <v/>
      </c>
      <c r="N100" s="873" t="str">
        <f>IF(J100&lt;&gt;"",Menu!N85,"")</f>
        <v/>
      </c>
      <c r="O100" s="1173" t="str">
        <f t="shared" si="12"/>
        <v/>
      </c>
      <c r="P100" s="1173"/>
      <c r="Q100" s="1173" t="str">
        <f t="shared" si="17"/>
        <v/>
      </c>
      <c r="R100" s="1173"/>
    </row>
    <row r="101" spans="1:20" s="458" customFormat="1" ht="15" customHeight="1">
      <c r="A101" s="457" t="str">
        <f t="shared" si="13"/>
        <v/>
      </c>
      <c r="D101" s="623" t="str">
        <f>IF(H101=0,IF(F101&lt;&gt;"",IF(H101&lt;=0,0,Menu!J86),"")-$O$11,IF(F101&lt;&gt;"",IF(H101&lt;=0,0,Menu!J86),""))</f>
        <v/>
      </c>
      <c r="E101" s="1"/>
      <c r="F101" s="1171" t="str">
        <f>Menu!I86</f>
        <v/>
      </c>
      <c r="G101" s="1172"/>
      <c r="H101" s="623" t="str">
        <f>IF(F101&lt;&gt;"",Menu!K86,"")</f>
        <v/>
      </c>
      <c r="I101" s="623" t="str">
        <f t="shared" si="18"/>
        <v/>
      </c>
      <c r="J101" s="623" t="str">
        <f t="shared" si="14"/>
        <v/>
      </c>
      <c r="K101" s="873" t="str">
        <f t="shared" si="15"/>
        <v/>
      </c>
      <c r="L101" s="873" t="str">
        <f t="shared" si="16"/>
        <v/>
      </c>
      <c r="M101" s="873" t="str">
        <f>IF(J101&lt;&gt;"",Menu!M86,"")</f>
        <v/>
      </c>
      <c r="N101" s="873" t="str">
        <f>IF(J101&lt;&gt;"",Menu!N86,"")</f>
        <v/>
      </c>
      <c r="O101" s="1173" t="str">
        <f t="shared" si="12"/>
        <v/>
      </c>
      <c r="P101" s="1173"/>
      <c r="Q101" s="1173" t="str">
        <f t="shared" si="17"/>
        <v/>
      </c>
      <c r="R101" s="1173"/>
    </row>
    <row r="102" spans="1:20" s="458" customFormat="1" ht="15" customHeight="1">
      <c r="A102" s="457" t="str">
        <f t="shared" si="13"/>
        <v/>
      </c>
      <c r="D102" s="623" t="str">
        <f>IF(H102=0,IF(F102&lt;&gt;"",IF(H102&lt;=0,0,Menu!J87),"")-$O$11,IF(F102&lt;&gt;"",IF(H102&lt;=0,0,Menu!J87),""))</f>
        <v/>
      </c>
      <c r="E102" s="1"/>
      <c r="F102" s="1171" t="str">
        <f>Menu!I87</f>
        <v/>
      </c>
      <c r="G102" s="1172"/>
      <c r="H102" s="623" t="str">
        <f>IF(F102&lt;&gt;"",#REF!,"")</f>
        <v/>
      </c>
      <c r="I102" s="623" t="str">
        <f t="shared" si="18"/>
        <v/>
      </c>
      <c r="J102" s="623" t="str">
        <f t="shared" si="14"/>
        <v/>
      </c>
      <c r="K102" s="873" t="str">
        <f t="shared" si="15"/>
        <v/>
      </c>
      <c r="L102" s="873" t="str">
        <f t="shared" si="16"/>
        <v/>
      </c>
      <c r="M102" s="873" t="str">
        <f>IF(J102&lt;&gt;"",Menu!M87,"")</f>
        <v/>
      </c>
      <c r="N102" s="873" t="str">
        <f>IF(J102&lt;&gt;"",Menu!N87,"")</f>
        <v/>
      </c>
      <c r="O102" s="1173" t="str">
        <f t="shared" si="12"/>
        <v/>
      </c>
      <c r="P102" s="1173"/>
      <c r="Q102" s="1173" t="str">
        <f t="shared" si="17"/>
        <v/>
      </c>
      <c r="R102" s="1173"/>
    </row>
    <row r="103" spans="1:20" s="458" customFormat="1" ht="15" customHeight="1">
      <c r="A103" s="457">
        <f t="shared" si="13"/>
        <v>1</v>
      </c>
      <c r="D103" s="884"/>
      <c r="E103" s="1"/>
      <c r="F103" s="1169" t="str">
        <f>IF(Menu!$C$7 = "V","Tổng", "Tổng/ Total")</f>
        <v>Tổng</v>
      </c>
      <c r="G103" s="1174"/>
      <c r="H103" s="1174"/>
      <c r="I103" s="1174"/>
      <c r="J103" s="1174"/>
      <c r="K103" s="1174"/>
      <c r="L103" s="1174"/>
      <c r="M103" s="1174"/>
      <c r="N103" s="1170"/>
      <c r="O103" s="1134">
        <f>SUM(O23:P102)</f>
        <v>8591.1211292526514</v>
      </c>
      <c r="P103" s="1134"/>
      <c r="Q103" s="1169">
        <f>SUM(Q23:R102)</f>
        <v>22253.673725846587</v>
      </c>
      <c r="R103" s="1170"/>
      <c r="T103" s="886"/>
    </row>
    <row r="104" spans="1:20" s="458" customFormat="1" ht="15" customHeight="1">
      <c r="A104" s="457">
        <v>1</v>
      </c>
      <c r="D104" s="884"/>
      <c r="E104" s="1"/>
      <c r="F104" s="516" t="s">
        <v>1806</v>
      </c>
      <c r="G104" s="517"/>
      <c r="H104" s="518"/>
      <c r="I104" s="518"/>
      <c r="J104" s="518"/>
      <c r="K104" s="518"/>
      <c r="L104" s="519"/>
      <c r="M104" s="1"/>
      <c r="N104" s="1"/>
      <c r="O104" s="1"/>
      <c r="P104" s="1"/>
      <c r="Q104" s="1"/>
      <c r="R104" s="1"/>
      <c r="T104" s="886"/>
    </row>
    <row r="105" spans="1:20" s="458" customFormat="1" ht="15" customHeight="1">
      <c r="A105" s="457">
        <v>1</v>
      </c>
      <c r="D105" s="884"/>
      <c r="E105" s="1"/>
      <c r="F105" s="516" t="s">
        <v>1806</v>
      </c>
      <c r="G105" s="517"/>
      <c r="H105" s="518"/>
      <c r="I105" s="518"/>
      <c r="J105" s="518"/>
      <c r="K105" s="518"/>
      <c r="L105" s="519"/>
      <c r="M105" s="1"/>
      <c r="N105" s="1"/>
      <c r="O105" s="1"/>
      <c r="P105" s="1"/>
      <c r="Q105" s="1"/>
      <c r="R105" s="1"/>
      <c r="T105" s="886"/>
    </row>
    <row r="106" spans="1:20" s="458" customFormat="1" ht="18" customHeight="1">
      <c r="A106" s="457">
        <v>1</v>
      </c>
      <c r="D106" s="884"/>
      <c r="E106" s="1"/>
      <c r="F106" s="625" t="s">
        <v>37</v>
      </c>
      <c r="G106" s="625" t="str">
        <f>IF(Menu!$C$7 = "V","Thành phần động của tải trọng gió","Thành phần động của tải trọng gió/ Dynamic component of wind load")</f>
        <v>Thành phần động của tải trọng gió</v>
      </c>
      <c r="H106" s="626"/>
      <c r="I106" s="626"/>
      <c r="J106" s="626"/>
      <c r="K106" s="626"/>
      <c r="L106" s="626"/>
      <c r="M106" s="626"/>
      <c r="N106" s="627"/>
      <c r="O106" s="627"/>
      <c r="P106" s="628"/>
      <c r="Q106" s="628"/>
      <c r="R106" s="628"/>
      <c r="T106" s="886"/>
    </row>
    <row r="107" spans="1:20" s="458" customFormat="1" ht="15" customHeight="1">
      <c r="A107" s="457">
        <v>1</v>
      </c>
      <c r="D107" s="884"/>
      <c r="E107" s="1"/>
      <c r="F107" s="629" t="s">
        <v>890</v>
      </c>
      <c r="G107" s="630" t="str">
        <f>IF(Menu!$C$7 = "V","Các thông số hình học của công trình-các công thức cơ bản","Các thông số hình học của công trình-Các công thức cơ bản/Building geometrical characters - Basis formulas")</f>
        <v>Các thông số hình học của công trình-các công thức cơ bản</v>
      </c>
      <c r="H107" s="626"/>
      <c r="I107" s="626"/>
      <c r="J107" s="626"/>
      <c r="K107" s="626"/>
      <c r="L107" s="626"/>
      <c r="M107" s="626"/>
      <c r="N107" s="627"/>
      <c r="O107" s="627"/>
      <c r="P107" s="628"/>
      <c r="Q107" s="628"/>
      <c r="R107" s="628"/>
      <c r="T107" s="886"/>
    </row>
    <row r="108" spans="1:20" s="458" customFormat="1" ht="15" customHeight="1">
      <c r="A108" s="457">
        <v>1</v>
      </c>
      <c r="D108" s="884"/>
      <c r="E108" s="1"/>
      <c r="F108" s="516" t="s">
        <v>1806</v>
      </c>
      <c r="G108" s="510"/>
      <c r="H108" s="520"/>
      <c r="I108" s="507"/>
      <c r="J108" s="509"/>
      <c r="K108" s="507"/>
      <c r="L108" s="521"/>
      <c r="M108" s="506"/>
      <c r="N108" s="506"/>
      <c r="O108" s="506"/>
      <c r="P108" s="506"/>
      <c r="Q108" s="506"/>
      <c r="R108" s="506"/>
      <c r="T108" s="886"/>
    </row>
    <row r="109" spans="1:20" s="458" customFormat="1" ht="18.75" customHeight="1">
      <c r="A109" s="457">
        <v>1</v>
      </c>
      <c r="D109" s="884"/>
      <c r="E109" s="1"/>
      <c r="F109" s="1161" t="s">
        <v>50</v>
      </c>
      <c r="G109" s="1161"/>
      <c r="H109" s="634" t="s">
        <v>5</v>
      </c>
      <c r="I109" s="887" t="s">
        <v>35</v>
      </c>
      <c r="J109" s="634" t="s">
        <v>38</v>
      </c>
      <c r="K109" s="631" t="s">
        <v>885</v>
      </c>
      <c r="L109" s="522"/>
      <c r="M109" s="523"/>
      <c r="N109" s="523"/>
      <c r="O109" s="523"/>
      <c r="P109" s="524"/>
      <c r="Q109" s="524"/>
      <c r="R109" s="525"/>
      <c r="T109" s="886"/>
    </row>
    <row r="110" spans="1:20" s="458" customFormat="1" ht="14.25" customHeight="1">
      <c r="A110" s="457">
        <v>1</v>
      </c>
      <c r="D110" s="884"/>
      <c r="E110" s="1"/>
      <c r="F110" s="1162" t="s">
        <v>1804</v>
      </c>
      <c r="G110" s="1162"/>
      <c r="H110" s="635" t="s">
        <v>1805</v>
      </c>
      <c r="I110" s="635" t="s">
        <v>36</v>
      </c>
      <c r="J110" s="635" t="s">
        <v>1807</v>
      </c>
      <c r="K110" s="632" t="str">
        <f>IF(Menu!$C$7 = "V","","Value of dynamic component at level z")</f>
        <v/>
      </c>
      <c r="L110" s="526"/>
      <c r="M110" s="527"/>
      <c r="N110" s="527"/>
      <c r="O110" s="527"/>
      <c r="P110" s="528"/>
      <c r="Q110" s="528"/>
      <c r="R110" s="529"/>
      <c r="T110" s="886"/>
    </row>
    <row r="111" spans="1:20" ht="15.6" customHeight="1">
      <c r="A111" s="457">
        <v>1</v>
      </c>
      <c r="F111" s="1163" t="str">
        <f t="shared" ref="F111:F130" si="19">F24</f>
        <v>TMAI</v>
      </c>
      <c r="G111" s="1164"/>
      <c r="H111" s="624">
        <f t="shared" ref="H111:H174" si="20">H24</f>
        <v>135.80000000000001</v>
      </c>
      <c r="I111" s="636">
        <f t="shared" ref="I111:I142" si="21">D24</f>
        <v>5.6</v>
      </c>
      <c r="J111" s="637">
        <f>Menu!L9</f>
        <v>1186.1731</v>
      </c>
      <c r="K111" s="530"/>
      <c r="L111" s="531"/>
      <c r="M111" s="633" t="s">
        <v>1896</v>
      </c>
      <c r="N111" s="532"/>
      <c r="O111" s="532"/>
      <c r="P111" s="531"/>
      <c r="Q111" s="531"/>
      <c r="R111" s="533"/>
      <c r="S111" s="458"/>
      <c r="T111" s="886"/>
    </row>
    <row r="112" spans="1:20" ht="15.6" customHeight="1">
      <c r="A112" s="457">
        <v>1</v>
      </c>
      <c r="F112" s="1163" t="str">
        <f t="shared" si="19"/>
        <v>TTUM</v>
      </c>
      <c r="G112" s="1164"/>
      <c r="H112" s="624">
        <f t="shared" si="20"/>
        <v>130.19999999999999</v>
      </c>
      <c r="I112" s="636">
        <f t="shared" si="21"/>
        <v>3.4</v>
      </c>
      <c r="J112" s="637">
        <f>Menu!L10</f>
        <v>1258.2292</v>
      </c>
      <c r="K112" s="640" t="str">
        <f>IF(Menu!$C$7 = "V","Trong đó:","Trong đó/ There in:")</f>
        <v>Trong đó:</v>
      </c>
      <c r="L112" s="528"/>
      <c r="M112" s="528"/>
      <c r="N112" s="528"/>
      <c r="O112" s="528"/>
      <c r="P112" s="528"/>
      <c r="Q112" s="528"/>
      <c r="R112" s="533"/>
      <c r="S112" s="458"/>
      <c r="T112" s="886"/>
    </row>
    <row r="113" spans="1:20" ht="15.6" customHeight="1">
      <c r="A113" s="457">
        <v>1</v>
      </c>
      <c r="F113" s="1147" t="str">
        <f t="shared" si="19"/>
        <v>T38</v>
      </c>
      <c r="G113" s="1148"/>
      <c r="H113" s="624">
        <f t="shared" si="20"/>
        <v>126.8</v>
      </c>
      <c r="I113" s="636">
        <f t="shared" si="21"/>
        <v>3.4</v>
      </c>
      <c r="J113" s="637">
        <f>Menu!L11</f>
        <v>1258.2292</v>
      </c>
      <c r="K113" s="641" t="s">
        <v>1897</v>
      </c>
      <c r="L113" s="643" t="str">
        <f>IF(Menu!$C$7 = "V",": Khối lượng tập trung của tầng thứ j",": Khối lượng tập trung của tầng thứ j/Concentrated mass at story j")</f>
        <v>: Khối lượng tập trung của tầng thứ j</v>
      </c>
      <c r="M113" s="528"/>
      <c r="N113" s="528"/>
      <c r="O113" s="528"/>
      <c r="P113" s="528"/>
      <c r="Q113" s="528"/>
      <c r="R113" s="533"/>
      <c r="S113" s="458"/>
      <c r="T113" s="886"/>
    </row>
    <row r="114" spans="1:20" ht="15.6" customHeight="1">
      <c r="A114" s="457">
        <v>1</v>
      </c>
      <c r="F114" s="1147" t="str">
        <f t="shared" si="19"/>
        <v>T37</v>
      </c>
      <c r="G114" s="1148"/>
      <c r="H114" s="624">
        <f t="shared" si="20"/>
        <v>123.4</v>
      </c>
      <c r="I114" s="636">
        <f t="shared" si="21"/>
        <v>3.4</v>
      </c>
      <c r="J114" s="637">
        <f>Menu!L12</f>
        <v>1258.2292</v>
      </c>
      <c r="K114" s="644" t="s">
        <v>1898</v>
      </c>
      <c r="L114" s="643" t="s">
        <v>1899</v>
      </c>
      <c r="M114" s="528"/>
      <c r="N114" s="528"/>
      <c r="O114" s="528"/>
      <c r="P114" s="528"/>
      <c r="Q114" s="528"/>
      <c r="R114" s="533"/>
      <c r="S114" s="458"/>
      <c r="T114" s="886"/>
    </row>
    <row r="115" spans="1:20" ht="15.6" customHeight="1">
      <c r="A115" s="457">
        <v>1</v>
      </c>
      <c r="F115" s="1147" t="str">
        <f t="shared" si="19"/>
        <v>T36</v>
      </c>
      <c r="G115" s="1148"/>
      <c r="H115" s="624">
        <f t="shared" si="20"/>
        <v>120</v>
      </c>
      <c r="I115" s="636">
        <f t="shared" si="21"/>
        <v>3.4</v>
      </c>
      <c r="J115" s="637">
        <f>Menu!L13</f>
        <v>1258.2292</v>
      </c>
      <c r="K115" s="534"/>
      <c r="L115" s="645" t="str">
        <f>IF(Menu!$C$7 = "V","","wind dynamic factor, depending on ei appropriated to eigenmode no.i")</f>
        <v/>
      </c>
      <c r="M115" s="528"/>
      <c r="N115" s="528"/>
      <c r="O115" s="528"/>
      <c r="P115" s="528"/>
      <c r="Q115" s="528"/>
      <c r="R115" s="533"/>
      <c r="S115" s="458"/>
      <c r="T115" s="886"/>
    </row>
    <row r="116" spans="1:20" ht="15.6" customHeight="1">
      <c r="A116" s="457">
        <v>1</v>
      </c>
      <c r="F116" s="1147" t="str">
        <f t="shared" si="19"/>
        <v>T35</v>
      </c>
      <c r="G116" s="1148"/>
      <c r="H116" s="624">
        <f t="shared" si="20"/>
        <v>116.6</v>
      </c>
      <c r="I116" s="636">
        <f t="shared" si="21"/>
        <v>3.4</v>
      </c>
      <c r="J116" s="637">
        <f>Menu!L14</f>
        <v>1258.2292</v>
      </c>
      <c r="K116" s="644" t="s">
        <v>2268</v>
      </c>
      <c r="L116" s="941" t="s">
        <v>2257</v>
      </c>
      <c r="M116" s="528"/>
      <c r="N116" s="528"/>
      <c r="O116" s="528"/>
      <c r="P116" s="528"/>
      <c r="Q116" s="528"/>
      <c r="R116" s="533"/>
      <c r="S116" s="458"/>
      <c r="T116" s="886"/>
    </row>
    <row r="117" spans="1:20" ht="15.6" customHeight="1">
      <c r="A117" s="457">
        <v>1</v>
      </c>
      <c r="F117" s="1147" t="str">
        <f t="shared" si="19"/>
        <v>T34</v>
      </c>
      <c r="G117" s="1148"/>
      <c r="H117" s="624">
        <f t="shared" si="20"/>
        <v>113.2</v>
      </c>
      <c r="I117" s="636">
        <f t="shared" si="21"/>
        <v>3.4</v>
      </c>
      <c r="J117" s="637">
        <f>Menu!L15</f>
        <v>1258.2292</v>
      </c>
      <c r="K117" s="534"/>
      <c r="L117" s="647" t="str">
        <f>IF(Menu!$C$7 = "V","","Amplitude of eigenmode No. i at floor level No. j (Etabs)")</f>
        <v/>
      </c>
      <c r="M117" s="528"/>
      <c r="N117" s="528"/>
      <c r="O117" s="528"/>
      <c r="P117" s="528"/>
      <c r="Q117" s="528"/>
      <c r="R117" s="533"/>
      <c r="S117" s="458"/>
      <c r="T117" s="886"/>
    </row>
    <row r="118" spans="1:20" ht="15.6" customHeight="1">
      <c r="A118" s="457">
        <v>1</v>
      </c>
      <c r="F118" s="1147" t="str">
        <f t="shared" si="19"/>
        <v>T33</v>
      </c>
      <c r="G118" s="1148"/>
      <c r="H118" s="624">
        <f t="shared" si="20"/>
        <v>109.8</v>
      </c>
      <c r="I118" s="636">
        <f t="shared" si="21"/>
        <v>3.4</v>
      </c>
      <c r="J118" s="637">
        <f>Menu!L16</f>
        <v>1258.2292</v>
      </c>
      <c r="K118" s="646" t="s">
        <v>1900</v>
      </c>
      <c r="L118" s="648" t="s">
        <v>2258</v>
      </c>
      <c r="M118" s="527"/>
      <c r="N118" s="527"/>
      <c r="O118" s="527"/>
      <c r="P118" s="528"/>
      <c r="Q118" s="528"/>
      <c r="R118" s="533"/>
      <c r="S118" s="458"/>
      <c r="T118" s="886"/>
    </row>
    <row r="119" spans="1:20" ht="15.6" customHeight="1">
      <c r="A119" s="457">
        <v>1</v>
      </c>
      <c r="F119" s="1147" t="str">
        <f t="shared" si="19"/>
        <v>T32</v>
      </c>
      <c r="G119" s="1148"/>
      <c r="H119" s="624">
        <f t="shared" si="20"/>
        <v>106.4</v>
      </c>
      <c r="I119" s="636">
        <f t="shared" si="21"/>
        <v>3.4</v>
      </c>
      <c r="J119" s="637">
        <f>Menu!L17</f>
        <v>1258.2292</v>
      </c>
      <c r="K119" s="535"/>
      <c r="L119" s="536"/>
      <c r="M119" s="536"/>
      <c r="N119" s="527"/>
      <c r="O119" s="527"/>
      <c r="P119" s="528"/>
      <c r="Q119" s="528"/>
      <c r="R119" s="533"/>
      <c r="S119" s="458"/>
      <c r="T119" s="886"/>
    </row>
    <row r="120" spans="1:20" ht="15.6" customHeight="1">
      <c r="A120" s="457">
        <v>1</v>
      </c>
      <c r="F120" s="1147" t="str">
        <f t="shared" si="19"/>
        <v>T31</v>
      </c>
      <c r="G120" s="1148"/>
      <c r="H120" s="624">
        <f t="shared" si="20"/>
        <v>103</v>
      </c>
      <c r="I120" s="636">
        <f t="shared" si="21"/>
        <v>3.4</v>
      </c>
      <c r="J120" s="637">
        <f>Menu!L18</f>
        <v>1258.2292</v>
      </c>
      <c r="K120" s="534"/>
      <c r="L120" s="528"/>
      <c r="M120" s="528"/>
      <c r="N120" s="528"/>
      <c r="O120" s="528"/>
      <c r="P120" s="528"/>
      <c r="Q120" s="528"/>
      <c r="R120" s="533"/>
      <c r="S120" s="458"/>
      <c r="T120" s="886"/>
    </row>
    <row r="121" spans="1:20" ht="15.6" customHeight="1">
      <c r="A121" s="457">
        <v>1</v>
      </c>
      <c r="F121" s="1147" t="str">
        <f t="shared" si="19"/>
        <v>T30</v>
      </c>
      <c r="G121" s="1148"/>
      <c r="H121" s="624">
        <f t="shared" si="20"/>
        <v>99.6</v>
      </c>
      <c r="I121" s="636">
        <f t="shared" si="21"/>
        <v>3.4</v>
      </c>
      <c r="J121" s="637">
        <f>Menu!L19</f>
        <v>1258.2292</v>
      </c>
      <c r="K121" s="534"/>
      <c r="L121" s="528"/>
      <c r="M121" s="528"/>
      <c r="N121" s="528"/>
      <c r="O121" s="528"/>
      <c r="P121" s="528"/>
      <c r="Q121" s="528"/>
      <c r="R121" s="533"/>
      <c r="S121" s="458"/>
      <c r="T121" s="886"/>
    </row>
    <row r="122" spans="1:20" ht="15.6" customHeight="1">
      <c r="A122" s="457">
        <v>1</v>
      </c>
      <c r="F122" s="1147" t="str">
        <f t="shared" si="19"/>
        <v>T29</v>
      </c>
      <c r="G122" s="1148"/>
      <c r="H122" s="624">
        <f t="shared" si="20"/>
        <v>96.2</v>
      </c>
      <c r="I122" s="636">
        <f t="shared" si="21"/>
        <v>3.4</v>
      </c>
      <c r="J122" s="637">
        <f>Menu!L20</f>
        <v>1258.2292</v>
      </c>
      <c r="K122" s="649" t="str">
        <f>IF(Menu!$C$7 = "V","Với:","Với/ with:")</f>
        <v>Với:</v>
      </c>
      <c r="L122" s="533"/>
      <c r="M122" s="533"/>
      <c r="N122" s="533"/>
      <c r="O122" s="533"/>
      <c r="P122" s="533"/>
      <c r="Q122" s="533"/>
      <c r="R122" s="533"/>
      <c r="S122" s="458"/>
      <c r="T122" s="886"/>
    </row>
    <row r="123" spans="1:20" ht="15.6" customHeight="1">
      <c r="A123" s="457">
        <v>1</v>
      </c>
      <c r="F123" s="1147" t="str">
        <f t="shared" si="19"/>
        <v>T28</v>
      </c>
      <c r="G123" s="1148"/>
      <c r="H123" s="624">
        <f t="shared" si="20"/>
        <v>92.8</v>
      </c>
      <c r="I123" s="636">
        <f t="shared" si="21"/>
        <v>3.4</v>
      </c>
      <c r="J123" s="637">
        <f>Menu!L21</f>
        <v>1258.2292</v>
      </c>
      <c r="K123" s="650" t="s">
        <v>1901</v>
      </c>
      <c r="L123" s="648" t="s">
        <v>886</v>
      </c>
      <c r="M123" s="536"/>
      <c r="N123" s="527"/>
      <c r="O123" s="527"/>
      <c r="P123" s="528"/>
      <c r="Q123" s="528"/>
      <c r="R123" s="533"/>
      <c r="S123" s="458"/>
      <c r="T123" s="886"/>
    </row>
    <row r="124" spans="1:20" ht="15.6" customHeight="1">
      <c r="A124" s="457">
        <v>1</v>
      </c>
      <c r="F124" s="1147" t="str">
        <f t="shared" si="19"/>
        <v>T27</v>
      </c>
      <c r="G124" s="1148"/>
      <c r="H124" s="624">
        <f t="shared" si="20"/>
        <v>89.4</v>
      </c>
      <c r="I124" s="636">
        <f t="shared" si="21"/>
        <v>3.4</v>
      </c>
      <c r="J124" s="637">
        <f>Menu!L22</f>
        <v>1258.2292</v>
      </c>
      <c r="K124" s="535"/>
      <c r="L124" s="651" t="str">
        <f>IF(Menu!$C$7 = "V","lên tầng thứ j","lên tầng thứ j/ Standard value of dynamic component of wind load")</f>
        <v>lên tầng thứ j</v>
      </c>
      <c r="M124" s="533"/>
      <c r="N124" s="527"/>
      <c r="O124" s="527"/>
      <c r="P124" s="528"/>
      <c r="Q124" s="528"/>
      <c r="R124" s="533"/>
      <c r="S124" s="458"/>
      <c r="T124" s="886"/>
    </row>
    <row r="125" spans="1:20" ht="15.6" customHeight="1">
      <c r="A125" s="457">
        <v>1</v>
      </c>
      <c r="F125" s="1147" t="str">
        <f t="shared" si="19"/>
        <v>T26</v>
      </c>
      <c r="G125" s="1148"/>
      <c r="H125" s="624">
        <f t="shared" si="20"/>
        <v>86</v>
      </c>
      <c r="I125" s="636">
        <f t="shared" si="21"/>
        <v>3.4</v>
      </c>
      <c r="J125" s="637">
        <f>Menu!L23</f>
        <v>1258.2292</v>
      </c>
      <c r="K125" s="534"/>
      <c r="L125" s="642" t="str">
        <f>IF(Menu!$C$7 = "V","","applying to floor level No. j")</f>
        <v/>
      </c>
      <c r="M125" s="533"/>
      <c r="N125" s="527"/>
      <c r="O125" s="527"/>
      <c r="P125" s="527"/>
      <c r="Q125" s="528"/>
      <c r="R125" s="533"/>
      <c r="S125" s="458"/>
      <c r="T125" s="886"/>
    </row>
    <row r="126" spans="1:20" ht="15.6" customHeight="1">
      <c r="A126" s="457">
        <v>1</v>
      </c>
      <c r="F126" s="1147" t="str">
        <f t="shared" si="19"/>
        <v>T25</v>
      </c>
      <c r="G126" s="1148"/>
      <c r="H126" s="624">
        <f t="shared" si="20"/>
        <v>82.6</v>
      </c>
      <c r="I126" s="636">
        <f t="shared" si="21"/>
        <v>3.4</v>
      </c>
      <c r="J126" s="637">
        <f>Menu!L24</f>
        <v>1258.2292</v>
      </c>
      <c r="K126" s="534"/>
      <c r="L126" s="528"/>
      <c r="M126" s="648" t="s">
        <v>1902</v>
      </c>
      <c r="N126" s="537"/>
      <c r="O126" s="537"/>
      <c r="P126" s="538"/>
      <c r="Q126" s="538"/>
      <c r="R126" s="533"/>
      <c r="S126" s="458"/>
      <c r="T126" s="886"/>
    </row>
    <row r="127" spans="1:20" ht="15.6" customHeight="1">
      <c r="A127" s="457">
        <v>1</v>
      </c>
      <c r="F127" s="1147" t="str">
        <f t="shared" si="19"/>
        <v>T24</v>
      </c>
      <c r="G127" s="1148"/>
      <c r="H127" s="624">
        <f t="shared" si="20"/>
        <v>79.2</v>
      </c>
      <c r="I127" s="636">
        <f t="shared" si="21"/>
        <v>3.4</v>
      </c>
      <c r="J127" s="637">
        <f>Menu!L25</f>
        <v>1258.2292</v>
      </c>
      <c r="K127" s="650" t="s">
        <v>1903</v>
      </c>
      <c r="L127" s="642" t="s">
        <v>887</v>
      </c>
      <c r="M127" s="652"/>
      <c r="N127" s="653"/>
      <c r="O127" s="653"/>
      <c r="P127" s="652"/>
      <c r="Q127" s="652"/>
      <c r="R127" s="533"/>
      <c r="S127" s="458"/>
      <c r="T127" s="886"/>
    </row>
    <row r="128" spans="1:20" ht="15.6" customHeight="1">
      <c r="A128" s="457">
        <v>1</v>
      </c>
      <c r="F128" s="1147" t="str">
        <f t="shared" si="19"/>
        <v>T23</v>
      </c>
      <c r="G128" s="1148"/>
      <c r="H128" s="624">
        <f t="shared" si="20"/>
        <v>75.8</v>
      </c>
      <c r="I128" s="636">
        <f t="shared" si="21"/>
        <v>3.4</v>
      </c>
      <c r="J128" s="637">
        <f>Menu!L26</f>
        <v>1258.2292</v>
      </c>
      <c r="K128" s="534"/>
      <c r="L128" s="654" t="str">
        <f>IF(Menu!$C$7 = "V","","Value of static component of wind load W at floor level No. j")</f>
        <v/>
      </c>
      <c r="M128" s="652"/>
      <c r="N128" s="653"/>
      <c r="O128" s="653"/>
      <c r="P128" s="652"/>
      <c r="Q128" s="652"/>
      <c r="R128" s="533"/>
      <c r="S128" s="458"/>
      <c r="T128" s="886"/>
    </row>
    <row r="129" spans="1:20" ht="15.6" customHeight="1">
      <c r="A129" s="457">
        <v>1</v>
      </c>
      <c r="F129" s="1147" t="str">
        <f t="shared" si="19"/>
        <v>T22</v>
      </c>
      <c r="G129" s="1148"/>
      <c r="H129" s="624">
        <f t="shared" si="20"/>
        <v>72.400000000000006</v>
      </c>
      <c r="I129" s="636">
        <f t="shared" si="21"/>
        <v>3.4</v>
      </c>
      <c r="J129" s="637">
        <f>Menu!L27</f>
        <v>1258.2292</v>
      </c>
      <c r="K129" s="655" t="s">
        <v>1904</v>
      </c>
      <c r="L129" s="651" t="s">
        <v>888</v>
      </c>
      <c r="M129" s="656"/>
      <c r="N129" s="657"/>
      <c r="O129" s="657"/>
      <c r="P129" s="656"/>
      <c r="Q129" s="656"/>
      <c r="R129" s="658"/>
      <c r="S129" s="458"/>
      <c r="T129" s="886"/>
    </row>
    <row r="130" spans="1:20" ht="15.6" customHeight="1">
      <c r="A130" s="457">
        <v>1</v>
      </c>
      <c r="F130" s="1147" t="str">
        <f t="shared" si="19"/>
        <v>T21</v>
      </c>
      <c r="G130" s="1148"/>
      <c r="H130" s="624">
        <f t="shared" si="20"/>
        <v>69</v>
      </c>
      <c r="I130" s="636">
        <f t="shared" si="21"/>
        <v>3.4</v>
      </c>
      <c r="J130" s="637">
        <f>Menu!L28</f>
        <v>1258.2292</v>
      </c>
      <c r="K130" s="534"/>
      <c r="L130" s="651" t="str">
        <f>IF(Menu!$C$7 = "V","TCVN 2737:1995","TCVN 2737:1995) / Dynamic pressure factor at level z (Refers to")</f>
        <v>TCVN 2737:1995</v>
      </c>
      <c r="M130" s="656"/>
      <c r="N130" s="657"/>
      <c r="O130" s="657"/>
      <c r="P130" s="656"/>
      <c r="Q130" s="656"/>
      <c r="R130" s="658"/>
      <c r="S130" s="458"/>
      <c r="T130" s="886"/>
    </row>
    <row r="131" spans="1:20" ht="15.6" customHeight="1">
      <c r="A131" s="457">
        <v>1</v>
      </c>
      <c r="F131" s="1147" t="str">
        <f t="shared" ref="F131:F150" si="22">F44</f>
        <v>T20</v>
      </c>
      <c r="G131" s="1148"/>
      <c r="H131" s="624">
        <f t="shared" si="20"/>
        <v>65.599999999999994</v>
      </c>
      <c r="I131" s="636">
        <f t="shared" si="21"/>
        <v>3.4</v>
      </c>
      <c r="J131" s="637">
        <f>Menu!L29</f>
        <v>1258.2292</v>
      </c>
      <c r="K131" s="534"/>
      <c r="L131" s="659" t="str">
        <f>IF(Menu!$C$7 = "V","","Table 8 - TCVN 2737:1995)")</f>
        <v/>
      </c>
      <c r="M131" s="656"/>
      <c r="N131" s="657"/>
      <c r="O131" s="657"/>
      <c r="P131" s="656"/>
      <c r="Q131" s="656"/>
      <c r="R131" s="658"/>
      <c r="S131" s="458"/>
      <c r="T131" s="886"/>
    </row>
    <row r="132" spans="1:20" ht="15.6" customHeight="1">
      <c r="A132" s="457">
        <v>1</v>
      </c>
      <c r="F132" s="1147" t="str">
        <f t="shared" si="22"/>
        <v>T19</v>
      </c>
      <c r="G132" s="1148"/>
      <c r="H132" s="624">
        <f t="shared" si="20"/>
        <v>62.2</v>
      </c>
      <c r="I132" s="636">
        <f t="shared" si="21"/>
        <v>3.4</v>
      </c>
      <c r="J132" s="637">
        <f>Menu!L30</f>
        <v>1258.2292</v>
      </c>
      <c r="K132" s="660" t="s">
        <v>1905</v>
      </c>
      <c r="L132" s="651" t="s">
        <v>889</v>
      </c>
      <c r="M132" s="538"/>
      <c r="N132" s="537"/>
      <c r="O132" s="537"/>
      <c r="P132" s="538"/>
      <c r="Q132" s="538"/>
      <c r="R132" s="533"/>
      <c r="S132" s="458"/>
      <c r="T132" s="886"/>
    </row>
    <row r="133" spans="1:20" ht="15.6" customHeight="1">
      <c r="A133" s="457">
        <v>1</v>
      </c>
      <c r="F133" s="1147" t="str">
        <f t="shared" si="22"/>
        <v>T18</v>
      </c>
      <c r="G133" s="1148"/>
      <c r="H133" s="624">
        <f t="shared" si="20"/>
        <v>58.8</v>
      </c>
      <c r="I133" s="636">
        <f t="shared" si="21"/>
        <v>3.4</v>
      </c>
      <c r="J133" s="637">
        <f>Menu!L31</f>
        <v>1258.2292</v>
      </c>
      <c r="K133" s="539"/>
      <c r="L133" s="661" t="str">
        <f>IF(Menu!$C$7 = "V","","Space's collarating factor of dynamic pressure of wind load")</f>
        <v/>
      </c>
      <c r="M133" s="540"/>
      <c r="N133" s="541"/>
      <c r="O133" s="541"/>
      <c r="P133" s="540"/>
      <c r="Q133" s="540"/>
      <c r="R133" s="542"/>
      <c r="S133" s="458"/>
      <c r="T133" s="886"/>
    </row>
    <row r="134" spans="1:20" ht="15.6" customHeight="1">
      <c r="A134" s="457">
        <f t="shared" ref="A134:A165" si="23">IF(F134="","",1)</f>
        <v>1</v>
      </c>
      <c r="F134" s="1147" t="str">
        <f t="shared" si="22"/>
        <v>T17</v>
      </c>
      <c r="G134" s="1148"/>
      <c r="H134" s="624">
        <f t="shared" si="20"/>
        <v>55.4</v>
      </c>
      <c r="I134" s="636">
        <f t="shared" si="21"/>
        <v>3.4</v>
      </c>
      <c r="J134" s="637">
        <f>Menu!L32</f>
        <v>1258.2292</v>
      </c>
      <c r="K134" s="507"/>
      <c r="L134" s="543"/>
      <c r="M134" s="543"/>
      <c r="N134" s="543"/>
      <c r="O134" s="543"/>
      <c r="P134" s="543"/>
      <c r="Q134" s="543"/>
      <c r="R134" s="543"/>
      <c r="S134" s="458"/>
      <c r="T134" s="886"/>
    </row>
    <row r="135" spans="1:20" ht="15.6" customHeight="1">
      <c r="A135" s="457">
        <f t="shared" si="23"/>
        <v>1</v>
      </c>
      <c r="F135" s="1147" t="str">
        <f t="shared" si="22"/>
        <v>T16</v>
      </c>
      <c r="G135" s="1148"/>
      <c r="H135" s="624">
        <f t="shared" si="20"/>
        <v>52</v>
      </c>
      <c r="I135" s="636">
        <f t="shared" si="21"/>
        <v>3.4</v>
      </c>
      <c r="J135" s="637">
        <f>Menu!L33</f>
        <v>1258.2292</v>
      </c>
      <c r="K135" s="507"/>
      <c r="L135" s="543"/>
      <c r="M135" s="543"/>
      <c r="N135" s="543"/>
      <c r="O135" s="543"/>
      <c r="P135" s="543"/>
      <c r="Q135" s="543"/>
      <c r="R135" s="543"/>
      <c r="S135" s="458"/>
      <c r="T135" s="886"/>
    </row>
    <row r="136" spans="1:20" ht="15.6" customHeight="1">
      <c r="A136" s="457">
        <f t="shared" si="23"/>
        <v>1</v>
      </c>
      <c r="F136" s="1147" t="str">
        <f t="shared" si="22"/>
        <v>T15</v>
      </c>
      <c r="G136" s="1148"/>
      <c r="H136" s="624">
        <f t="shared" si="20"/>
        <v>48.6</v>
      </c>
      <c r="I136" s="636">
        <f t="shared" si="21"/>
        <v>3.4</v>
      </c>
      <c r="J136" s="637">
        <f>Menu!L34</f>
        <v>1258.2292</v>
      </c>
      <c r="K136" s="507"/>
      <c r="L136" s="543"/>
      <c r="M136" s="543"/>
      <c r="N136" s="543"/>
      <c r="O136" s="543"/>
      <c r="P136" s="543"/>
      <c r="Q136" s="543"/>
      <c r="R136" s="543"/>
      <c r="S136" s="458"/>
      <c r="T136" s="886"/>
    </row>
    <row r="137" spans="1:20" ht="15.6" customHeight="1">
      <c r="A137" s="457">
        <f t="shared" si="23"/>
        <v>1</v>
      </c>
      <c r="F137" s="1147" t="str">
        <f t="shared" si="22"/>
        <v>T14</v>
      </c>
      <c r="G137" s="1148"/>
      <c r="H137" s="624">
        <f t="shared" si="20"/>
        <v>45.2</v>
      </c>
      <c r="I137" s="636">
        <f t="shared" si="21"/>
        <v>3.4</v>
      </c>
      <c r="J137" s="637">
        <f>Menu!L35</f>
        <v>1258.2292</v>
      </c>
      <c r="K137" s="507"/>
      <c r="L137" s="543"/>
      <c r="M137" s="543"/>
      <c r="N137" s="543"/>
      <c r="O137" s="543"/>
      <c r="P137" s="543"/>
      <c r="Q137" s="543"/>
      <c r="R137" s="543"/>
      <c r="S137" s="458"/>
      <c r="T137" s="886"/>
    </row>
    <row r="138" spans="1:20" ht="15.6" customHeight="1">
      <c r="A138" s="457">
        <f t="shared" si="23"/>
        <v>1</v>
      </c>
      <c r="F138" s="1147" t="str">
        <f t="shared" si="22"/>
        <v>T13</v>
      </c>
      <c r="G138" s="1148"/>
      <c r="H138" s="624">
        <f t="shared" si="20"/>
        <v>41.8</v>
      </c>
      <c r="I138" s="636">
        <f t="shared" si="21"/>
        <v>3.4</v>
      </c>
      <c r="J138" s="637">
        <f>Menu!L36</f>
        <v>1258.2292</v>
      </c>
      <c r="K138" s="507"/>
      <c r="L138" s="543"/>
      <c r="M138" s="543"/>
      <c r="N138" s="543"/>
      <c r="O138" s="543"/>
      <c r="P138" s="543"/>
      <c r="Q138" s="543"/>
      <c r="R138" s="543"/>
      <c r="S138" s="458"/>
      <c r="T138" s="886"/>
    </row>
    <row r="139" spans="1:20" ht="15.6" customHeight="1">
      <c r="A139" s="457">
        <f t="shared" si="23"/>
        <v>1</v>
      </c>
      <c r="F139" s="1147" t="str">
        <f t="shared" si="22"/>
        <v>T12</v>
      </c>
      <c r="G139" s="1148"/>
      <c r="H139" s="624">
        <f t="shared" si="20"/>
        <v>38.4</v>
      </c>
      <c r="I139" s="636">
        <f t="shared" si="21"/>
        <v>3.4</v>
      </c>
      <c r="J139" s="637">
        <f>Menu!L37</f>
        <v>1258.2292</v>
      </c>
      <c r="K139" s="507"/>
      <c r="L139" s="543"/>
      <c r="M139" s="543"/>
      <c r="N139" s="543"/>
      <c r="O139" s="543"/>
      <c r="P139" s="543"/>
      <c r="Q139" s="543"/>
      <c r="R139" s="543"/>
      <c r="S139" s="458"/>
      <c r="T139" s="886"/>
    </row>
    <row r="140" spans="1:20" ht="15.6" customHeight="1">
      <c r="A140" s="457">
        <f t="shared" si="23"/>
        <v>1</v>
      </c>
      <c r="F140" s="1147" t="str">
        <f t="shared" si="22"/>
        <v>T11</v>
      </c>
      <c r="G140" s="1148"/>
      <c r="H140" s="624">
        <f t="shared" si="20"/>
        <v>35</v>
      </c>
      <c r="I140" s="636">
        <f t="shared" si="21"/>
        <v>3.4</v>
      </c>
      <c r="J140" s="637">
        <f>Menu!L38</f>
        <v>1258.2292</v>
      </c>
      <c r="K140" s="507"/>
      <c r="L140" s="543"/>
      <c r="M140" s="543"/>
      <c r="N140" s="543"/>
      <c r="O140" s="543"/>
      <c r="P140" s="543"/>
      <c r="Q140" s="543"/>
      <c r="R140" s="543"/>
      <c r="S140" s="458"/>
      <c r="T140" s="886"/>
    </row>
    <row r="141" spans="1:20" ht="15.6" customHeight="1">
      <c r="A141" s="457">
        <f t="shared" si="23"/>
        <v>1</v>
      </c>
      <c r="F141" s="1147" t="str">
        <f t="shared" si="22"/>
        <v>T10</v>
      </c>
      <c r="G141" s="1148"/>
      <c r="H141" s="624">
        <f t="shared" si="20"/>
        <v>31.6</v>
      </c>
      <c r="I141" s="636">
        <f t="shared" si="21"/>
        <v>3.4</v>
      </c>
      <c r="J141" s="637">
        <f>Menu!L39</f>
        <v>1258.2292</v>
      </c>
      <c r="K141" s="507"/>
      <c r="L141" s="543"/>
      <c r="M141" s="543"/>
      <c r="N141" s="543"/>
      <c r="O141" s="543"/>
      <c r="P141" s="543"/>
      <c r="Q141" s="543"/>
      <c r="R141" s="543"/>
      <c r="S141" s="458"/>
      <c r="T141" s="886"/>
    </row>
    <row r="142" spans="1:20" ht="15.6" customHeight="1">
      <c r="A142" s="457">
        <f t="shared" si="23"/>
        <v>1</v>
      </c>
      <c r="F142" s="1147" t="str">
        <f t="shared" si="22"/>
        <v>T9</v>
      </c>
      <c r="G142" s="1148"/>
      <c r="H142" s="624">
        <f t="shared" si="20"/>
        <v>28.2</v>
      </c>
      <c r="I142" s="636">
        <f t="shared" si="21"/>
        <v>3.4</v>
      </c>
      <c r="J142" s="637">
        <f>Menu!L40</f>
        <v>1258.2292</v>
      </c>
      <c r="K142" s="507"/>
      <c r="L142" s="543"/>
      <c r="M142" s="543"/>
      <c r="N142" s="543"/>
      <c r="O142" s="543"/>
      <c r="P142" s="543"/>
      <c r="Q142" s="543"/>
      <c r="R142" s="543"/>
      <c r="S142" s="458"/>
      <c r="T142" s="886"/>
    </row>
    <row r="143" spans="1:20" ht="15.6" customHeight="1">
      <c r="A143" s="457">
        <f t="shared" si="23"/>
        <v>1</v>
      </c>
      <c r="F143" s="1147" t="str">
        <f t="shared" si="22"/>
        <v>T8</v>
      </c>
      <c r="G143" s="1148"/>
      <c r="H143" s="624">
        <f t="shared" si="20"/>
        <v>24.8</v>
      </c>
      <c r="I143" s="636">
        <f t="shared" ref="I143:I174" si="24">D56</f>
        <v>3.4</v>
      </c>
      <c r="J143" s="637">
        <f>Menu!L41</f>
        <v>1258.2292</v>
      </c>
      <c r="K143" s="507"/>
      <c r="L143" s="543"/>
      <c r="M143" s="543"/>
      <c r="N143" s="543"/>
      <c r="O143" s="543"/>
      <c r="P143" s="543"/>
      <c r="Q143" s="543"/>
      <c r="R143" s="543"/>
      <c r="S143" s="458"/>
      <c r="T143" s="886"/>
    </row>
    <row r="144" spans="1:20" ht="15.6" customHeight="1">
      <c r="A144" s="457">
        <f t="shared" si="23"/>
        <v>1</v>
      </c>
      <c r="F144" s="1147" t="str">
        <f t="shared" si="22"/>
        <v>T7</v>
      </c>
      <c r="G144" s="1148"/>
      <c r="H144" s="624">
        <f t="shared" si="20"/>
        <v>21.4</v>
      </c>
      <c r="I144" s="636">
        <f t="shared" si="24"/>
        <v>3.4</v>
      </c>
      <c r="J144" s="637">
        <f>Menu!L42</f>
        <v>1258.2292</v>
      </c>
      <c r="K144" s="507"/>
      <c r="L144" s="543"/>
      <c r="M144" s="543"/>
      <c r="N144" s="543"/>
      <c r="O144" s="543"/>
      <c r="P144" s="543"/>
      <c r="Q144" s="543"/>
      <c r="R144" s="543"/>
      <c r="S144" s="458"/>
      <c r="T144" s="886"/>
    </row>
    <row r="145" spans="1:18" ht="15.6" customHeight="1">
      <c r="A145" s="457">
        <f t="shared" si="23"/>
        <v>1</v>
      </c>
      <c r="F145" s="1147" t="str">
        <f t="shared" si="22"/>
        <v>T6</v>
      </c>
      <c r="G145" s="1148"/>
      <c r="H145" s="624">
        <f t="shared" si="20"/>
        <v>18</v>
      </c>
      <c r="I145" s="636">
        <f t="shared" si="24"/>
        <v>3.4</v>
      </c>
      <c r="J145" s="637">
        <f>Menu!L43</f>
        <v>1258.2292</v>
      </c>
      <c r="K145" s="507"/>
      <c r="L145" s="543"/>
      <c r="M145" s="543"/>
      <c r="N145" s="543"/>
      <c r="O145" s="543"/>
      <c r="P145" s="543"/>
      <c r="Q145" s="543"/>
      <c r="R145" s="543"/>
    </row>
    <row r="146" spans="1:18" ht="15.6" customHeight="1">
      <c r="A146" s="457">
        <f t="shared" si="23"/>
        <v>1</v>
      </c>
      <c r="F146" s="1147" t="str">
        <f t="shared" si="22"/>
        <v>T5</v>
      </c>
      <c r="G146" s="1148"/>
      <c r="H146" s="624">
        <f t="shared" si="20"/>
        <v>14.6</v>
      </c>
      <c r="I146" s="636">
        <f t="shared" si="24"/>
        <v>3.4</v>
      </c>
      <c r="J146" s="637">
        <f>Menu!L44</f>
        <v>1258.2292</v>
      </c>
      <c r="K146" s="507"/>
      <c r="L146" s="543"/>
      <c r="M146" s="543"/>
      <c r="N146" s="543"/>
      <c r="O146" s="543"/>
      <c r="P146" s="543"/>
      <c r="Q146" s="543"/>
      <c r="R146" s="543"/>
    </row>
    <row r="147" spans="1:18" ht="15.6" customHeight="1">
      <c r="A147" s="457">
        <f t="shared" si="23"/>
        <v>1</v>
      </c>
      <c r="F147" s="1147" t="str">
        <f t="shared" si="22"/>
        <v>T4</v>
      </c>
      <c r="G147" s="1148"/>
      <c r="H147" s="624">
        <f t="shared" si="20"/>
        <v>11.2</v>
      </c>
      <c r="I147" s="636">
        <f t="shared" si="24"/>
        <v>3.4</v>
      </c>
      <c r="J147" s="637">
        <f>Menu!L45</f>
        <v>1258.2292</v>
      </c>
      <c r="K147" s="507"/>
      <c r="L147" s="543"/>
      <c r="M147" s="543"/>
      <c r="N147" s="543"/>
      <c r="O147" s="543"/>
      <c r="P147" s="543"/>
      <c r="Q147" s="543"/>
      <c r="R147" s="543"/>
    </row>
    <row r="148" spans="1:18" ht="15.6" customHeight="1">
      <c r="A148" s="457">
        <f t="shared" si="23"/>
        <v>1</v>
      </c>
      <c r="F148" s="1147" t="str">
        <f t="shared" si="22"/>
        <v>T3</v>
      </c>
      <c r="G148" s="1148"/>
      <c r="H148" s="624">
        <f t="shared" si="20"/>
        <v>7.8</v>
      </c>
      <c r="I148" s="636">
        <f t="shared" si="24"/>
        <v>3.4</v>
      </c>
      <c r="J148" s="637">
        <f>Menu!L46</f>
        <v>1279.3911000000001</v>
      </c>
      <c r="K148" s="507"/>
      <c r="L148" s="543"/>
      <c r="M148" s="543"/>
      <c r="N148" s="543"/>
      <c r="O148" s="543"/>
      <c r="P148" s="543"/>
      <c r="Q148" s="543"/>
      <c r="R148" s="543"/>
    </row>
    <row r="149" spans="1:18" ht="15.6" customHeight="1">
      <c r="A149" s="457">
        <f t="shared" si="23"/>
        <v>1</v>
      </c>
      <c r="F149" s="1147" t="str">
        <f t="shared" si="22"/>
        <v>T2</v>
      </c>
      <c r="G149" s="1148"/>
      <c r="H149" s="624">
        <f t="shared" si="20"/>
        <v>4.4000000000000004</v>
      </c>
      <c r="I149" s="636">
        <f t="shared" si="24"/>
        <v>4.4000000000000004</v>
      </c>
      <c r="J149" s="637">
        <f>Menu!L47</f>
        <v>9405.8924000000006</v>
      </c>
      <c r="K149" s="507"/>
      <c r="L149" s="543"/>
      <c r="M149" s="543"/>
      <c r="N149" s="543"/>
      <c r="O149" s="543"/>
      <c r="P149" s="543"/>
      <c r="Q149" s="543"/>
      <c r="R149" s="543"/>
    </row>
    <row r="150" spans="1:18" ht="15.6" customHeight="1">
      <c r="A150" s="457">
        <f t="shared" si="23"/>
        <v>1</v>
      </c>
      <c r="F150" s="1147" t="str">
        <f t="shared" si="22"/>
        <v>T1</v>
      </c>
      <c r="G150" s="1148"/>
      <c r="H150" s="624">
        <f t="shared" si="20"/>
        <v>0</v>
      </c>
      <c r="I150" s="636">
        <f t="shared" si="24"/>
        <v>0.55000000000000004</v>
      </c>
      <c r="J150" s="637" t="str">
        <f>Menu!L48</f>
        <v/>
      </c>
      <c r="K150" s="507"/>
      <c r="L150" s="543"/>
      <c r="M150" s="543"/>
      <c r="N150" s="543"/>
      <c r="O150" s="543"/>
      <c r="P150" s="543"/>
      <c r="Q150" s="543"/>
      <c r="R150" s="543"/>
    </row>
    <row r="151" spans="1:18" ht="15.6" customHeight="1">
      <c r="A151" s="457">
        <f t="shared" si="23"/>
        <v>1</v>
      </c>
      <c r="F151" s="1147" t="str">
        <f t="shared" ref="F151:F170" si="25">F64</f>
        <v>B1</v>
      </c>
      <c r="G151" s="1148"/>
      <c r="H151" s="624">
        <f t="shared" si="20"/>
        <v>-4.6500000000000004</v>
      </c>
      <c r="I151" s="636">
        <f t="shared" si="24"/>
        <v>0</v>
      </c>
      <c r="J151" s="637" t="str">
        <f>Menu!L49</f>
        <v/>
      </c>
      <c r="K151" s="507"/>
      <c r="L151" s="543"/>
      <c r="M151" s="543"/>
      <c r="N151" s="543"/>
      <c r="O151" s="543"/>
      <c r="P151" s="543"/>
      <c r="Q151" s="543"/>
      <c r="R151" s="543"/>
    </row>
    <row r="152" spans="1:18" ht="15.6" customHeight="1">
      <c r="A152" s="457">
        <f t="shared" si="23"/>
        <v>1</v>
      </c>
      <c r="F152" s="1147" t="str">
        <f t="shared" si="25"/>
        <v>BASE</v>
      </c>
      <c r="G152" s="1148"/>
      <c r="H152" s="624">
        <f t="shared" si="20"/>
        <v>-7.65</v>
      </c>
      <c r="I152" s="636">
        <f t="shared" si="24"/>
        <v>0</v>
      </c>
      <c r="J152" s="637" t="str">
        <f>Menu!L50</f>
        <v/>
      </c>
      <c r="K152" s="507"/>
      <c r="L152" s="543"/>
      <c r="M152" s="543"/>
      <c r="N152" s="543"/>
      <c r="O152" s="543"/>
      <c r="P152" s="543"/>
      <c r="Q152" s="543"/>
      <c r="R152" s="543"/>
    </row>
    <row r="153" spans="1:18" ht="15.6" customHeight="1">
      <c r="A153" s="457" t="str">
        <f t="shared" si="23"/>
        <v/>
      </c>
      <c r="F153" s="1147" t="str">
        <f t="shared" si="25"/>
        <v/>
      </c>
      <c r="G153" s="1148"/>
      <c r="H153" s="624" t="str">
        <f t="shared" si="20"/>
        <v/>
      </c>
      <c r="I153" s="636" t="str">
        <f t="shared" si="24"/>
        <v/>
      </c>
      <c r="J153" s="637" t="str">
        <f>Menu!L51</f>
        <v/>
      </c>
      <c r="K153" s="507"/>
      <c r="L153" s="543"/>
      <c r="M153" s="543"/>
      <c r="N153" s="543"/>
      <c r="O153" s="543"/>
      <c r="P153" s="543"/>
      <c r="Q153" s="543"/>
      <c r="R153" s="543"/>
    </row>
    <row r="154" spans="1:18" ht="15.6" customHeight="1">
      <c r="A154" s="457" t="str">
        <f t="shared" si="23"/>
        <v/>
      </c>
      <c r="F154" s="1147" t="str">
        <f t="shared" si="25"/>
        <v/>
      </c>
      <c r="G154" s="1148"/>
      <c r="H154" s="624" t="str">
        <f t="shared" si="20"/>
        <v/>
      </c>
      <c r="I154" s="636" t="str">
        <f t="shared" si="24"/>
        <v/>
      </c>
      <c r="J154" s="637" t="str">
        <f>Menu!L52</f>
        <v/>
      </c>
      <c r="K154" s="507"/>
      <c r="L154" s="543"/>
      <c r="M154" s="543"/>
      <c r="N154" s="543"/>
      <c r="O154" s="543"/>
      <c r="P154" s="543"/>
      <c r="Q154" s="543"/>
      <c r="R154" s="543"/>
    </row>
    <row r="155" spans="1:18" ht="15.6" customHeight="1">
      <c r="A155" s="457" t="str">
        <f t="shared" si="23"/>
        <v/>
      </c>
      <c r="F155" s="1147" t="str">
        <f t="shared" si="25"/>
        <v/>
      </c>
      <c r="G155" s="1148"/>
      <c r="H155" s="624" t="str">
        <f t="shared" si="20"/>
        <v/>
      </c>
      <c r="I155" s="636" t="str">
        <f t="shared" si="24"/>
        <v/>
      </c>
      <c r="J155" s="637" t="str">
        <f>Menu!L53</f>
        <v/>
      </c>
      <c r="K155" s="507"/>
      <c r="L155" s="543"/>
      <c r="M155" s="543"/>
      <c r="N155" s="543"/>
      <c r="O155" s="543"/>
      <c r="P155" s="543"/>
      <c r="Q155" s="543"/>
      <c r="R155" s="543"/>
    </row>
    <row r="156" spans="1:18" ht="15.6" customHeight="1">
      <c r="A156" s="457" t="str">
        <f t="shared" si="23"/>
        <v/>
      </c>
      <c r="F156" s="1147" t="str">
        <f t="shared" si="25"/>
        <v/>
      </c>
      <c r="G156" s="1148"/>
      <c r="H156" s="624" t="str">
        <f t="shared" si="20"/>
        <v/>
      </c>
      <c r="I156" s="636" t="str">
        <f t="shared" si="24"/>
        <v/>
      </c>
      <c r="J156" s="637" t="str">
        <f>Menu!L54</f>
        <v/>
      </c>
      <c r="K156" s="507"/>
      <c r="L156" s="543"/>
      <c r="M156" s="543"/>
      <c r="N156" s="543"/>
      <c r="O156" s="543"/>
      <c r="P156" s="543"/>
      <c r="Q156" s="543"/>
      <c r="R156" s="543"/>
    </row>
    <row r="157" spans="1:18" ht="15.6" customHeight="1">
      <c r="A157" s="457" t="str">
        <f t="shared" si="23"/>
        <v/>
      </c>
      <c r="F157" s="1147" t="str">
        <f t="shared" si="25"/>
        <v/>
      </c>
      <c r="G157" s="1148"/>
      <c r="H157" s="624" t="str">
        <f t="shared" si="20"/>
        <v/>
      </c>
      <c r="I157" s="636" t="str">
        <f t="shared" si="24"/>
        <v/>
      </c>
      <c r="J157" s="637" t="str">
        <f>Menu!L55</f>
        <v/>
      </c>
      <c r="K157" s="507"/>
      <c r="L157" s="543"/>
      <c r="M157" s="543"/>
      <c r="N157" s="543"/>
      <c r="O157" s="543"/>
      <c r="P157" s="543"/>
      <c r="Q157" s="543"/>
      <c r="R157" s="543"/>
    </row>
    <row r="158" spans="1:18" ht="15.6" customHeight="1">
      <c r="A158" s="457" t="str">
        <f t="shared" si="23"/>
        <v/>
      </c>
      <c r="F158" s="1147" t="str">
        <f t="shared" si="25"/>
        <v/>
      </c>
      <c r="G158" s="1148"/>
      <c r="H158" s="624" t="str">
        <f t="shared" si="20"/>
        <v/>
      </c>
      <c r="I158" s="636" t="str">
        <f t="shared" si="24"/>
        <v/>
      </c>
      <c r="J158" s="637" t="str">
        <f>Menu!L56</f>
        <v/>
      </c>
      <c r="K158" s="507"/>
      <c r="L158" s="543"/>
      <c r="M158" s="543"/>
      <c r="N158" s="543"/>
      <c r="O158" s="543"/>
      <c r="P158" s="543"/>
      <c r="Q158" s="543"/>
      <c r="R158" s="543"/>
    </row>
    <row r="159" spans="1:18" ht="15.6" customHeight="1">
      <c r="A159" s="457" t="str">
        <f t="shared" si="23"/>
        <v/>
      </c>
      <c r="F159" s="1147" t="str">
        <f t="shared" si="25"/>
        <v/>
      </c>
      <c r="G159" s="1148"/>
      <c r="H159" s="624" t="str">
        <f t="shared" si="20"/>
        <v/>
      </c>
      <c r="I159" s="636" t="str">
        <f t="shared" si="24"/>
        <v/>
      </c>
      <c r="J159" s="637" t="str">
        <f>Menu!L57</f>
        <v/>
      </c>
      <c r="K159" s="507"/>
      <c r="L159" s="543"/>
      <c r="M159" s="543"/>
      <c r="N159" s="543"/>
      <c r="O159" s="543"/>
      <c r="P159" s="543"/>
      <c r="Q159" s="543"/>
      <c r="R159" s="543"/>
    </row>
    <row r="160" spans="1:18" ht="15.6" customHeight="1">
      <c r="A160" s="457" t="str">
        <f t="shared" si="23"/>
        <v/>
      </c>
      <c r="F160" s="1147" t="str">
        <f t="shared" si="25"/>
        <v/>
      </c>
      <c r="G160" s="1148"/>
      <c r="H160" s="624" t="str">
        <f t="shared" si="20"/>
        <v/>
      </c>
      <c r="I160" s="636" t="str">
        <f t="shared" si="24"/>
        <v/>
      </c>
      <c r="J160" s="637" t="str">
        <f>Menu!L58</f>
        <v/>
      </c>
      <c r="K160" s="507"/>
      <c r="L160" s="543"/>
      <c r="M160" s="543"/>
      <c r="N160" s="543"/>
      <c r="O160" s="543"/>
      <c r="P160" s="543"/>
      <c r="Q160" s="543"/>
      <c r="R160" s="543"/>
    </row>
    <row r="161" spans="1:18" ht="15.6" customHeight="1">
      <c r="A161" s="457" t="str">
        <f t="shared" si="23"/>
        <v/>
      </c>
      <c r="F161" s="1147" t="str">
        <f t="shared" si="25"/>
        <v/>
      </c>
      <c r="G161" s="1148"/>
      <c r="H161" s="624" t="str">
        <f t="shared" si="20"/>
        <v/>
      </c>
      <c r="I161" s="636" t="str">
        <f t="shared" si="24"/>
        <v/>
      </c>
      <c r="J161" s="637" t="str">
        <f>Menu!L59</f>
        <v/>
      </c>
      <c r="K161" s="507"/>
      <c r="L161" s="543"/>
      <c r="M161" s="543"/>
      <c r="N161" s="543"/>
      <c r="O161" s="543"/>
      <c r="P161" s="543"/>
      <c r="Q161" s="543"/>
      <c r="R161" s="543"/>
    </row>
    <row r="162" spans="1:18" ht="15.6" customHeight="1">
      <c r="A162" s="457" t="str">
        <f t="shared" si="23"/>
        <v/>
      </c>
      <c r="F162" s="1147" t="str">
        <f t="shared" si="25"/>
        <v/>
      </c>
      <c r="G162" s="1148"/>
      <c r="H162" s="624" t="str">
        <f t="shared" si="20"/>
        <v/>
      </c>
      <c r="I162" s="636" t="str">
        <f t="shared" si="24"/>
        <v/>
      </c>
      <c r="J162" s="637" t="str">
        <f>Menu!L60</f>
        <v/>
      </c>
      <c r="K162" s="507"/>
      <c r="L162" s="543"/>
      <c r="M162" s="543"/>
      <c r="N162" s="543"/>
      <c r="O162" s="543"/>
      <c r="P162" s="543"/>
      <c r="Q162" s="543"/>
      <c r="R162" s="543"/>
    </row>
    <row r="163" spans="1:18" ht="15.6" customHeight="1">
      <c r="A163" s="457" t="str">
        <f t="shared" si="23"/>
        <v/>
      </c>
      <c r="F163" s="1147" t="str">
        <f t="shared" si="25"/>
        <v/>
      </c>
      <c r="G163" s="1148"/>
      <c r="H163" s="624" t="str">
        <f t="shared" si="20"/>
        <v/>
      </c>
      <c r="I163" s="636" t="str">
        <f t="shared" si="24"/>
        <v/>
      </c>
      <c r="J163" s="637" t="str">
        <f>Menu!L61</f>
        <v/>
      </c>
      <c r="K163" s="507"/>
      <c r="L163" s="543"/>
      <c r="M163" s="543"/>
      <c r="N163" s="543"/>
      <c r="O163" s="543"/>
      <c r="P163" s="543"/>
      <c r="Q163" s="543"/>
      <c r="R163" s="543"/>
    </row>
    <row r="164" spans="1:18" ht="15.6" customHeight="1">
      <c r="A164" s="457" t="str">
        <f t="shared" si="23"/>
        <v/>
      </c>
      <c r="F164" s="1147" t="str">
        <f t="shared" si="25"/>
        <v/>
      </c>
      <c r="G164" s="1148"/>
      <c r="H164" s="624" t="str">
        <f t="shared" si="20"/>
        <v/>
      </c>
      <c r="I164" s="636" t="str">
        <f t="shared" si="24"/>
        <v/>
      </c>
      <c r="J164" s="637" t="str">
        <f>Menu!L62</f>
        <v/>
      </c>
      <c r="K164" s="507"/>
      <c r="L164" s="543"/>
      <c r="M164" s="543"/>
      <c r="N164" s="543"/>
      <c r="O164" s="543"/>
      <c r="P164" s="543"/>
      <c r="Q164" s="543"/>
      <c r="R164" s="543"/>
    </row>
    <row r="165" spans="1:18" ht="15.6" customHeight="1">
      <c r="A165" s="457" t="str">
        <f t="shared" si="23"/>
        <v/>
      </c>
      <c r="F165" s="1147" t="str">
        <f t="shared" si="25"/>
        <v/>
      </c>
      <c r="G165" s="1148"/>
      <c r="H165" s="624" t="str">
        <f t="shared" si="20"/>
        <v/>
      </c>
      <c r="I165" s="636" t="str">
        <f t="shared" si="24"/>
        <v/>
      </c>
      <c r="J165" s="637" t="str">
        <f>Menu!L63</f>
        <v/>
      </c>
      <c r="K165" s="507"/>
      <c r="L165" s="543"/>
      <c r="M165" s="543"/>
      <c r="N165" s="543"/>
      <c r="O165" s="543"/>
      <c r="P165" s="543"/>
      <c r="Q165" s="543"/>
      <c r="R165" s="543"/>
    </row>
    <row r="166" spans="1:18" ht="15.6" customHeight="1">
      <c r="A166" s="457" t="str">
        <f t="shared" ref="A166:A190" si="26">IF(F166="","",1)</f>
        <v/>
      </c>
      <c r="F166" s="1147" t="str">
        <f t="shared" si="25"/>
        <v/>
      </c>
      <c r="G166" s="1148"/>
      <c r="H166" s="624" t="str">
        <f t="shared" si="20"/>
        <v/>
      </c>
      <c r="I166" s="636" t="str">
        <f t="shared" si="24"/>
        <v/>
      </c>
      <c r="J166" s="637" t="str">
        <f>Menu!L64</f>
        <v/>
      </c>
      <c r="K166" s="507"/>
      <c r="L166" s="543"/>
      <c r="M166" s="543"/>
      <c r="N166" s="543"/>
      <c r="O166" s="543"/>
      <c r="P166" s="543"/>
      <c r="Q166" s="543"/>
      <c r="R166" s="543"/>
    </row>
    <row r="167" spans="1:18" ht="15.6" customHeight="1">
      <c r="A167" s="457" t="str">
        <f t="shared" si="26"/>
        <v/>
      </c>
      <c r="F167" s="1147" t="str">
        <f t="shared" si="25"/>
        <v/>
      </c>
      <c r="G167" s="1148"/>
      <c r="H167" s="624" t="str">
        <f t="shared" si="20"/>
        <v/>
      </c>
      <c r="I167" s="636" t="str">
        <f t="shared" si="24"/>
        <v/>
      </c>
      <c r="J167" s="637" t="str">
        <f>Menu!L65</f>
        <v/>
      </c>
      <c r="K167" s="507"/>
      <c r="L167" s="543"/>
      <c r="M167" s="543"/>
      <c r="N167" s="543"/>
      <c r="O167" s="543"/>
      <c r="P167" s="543"/>
      <c r="Q167" s="543"/>
      <c r="R167" s="543"/>
    </row>
    <row r="168" spans="1:18" ht="15.6" customHeight="1">
      <c r="A168" s="457" t="str">
        <f t="shared" si="26"/>
        <v/>
      </c>
      <c r="F168" s="1147" t="str">
        <f t="shared" si="25"/>
        <v/>
      </c>
      <c r="G168" s="1148"/>
      <c r="H168" s="624" t="str">
        <f t="shared" si="20"/>
        <v/>
      </c>
      <c r="I168" s="636" t="str">
        <f t="shared" si="24"/>
        <v/>
      </c>
      <c r="J168" s="637" t="str">
        <f>Menu!L66</f>
        <v/>
      </c>
      <c r="K168" s="507"/>
      <c r="L168" s="543"/>
      <c r="M168" s="543"/>
      <c r="N168" s="543"/>
      <c r="O168" s="543"/>
      <c r="P168" s="543"/>
      <c r="Q168" s="543"/>
      <c r="R168" s="543"/>
    </row>
    <row r="169" spans="1:18" ht="15.6" customHeight="1">
      <c r="A169" s="457" t="str">
        <f t="shared" si="26"/>
        <v/>
      </c>
      <c r="F169" s="1147" t="str">
        <f t="shared" si="25"/>
        <v/>
      </c>
      <c r="G169" s="1148"/>
      <c r="H169" s="624" t="str">
        <f t="shared" si="20"/>
        <v/>
      </c>
      <c r="I169" s="636" t="str">
        <f t="shared" si="24"/>
        <v/>
      </c>
      <c r="J169" s="637" t="str">
        <f>Menu!L67</f>
        <v/>
      </c>
      <c r="K169" s="507"/>
      <c r="L169" s="543"/>
      <c r="M169" s="543"/>
      <c r="N169" s="543"/>
      <c r="O169" s="543"/>
      <c r="P169" s="543"/>
      <c r="Q169" s="543"/>
      <c r="R169" s="543"/>
    </row>
    <row r="170" spans="1:18" ht="15.6" customHeight="1">
      <c r="A170" s="457" t="str">
        <f t="shared" si="26"/>
        <v/>
      </c>
      <c r="F170" s="1147" t="str">
        <f t="shared" si="25"/>
        <v/>
      </c>
      <c r="G170" s="1148"/>
      <c r="H170" s="624" t="str">
        <f t="shared" si="20"/>
        <v/>
      </c>
      <c r="I170" s="636" t="str">
        <f t="shared" si="24"/>
        <v/>
      </c>
      <c r="J170" s="637" t="str">
        <f>Menu!L68</f>
        <v/>
      </c>
      <c r="K170" s="507"/>
      <c r="L170" s="543"/>
      <c r="M170" s="543"/>
      <c r="N170" s="543"/>
      <c r="O170" s="543"/>
      <c r="P170" s="543"/>
      <c r="Q170" s="543"/>
      <c r="R170" s="543"/>
    </row>
    <row r="171" spans="1:18" ht="15.6" customHeight="1">
      <c r="A171" s="457" t="str">
        <f t="shared" si="26"/>
        <v/>
      </c>
      <c r="F171" s="1147" t="str">
        <f t="shared" ref="F171:F189" si="27">F84</f>
        <v/>
      </c>
      <c r="G171" s="1148"/>
      <c r="H171" s="624" t="str">
        <f t="shared" si="20"/>
        <v/>
      </c>
      <c r="I171" s="636" t="str">
        <f t="shared" si="24"/>
        <v/>
      </c>
      <c r="J171" s="637" t="str">
        <f>Menu!L69</f>
        <v/>
      </c>
      <c r="K171" s="507"/>
      <c r="L171" s="543"/>
      <c r="M171" s="543"/>
      <c r="N171" s="543"/>
      <c r="O171" s="543"/>
      <c r="P171" s="543"/>
      <c r="Q171" s="543"/>
      <c r="R171" s="543"/>
    </row>
    <row r="172" spans="1:18" ht="15.6" customHeight="1">
      <c r="A172" s="457" t="str">
        <f t="shared" si="26"/>
        <v/>
      </c>
      <c r="F172" s="1147" t="str">
        <f t="shared" si="27"/>
        <v/>
      </c>
      <c r="G172" s="1148"/>
      <c r="H172" s="624" t="str">
        <f t="shared" si="20"/>
        <v/>
      </c>
      <c r="I172" s="636" t="str">
        <f t="shared" si="24"/>
        <v/>
      </c>
      <c r="J172" s="637" t="str">
        <f>Menu!L70</f>
        <v/>
      </c>
      <c r="K172" s="507"/>
      <c r="L172" s="543"/>
      <c r="M172" s="543"/>
      <c r="N172" s="543"/>
      <c r="O172" s="543"/>
      <c r="P172" s="543"/>
      <c r="Q172" s="543"/>
      <c r="R172" s="543"/>
    </row>
    <row r="173" spans="1:18" ht="15.6" customHeight="1">
      <c r="A173" s="457" t="str">
        <f t="shared" si="26"/>
        <v/>
      </c>
      <c r="F173" s="1147" t="str">
        <f t="shared" si="27"/>
        <v/>
      </c>
      <c r="G173" s="1148"/>
      <c r="H173" s="624" t="str">
        <f t="shared" si="20"/>
        <v/>
      </c>
      <c r="I173" s="636" t="str">
        <f t="shared" si="24"/>
        <v/>
      </c>
      <c r="J173" s="637" t="str">
        <f>Menu!L71</f>
        <v/>
      </c>
      <c r="K173" s="507"/>
      <c r="L173" s="543"/>
      <c r="M173" s="543"/>
      <c r="N173" s="543"/>
      <c r="O173" s="543"/>
      <c r="P173" s="543"/>
      <c r="Q173" s="543"/>
      <c r="R173" s="543"/>
    </row>
    <row r="174" spans="1:18" ht="15.6" customHeight="1">
      <c r="A174" s="457" t="str">
        <f t="shared" si="26"/>
        <v/>
      </c>
      <c r="F174" s="1147" t="str">
        <f t="shared" si="27"/>
        <v/>
      </c>
      <c r="G174" s="1148"/>
      <c r="H174" s="624" t="str">
        <f t="shared" si="20"/>
        <v/>
      </c>
      <c r="I174" s="636" t="str">
        <f t="shared" si="24"/>
        <v/>
      </c>
      <c r="J174" s="637" t="str">
        <f>Menu!L72</f>
        <v/>
      </c>
      <c r="K174" s="507"/>
      <c r="L174" s="543"/>
      <c r="M174" s="543"/>
      <c r="N174" s="543"/>
      <c r="O174" s="543"/>
      <c r="P174" s="543"/>
      <c r="Q174" s="543"/>
      <c r="R174" s="543"/>
    </row>
    <row r="175" spans="1:18" ht="15.6" customHeight="1">
      <c r="A175" s="457" t="str">
        <f t="shared" si="26"/>
        <v/>
      </c>
      <c r="F175" s="1147" t="str">
        <f t="shared" si="27"/>
        <v/>
      </c>
      <c r="G175" s="1148"/>
      <c r="H175" s="624" t="str">
        <f t="shared" ref="H175:H189" si="28">H88</f>
        <v/>
      </c>
      <c r="I175" s="636" t="str">
        <f t="shared" ref="I175:I189" si="29">D88</f>
        <v/>
      </c>
      <c r="J175" s="637" t="str">
        <f>Menu!L73</f>
        <v/>
      </c>
      <c r="K175" s="507"/>
      <c r="L175" s="543"/>
      <c r="M175" s="543"/>
      <c r="N175" s="543"/>
      <c r="O175" s="543"/>
      <c r="P175" s="543"/>
      <c r="Q175" s="543"/>
      <c r="R175" s="543"/>
    </row>
    <row r="176" spans="1:18" ht="15.6" customHeight="1">
      <c r="A176" s="457" t="str">
        <f t="shared" si="26"/>
        <v/>
      </c>
      <c r="F176" s="1147" t="str">
        <f t="shared" si="27"/>
        <v/>
      </c>
      <c r="G176" s="1148"/>
      <c r="H176" s="624" t="str">
        <f t="shared" si="28"/>
        <v/>
      </c>
      <c r="I176" s="636" t="str">
        <f t="shared" si="29"/>
        <v/>
      </c>
      <c r="J176" s="637" t="str">
        <f>Menu!L74</f>
        <v/>
      </c>
      <c r="K176" s="507"/>
      <c r="L176" s="543"/>
      <c r="M176" s="543"/>
      <c r="N176" s="543"/>
      <c r="O176" s="543"/>
      <c r="P176" s="543"/>
      <c r="Q176" s="543"/>
      <c r="R176" s="543"/>
    </row>
    <row r="177" spans="1:24" ht="15.6" customHeight="1">
      <c r="A177" s="457" t="str">
        <f t="shared" si="26"/>
        <v/>
      </c>
      <c r="F177" s="1147" t="str">
        <f t="shared" si="27"/>
        <v/>
      </c>
      <c r="G177" s="1148"/>
      <c r="H177" s="624" t="str">
        <f t="shared" si="28"/>
        <v/>
      </c>
      <c r="I177" s="636" t="str">
        <f t="shared" si="29"/>
        <v/>
      </c>
      <c r="J177" s="637" t="str">
        <f>Menu!L75</f>
        <v/>
      </c>
      <c r="K177" s="507"/>
      <c r="L177" s="543"/>
      <c r="M177" s="543"/>
      <c r="N177" s="543"/>
      <c r="O177" s="543"/>
      <c r="P177" s="543"/>
      <c r="Q177" s="543"/>
      <c r="R177" s="543"/>
    </row>
    <row r="178" spans="1:24" ht="15.6" customHeight="1">
      <c r="A178" s="457" t="str">
        <f t="shared" si="26"/>
        <v/>
      </c>
      <c r="F178" s="1147" t="str">
        <f t="shared" si="27"/>
        <v/>
      </c>
      <c r="G178" s="1148"/>
      <c r="H178" s="624" t="str">
        <f t="shared" si="28"/>
        <v/>
      </c>
      <c r="I178" s="636" t="str">
        <f t="shared" si="29"/>
        <v/>
      </c>
      <c r="J178" s="637" t="str">
        <f>Menu!L76</f>
        <v/>
      </c>
      <c r="K178" s="507"/>
      <c r="L178" s="543"/>
      <c r="M178" s="543"/>
      <c r="N178" s="543"/>
      <c r="O178" s="543"/>
      <c r="P178" s="543"/>
      <c r="Q178" s="543"/>
      <c r="R178" s="543"/>
    </row>
    <row r="179" spans="1:24" ht="15.6" customHeight="1">
      <c r="A179" s="457" t="str">
        <f t="shared" si="26"/>
        <v/>
      </c>
      <c r="F179" s="1147" t="str">
        <f t="shared" si="27"/>
        <v/>
      </c>
      <c r="G179" s="1148"/>
      <c r="H179" s="624" t="str">
        <f t="shared" si="28"/>
        <v/>
      </c>
      <c r="I179" s="636" t="str">
        <f t="shared" si="29"/>
        <v/>
      </c>
      <c r="J179" s="637" t="str">
        <f>Menu!L77</f>
        <v/>
      </c>
      <c r="K179" s="507"/>
      <c r="L179" s="543"/>
      <c r="M179" s="543"/>
      <c r="N179" s="543"/>
      <c r="O179" s="543"/>
      <c r="P179" s="543"/>
      <c r="Q179" s="543"/>
      <c r="R179" s="543"/>
    </row>
    <row r="180" spans="1:24" ht="15.6" customHeight="1">
      <c r="A180" s="457" t="str">
        <f t="shared" si="26"/>
        <v/>
      </c>
      <c r="F180" s="1147" t="str">
        <f t="shared" si="27"/>
        <v/>
      </c>
      <c r="G180" s="1148"/>
      <c r="H180" s="624" t="str">
        <f t="shared" si="28"/>
        <v/>
      </c>
      <c r="I180" s="636" t="str">
        <f t="shared" si="29"/>
        <v/>
      </c>
      <c r="J180" s="637" t="str">
        <f>Menu!L78</f>
        <v/>
      </c>
      <c r="K180" s="507"/>
      <c r="L180" s="543"/>
      <c r="M180" s="543"/>
      <c r="N180" s="543"/>
      <c r="O180" s="543"/>
      <c r="P180" s="543"/>
      <c r="Q180" s="543"/>
      <c r="R180" s="543"/>
    </row>
    <row r="181" spans="1:24" ht="15.6" customHeight="1">
      <c r="A181" s="457" t="str">
        <f t="shared" si="26"/>
        <v/>
      </c>
      <c r="F181" s="1147" t="str">
        <f t="shared" si="27"/>
        <v/>
      </c>
      <c r="G181" s="1148"/>
      <c r="H181" s="624" t="str">
        <f t="shared" si="28"/>
        <v/>
      </c>
      <c r="I181" s="636" t="str">
        <f t="shared" si="29"/>
        <v/>
      </c>
      <c r="J181" s="637" t="str">
        <f>Menu!L79</f>
        <v/>
      </c>
      <c r="K181" s="507"/>
      <c r="L181" s="543"/>
      <c r="M181" s="543"/>
      <c r="N181" s="543"/>
      <c r="O181" s="543"/>
      <c r="P181" s="543"/>
      <c r="Q181" s="543"/>
      <c r="R181" s="543"/>
    </row>
    <row r="182" spans="1:24" ht="15.6" customHeight="1">
      <c r="A182" s="457" t="str">
        <f t="shared" si="26"/>
        <v/>
      </c>
      <c r="F182" s="1147" t="str">
        <f t="shared" si="27"/>
        <v/>
      </c>
      <c r="G182" s="1148"/>
      <c r="H182" s="624" t="str">
        <f t="shared" si="28"/>
        <v/>
      </c>
      <c r="I182" s="636" t="str">
        <f t="shared" si="29"/>
        <v/>
      </c>
      <c r="J182" s="637" t="str">
        <f>Menu!L80</f>
        <v/>
      </c>
      <c r="K182" s="507"/>
      <c r="L182" s="543"/>
      <c r="M182" s="543"/>
      <c r="N182" s="543"/>
      <c r="O182" s="543"/>
      <c r="P182" s="543"/>
      <c r="Q182" s="543"/>
      <c r="R182" s="543"/>
    </row>
    <row r="183" spans="1:24" ht="15.6" customHeight="1">
      <c r="A183" s="457" t="str">
        <f t="shared" si="26"/>
        <v/>
      </c>
      <c r="F183" s="1147" t="str">
        <f t="shared" si="27"/>
        <v/>
      </c>
      <c r="G183" s="1148"/>
      <c r="H183" s="624" t="str">
        <f t="shared" si="28"/>
        <v/>
      </c>
      <c r="I183" s="636" t="str">
        <f t="shared" si="29"/>
        <v/>
      </c>
      <c r="J183" s="637" t="str">
        <f>Menu!L81</f>
        <v/>
      </c>
      <c r="K183" s="507"/>
      <c r="L183" s="543"/>
      <c r="M183" s="543"/>
      <c r="N183" s="543"/>
      <c r="O183" s="543"/>
      <c r="P183" s="543"/>
      <c r="Q183" s="543"/>
      <c r="R183" s="543"/>
    </row>
    <row r="184" spans="1:24" ht="15.6" customHeight="1">
      <c r="A184" s="457" t="str">
        <f t="shared" si="26"/>
        <v/>
      </c>
      <c r="F184" s="1147" t="str">
        <f t="shared" si="27"/>
        <v/>
      </c>
      <c r="G184" s="1148"/>
      <c r="H184" s="624" t="str">
        <f t="shared" si="28"/>
        <v/>
      </c>
      <c r="I184" s="636" t="str">
        <f t="shared" si="29"/>
        <v/>
      </c>
      <c r="J184" s="637" t="str">
        <f>Menu!L82</f>
        <v/>
      </c>
      <c r="K184" s="507"/>
      <c r="L184" s="543"/>
      <c r="M184" s="543"/>
      <c r="N184" s="543"/>
      <c r="O184" s="543"/>
      <c r="P184" s="543"/>
      <c r="Q184" s="543"/>
      <c r="R184" s="543"/>
    </row>
    <row r="185" spans="1:24" ht="15.6" customHeight="1">
      <c r="A185" s="457" t="str">
        <f t="shared" si="26"/>
        <v/>
      </c>
      <c r="F185" s="1147" t="str">
        <f t="shared" si="27"/>
        <v/>
      </c>
      <c r="G185" s="1148"/>
      <c r="H185" s="624" t="str">
        <f t="shared" si="28"/>
        <v/>
      </c>
      <c r="I185" s="636" t="str">
        <f t="shared" si="29"/>
        <v/>
      </c>
      <c r="J185" s="637" t="str">
        <f>Menu!L83</f>
        <v/>
      </c>
      <c r="K185" s="507"/>
      <c r="L185" s="543"/>
      <c r="M185" s="543"/>
      <c r="N185" s="543"/>
      <c r="O185" s="543"/>
      <c r="P185" s="543"/>
      <c r="Q185" s="543"/>
      <c r="R185" s="543"/>
    </row>
    <row r="186" spans="1:24" ht="15.6" customHeight="1">
      <c r="A186" s="457" t="str">
        <f t="shared" si="26"/>
        <v/>
      </c>
      <c r="F186" s="1147" t="str">
        <f t="shared" si="27"/>
        <v/>
      </c>
      <c r="G186" s="1148"/>
      <c r="H186" s="624" t="str">
        <f t="shared" si="28"/>
        <v/>
      </c>
      <c r="I186" s="636" t="str">
        <f t="shared" si="29"/>
        <v/>
      </c>
      <c r="J186" s="637" t="str">
        <f>Menu!L84</f>
        <v/>
      </c>
      <c r="K186" s="507"/>
      <c r="L186" s="543"/>
      <c r="M186" s="543"/>
      <c r="N186" s="543"/>
      <c r="O186" s="543"/>
      <c r="P186" s="543"/>
      <c r="Q186" s="543"/>
      <c r="R186" s="543"/>
    </row>
    <row r="187" spans="1:24" ht="15.6" customHeight="1">
      <c r="A187" s="457" t="str">
        <f t="shared" si="26"/>
        <v/>
      </c>
      <c r="F187" s="1147" t="str">
        <f t="shared" si="27"/>
        <v/>
      </c>
      <c r="G187" s="1148"/>
      <c r="H187" s="624" t="str">
        <f t="shared" si="28"/>
        <v/>
      </c>
      <c r="I187" s="636" t="str">
        <f t="shared" si="29"/>
        <v/>
      </c>
      <c r="J187" s="637" t="str">
        <f>Menu!L85</f>
        <v/>
      </c>
      <c r="K187" s="507"/>
      <c r="L187" s="543"/>
      <c r="M187" s="543"/>
      <c r="N187" s="543"/>
      <c r="O187" s="543"/>
      <c r="P187" s="543"/>
      <c r="Q187" s="543"/>
      <c r="R187" s="543"/>
      <c r="T187" s="693"/>
      <c r="U187" s="693" t="s">
        <v>1957</v>
      </c>
      <c r="V187" s="693" t="s">
        <v>1958</v>
      </c>
      <c r="W187" s="693" t="s">
        <v>1959</v>
      </c>
      <c r="X187" s="693"/>
    </row>
    <row r="188" spans="1:24" ht="15.6" customHeight="1">
      <c r="A188" s="457" t="str">
        <f t="shared" si="26"/>
        <v/>
      </c>
      <c r="F188" s="1147" t="str">
        <f t="shared" si="27"/>
        <v/>
      </c>
      <c r="G188" s="1148"/>
      <c r="H188" s="624" t="str">
        <f t="shared" si="28"/>
        <v/>
      </c>
      <c r="I188" s="636" t="str">
        <f t="shared" si="29"/>
        <v/>
      </c>
      <c r="J188" s="637" t="str">
        <f>Menu!L86</f>
        <v/>
      </c>
      <c r="K188" s="507"/>
      <c r="L188" s="543"/>
      <c r="M188" s="543"/>
      <c r="N188" s="543"/>
      <c r="O188" s="543"/>
      <c r="P188" s="543"/>
      <c r="Q188" s="543"/>
      <c r="R188" s="543"/>
      <c r="T188" s="693"/>
      <c r="U188" s="693">
        <v>1</v>
      </c>
      <c r="V188" s="694" t="s">
        <v>1960</v>
      </c>
      <c r="W188" s="694" t="s">
        <v>1802</v>
      </c>
      <c r="X188" s="693"/>
    </row>
    <row r="189" spans="1:24" ht="15.6" customHeight="1">
      <c r="A189" s="457" t="str">
        <f t="shared" si="26"/>
        <v/>
      </c>
      <c r="F189" s="1147" t="str">
        <f t="shared" si="27"/>
        <v/>
      </c>
      <c r="G189" s="1148"/>
      <c r="H189" s="624" t="str">
        <f t="shared" si="28"/>
        <v/>
      </c>
      <c r="I189" s="636" t="str">
        <f t="shared" si="29"/>
        <v/>
      </c>
      <c r="J189" s="637" t="str">
        <f>Menu!L87</f>
        <v/>
      </c>
      <c r="K189" s="507"/>
      <c r="L189" s="543"/>
      <c r="M189" s="543"/>
      <c r="N189" s="543"/>
      <c r="O189" s="543"/>
      <c r="P189" s="543"/>
      <c r="Q189" s="543"/>
      <c r="R189" s="543"/>
      <c r="T189" s="693"/>
      <c r="U189" s="693">
        <f>Deform(U188,V188,W188,12*17,L187:S391)</f>
        <v>0</v>
      </c>
      <c r="V189" s="693"/>
      <c r="W189" s="694"/>
      <c r="X189" s="693"/>
    </row>
    <row r="190" spans="1:24" ht="15.6" customHeight="1">
      <c r="A190" s="457" t="str">
        <f t="shared" si="26"/>
        <v/>
      </c>
      <c r="F190" s="1147"/>
      <c r="G190" s="1148"/>
      <c r="H190" s="638"/>
      <c r="I190" s="636"/>
      <c r="J190" s="639">
        <f>SUM(J111:J189)</f>
        <v>57167.707800000033</v>
      </c>
      <c r="K190" s="507"/>
      <c r="L190" s="543"/>
      <c r="M190" s="543"/>
      <c r="N190" s="543"/>
      <c r="O190" s="543"/>
      <c r="P190" s="543"/>
      <c r="Q190" s="543"/>
      <c r="R190" s="543"/>
      <c r="T190" s="693"/>
      <c r="U190" s="693"/>
      <c r="V190" s="694"/>
      <c r="W190" s="694"/>
      <c r="X190" s="693"/>
    </row>
    <row r="191" spans="1:24" ht="15" customHeight="1">
      <c r="A191" s="457">
        <v>1</v>
      </c>
      <c r="F191" s="516"/>
      <c r="G191" s="544"/>
      <c r="H191" s="545"/>
      <c r="I191" s="545"/>
      <c r="J191" s="546"/>
      <c r="K191" s="547"/>
      <c r="L191" s="548"/>
      <c r="M191" s="549"/>
      <c r="N191" s="550"/>
      <c r="O191" s="551"/>
      <c r="P191" s="551"/>
      <c r="Q191" s="550"/>
      <c r="R191" s="550"/>
      <c r="T191" s="693"/>
      <c r="U191" s="693"/>
      <c r="V191" s="694"/>
      <c r="W191" s="694"/>
      <c r="X191" s="693"/>
    </row>
    <row r="192" spans="1:24" ht="18" customHeight="1">
      <c r="A192" s="457">
        <v>1</v>
      </c>
      <c r="F192" s="422" t="s">
        <v>891</v>
      </c>
      <c r="G192" s="422" t="str">
        <f>IF(Menu!$C$7 = "V","Thành phần động của gió","Thành phần động của tải trọng gió/ Dynamic component of wind load")</f>
        <v>Thành phần động của gió</v>
      </c>
      <c r="H192" s="507"/>
      <c r="I192" s="507"/>
      <c r="J192" s="507"/>
      <c r="K192" s="507"/>
      <c r="L192" s="507"/>
      <c r="M192" s="507"/>
      <c r="N192" s="508"/>
      <c r="O192" s="508"/>
      <c r="P192" s="506"/>
      <c r="Q192" s="506"/>
      <c r="R192" s="506"/>
      <c r="T192" s="693"/>
      <c r="U192" s="693"/>
      <c r="V192" s="693"/>
      <c r="W192" s="694"/>
      <c r="X192" s="693"/>
    </row>
    <row r="193" spans="1:27" ht="15" customHeight="1">
      <c r="A193" s="457">
        <v>1</v>
      </c>
      <c r="F193" s="1139" t="s">
        <v>1801</v>
      </c>
      <c r="G193" s="1140"/>
      <c r="H193" s="1075" t="str">
        <f>IF(Menu!$C$7 = "V","Theo phương X","Theo phương X/ To direction X")</f>
        <v>Theo phương X</v>
      </c>
      <c r="I193" s="1158"/>
      <c r="J193" s="1158"/>
      <c r="K193" s="1158"/>
      <c r="L193" s="1076"/>
      <c r="M193" s="1075" t="str">
        <f>IF(Menu!$C$7 = "V","Theo phương Y","Theo phương Y/ To direction Y")</f>
        <v>Theo phương Y</v>
      </c>
      <c r="N193" s="1158"/>
      <c r="O193" s="1158"/>
      <c r="P193" s="1158"/>
      <c r="Q193" s="1076"/>
      <c r="R193" s="514"/>
    </row>
    <row r="194" spans="1:27" ht="21" customHeight="1">
      <c r="A194" s="457">
        <v>1</v>
      </c>
      <c r="F194" s="1139" t="s">
        <v>1939</v>
      </c>
      <c r="G194" s="1140"/>
      <c r="H194" s="662" t="s">
        <v>1906</v>
      </c>
      <c r="I194" s="662" t="s">
        <v>1907</v>
      </c>
      <c r="J194" s="663" t="s">
        <v>1908</v>
      </c>
      <c r="K194" s="663" t="s">
        <v>1909</v>
      </c>
      <c r="L194" s="663" t="s">
        <v>1910</v>
      </c>
      <c r="M194" s="662" t="s">
        <v>1911</v>
      </c>
      <c r="N194" s="662" t="s">
        <v>1912</v>
      </c>
      <c r="O194" s="663" t="s">
        <v>1913</v>
      </c>
      <c r="P194" s="663" t="s">
        <v>1914</v>
      </c>
      <c r="Q194" s="663" t="s">
        <v>1915</v>
      </c>
      <c r="R194" s="514"/>
      <c r="T194" s="461">
        <f>IF(H206=1,K211,IF(H206=2,1,"-"))</f>
        <v>0.61536331249999998</v>
      </c>
    </row>
    <row r="195" spans="1:27" ht="15.75" customHeight="1">
      <c r="A195" s="457">
        <v>1</v>
      </c>
      <c r="F195" s="673" t="str">
        <f>IF(Menu!$C$7 = "V","","Eigen mode")</f>
        <v/>
      </c>
      <c r="G195" s="672"/>
      <c r="H195" s="669">
        <f>Menu!R9</f>
        <v>3</v>
      </c>
      <c r="I195" s="669">
        <f>Menu!S9</f>
        <v>6</v>
      </c>
      <c r="J195" s="669" t="str">
        <f>Menu!T9</f>
        <v>-</v>
      </c>
      <c r="K195" s="669" t="s">
        <v>13</v>
      </c>
      <c r="L195" s="669" t="s">
        <v>13</v>
      </c>
      <c r="M195" s="669">
        <f>Menu!U9</f>
        <v>1</v>
      </c>
      <c r="N195" s="669">
        <f>Menu!V9</f>
        <v>5</v>
      </c>
      <c r="O195" s="669" t="str">
        <f>Menu!W9</f>
        <v>-</v>
      </c>
      <c r="P195" s="669" t="s">
        <v>13</v>
      </c>
      <c r="Q195" s="669" t="s">
        <v>13</v>
      </c>
      <c r="R195" s="514"/>
    </row>
    <row r="196" spans="1:27" ht="15" customHeight="1">
      <c r="A196" s="457">
        <v>1</v>
      </c>
      <c r="F196" s="664"/>
      <c r="G196" s="665"/>
      <c r="H196" s="666">
        <f>INDEX(Menu!$O$12:$Q$52,MATCH('2.Win Load'!H195,MODEDAODONG,0),2)</f>
        <v>2.8929999999999998</v>
      </c>
      <c r="I196" s="666">
        <f>INDEX(Menu!$O$12:$Q$52,MATCH('2.Win Load'!I195,MODEDAODONG,0),2)</f>
        <v>0.80700000000000005</v>
      </c>
      <c r="J196" s="666" t="str">
        <f>INDEX(Menu!$O$12:$Q$52,MATCH('2.Win Load'!J195,MODEDAODONG,0),2)</f>
        <v>-</v>
      </c>
      <c r="K196" s="669" t="s">
        <v>13</v>
      </c>
      <c r="L196" s="669" t="s">
        <v>13</v>
      </c>
      <c r="M196" s="666">
        <f>INDEX(Menu!$O$12:$Q$52,MATCH('2.Win Load'!M195,MODEDAODONG,0),2)</f>
        <v>4.077</v>
      </c>
      <c r="N196" s="666">
        <f>INDEX(Menu!$O$12:$Q$52,MATCH('2.Win Load'!N195,MODEDAODONG,0),2)</f>
        <v>1.034</v>
      </c>
      <c r="O196" s="666" t="str">
        <f>INDEX(Menu!$O$12:$Q$52,MATCH('2.Win Load'!O195,MODEDAODONG,0),2)</f>
        <v>-</v>
      </c>
      <c r="P196" s="669" t="s">
        <v>13</v>
      </c>
      <c r="Q196" s="669" t="s">
        <v>13</v>
      </c>
      <c r="R196" s="514"/>
    </row>
    <row r="197" spans="1:27" ht="23.25" customHeight="1" thickBot="1">
      <c r="A197" s="457">
        <v>1</v>
      </c>
      <c r="F197" s="674" t="s">
        <v>875</v>
      </c>
      <c r="G197" s="675" t="s">
        <v>1916</v>
      </c>
      <c r="H197" s="662" t="s">
        <v>1917</v>
      </c>
      <c r="I197" s="662" t="s">
        <v>1918</v>
      </c>
      <c r="J197" s="663" t="s">
        <v>1919</v>
      </c>
      <c r="K197" s="663" t="s">
        <v>1920</v>
      </c>
      <c r="L197" s="663" t="s">
        <v>1921</v>
      </c>
      <c r="M197" s="662" t="s">
        <v>1922</v>
      </c>
      <c r="N197" s="662" t="s">
        <v>1923</v>
      </c>
      <c r="O197" s="663" t="s">
        <v>1924</v>
      </c>
      <c r="P197" s="663" t="s">
        <v>1925</v>
      </c>
      <c r="Q197" s="663" t="s">
        <v>1926</v>
      </c>
      <c r="R197" s="514"/>
    </row>
    <row r="198" spans="1:27" ht="15" customHeight="1">
      <c r="A198" s="457">
        <v>1</v>
      </c>
      <c r="F198" s="669">
        <f>Menu!Q7</f>
        <v>0.3</v>
      </c>
      <c r="G198" s="419">
        <f>Menu!Q8</f>
        <v>1.3</v>
      </c>
      <c r="H198" s="666">
        <f>IF(H196="-","-",1/H196)</f>
        <v>0.34566194262011757</v>
      </c>
      <c r="I198" s="666">
        <f>IF(I196="-","-",1/I196)</f>
        <v>1.2391573729863692</v>
      </c>
      <c r="J198" s="666" t="str">
        <f>IF(J196="-","-",1/J196)</f>
        <v>-</v>
      </c>
      <c r="K198" s="670" t="s">
        <v>13</v>
      </c>
      <c r="L198" s="670" t="s">
        <v>13</v>
      </c>
      <c r="M198" s="666">
        <f>IF(M196="-","-",1/M196)</f>
        <v>0.24527839097375523</v>
      </c>
      <c r="N198" s="666">
        <f>IF(N196="-","-",1/N196)</f>
        <v>0.96711798839458407</v>
      </c>
      <c r="O198" s="666" t="str">
        <f>IF(O196="-","-",1/O196)</f>
        <v>-</v>
      </c>
      <c r="P198" s="670" t="s">
        <v>13</v>
      </c>
      <c r="Q198" s="670" t="s">
        <v>13</v>
      </c>
      <c r="R198" s="514"/>
      <c r="S198" s="464"/>
      <c r="T198" s="465"/>
      <c r="U198" s="465"/>
      <c r="V198" s="465"/>
      <c r="W198" s="466"/>
      <c r="X198" s="466"/>
      <c r="Y198" s="466"/>
      <c r="Z198" s="467"/>
    </row>
    <row r="199" spans="1:27" ht="15" customHeight="1">
      <c r="A199" s="457">
        <v>1</v>
      </c>
      <c r="F199" s="1141" t="str">
        <f>IF(Menu!$C$7 = "V","Các thông số","Các thông số/ Parameters")</f>
        <v>Các thông số</v>
      </c>
      <c r="G199" s="1142"/>
      <c r="H199" s="667" t="s">
        <v>1938</v>
      </c>
      <c r="I199" s="667" t="s">
        <v>1940</v>
      </c>
      <c r="J199" s="667" t="s">
        <v>1941</v>
      </c>
      <c r="K199" s="667" t="s">
        <v>1942</v>
      </c>
      <c r="L199" s="667" t="s">
        <v>1943</v>
      </c>
      <c r="M199" s="667" t="s">
        <v>1944</v>
      </c>
      <c r="N199" s="667" t="s">
        <v>1945</v>
      </c>
      <c r="O199" s="667" t="s">
        <v>1946</v>
      </c>
      <c r="P199" s="667" t="s">
        <v>1947</v>
      </c>
      <c r="Q199" s="667" t="s">
        <v>1948</v>
      </c>
      <c r="R199" s="514"/>
      <c r="S199" s="468" t="s">
        <v>40</v>
      </c>
      <c r="T199" s="469"/>
      <c r="U199" s="470"/>
      <c r="V199" s="471"/>
      <c r="W199" s="472"/>
      <c r="X199" s="472"/>
      <c r="Y199" s="473" t="s">
        <v>41</v>
      </c>
      <c r="Z199" s="474" t="s">
        <v>42</v>
      </c>
    </row>
    <row r="200" spans="1:27" ht="15" customHeight="1">
      <c r="A200" s="457">
        <v>1</v>
      </c>
      <c r="F200" s="1143"/>
      <c r="G200" s="1144"/>
      <c r="H200" s="666">
        <f>IF(H198="-","-",(1.2*$J$15*10)^0.5/940/H$198)</f>
        <v>0.10391374711845967</v>
      </c>
      <c r="I200" s="666">
        <f>IF(I198="-","-",(1.2*$J$15*10)^0.5/940/I$198)</f>
        <v>2.8986655348979248E-2</v>
      </c>
      <c r="J200" s="666" t="str">
        <f>IF(J198="-","-",(1.2*$J$15*10)^0.5/940/J$198)</f>
        <v>-</v>
      </c>
      <c r="K200" s="670" t="s">
        <v>13</v>
      </c>
      <c r="L200" s="670" t="s">
        <v>13</v>
      </c>
      <c r="M200" s="666">
        <f>IF(M198="-","-",(1.2*$J$15*10)^0.5/940/M$198)</f>
        <v>0.14644187590804014</v>
      </c>
      <c r="N200" s="666">
        <f>IF(N198="-","-",(1.2*$J$15*10)^0.5/940/N$198)</f>
        <v>3.7140274635495102E-2</v>
      </c>
      <c r="O200" s="666" t="str">
        <f>IF(O198="-","-",(1.2*$J$15*10)^0.5/940/O$198)</f>
        <v>-</v>
      </c>
      <c r="P200" s="670" t="s">
        <v>13</v>
      </c>
      <c r="Q200" s="670" t="s">
        <v>13</v>
      </c>
      <c r="R200" s="514"/>
      <c r="S200" s="475" t="s">
        <v>9</v>
      </c>
      <c r="T200" s="476"/>
      <c r="U200" s="470"/>
      <c r="V200" s="471"/>
      <c r="W200" s="472"/>
      <c r="X200" s="472"/>
      <c r="Y200" s="477" t="s">
        <v>78</v>
      </c>
      <c r="Z200" s="478" t="s">
        <v>79</v>
      </c>
    </row>
    <row r="201" spans="1:27" ht="15" customHeight="1">
      <c r="A201" s="457">
        <v>1</v>
      </c>
      <c r="F201" s="1143"/>
      <c r="G201" s="1144"/>
      <c r="H201" s="667" t="s">
        <v>1927</v>
      </c>
      <c r="I201" s="667" t="s">
        <v>1928</v>
      </c>
      <c r="J201" s="667" t="s">
        <v>1929</v>
      </c>
      <c r="K201" s="667" t="s">
        <v>1930</v>
      </c>
      <c r="L201" s="667" t="s">
        <v>1931</v>
      </c>
      <c r="M201" s="667" t="s">
        <v>1932</v>
      </c>
      <c r="N201" s="667" t="s">
        <v>1933</v>
      </c>
      <c r="O201" s="667" t="s">
        <v>1934</v>
      </c>
      <c r="P201" s="667" t="s">
        <v>1935</v>
      </c>
      <c r="Q201" s="667" t="s">
        <v>1936</v>
      </c>
      <c r="R201" s="514"/>
      <c r="S201" s="475" t="s">
        <v>10</v>
      </c>
      <c r="T201" s="476"/>
      <c r="U201" s="470"/>
      <c r="V201" s="471"/>
      <c r="W201" s="473" t="s">
        <v>41</v>
      </c>
      <c r="X201" s="477" t="s">
        <v>76</v>
      </c>
      <c r="Y201" s="476"/>
      <c r="Z201" s="479"/>
    </row>
    <row r="202" spans="1:27" ht="15" customHeight="1">
      <c r="A202" s="457">
        <v>1</v>
      </c>
      <c r="F202" s="1145"/>
      <c r="G202" s="1146"/>
      <c r="H202" s="666">
        <f>IF(H200="-","-",IF($F$198=0.3,VLOOKUP(MROUND(H200,0.005),'Wind base'!$AA$7:$AC$47,2,FALSE),VLOOKUP(MROUND(H200,0.005),'Wind base'!$AA$7:$AC$47,3,FALSE)))</f>
        <v>1.9249999999999998</v>
      </c>
      <c r="I202" s="666">
        <f>IF(I200="-","-",IF($F$198=0.3,VLOOKUP(MROUND(I200,0.005),'Wind base'!$AA$7:$AC$47,2,FALSE),VLOOKUP(MROUND(I200,0.005),'Wind base'!$AA$7:$AC$47,3,FALSE)))</f>
        <v>1.4</v>
      </c>
      <c r="J202" s="666" t="str">
        <f>IF(J200="-","-",IF($F$198=0.3,VLOOKUP(MROUND(J200,0.005),'Wind base'!$AA$7:$AC$47,2,FALSE),VLOOKUP(MROUND(J200,0.005),'Wind base'!$AA$7:$AC$47,3,FALSE)))</f>
        <v>-</v>
      </c>
      <c r="K202" s="670" t="s">
        <v>13</v>
      </c>
      <c r="L202" s="670" t="s">
        <v>13</v>
      </c>
      <c r="M202" s="666">
        <f>IF(M200="-","-",IF($F$198=0.3,VLOOKUP(MROUND(M200,0.005),'Wind base'!$AA$7:$AC$47,2,FALSE),VLOOKUP(MROUND(M200,0.005),'Wind base'!$AA$7:$AC$47,3,FALSE)))</f>
        <v>2.08</v>
      </c>
      <c r="N202" s="666">
        <f>IF(N200="-","-",IF($F$198=0.3,VLOOKUP(MROUND(N200,0.005),'Wind base'!$AA$7:$AC$47,2,FALSE),VLOOKUP(MROUND(N200,0.005),'Wind base'!$AA$7:$AC$47,3,FALSE)))</f>
        <v>1.45</v>
      </c>
      <c r="O202" s="666" t="str">
        <f>IF(O200="-","-",IF($F$198=0.3,VLOOKUP(MROUND(O200,0.005),'Wind base'!$AA$7:$AC$47,2,FALSE),VLOOKUP(MROUND(O200,0.005),'Wind base'!$AA$7:$AC$47,3,FALSE)))</f>
        <v>-</v>
      </c>
      <c r="P202" s="670" t="s">
        <v>13</v>
      </c>
      <c r="Q202" s="670" t="s">
        <v>13</v>
      </c>
      <c r="R202" s="514"/>
      <c r="S202" s="475"/>
      <c r="T202" s="480"/>
      <c r="U202" s="470"/>
      <c r="V202" s="471"/>
      <c r="W202" s="473" t="s">
        <v>42</v>
      </c>
      <c r="X202" s="477" t="s">
        <v>77</v>
      </c>
      <c r="Y202" s="476"/>
      <c r="Z202" s="479"/>
    </row>
    <row r="203" spans="1:27" ht="15" customHeight="1">
      <c r="A203" s="457">
        <v>1</v>
      </c>
      <c r="F203" s="664" t="s">
        <v>1806</v>
      </c>
      <c r="G203" s="668"/>
      <c r="H203" s="1159" t="str">
        <f>IF(Menu!$C$7 = "V","Mode hiệu dụng","Mode hiệu dụng/ Effectivity mode")</f>
        <v>Mode hiệu dụng</v>
      </c>
      <c r="I203" s="1160"/>
      <c r="J203" s="1160"/>
      <c r="K203" s="1160"/>
      <c r="L203" s="1160"/>
      <c r="M203" s="1160"/>
      <c r="N203" s="1160"/>
      <c r="O203" s="1160"/>
      <c r="P203" s="1160"/>
      <c r="Q203" s="1160"/>
      <c r="R203" s="514"/>
      <c r="S203" s="1175" t="s">
        <v>43</v>
      </c>
      <c r="T203" s="1176"/>
      <c r="U203" s="1176"/>
      <c r="V203" s="470"/>
      <c r="W203" s="481"/>
      <c r="X203" s="481"/>
      <c r="Y203" s="481"/>
      <c r="Z203" s="482"/>
    </row>
    <row r="204" spans="1:27" ht="15" customHeight="1">
      <c r="A204" s="457">
        <v>1</v>
      </c>
      <c r="F204" s="678" t="str">
        <f>IF(Menu!$C$7 = "V","Dạng","Dạng/Mode ")</f>
        <v>Dạng</v>
      </c>
      <c r="G204" s="679"/>
      <c r="H204" s="669">
        <f t="shared" ref="H204:L204" si="30">H195</f>
        <v>3</v>
      </c>
      <c r="I204" s="669">
        <f t="shared" si="30"/>
        <v>6</v>
      </c>
      <c r="J204" s="669" t="str">
        <f t="shared" si="30"/>
        <v>-</v>
      </c>
      <c r="K204" s="669" t="str">
        <f t="shared" si="30"/>
        <v>-</v>
      </c>
      <c r="L204" s="669" t="str">
        <f t="shared" si="30"/>
        <v>-</v>
      </c>
      <c r="M204" s="669">
        <f>M195</f>
        <v>1</v>
      </c>
      <c r="N204" s="669">
        <f>N195</f>
        <v>5</v>
      </c>
      <c r="O204" s="669" t="str">
        <f>O195</f>
        <v>-</v>
      </c>
      <c r="P204" s="669" t="str">
        <f t="shared" ref="P204:Q204" si="31">P195</f>
        <v>-</v>
      </c>
      <c r="Q204" s="669" t="str">
        <f t="shared" si="31"/>
        <v>-</v>
      </c>
      <c r="R204" s="514"/>
      <c r="S204" s="483"/>
      <c r="T204" s="476"/>
      <c r="U204" s="476"/>
      <c r="V204" s="484" t="s">
        <v>44</v>
      </c>
      <c r="W204" s="470"/>
      <c r="X204" s="481"/>
      <c r="Y204" s="481"/>
      <c r="Z204" s="482"/>
    </row>
    <row r="205" spans="1:27" ht="15" customHeight="1" thickBot="1">
      <c r="A205" s="457">
        <v>1</v>
      </c>
      <c r="F205" s="676" t="str">
        <f>IF(Menu!$C$7 = "V","Kiểu","Kiểm tra/ Check")</f>
        <v>Kiểu</v>
      </c>
      <c r="G205" s="677"/>
      <c r="H205" s="666" t="str">
        <f>IF(Menu!$C$7 = "V",IF(H198&lt;$G$198,"Có","Không"),IF(H198&lt;$G$198,"Yes","No"))</f>
        <v>Có</v>
      </c>
      <c r="I205" s="666" t="str">
        <f>IF(Menu!$C$7 = "V",IF(I198&lt;$G$198,"Có","Không"),IF(I198&lt;$G$198,"Yes","No"))</f>
        <v>Có</v>
      </c>
      <c r="J205" s="666" t="str">
        <f>IF(Menu!$C$7 = "V",IF(J198&lt;$G$198,"Có","Không"),IF(J198&lt;$G$198,"Yes","No"))</f>
        <v>Không</v>
      </c>
      <c r="K205" s="666" t="str">
        <f>IF(Menu!$C$7 = "V",IF(K198&lt;$G$198,"Có","Không"),IF(K198&lt;$G$198,"Yes","No"))</f>
        <v>Không</v>
      </c>
      <c r="L205" s="666" t="str">
        <f>IF(Menu!$C$7 = "V",IF(L198&lt;$G$198,"Có","Không"),IF(L198&lt;$G$198,"Yes","No"))</f>
        <v>Không</v>
      </c>
      <c r="M205" s="666" t="str">
        <f>IF(Menu!$C$7 = "V",IF(M198&lt;$G$198,"Có","Không"),IF(M198&lt;$G$198,"Yes","No"))</f>
        <v>Có</v>
      </c>
      <c r="N205" s="666" t="str">
        <f>IF(Menu!$C$7 = "V",IF(N198&lt;$G$198,"Có","Không"),IF(N198&lt;$G$198,"Yes","No"))</f>
        <v>Có</v>
      </c>
      <c r="O205" s="666" t="str">
        <f>IF(Menu!$C$7 = "V",IF(O198&lt;$G$198,"Có","Không"),IF(O198&lt;$G$198,"Yes","No"))</f>
        <v>Không</v>
      </c>
      <c r="P205" s="666" t="str">
        <f>IF(Menu!$C$7 = "V",IF(P198&lt;$G$198,"Có","Không"),IF(P198&lt;$G$198,"Yes","No"))</f>
        <v>Không</v>
      </c>
      <c r="Q205" s="666" t="str">
        <f>IF(Menu!$C$7 = "V",IF(Q198&lt;$G$198,"Có","Không"),IF(Q198&lt;$G$198,"Yes","No"))</f>
        <v>Không</v>
      </c>
      <c r="R205" s="552"/>
      <c r="S205" s="485" t="s">
        <v>45</v>
      </c>
      <c r="T205" s="486"/>
      <c r="U205" s="487"/>
      <c r="V205" s="488" t="s">
        <v>46</v>
      </c>
      <c r="W205" s="489"/>
      <c r="X205" s="490"/>
      <c r="Y205" s="490"/>
      <c r="Z205" s="491"/>
    </row>
    <row r="206" spans="1:27" ht="15" customHeight="1">
      <c r="A206" s="457">
        <v>1</v>
      </c>
      <c r="F206" s="678" t="str">
        <f>IF(Menu!$C$7 = "V","Dạng chuyển vị","Dạng chuyển vị/Type disp ")</f>
        <v>Dạng chuyển vị</v>
      </c>
      <c r="G206" s="679"/>
      <c r="H206" s="669">
        <f>Menu!R10</f>
        <v>1</v>
      </c>
      <c r="I206" s="669">
        <f>Menu!S10</f>
        <v>2</v>
      </c>
      <c r="J206" s="669" t="str">
        <f>Menu!T10</f>
        <v>-</v>
      </c>
      <c r="K206" s="669" t="s">
        <v>13</v>
      </c>
      <c r="L206" s="669" t="s">
        <v>13</v>
      </c>
      <c r="M206" s="669">
        <f>Menu!U10</f>
        <v>1</v>
      </c>
      <c r="N206" s="669">
        <f>Menu!V10</f>
        <v>2</v>
      </c>
      <c r="O206" s="669" t="str">
        <f>Menu!W10</f>
        <v>-</v>
      </c>
      <c r="P206" s="669" t="s">
        <v>13</v>
      </c>
      <c r="Q206" s="669" t="s">
        <v>13</v>
      </c>
      <c r="R206" s="552"/>
      <c r="S206" s="492"/>
      <c r="U206" s="493"/>
      <c r="V206" s="494"/>
      <c r="W206" s="495"/>
      <c r="X206" s="458"/>
      <c r="Y206" s="458"/>
      <c r="Z206" s="458"/>
    </row>
    <row r="207" spans="1:27" ht="16.5" customHeight="1">
      <c r="A207" s="457">
        <v>1</v>
      </c>
      <c r="F207" s="1149" t="s">
        <v>0</v>
      </c>
      <c r="G207" s="1152" t="s">
        <v>892</v>
      </c>
      <c r="H207" s="1153"/>
      <c r="I207" s="1153"/>
      <c r="J207" s="1153"/>
      <c r="K207" s="1153"/>
      <c r="L207" s="1154"/>
      <c r="M207" s="1177" t="s">
        <v>87</v>
      </c>
      <c r="N207" s="1178"/>
      <c r="O207" s="1179"/>
      <c r="P207" s="1138" t="s">
        <v>1950</v>
      </c>
      <c r="Q207" s="1138"/>
      <c r="R207" s="1138"/>
      <c r="S207" s="492"/>
      <c r="U207" s="493"/>
      <c r="V207" s="494"/>
      <c r="W207" s="495"/>
      <c r="X207" s="458"/>
      <c r="Y207" s="458"/>
      <c r="Z207" s="458"/>
    </row>
    <row r="208" spans="1:27" ht="16.5" customHeight="1">
      <c r="A208" s="457">
        <v>1</v>
      </c>
      <c r="F208" s="1150"/>
      <c r="G208" s="684" t="str">
        <f>IF(Menu!$C$7 = "V","","Dynamic component to direction X")</f>
        <v/>
      </c>
      <c r="H208" s="680"/>
      <c r="I208" s="681"/>
      <c r="J208" s="681"/>
      <c r="K208" s="681"/>
      <c r="L208" s="682"/>
      <c r="M208" s="1180" t="str">
        <f>IF(Menu!$C$7 = "V","","Relativity displacement")</f>
        <v/>
      </c>
      <c r="N208" s="1181"/>
      <c r="O208" s="1182"/>
      <c r="P208" s="1138"/>
      <c r="Q208" s="1138"/>
      <c r="R208" s="1138"/>
      <c r="U208" s="458"/>
      <c r="V208" s="458"/>
      <c r="W208" s="458"/>
      <c r="X208" s="458"/>
      <c r="Y208" s="458"/>
      <c r="Z208" s="458"/>
      <c r="AA208" s="458"/>
    </row>
    <row r="209" spans="1:29" ht="15" customHeight="1">
      <c r="A209" s="457">
        <v>1</v>
      </c>
      <c r="F209" s="1151" t="s">
        <v>50</v>
      </c>
      <c r="G209" s="1151"/>
      <c r="H209" s="683" t="s">
        <v>5</v>
      </c>
      <c r="I209" s="1155" t="s">
        <v>1951</v>
      </c>
      <c r="J209" s="1155" t="s">
        <v>1952</v>
      </c>
      <c r="K209" s="1155" t="s">
        <v>1953</v>
      </c>
      <c r="L209" s="1156" t="s">
        <v>12</v>
      </c>
      <c r="M209" s="1138" t="s">
        <v>2259</v>
      </c>
      <c r="N209" s="1138" t="s">
        <v>2260</v>
      </c>
      <c r="O209" s="1138" t="s">
        <v>2261</v>
      </c>
      <c r="P209" s="685" t="s">
        <v>8</v>
      </c>
      <c r="Q209" s="685" t="s">
        <v>11</v>
      </c>
      <c r="R209" s="685" t="s">
        <v>86</v>
      </c>
      <c r="S209" s="1118" t="s">
        <v>69</v>
      </c>
      <c r="T209" s="1118"/>
      <c r="U209" s="1118" t="s">
        <v>70</v>
      </c>
      <c r="V209" s="1118"/>
      <c r="W209" s="1111" t="s">
        <v>71</v>
      </c>
      <c r="X209" s="1111"/>
      <c r="Y209" s="1111"/>
      <c r="Z209" s="1111"/>
      <c r="AA209" s="1111" t="s">
        <v>88</v>
      </c>
      <c r="AB209" s="1111"/>
      <c r="AC209" s="1111"/>
    </row>
    <row r="210" spans="1:29" ht="15" customHeight="1">
      <c r="A210" s="457">
        <v>1</v>
      </c>
      <c r="F210" s="1157" t="str">
        <f>IF(Menu!$C$7 = "V","","Floor level")</f>
        <v/>
      </c>
      <c r="G210" s="1157"/>
      <c r="H210" s="687" t="str">
        <f>IF(Menu!$C$7 = "V","","Level")</f>
        <v/>
      </c>
      <c r="I210" s="1155"/>
      <c r="J210" s="1155"/>
      <c r="K210" s="1155"/>
      <c r="L210" s="1156"/>
      <c r="M210" s="1138"/>
      <c r="N210" s="1138"/>
      <c r="O210" s="1138"/>
      <c r="P210" s="686" t="str">
        <f>IF(Menu!$C$7 = "V","","Mode 1")</f>
        <v/>
      </c>
      <c r="Q210" s="686" t="str">
        <f>IF(Menu!$C$7 = "V","","Mode 2")</f>
        <v/>
      </c>
      <c r="R210" s="686" t="str">
        <f>IF(Menu!$C$7 = "V","","Mode 3")</f>
        <v/>
      </c>
      <c r="S210" s="496" t="s">
        <v>72</v>
      </c>
      <c r="T210" s="496" t="s">
        <v>73</v>
      </c>
      <c r="U210" s="496" t="s">
        <v>74</v>
      </c>
      <c r="V210" s="496" t="s">
        <v>75</v>
      </c>
      <c r="W210" s="496" t="s">
        <v>80</v>
      </c>
      <c r="X210" s="496" t="s">
        <v>81</v>
      </c>
      <c r="Y210" s="496" t="s">
        <v>82</v>
      </c>
      <c r="Z210" s="496" t="s">
        <v>83</v>
      </c>
      <c r="AA210" s="1111" t="s">
        <v>84</v>
      </c>
      <c r="AB210" s="1111"/>
      <c r="AC210" s="497" t="s">
        <v>85</v>
      </c>
    </row>
    <row r="211" spans="1:29" ht="15" customHeight="1">
      <c r="A211" s="457">
        <f t="shared" ref="A211:A242" si="32">IF(F211="","",1)</f>
        <v>1</v>
      </c>
      <c r="B211" s="701" t="str">
        <f>F211&amp;$H$195</f>
        <v>TMAI3</v>
      </c>
      <c r="C211" s="701" t="str">
        <f>F211&amp;$I$195</f>
        <v>TMAI6</v>
      </c>
      <c r="D211" s="885" t="str">
        <f>F211&amp;$J$195</f>
        <v>TMAI-</v>
      </c>
      <c r="F211" s="1137" t="str">
        <f t="shared" ref="F211:F274" si="33">F24</f>
        <v>TMAI</v>
      </c>
      <c r="G211" s="1128"/>
      <c r="H211" s="688">
        <f t="shared" ref="H211:H289" si="34">H24</f>
        <v>135.80000000000001</v>
      </c>
      <c r="I211" s="689">
        <f>N24</f>
        <v>27.35</v>
      </c>
      <c r="J211" s="689">
        <f>IF(AND(F211&lt;&gt;"",F211&lt;&gt;"BASE"),IF(H211&gt;=0,H211,""),"")</f>
        <v>135.80000000000001</v>
      </c>
      <c r="K211" s="690">
        <f>IF(AND(F211&lt;&gt;"",F211&lt;&gt;"BASE",H211&gt;=0),AC211,"")</f>
        <v>0.61536331249999998</v>
      </c>
      <c r="L211" s="691">
        <f>IF(J211&lt;&gt;"",IF($K$13="A",IF(0.356*(H211-$O$11)^(-0.07)&gt;0.318,0.318,0.356*(H211-$O$11)^(-0.07)),IF($K$13="B",IF(0.5979*(H211-$O$11)^(-0.0899)&gt;0.517,0.517,0.5979*(H211-$O$11)^(-0.0899)),IF(0.944*(H211-$O$11)^(-0.1399)&gt;0.754,0.754,0.944*(H211-$O$11)^(-0.1399)))),"")</f>
        <v>0.2523621031010454</v>
      </c>
      <c r="M211" s="700" t="str">
        <f>IFERROR(IF(J211="","",IF($H$196="-","-",INDEX(BD!$A$1:$K$2510,MATCH('2.Win Load'!B211,BD!$A$1:$A$2510,0),6))),"")</f>
        <v/>
      </c>
      <c r="N211" s="700" t="str">
        <f>IFERROR(IF($J211="","",IF($I$196="-","-",INDEX(BD!$A$1:$K$2510,MATCH('2.Win Load'!C211,BD!$A$1:$A$2510,0),6))),"")</f>
        <v/>
      </c>
      <c r="O211" s="700" t="str">
        <f>IFERROR(IF($J211="","",IF($J$196="-","-",INDEX(BD!$A$1:$K$2510,MATCH('2.Win Load'!D211,BD!$A$1:$A$2510,0),6))),"")</f>
        <v>-</v>
      </c>
      <c r="P211" s="692" t="str">
        <f>IF(M211="","",IF(M211="-","-",$O24*$L211*IF($H$206=1,K211,IF($H$206=2,1,"-"))))</f>
        <v/>
      </c>
      <c r="Q211" s="692" t="str">
        <f>IF(N211="","",IF(N211="-","-",$O24*$L211*IF($I$206=1,K211,IF($I$206=2,1,"-"))))</f>
        <v/>
      </c>
      <c r="R211" s="623" t="str">
        <f>IF(O211="","",IF(O211="-","-",$O24*$L211*IF($I$206=1,K211,IF($I$206=2,1,"-"))))</f>
        <v>-</v>
      </c>
      <c r="S211" s="498">
        <f t="array" ref="S211">MAX(IF('Wind base'!$AE$5:$AE$11&lt;I211,'Wind base'!$AE$5:$AE$11,""))</f>
        <v>20</v>
      </c>
      <c r="T211" s="498">
        <f t="array" ref="T211">MIN(IF('Wind base'!$AE$5:$AE$11&gt;I211,'Wind base'!$AE$5:$AE$11,""))</f>
        <v>40</v>
      </c>
      <c r="U211" s="499">
        <f t="array" ref="U211">MAX(IF('Wind base'!$AF$4:$AL$4&lt;J211,'Wind base'!$AF$4:$AL$4,""),5)</f>
        <v>80</v>
      </c>
      <c r="V211" s="498">
        <f t="array" ref="V211">MIN(IF('Wind base'!$AF$4:$AL$4&gt;J211,'Wind base'!$AF$4:$AL$4,""))</f>
        <v>160</v>
      </c>
      <c r="W211" s="500">
        <f t="array" ref="W211">INDEX('Wind base'!$AF$5:$AL$11,MATCH($S211,'Wind base'!$AE$5:$AE$11,0),MATCH($U211,'Wind base'!$AF$4:$AL$4,0))</f>
        <v>0.68</v>
      </c>
      <c r="X211" s="500">
        <f t="array" ref="X211">INDEX('Wind base'!$AF$5:$AL$11,MATCH($S211,'Wind base'!$AE$5:$AE$11,0),MATCH($V211,'Wind base'!$AF$4:$AL$4,0))</f>
        <v>0.61</v>
      </c>
      <c r="Y211" s="500">
        <f t="array" ref="Y211">INDEX('Wind base'!$AF$5:$AL$11,MATCH($T211,'Wind base'!$AE$5:$AE$11,0),MATCH($U211,'Wind base'!$AF$4:$AL$4,0))</f>
        <v>0.63</v>
      </c>
      <c r="Z211" s="500">
        <f t="array" ref="Z211">INDEX('Wind base'!$AF$5:$AL$11,MATCH($T211,'Wind base'!$AE$5:$AE$11,0),MATCH($V211,'Wind base'!$AF$4:$AL$4,0))</f>
        <v>0.56999999999999995</v>
      </c>
      <c r="AA211" s="501">
        <f t="shared" ref="AA211:AA242" si="35">Y211+(T211-I211)/(T211-S211)*(W211-Y211)</f>
        <v>0.66162500000000002</v>
      </c>
      <c r="AB211" s="501">
        <f t="shared" ref="AB211:AB242" si="36">Z211+(T211-I211)/(T211-S211)*(X211-Z211)</f>
        <v>0.59529999999999994</v>
      </c>
      <c r="AC211" s="501">
        <f t="shared" ref="AC211:AC242" si="37">IFERROR(AB211+(V211-J211)*(AA211-AB211)/(V211-U211),AA211)</f>
        <v>0.61536331249999998</v>
      </c>
    </row>
    <row r="212" spans="1:29" ht="15" customHeight="1">
      <c r="A212" s="457">
        <f t="shared" si="32"/>
        <v>1</v>
      </c>
      <c r="B212" s="701" t="str">
        <f t="shared" ref="B212:B275" si="38">F212&amp;$H$195</f>
        <v>TTUM3</v>
      </c>
      <c r="C212" s="701" t="str">
        <f t="shared" ref="C212:C275" si="39">F212&amp;$I$195</f>
        <v>TTUM6</v>
      </c>
      <c r="D212" s="885" t="str">
        <f t="shared" ref="D212:D275" si="40">F212&amp;$J$195</f>
        <v>TTUM-</v>
      </c>
      <c r="F212" s="1137" t="str">
        <f t="shared" si="33"/>
        <v>TTUM</v>
      </c>
      <c r="G212" s="1128"/>
      <c r="H212" s="692">
        <f t="shared" si="34"/>
        <v>130.19999999999999</v>
      </c>
      <c r="I212" s="689">
        <f t="shared" ref="I212:I275" si="41">N25</f>
        <v>27.35</v>
      </c>
      <c r="J212" s="689">
        <f t="shared" ref="J212:J244" si="42">IF(AND(F212&lt;&gt;"",F212&lt;&gt;"BASE"),IF(H212&gt;=0,H212,""),"")</f>
        <v>130.19999999999999</v>
      </c>
      <c r="K212" s="690">
        <f t="shared" ref="K212:K244" si="43">IF(AND(F212&lt;&gt;"",F212&lt;&gt;"BASE",H212&gt;=0),AC212,"")</f>
        <v>0.62000606250000001</v>
      </c>
      <c r="L212" s="691">
        <f t="shared" ref="L212:L275" si="44">IF(J212&lt;&gt;"",IF($K$13="A",IF(0.356*(H212-$O$11)^(-0.07)&gt;0.318,0.318,0.356*(H212-$O$11)^(-0.07)),IF($K$13="B",IF(0.5979*(H212-$O$11)^(-0.0899)&gt;0.517,0.517,0.5979*(H212-$O$11)^(-0.0899)),IF(0.944*(H212-$O$11)^(-0.1399)&gt;0.754,0.754,0.944*(H212-$O$11)^(-0.1399)))),"")</f>
        <v>0.2531040410508536</v>
      </c>
      <c r="M212" s="700">
        <f>IFERROR(IF(J212="","",IF($H$196="-","-",INDEX(BD!$A$1:$K$2510,MATCH('2.Win Load'!B212,BD!$A$1:$A$2510,0),6))),"")</f>
        <v>6.6689999999999996E-3</v>
      </c>
      <c r="N212" s="700">
        <f>IFERROR(IF($J212="","",IF($I$196="-","-",INDEX(BD!$A$1:$K$2510,MATCH('2.Win Load'!C212,BD!$A$1:$A$2510,0),6))),"")</f>
        <v>6.9280000000000001E-3</v>
      </c>
      <c r="O212" s="700" t="str">
        <f>IFERROR(IF($J212="","",IF($J$196="-","-",INDEX(BD!$A$1:$K$2510,MATCH('2.Win Load'!D212,BD!$A$1:$A$2510,0),6))),"")</f>
        <v>-</v>
      </c>
      <c r="P212" s="692">
        <f t="shared" ref="P212:P275" si="45">IF(M212="","",IF(M212="-","-",$O25*$L212*IF($H$206=1,K212,IF($H$206=2,1,"-"))))</f>
        <v>50.165170890185614</v>
      </c>
      <c r="Q212" s="692">
        <f t="shared" ref="Q212:Q275" si="46">IF(N212="","",IF(N212="-","-",$O25*$L212*IF($I$206=1,K212,IF($I$206=2,1,"-"))))</f>
        <v>80.910774788086229</v>
      </c>
      <c r="R212" s="960" t="str">
        <f t="shared" ref="R212:R275" si="47">IF(O212="","",IF(O212="-","-",$O25*$L212*IF($I$206=1,K212,IF($I$206=2,1,"-"))))</f>
        <v>-</v>
      </c>
      <c r="S212" s="498">
        <f t="array" ref="S212">MAX(IF('Wind base'!$AE$5:$AE$11&lt;I212,'Wind base'!$AE$5:$AE$11,""))</f>
        <v>20</v>
      </c>
      <c r="T212" s="498">
        <f t="array" ref="T212">MIN(IF('Wind base'!$AE$5:$AE$11&gt;I212,'Wind base'!$AE$5:$AE$11,""))</f>
        <v>40</v>
      </c>
      <c r="U212" s="499">
        <f t="array" ref="U212">MAX(IF('Wind base'!$AF$4:$AL$4&lt;J212,'Wind base'!$AF$4:$AL$4,""),5)</f>
        <v>80</v>
      </c>
      <c r="V212" s="498">
        <f t="array" ref="V212">MIN(IF('Wind base'!$AF$4:$AL$4&gt;J212,'Wind base'!$AF$4:$AL$4,""))</f>
        <v>160</v>
      </c>
      <c r="W212" s="500">
        <f t="array" ref="W212">INDEX('Wind base'!$AF$5:$AL$11,MATCH($S212,'Wind base'!$AE$5:$AE$11,0),MATCH($U212,'Wind base'!$AF$4:$AL$4,0))</f>
        <v>0.68</v>
      </c>
      <c r="X212" s="500">
        <f t="array" ref="X212">INDEX('Wind base'!$AF$5:$AL$11,MATCH($S212,'Wind base'!$AE$5:$AE$11,0),MATCH($V212,'Wind base'!$AF$4:$AL$4,0))</f>
        <v>0.61</v>
      </c>
      <c r="Y212" s="500">
        <f t="array" ref="Y212">INDEX('Wind base'!$AF$5:$AL$11,MATCH($T212,'Wind base'!$AE$5:$AE$11,0),MATCH($U212,'Wind base'!$AF$4:$AL$4,0))</f>
        <v>0.63</v>
      </c>
      <c r="Z212" s="500">
        <f t="array" ref="Z212">INDEX('Wind base'!$AF$5:$AL$11,MATCH($T212,'Wind base'!$AE$5:$AE$11,0),MATCH($V212,'Wind base'!$AF$4:$AL$4,0))</f>
        <v>0.56999999999999995</v>
      </c>
      <c r="AA212" s="501">
        <f t="shared" si="35"/>
        <v>0.66162500000000002</v>
      </c>
      <c r="AB212" s="501">
        <f t="shared" si="36"/>
        <v>0.59529999999999994</v>
      </c>
      <c r="AC212" s="501">
        <f t="shared" si="37"/>
        <v>0.62000606250000001</v>
      </c>
    </row>
    <row r="213" spans="1:29" ht="15" customHeight="1">
      <c r="A213" s="457">
        <f t="shared" si="32"/>
        <v>1</v>
      </c>
      <c r="B213" s="701" t="str">
        <f t="shared" si="38"/>
        <v>T383</v>
      </c>
      <c r="C213" s="701" t="str">
        <f t="shared" si="39"/>
        <v>T386</v>
      </c>
      <c r="D213" s="885" t="str">
        <f t="shared" si="40"/>
        <v>T38-</v>
      </c>
      <c r="F213" s="1105" t="str">
        <f t="shared" si="33"/>
        <v>T38</v>
      </c>
      <c r="G213" s="1106"/>
      <c r="H213" s="692">
        <f t="shared" si="34"/>
        <v>126.8</v>
      </c>
      <c r="I213" s="689">
        <f t="shared" si="41"/>
        <v>27.35</v>
      </c>
      <c r="J213" s="689">
        <f t="shared" si="42"/>
        <v>126.8</v>
      </c>
      <c r="K213" s="690">
        <f t="shared" si="43"/>
        <v>0.62282487499999994</v>
      </c>
      <c r="L213" s="691">
        <f t="shared" si="44"/>
        <v>0.25357128502418769</v>
      </c>
      <c r="M213" s="700">
        <f>IFERROR(IF(J213="","",IF($H$196="-","-",INDEX(BD!$A$1:$K$2510,MATCH('2.Win Load'!B213,BD!$A$1:$A$2510,0),6))),"")</f>
        <v>6.5339999999999999E-3</v>
      </c>
      <c r="N213" s="700">
        <f>IFERROR(IF($J213="","",IF($I$196="-","-",INDEX(BD!$A$1:$K$2510,MATCH('2.Win Load'!C213,BD!$A$1:$A$2510,0),6))),"")</f>
        <v>6.3369999999999998E-3</v>
      </c>
      <c r="O213" s="700" t="str">
        <f>IFERROR(IF($J213="","",IF($J$196="-","-",INDEX(BD!$A$1:$K$2510,MATCH('2.Win Load'!D213,BD!$A$1:$A$2510,0),6))),"")</f>
        <v>-</v>
      </c>
      <c r="P213" s="692">
        <f t="shared" si="45"/>
        <v>38.013148254682775</v>
      </c>
      <c r="Q213" s="692">
        <f t="shared" si="46"/>
        <v>61.033445805585039</v>
      </c>
      <c r="R213" s="960" t="str">
        <f t="shared" si="47"/>
        <v>-</v>
      </c>
      <c r="S213" s="498">
        <f t="array" ref="S213">MAX(IF('Wind base'!$AE$5:$AE$11&lt;I213,'Wind base'!$AE$5:$AE$11,""))</f>
        <v>20</v>
      </c>
      <c r="T213" s="498">
        <f t="array" ref="T213">MIN(IF('Wind base'!$AE$5:$AE$11&gt;I213,'Wind base'!$AE$5:$AE$11,""))</f>
        <v>40</v>
      </c>
      <c r="U213" s="499">
        <f t="array" ref="U213">MAX(IF('Wind base'!$AF$4:$AL$4&lt;J213,'Wind base'!$AF$4:$AL$4,""),5)</f>
        <v>80</v>
      </c>
      <c r="V213" s="498">
        <f t="array" ref="V213">MIN(IF('Wind base'!$AF$4:$AL$4&gt;J213,'Wind base'!$AF$4:$AL$4,""))</f>
        <v>160</v>
      </c>
      <c r="W213" s="500">
        <f t="array" ref="W213">INDEX('Wind base'!$AF$5:$AL$11,MATCH($S213,'Wind base'!$AE$5:$AE$11,0),MATCH($U213,'Wind base'!$AF$4:$AL$4,0))</f>
        <v>0.68</v>
      </c>
      <c r="X213" s="500">
        <f t="array" ref="X213">INDEX('Wind base'!$AF$5:$AL$11,MATCH($S213,'Wind base'!$AE$5:$AE$11,0),MATCH($V213,'Wind base'!$AF$4:$AL$4,0))</f>
        <v>0.61</v>
      </c>
      <c r="Y213" s="500">
        <f t="array" ref="Y213">INDEX('Wind base'!$AF$5:$AL$11,MATCH($T213,'Wind base'!$AE$5:$AE$11,0),MATCH($U213,'Wind base'!$AF$4:$AL$4,0))</f>
        <v>0.63</v>
      </c>
      <c r="Z213" s="500">
        <f t="array" ref="Z213">INDEX('Wind base'!$AF$5:$AL$11,MATCH($T213,'Wind base'!$AE$5:$AE$11,0),MATCH($V213,'Wind base'!$AF$4:$AL$4,0))</f>
        <v>0.56999999999999995</v>
      </c>
      <c r="AA213" s="501">
        <f t="shared" si="35"/>
        <v>0.66162500000000002</v>
      </c>
      <c r="AB213" s="501">
        <f t="shared" si="36"/>
        <v>0.59529999999999994</v>
      </c>
      <c r="AC213" s="501">
        <f t="shared" si="37"/>
        <v>0.62282487499999994</v>
      </c>
    </row>
    <row r="214" spans="1:29" ht="15" customHeight="1">
      <c r="A214" s="457">
        <f t="shared" si="32"/>
        <v>1</v>
      </c>
      <c r="B214" s="701" t="str">
        <f t="shared" si="38"/>
        <v>T373</v>
      </c>
      <c r="C214" s="701" t="str">
        <f t="shared" si="39"/>
        <v>T376</v>
      </c>
      <c r="D214" s="885" t="str">
        <f t="shared" si="40"/>
        <v>T37-</v>
      </c>
      <c r="F214" s="1105" t="str">
        <f t="shared" si="33"/>
        <v>T37</v>
      </c>
      <c r="G214" s="1106"/>
      <c r="H214" s="692">
        <f t="shared" si="34"/>
        <v>123.4</v>
      </c>
      <c r="I214" s="689">
        <f t="shared" si="41"/>
        <v>27.35</v>
      </c>
      <c r="J214" s="689">
        <f t="shared" si="42"/>
        <v>123.4</v>
      </c>
      <c r="K214" s="690">
        <f t="shared" si="43"/>
        <v>0.62564368749999999</v>
      </c>
      <c r="L214" s="691">
        <f t="shared" si="44"/>
        <v>0.25405207171470884</v>
      </c>
      <c r="M214" s="700">
        <f>IFERROR(IF(J214="","",IF($H$196="-","-",INDEX(BD!$A$1:$K$2510,MATCH('2.Win Load'!B214,BD!$A$1:$A$2510,0),6))),"")</f>
        <v>6.3959999999999998E-3</v>
      </c>
      <c r="N214" s="700">
        <f>IFERROR(IF($J214="","",IF($I$196="-","-",INDEX(BD!$A$1:$K$2510,MATCH('2.Win Load'!C214,BD!$A$1:$A$2510,0),6))),"")</f>
        <v>5.7210000000000004E-3</v>
      </c>
      <c r="O214" s="700" t="str">
        <f>IFERROR(IF($J214="","",IF($J$196="-","-",INDEX(BD!$A$1:$K$2510,MATCH('2.Win Load'!D214,BD!$A$1:$A$2510,0),6))),"")</f>
        <v>-</v>
      </c>
      <c r="P214" s="692">
        <f t="shared" si="45"/>
        <v>38.121590159821736</v>
      </c>
      <c r="Q214" s="692">
        <f t="shared" si="46"/>
        <v>60.931790604571127</v>
      </c>
      <c r="R214" s="960" t="str">
        <f t="shared" si="47"/>
        <v>-</v>
      </c>
      <c r="S214" s="498">
        <f t="array" ref="S214">MAX(IF('Wind base'!$AE$5:$AE$11&lt;I214,'Wind base'!$AE$5:$AE$11,""))</f>
        <v>20</v>
      </c>
      <c r="T214" s="498">
        <f t="array" ref="T214">MIN(IF('Wind base'!$AE$5:$AE$11&gt;I214,'Wind base'!$AE$5:$AE$11,""))</f>
        <v>40</v>
      </c>
      <c r="U214" s="499">
        <f t="array" ref="U214">MAX(IF('Wind base'!$AF$4:$AL$4&lt;J214,'Wind base'!$AF$4:$AL$4,""),5)</f>
        <v>80</v>
      </c>
      <c r="V214" s="498">
        <f t="array" ref="V214">MIN(IF('Wind base'!$AF$4:$AL$4&gt;J214,'Wind base'!$AF$4:$AL$4,""))</f>
        <v>160</v>
      </c>
      <c r="W214" s="500">
        <f t="array" ref="W214">INDEX('Wind base'!$AF$5:$AL$11,MATCH($S214,'Wind base'!$AE$5:$AE$11,0),MATCH($U214,'Wind base'!$AF$4:$AL$4,0))</f>
        <v>0.68</v>
      </c>
      <c r="X214" s="500">
        <f t="array" ref="X214">INDEX('Wind base'!$AF$5:$AL$11,MATCH($S214,'Wind base'!$AE$5:$AE$11,0),MATCH($V214,'Wind base'!$AF$4:$AL$4,0))</f>
        <v>0.61</v>
      </c>
      <c r="Y214" s="500">
        <f t="array" ref="Y214">INDEX('Wind base'!$AF$5:$AL$11,MATCH($T214,'Wind base'!$AE$5:$AE$11,0),MATCH($U214,'Wind base'!$AF$4:$AL$4,0))</f>
        <v>0.63</v>
      </c>
      <c r="Z214" s="500">
        <f t="array" ref="Z214">INDEX('Wind base'!$AF$5:$AL$11,MATCH($T214,'Wind base'!$AE$5:$AE$11,0),MATCH($V214,'Wind base'!$AF$4:$AL$4,0))</f>
        <v>0.56999999999999995</v>
      </c>
      <c r="AA214" s="501">
        <f t="shared" si="35"/>
        <v>0.66162500000000002</v>
      </c>
      <c r="AB214" s="501">
        <f t="shared" si="36"/>
        <v>0.59529999999999994</v>
      </c>
      <c r="AC214" s="501">
        <f t="shared" si="37"/>
        <v>0.62564368749999999</v>
      </c>
    </row>
    <row r="215" spans="1:29" ht="15" customHeight="1">
      <c r="A215" s="457">
        <f t="shared" si="32"/>
        <v>1</v>
      </c>
      <c r="B215" s="701" t="str">
        <f t="shared" si="38"/>
        <v>T363</v>
      </c>
      <c r="C215" s="701" t="str">
        <f t="shared" si="39"/>
        <v>T366</v>
      </c>
      <c r="D215" s="885" t="str">
        <f t="shared" si="40"/>
        <v>T36-</v>
      </c>
      <c r="F215" s="1105" t="str">
        <f t="shared" si="33"/>
        <v>T36</v>
      </c>
      <c r="G215" s="1106"/>
      <c r="H215" s="692">
        <f t="shared" si="34"/>
        <v>120</v>
      </c>
      <c r="I215" s="689">
        <f t="shared" si="41"/>
        <v>27.35</v>
      </c>
      <c r="J215" s="689">
        <f t="shared" si="42"/>
        <v>120</v>
      </c>
      <c r="K215" s="690">
        <f t="shared" si="43"/>
        <v>0.62846249999999992</v>
      </c>
      <c r="L215" s="691">
        <f t="shared" si="44"/>
        <v>0.25454718168376572</v>
      </c>
      <c r="M215" s="700">
        <f>IFERROR(IF(J215="","",IF($H$196="-","-",INDEX(BD!$A$1:$K$2510,MATCH('2.Win Load'!B215,BD!$A$1:$A$2510,0),6))),"")</f>
        <v>6.254E-3</v>
      </c>
      <c r="N215" s="700">
        <f>IFERROR(IF($J215="","",IF($I$196="-","-",INDEX(BD!$A$1:$K$2510,MATCH('2.Win Load'!C215,BD!$A$1:$A$2510,0),6))),"")</f>
        <v>5.0790000000000002E-3</v>
      </c>
      <c r="O215" s="700" t="str">
        <f>IFERROR(IF($J215="","",IF($J$196="-","-",INDEX(BD!$A$1:$K$2510,MATCH('2.Win Load'!D215,BD!$A$1:$A$2510,0),6))),"")</f>
        <v>-</v>
      </c>
      <c r="P215" s="692">
        <f t="shared" si="45"/>
        <v>38.22779282931792</v>
      </c>
      <c r="Q215" s="692">
        <f t="shared" si="46"/>
        <v>60.827484264085641</v>
      </c>
      <c r="R215" s="960" t="str">
        <f t="shared" si="47"/>
        <v>-</v>
      </c>
      <c r="S215" s="498">
        <f t="array" ref="S215">MAX(IF('Wind base'!$AE$5:$AE$11&lt;I215,'Wind base'!$AE$5:$AE$11,""))</f>
        <v>20</v>
      </c>
      <c r="T215" s="498">
        <f t="array" ref="T215">MIN(IF('Wind base'!$AE$5:$AE$11&gt;I215,'Wind base'!$AE$5:$AE$11,""))</f>
        <v>40</v>
      </c>
      <c r="U215" s="499">
        <f t="array" ref="U215">MAX(IF('Wind base'!$AF$4:$AL$4&lt;J215,'Wind base'!$AF$4:$AL$4,""),5)</f>
        <v>80</v>
      </c>
      <c r="V215" s="498">
        <f t="array" ref="V215">MIN(IF('Wind base'!$AF$4:$AL$4&gt;J215,'Wind base'!$AF$4:$AL$4,""))</f>
        <v>160</v>
      </c>
      <c r="W215" s="500">
        <f t="array" ref="W215">INDEX('Wind base'!$AF$5:$AL$11,MATCH($S215,'Wind base'!$AE$5:$AE$11,0),MATCH($U215,'Wind base'!$AF$4:$AL$4,0))</f>
        <v>0.68</v>
      </c>
      <c r="X215" s="500">
        <f t="array" ref="X215">INDEX('Wind base'!$AF$5:$AL$11,MATCH($S215,'Wind base'!$AE$5:$AE$11,0),MATCH($V215,'Wind base'!$AF$4:$AL$4,0))</f>
        <v>0.61</v>
      </c>
      <c r="Y215" s="500">
        <f t="array" ref="Y215">INDEX('Wind base'!$AF$5:$AL$11,MATCH($T215,'Wind base'!$AE$5:$AE$11,0),MATCH($U215,'Wind base'!$AF$4:$AL$4,0))</f>
        <v>0.63</v>
      </c>
      <c r="Z215" s="500">
        <f t="array" ref="Z215">INDEX('Wind base'!$AF$5:$AL$11,MATCH($T215,'Wind base'!$AE$5:$AE$11,0),MATCH($V215,'Wind base'!$AF$4:$AL$4,0))</f>
        <v>0.56999999999999995</v>
      </c>
      <c r="AA215" s="501">
        <f t="shared" si="35"/>
        <v>0.66162500000000002</v>
      </c>
      <c r="AB215" s="501">
        <f t="shared" si="36"/>
        <v>0.59529999999999994</v>
      </c>
      <c r="AC215" s="501">
        <f t="shared" si="37"/>
        <v>0.62846249999999992</v>
      </c>
    </row>
    <row r="216" spans="1:29" ht="15" customHeight="1">
      <c r="A216" s="457">
        <f t="shared" si="32"/>
        <v>1</v>
      </c>
      <c r="B216" s="701" t="str">
        <f t="shared" si="38"/>
        <v>T353</v>
      </c>
      <c r="C216" s="701" t="str">
        <f t="shared" si="39"/>
        <v>T356</v>
      </c>
      <c r="D216" s="885" t="str">
        <f t="shared" si="40"/>
        <v>T35-</v>
      </c>
      <c r="F216" s="1105" t="str">
        <f t="shared" si="33"/>
        <v>T35</v>
      </c>
      <c r="G216" s="1106"/>
      <c r="H216" s="692">
        <f t="shared" si="34"/>
        <v>116.6</v>
      </c>
      <c r="I216" s="689">
        <f t="shared" si="41"/>
        <v>27.35</v>
      </c>
      <c r="J216" s="689">
        <f t="shared" si="42"/>
        <v>116.6</v>
      </c>
      <c r="K216" s="690">
        <f t="shared" si="43"/>
        <v>0.63128131249999997</v>
      </c>
      <c r="L216" s="691">
        <f t="shared" si="44"/>
        <v>0.25505746413122871</v>
      </c>
      <c r="M216" s="700">
        <f>IFERROR(IF(J216="","",IF($H$196="-","-",INDEX(BD!$A$1:$K$2510,MATCH('2.Win Load'!B216,BD!$A$1:$A$2510,0),6))),"")</f>
        <v>6.1089999999999998E-3</v>
      </c>
      <c r="N216" s="700">
        <f>IFERROR(IF($J216="","",IF($I$196="-","-",INDEX(BD!$A$1:$K$2510,MATCH('2.Win Load'!C216,BD!$A$1:$A$2510,0),6))),"")</f>
        <v>4.411E-3</v>
      </c>
      <c r="O216" s="700" t="str">
        <f>IFERROR(IF($J216="","",IF($J$196="-","-",INDEX(BD!$A$1:$K$2510,MATCH('2.Win Load'!D216,BD!$A$1:$A$2510,0),6))),"")</f>
        <v>-</v>
      </c>
      <c r="P216" s="692">
        <f t="shared" si="45"/>
        <v>38.331641099949636</v>
      </c>
      <c r="Q216" s="692">
        <f t="shared" si="46"/>
        <v>60.720379870186058</v>
      </c>
      <c r="R216" s="960" t="str">
        <f t="shared" si="47"/>
        <v>-</v>
      </c>
      <c r="S216" s="498">
        <f t="array" ref="S216">MAX(IF('Wind base'!$AE$5:$AE$11&lt;I216,'Wind base'!$AE$5:$AE$11,""))</f>
        <v>20</v>
      </c>
      <c r="T216" s="498">
        <f t="array" ref="T216">MIN(IF('Wind base'!$AE$5:$AE$11&gt;I216,'Wind base'!$AE$5:$AE$11,""))</f>
        <v>40</v>
      </c>
      <c r="U216" s="499">
        <f t="array" ref="U216">MAX(IF('Wind base'!$AF$4:$AL$4&lt;J216,'Wind base'!$AF$4:$AL$4,""),5)</f>
        <v>80</v>
      </c>
      <c r="V216" s="498">
        <f t="array" ref="V216">MIN(IF('Wind base'!$AF$4:$AL$4&gt;J216,'Wind base'!$AF$4:$AL$4,""))</f>
        <v>160</v>
      </c>
      <c r="W216" s="500">
        <f t="array" ref="W216">INDEX('Wind base'!$AF$5:$AL$11,MATCH($S216,'Wind base'!$AE$5:$AE$11,0),MATCH($U216,'Wind base'!$AF$4:$AL$4,0))</f>
        <v>0.68</v>
      </c>
      <c r="X216" s="500">
        <f t="array" ref="X216">INDEX('Wind base'!$AF$5:$AL$11,MATCH($S216,'Wind base'!$AE$5:$AE$11,0),MATCH($V216,'Wind base'!$AF$4:$AL$4,0))</f>
        <v>0.61</v>
      </c>
      <c r="Y216" s="500">
        <f t="array" ref="Y216">INDEX('Wind base'!$AF$5:$AL$11,MATCH($T216,'Wind base'!$AE$5:$AE$11,0),MATCH($U216,'Wind base'!$AF$4:$AL$4,0))</f>
        <v>0.63</v>
      </c>
      <c r="Z216" s="500">
        <f t="array" ref="Z216">INDEX('Wind base'!$AF$5:$AL$11,MATCH($T216,'Wind base'!$AE$5:$AE$11,0),MATCH($V216,'Wind base'!$AF$4:$AL$4,0))</f>
        <v>0.56999999999999995</v>
      </c>
      <c r="AA216" s="501">
        <f t="shared" si="35"/>
        <v>0.66162500000000002</v>
      </c>
      <c r="AB216" s="501">
        <f t="shared" si="36"/>
        <v>0.59529999999999994</v>
      </c>
      <c r="AC216" s="501">
        <f t="shared" si="37"/>
        <v>0.63128131249999997</v>
      </c>
    </row>
    <row r="217" spans="1:29" ht="15" customHeight="1">
      <c r="A217" s="457">
        <f t="shared" si="32"/>
        <v>1</v>
      </c>
      <c r="B217" s="701" t="str">
        <f t="shared" si="38"/>
        <v>T343</v>
      </c>
      <c r="C217" s="701" t="str">
        <f t="shared" si="39"/>
        <v>T346</v>
      </c>
      <c r="D217" s="885" t="str">
        <f t="shared" si="40"/>
        <v>T34-</v>
      </c>
      <c r="F217" s="1105" t="str">
        <f t="shared" si="33"/>
        <v>T34</v>
      </c>
      <c r="G217" s="1106"/>
      <c r="H217" s="692">
        <f t="shared" si="34"/>
        <v>113.2</v>
      </c>
      <c r="I217" s="689">
        <f t="shared" si="41"/>
        <v>27.35</v>
      </c>
      <c r="J217" s="689">
        <f t="shared" si="42"/>
        <v>113.2</v>
      </c>
      <c r="K217" s="690">
        <f t="shared" si="43"/>
        <v>0.63410012500000001</v>
      </c>
      <c r="L217" s="691">
        <f t="shared" si="44"/>
        <v>0.25558384513374699</v>
      </c>
      <c r="M217" s="700">
        <f>IFERROR(IF(J217="","",IF($H$196="-","-",INDEX(BD!$A$1:$K$2510,MATCH('2.Win Load'!B217,BD!$A$1:$A$2510,0),6))),"")</f>
        <v>5.9589999999999999E-3</v>
      </c>
      <c r="N217" s="700">
        <f>IFERROR(IF($J217="","",IF($I$196="-","-",INDEX(BD!$A$1:$K$2510,MATCH('2.Win Load'!C217,BD!$A$1:$A$2510,0),6))),"")</f>
        <v>3.7190000000000001E-3</v>
      </c>
      <c r="O217" s="700" t="str">
        <f>IFERROR(IF($J217="","",IF($J$196="-","-",INDEX(BD!$A$1:$K$2510,MATCH('2.Win Load'!D217,BD!$A$1:$A$2510,0),6))),"")</f>
        <v>-</v>
      </c>
      <c r="P217" s="692">
        <f t="shared" si="45"/>
        <v>38.433010095461299</v>
      </c>
      <c r="Q217" s="692">
        <f t="shared" si="46"/>
        <v>60.610317803456198</v>
      </c>
      <c r="R217" s="960" t="str">
        <f t="shared" si="47"/>
        <v>-</v>
      </c>
      <c r="S217" s="498">
        <f t="array" ref="S217">MAX(IF('Wind base'!$AE$5:$AE$11&lt;I217,'Wind base'!$AE$5:$AE$11,""))</f>
        <v>20</v>
      </c>
      <c r="T217" s="498">
        <f t="array" ref="T217">MIN(IF('Wind base'!$AE$5:$AE$11&gt;I217,'Wind base'!$AE$5:$AE$11,""))</f>
        <v>40</v>
      </c>
      <c r="U217" s="499">
        <f t="array" ref="U217">MAX(IF('Wind base'!$AF$4:$AL$4&lt;J217,'Wind base'!$AF$4:$AL$4,""),5)</f>
        <v>80</v>
      </c>
      <c r="V217" s="498">
        <f t="array" ref="V217">MIN(IF('Wind base'!$AF$4:$AL$4&gt;J217,'Wind base'!$AF$4:$AL$4,""))</f>
        <v>160</v>
      </c>
      <c r="W217" s="500">
        <f t="array" ref="W217">INDEX('Wind base'!$AF$5:$AL$11,MATCH($S217,'Wind base'!$AE$5:$AE$11,0),MATCH($U217,'Wind base'!$AF$4:$AL$4,0))</f>
        <v>0.68</v>
      </c>
      <c r="X217" s="500">
        <f t="array" ref="X217">INDEX('Wind base'!$AF$5:$AL$11,MATCH($S217,'Wind base'!$AE$5:$AE$11,0),MATCH($V217,'Wind base'!$AF$4:$AL$4,0))</f>
        <v>0.61</v>
      </c>
      <c r="Y217" s="500">
        <f t="array" ref="Y217">INDEX('Wind base'!$AF$5:$AL$11,MATCH($T217,'Wind base'!$AE$5:$AE$11,0),MATCH($U217,'Wind base'!$AF$4:$AL$4,0))</f>
        <v>0.63</v>
      </c>
      <c r="Z217" s="500">
        <f t="array" ref="Z217">INDEX('Wind base'!$AF$5:$AL$11,MATCH($T217,'Wind base'!$AE$5:$AE$11,0),MATCH($V217,'Wind base'!$AF$4:$AL$4,0))</f>
        <v>0.56999999999999995</v>
      </c>
      <c r="AA217" s="501">
        <f t="shared" si="35"/>
        <v>0.66162500000000002</v>
      </c>
      <c r="AB217" s="501">
        <f t="shared" si="36"/>
        <v>0.59529999999999994</v>
      </c>
      <c r="AC217" s="501">
        <f t="shared" si="37"/>
        <v>0.63410012500000001</v>
      </c>
    </row>
    <row r="218" spans="1:29" ht="15" customHeight="1">
      <c r="A218" s="457">
        <f t="shared" si="32"/>
        <v>1</v>
      </c>
      <c r="B218" s="701" t="str">
        <f t="shared" si="38"/>
        <v>T333</v>
      </c>
      <c r="C218" s="701" t="str">
        <f t="shared" si="39"/>
        <v>T336</v>
      </c>
      <c r="D218" s="885" t="str">
        <f t="shared" si="40"/>
        <v>T33-</v>
      </c>
      <c r="F218" s="1105" t="str">
        <f t="shared" si="33"/>
        <v>T33</v>
      </c>
      <c r="G218" s="1106"/>
      <c r="H218" s="692">
        <f t="shared" si="34"/>
        <v>109.8</v>
      </c>
      <c r="I218" s="689">
        <f t="shared" si="41"/>
        <v>27.35</v>
      </c>
      <c r="J218" s="689">
        <f t="shared" si="42"/>
        <v>109.8</v>
      </c>
      <c r="K218" s="690">
        <f t="shared" si="43"/>
        <v>0.63691893749999995</v>
      </c>
      <c r="L218" s="691">
        <f t="shared" si="44"/>
        <v>0.256127337152255</v>
      </c>
      <c r="M218" s="700">
        <f>IFERROR(IF(J218="","",IF($H$196="-","-",INDEX(BD!$A$1:$K$2510,MATCH('2.Win Load'!B218,BD!$A$1:$A$2510,0),6))),"")</f>
        <v>5.8050000000000003E-3</v>
      </c>
      <c r="N218" s="700">
        <f>IFERROR(IF($J218="","",IF($I$196="-","-",INDEX(BD!$A$1:$K$2510,MATCH('2.Win Load'!C218,BD!$A$1:$A$2510,0),6))),"")</f>
        <v>3.0079999999999998E-3</v>
      </c>
      <c r="O218" s="700" t="str">
        <f>IFERROR(IF($J218="","",IF($J$196="-","-",INDEX(BD!$A$1:$K$2510,MATCH('2.Win Load'!D218,BD!$A$1:$A$2510,0),6))),"")</f>
        <v>-</v>
      </c>
      <c r="P218" s="692">
        <f t="shared" si="45"/>
        <v>38.531764080949117</v>
      </c>
      <c r="Q218" s="692">
        <f t="shared" si="46"/>
        <v>60.49712422147774</v>
      </c>
      <c r="R218" s="960" t="str">
        <f t="shared" si="47"/>
        <v>-</v>
      </c>
      <c r="S218" s="498">
        <f t="array" ref="S218">MAX(IF('Wind base'!$AE$5:$AE$11&lt;I218,'Wind base'!$AE$5:$AE$11,""))</f>
        <v>20</v>
      </c>
      <c r="T218" s="498">
        <f t="array" ref="T218">MIN(IF('Wind base'!$AE$5:$AE$11&gt;I218,'Wind base'!$AE$5:$AE$11,""))</f>
        <v>40</v>
      </c>
      <c r="U218" s="499">
        <f t="array" ref="U218">MAX(IF('Wind base'!$AF$4:$AL$4&lt;J218,'Wind base'!$AF$4:$AL$4,""),5)</f>
        <v>80</v>
      </c>
      <c r="V218" s="498">
        <f t="array" ref="V218">MIN(IF('Wind base'!$AF$4:$AL$4&gt;J218,'Wind base'!$AF$4:$AL$4,""))</f>
        <v>160</v>
      </c>
      <c r="W218" s="500">
        <f t="array" ref="W218">INDEX('Wind base'!$AF$5:$AL$11,MATCH($S218,'Wind base'!$AE$5:$AE$11,0),MATCH($U218,'Wind base'!$AF$4:$AL$4,0))</f>
        <v>0.68</v>
      </c>
      <c r="X218" s="500">
        <f t="array" ref="X218">INDEX('Wind base'!$AF$5:$AL$11,MATCH($S218,'Wind base'!$AE$5:$AE$11,0),MATCH($V218,'Wind base'!$AF$4:$AL$4,0))</f>
        <v>0.61</v>
      </c>
      <c r="Y218" s="500">
        <f t="array" ref="Y218">INDEX('Wind base'!$AF$5:$AL$11,MATCH($T218,'Wind base'!$AE$5:$AE$11,0),MATCH($U218,'Wind base'!$AF$4:$AL$4,0))</f>
        <v>0.63</v>
      </c>
      <c r="Z218" s="500">
        <f t="array" ref="Z218">INDEX('Wind base'!$AF$5:$AL$11,MATCH($T218,'Wind base'!$AE$5:$AE$11,0),MATCH($V218,'Wind base'!$AF$4:$AL$4,0))</f>
        <v>0.56999999999999995</v>
      </c>
      <c r="AA218" s="501">
        <f t="shared" si="35"/>
        <v>0.66162500000000002</v>
      </c>
      <c r="AB218" s="501">
        <f t="shared" si="36"/>
        <v>0.59529999999999994</v>
      </c>
      <c r="AC218" s="501">
        <f t="shared" si="37"/>
        <v>0.63691893749999995</v>
      </c>
    </row>
    <row r="219" spans="1:29" ht="15" customHeight="1">
      <c r="A219" s="457">
        <f t="shared" si="32"/>
        <v>1</v>
      </c>
      <c r="B219" s="701" t="str">
        <f t="shared" si="38"/>
        <v>T323</v>
      </c>
      <c r="C219" s="701" t="str">
        <f t="shared" si="39"/>
        <v>T326</v>
      </c>
      <c r="D219" s="885" t="str">
        <f t="shared" si="40"/>
        <v>T32-</v>
      </c>
      <c r="F219" s="1105" t="str">
        <f t="shared" si="33"/>
        <v>T32</v>
      </c>
      <c r="G219" s="1106"/>
      <c r="H219" s="692">
        <f t="shared" si="34"/>
        <v>106.4</v>
      </c>
      <c r="I219" s="689">
        <f t="shared" si="41"/>
        <v>27.35</v>
      </c>
      <c r="J219" s="689">
        <f t="shared" si="42"/>
        <v>106.4</v>
      </c>
      <c r="K219" s="690">
        <f t="shared" si="43"/>
        <v>0.63973774999999999</v>
      </c>
      <c r="L219" s="691">
        <f t="shared" si="44"/>
        <v>0.25668905005020637</v>
      </c>
      <c r="M219" s="700">
        <f>IFERROR(IF(J219="","",IF($H$196="-","-",INDEX(BD!$A$1:$K$2510,MATCH('2.Win Load'!B219,BD!$A$1:$A$2510,0),6))),"")</f>
        <v>5.646E-3</v>
      </c>
      <c r="N219" s="700">
        <f>IFERROR(IF($J219="","",IF($I$196="-","-",INDEX(BD!$A$1:$K$2510,MATCH('2.Win Load'!C219,BD!$A$1:$A$2510,0),6))),"")</f>
        <v>2.281E-3</v>
      </c>
      <c r="O219" s="700" t="str">
        <f>IFERROR(IF($J219="","",IF($J$196="-","-",INDEX(BD!$A$1:$K$2510,MATCH('2.Win Load'!D219,BD!$A$1:$A$2510,0),6))),"")</f>
        <v>-</v>
      </c>
      <c r="P219" s="692">
        <f t="shared" si="45"/>
        <v>38.627755141624931</v>
      </c>
      <c r="Q219" s="692">
        <f t="shared" si="46"/>
        <v>60.38060930689948</v>
      </c>
      <c r="R219" s="960" t="str">
        <f t="shared" si="47"/>
        <v>-</v>
      </c>
      <c r="S219" s="498">
        <f t="array" ref="S219">MAX(IF('Wind base'!$AE$5:$AE$11&lt;I219,'Wind base'!$AE$5:$AE$11,""))</f>
        <v>20</v>
      </c>
      <c r="T219" s="498">
        <f t="array" ref="T219">MIN(IF('Wind base'!$AE$5:$AE$11&gt;I219,'Wind base'!$AE$5:$AE$11,""))</f>
        <v>40</v>
      </c>
      <c r="U219" s="499">
        <f t="array" ref="U219">MAX(IF('Wind base'!$AF$4:$AL$4&lt;J219,'Wind base'!$AF$4:$AL$4,""),5)</f>
        <v>80</v>
      </c>
      <c r="V219" s="498">
        <f t="array" ref="V219">MIN(IF('Wind base'!$AF$4:$AL$4&gt;J219,'Wind base'!$AF$4:$AL$4,""))</f>
        <v>160</v>
      </c>
      <c r="W219" s="500">
        <f t="array" ref="W219">INDEX('Wind base'!$AF$5:$AL$11,MATCH($S219,'Wind base'!$AE$5:$AE$11,0),MATCH($U219,'Wind base'!$AF$4:$AL$4,0))</f>
        <v>0.68</v>
      </c>
      <c r="X219" s="500">
        <f t="array" ref="X219">INDEX('Wind base'!$AF$5:$AL$11,MATCH($S219,'Wind base'!$AE$5:$AE$11,0),MATCH($V219,'Wind base'!$AF$4:$AL$4,0))</f>
        <v>0.61</v>
      </c>
      <c r="Y219" s="500">
        <f t="array" ref="Y219">INDEX('Wind base'!$AF$5:$AL$11,MATCH($T219,'Wind base'!$AE$5:$AE$11,0),MATCH($U219,'Wind base'!$AF$4:$AL$4,0))</f>
        <v>0.63</v>
      </c>
      <c r="Z219" s="500">
        <f t="array" ref="Z219">INDEX('Wind base'!$AF$5:$AL$11,MATCH($T219,'Wind base'!$AE$5:$AE$11,0),MATCH($V219,'Wind base'!$AF$4:$AL$4,0))</f>
        <v>0.56999999999999995</v>
      </c>
      <c r="AA219" s="501">
        <f t="shared" si="35"/>
        <v>0.66162500000000002</v>
      </c>
      <c r="AB219" s="501">
        <f t="shared" si="36"/>
        <v>0.59529999999999994</v>
      </c>
      <c r="AC219" s="501">
        <f t="shared" si="37"/>
        <v>0.63973774999999999</v>
      </c>
    </row>
    <row r="220" spans="1:29" ht="15" customHeight="1">
      <c r="A220" s="457">
        <f t="shared" si="32"/>
        <v>1</v>
      </c>
      <c r="B220" s="701" t="str">
        <f t="shared" si="38"/>
        <v>T313</v>
      </c>
      <c r="C220" s="701" t="str">
        <f t="shared" si="39"/>
        <v>T316</v>
      </c>
      <c r="D220" s="885" t="str">
        <f t="shared" si="40"/>
        <v>T31-</v>
      </c>
      <c r="F220" s="1105" t="str">
        <f t="shared" si="33"/>
        <v>T31</v>
      </c>
      <c r="G220" s="1106"/>
      <c r="H220" s="692">
        <f t="shared" si="34"/>
        <v>103</v>
      </c>
      <c r="I220" s="689">
        <f t="shared" si="41"/>
        <v>27.35</v>
      </c>
      <c r="J220" s="689">
        <f t="shared" si="42"/>
        <v>103</v>
      </c>
      <c r="K220" s="690">
        <f t="shared" si="43"/>
        <v>0.64255656250000004</v>
      </c>
      <c r="L220" s="691">
        <f t="shared" si="44"/>
        <v>0.25727020391925687</v>
      </c>
      <c r="M220" s="700">
        <f>IFERROR(IF(J220="","",IF($H$196="-","-",INDEX(BD!$A$1:$K$2510,MATCH('2.Win Load'!B220,BD!$A$1:$A$2510,0),6))),"")</f>
        <v>5.4819999999999999E-3</v>
      </c>
      <c r="N220" s="700">
        <f>IFERROR(IF($J220="","",IF($I$196="-","-",INDEX(BD!$A$1:$K$2510,MATCH('2.Win Load'!C220,BD!$A$1:$A$2510,0),6))),"")</f>
        <v>1.5449999999999999E-3</v>
      </c>
      <c r="O220" s="700" t="str">
        <f>IFERROR(IF($J220="","",IF($J$196="-","-",INDEX(BD!$A$1:$K$2510,MATCH('2.Win Load'!D220,BD!$A$1:$A$2510,0),6))),"")</f>
        <v>-</v>
      </c>
      <c r="P220" s="692">
        <f t="shared" si="45"/>
        <v>38.720821652451946</v>
      </c>
      <c r="Q220" s="692">
        <f t="shared" si="46"/>
        <v>60.260565236156843</v>
      </c>
      <c r="R220" s="960" t="str">
        <f t="shared" si="47"/>
        <v>-</v>
      </c>
      <c r="S220" s="498">
        <f t="array" ref="S220">MAX(IF('Wind base'!$AE$5:$AE$11&lt;I220,'Wind base'!$AE$5:$AE$11,""))</f>
        <v>20</v>
      </c>
      <c r="T220" s="498">
        <f t="array" ref="T220">MIN(IF('Wind base'!$AE$5:$AE$11&gt;I220,'Wind base'!$AE$5:$AE$11,""))</f>
        <v>40</v>
      </c>
      <c r="U220" s="499">
        <f t="array" ref="U220">MAX(IF('Wind base'!$AF$4:$AL$4&lt;J220,'Wind base'!$AF$4:$AL$4,""),5)</f>
        <v>80</v>
      </c>
      <c r="V220" s="498">
        <f t="array" ref="V220">MIN(IF('Wind base'!$AF$4:$AL$4&gt;J220,'Wind base'!$AF$4:$AL$4,""))</f>
        <v>160</v>
      </c>
      <c r="W220" s="500">
        <f t="array" ref="W220">INDEX('Wind base'!$AF$5:$AL$11,MATCH($S220,'Wind base'!$AE$5:$AE$11,0),MATCH($U220,'Wind base'!$AF$4:$AL$4,0))</f>
        <v>0.68</v>
      </c>
      <c r="X220" s="500">
        <f t="array" ref="X220">INDEX('Wind base'!$AF$5:$AL$11,MATCH($S220,'Wind base'!$AE$5:$AE$11,0),MATCH($V220,'Wind base'!$AF$4:$AL$4,0))</f>
        <v>0.61</v>
      </c>
      <c r="Y220" s="500">
        <f t="array" ref="Y220">INDEX('Wind base'!$AF$5:$AL$11,MATCH($T220,'Wind base'!$AE$5:$AE$11,0),MATCH($U220,'Wind base'!$AF$4:$AL$4,0))</f>
        <v>0.63</v>
      </c>
      <c r="Z220" s="500">
        <f t="array" ref="Z220">INDEX('Wind base'!$AF$5:$AL$11,MATCH($T220,'Wind base'!$AE$5:$AE$11,0),MATCH($V220,'Wind base'!$AF$4:$AL$4,0))</f>
        <v>0.56999999999999995</v>
      </c>
      <c r="AA220" s="501">
        <f t="shared" si="35"/>
        <v>0.66162500000000002</v>
      </c>
      <c r="AB220" s="501">
        <f t="shared" si="36"/>
        <v>0.59529999999999994</v>
      </c>
      <c r="AC220" s="501">
        <f t="shared" si="37"/>
        <v>0.64255656250000004</v>
      </c>
    </row>
    <row r="221" spans="1:29" ht="15" customHeight="1">
      <c r="A221" s="457">
        <f t="shared" si="32"/>
        <v>1</v>
      </c>
      <c r="B221" s="701" t="str">
        <f t="shared" si="38"/>
        <v>T303</v>
      </c>
      <c r="C221" s="701" t="str">
        <f t="shared" si="39"/>
        <v>T306</v>
      </c>
      <c r="D221" s="885" t="str">
        <f t="shared" si="40"/>
        <v>T30-</v>
      </c>
      <c r="F221" s="1105" t="str">
        <f t="shared" si="33"/>
        <v>T30</v>
      </c>
      <c r="G221" s="1106"/>
      <c r="H221" s="692">
        <f t="shared" si="34"/>
        <v>99.6</v>
      </c>
      <c r="I221" s="689">
        <f t="shared" si="41"/>
        <v>27.35</v>
      </c>
      <c r="J221" s="689">
        <f t="shared" si="42"/>
        <v>99.6</v>
      </c>
      <c r="K221" s="690">
        <f t="shared" si="43"/>
        <v>0.64537537499999997</v>
      </c>
      <c r="L221" s="691">
        <f t="shared" si="44"/>
        <v>0.25787214407927439</v>
      </c>
      <c r="M221" s="700">
        <f>IFERROR(IF(J221="","",IF($H$196="-","-",INDEX(BD!$A$1:$K$2510,MATCH('2.Win Load'!B221,BD!$A$1:$A$2510,0),6))),"")</f>
        <v>5.313E-3</v>
      </c>
      <c r="N221" s="700">
        <f>IFERROR(IF($J221="","",IF($I$196="-","-",INDEX(BD!$A$1:$K$2510,MATCH('2.Win Load'!C221,BD!$A$1:$A$2510,0),6))),"")</f>
        <v>8.0800000000000002E-4</v>
      </c>
      <c r="O221" s="700" t="str">
        <f>IFERROR(IF($J221="","",IF($J$196="-","-",INDEX(BD!$A$1:$K$2510,MATCH('2.Win Load'!D221,BD!$A$1:$A$2510,0),6))),"")</f>
        <v>-</v>
      </c>
      <c r="P221" s="692">
        <f t="shared" si="45"/>
        <v>38.810786497414746</v>
      </c>
      <c r="Q221" s="692">
        <f t="shared" si="46"/>
        <v>60.136763813485672</v>
      </c>
      <c r="R221" s="960" t="str">
        <f t="shared" si="47"/>
        <v>-</v>
      </c>
      <c r="S221" s="498">
        <f t="array" ref="S221">MAX(IF('Wind base'!$AE$5:$AE$11&lt;I221,'Wind base'!$AE$5:$AE$11,""))</f>
        <v>20</v>
      </c>
      <c r="T221" s="498">
        <f t="array" ref="T221">MIN(IF('Wind base'!$AE$5:$AE$11&gt;I221,'Wind base'!$AE$5:$AE$11,""))</f>
        <v>40</v>
      </c>
      <c r="U221" s="499">
        <f t="array" ref="U221">MAX(IF('Wind base'!$AF$4:$AL$4&lt;J221,'Wind base'!$AF$4:$AL$4,""),5)</f>
        <v>80</v>
      </c>
      <c r="V221" s="498">
        <f t="array" ref="V221">MIN(IF('Wind base'!$AF$4:$AL$4&gt;J221,'Wind base'!$AF$4:$AL$4,""))</f>
        <v>160</v>
      </c>
      <c r="W221" s="500">
        <f t="array" ref="W221">INDEX('Wind base'!$AF$5:$AL$11,MATCH($S221,'Wind base'!$AE$5:$AE$11,0),MATCH($U221,'Wind base'!$AF$4:$AL$4,0))</f>
        <v>0.68</v>
      </c>
      <c r="X221" s="500">
        <f t="array" ref="X221">INDEX('Wind base'!$AF$5:$AL$11,MATCH($S221,'Wind base'!$AE$5:$AE$11,0),MATCH($V221,'Wind base'!$AF$4:$AL$4,0))</f>
        <v>0.61</v>
      </c>
      <c r="Y221" s="500">
        <f t="array" ref="Y221">INDEX('Wind base'!$AF$5:$AL$11,MATCH($T221,'Wind base'!$AE$5:$AE$11,0),MATCH($U221,'Wind base'!$AF$4:$AL$4,0))</f>
        <v>0.63</v>
      </c>
      <c r="Z221" s="500">
        <f t="array" ref="Z221">INDEX('Wind base'!$AF$5:$AL$11,MATCH($T221,'Wind base'!$AE$5:$AE$11,0),MATCH($V221,'Wind base'!$AF$4:$AL$4,0))</f>
        <v>0.56999999999999995</v>
      </c>
      <c r="AA221" s="501">
        <f t="shared" si="35"/>
        <v>0.66162500000000002</v>
      </c>
      <c r="AB221" s="501">
        <f t="shared" si="36"/>
        <v>0.59529999999999994</v>
      </c>
      <c r="AC221" s="501">
        <f t="shared" si="37"/>
        <v>0.64537537499999997</v>
      </c>
    </row>
    <row r="222" spans="1:29" ht="15" customHeight="1">
      <c r="A222" s="457">
        <f t="shared" si="32"/>
        <v>1</v>
      </c>
      <c r="B222" s="701" t="str">
        <f t="shared" si="38"/>
        <v>T293</v>
      </c>
      <c r="C222" s="701" t="str">
        <f t="shared" si="39"/>
        <v>T296</v>
      </c>
      <c r="D222" s="885" t="str">
        <f t="shared" si="40"/>
        <v>T29-</v>
      </c>
      <c r="F222" s="1105" t="str">
        <f t="shared" si="33"/>
        <v>T29</v>
      </c>
      <c r="G222" s="1106"/>
      <c r="H222" s="692">
        <f t="shared" si="34"/>
        <v>96.2</v>
      </c>
      <c r="I222" s="689">
        <f t="shared" si="41"/>
        <v>27.35</v>
      </c>
      <c r="J222" s="689">
        <f t="shared" si="42"/>
        <v>96.2</v>
      </c>
      <c r="K222" s="690">
        <f t="shared" si="43"/>
        <v>0.64819418750000002</v>
      </c>
      <c r="L222" s="691">
        <f t="shared" si="44"/>
        <v>0.25849635870930354</v>
      </c>
      <c r="M222" s="700">
        <f>IFERROR(IF(J222="","",IF($H$196="-","-",INDEX(BD!$A$1:$K$2510,MATCH('2.Win Load'!B222,BD!$A$1:$A$2510,0),6))),"")</f>
        <v>5.1390000000000003E-3</v>
      </c>
      <c r="N222" s="700">
        <f>IFERROR(IF($J222="","",IF($I$196="-","-",INDEX(BD!$A$1:$K$2510,MATCH('2.Win Load'!C222,BD!$A$1:$A$2510,0),6))),"")</f>
        <v>7.7000000000000001E-5</v>
      </c>
      <c r="O222" s="700" t="str">
        <f>IFERROR(IF($J222="","",IF($J$196="-","-",INDEX(BD!$A$1:$K$2510,MATCH('2.Win Load'!D222,BD!$A$1:$A$2510,0),6))),"")</f>
        <v>-</v>
      </c>
      <c r="P222" s="692">
        <f t="shared" si="45"/>
        <v>38.897454987343515</v>
      </c>
      <c r="Q222" s="692">
        <f t="shared" si="46"/>
        <v>60.008953701615098</v>
      </c>
      <c r="R222" s="960" t="str">
        <f t="shared" si="47"/>
        <v>-</v>
      </c>
      <c r="S222" s="498">
        <f t="array" ref="S222">MAX(IF('Wind base'!$AE$5:$AE$11&lt;I222,'Wind base'!$AE$5:$AE$11,""))</f>
        <v>20</v>
      </c>
      <c r="T222" s="498">
        <f t="array" ref="T222">MIN(IF('Wind base'!$AE$5:$AE$11&gt;I222,'Wind base'!$AE$5:$AE$11,""))</f>
        <v>40</v>
      </c>
      <c r="U222" s="499">
        <f t="array" ref="U222">MAX(IF('Wind base'!$AF$4:$AL$4&lt;J222,'Wind base'!$AF$4:$AL$4,""),5)</f>
        <v>80</v>
      </c>
      <c r="V222" s="498">
        <f t="array" ref="V222">MIN(IF('Wind base'!$AF$4:$AL$4&gt;J222,'Wind base'!$AF$4:$AL$4,""))</f>
        <v>160</v>
      </c>
      <c r="W222" s="500">
        <f t="array" ref="W222">INDEX('Wind base'!$AF$5:$AL$11,MATCH($S222,'Wind base'!$AE$5:$AE$11,0),MATCH($U222,'Wind base'!$AF$4:$AL$4,0))</f>
        <v>0.68</v>
      </c>
      <c r="X222" s="500">
        <f t="array" ref="X222">INDEX('Wind base'!$AF$5:$AL$11,MATCH($S222,'Wind base'!$AE$5:$AE$11,0),MATCH($V222,'Wind base'!$AF$4:$AL$4,0))</f>
        <v>0.61</v>
      </c>
      <c r="Y222" s="500">
        <f t="array" ref="Y222">INDEX('Wind base'!$AF$5:$AL$11,MATCH($T222,'Wind base'!$AE$5:$AE$11,0),MATCH($U222,'Wind base'!$AF$4:$AL$4,0))</f>
        <v>0.63</v>
      </c>
      <c r="Z222" s="500">
        <f t="array" ref="Z222">INDEX('Wind base'!$AF$5:$AL$11,MATCH($T222,'Wind base'!$AE$5:$AE$11,0),MATCH($V222,'Wind base'!$AF$4:$AL$4,0))</f>
        <v>0.56999999999999995</v>
      </c>
      <c r="AA222" s="501">
        <f t="shared" si="35"/>
        <v>0.66162500000000002</v>
      </c>
      <c r="AB222" s="501">
        <f t="shared" si="36"/>
        <v>0.59529999999999994</v>
      </c>
      <c r="AC222" s="501">
        <f t="shared" si="37"/>
        <v>0.64819418750000002</v>
      </c>
    </row>
    <row r="223" spans="1:29" ht="15" customHeight="1">
      <c r="A223" s="457">
        <f t="shared" si="32"/>
        <v>1</v>
      </c>
      <c r="B223" s="701" t="str">
        <f t="shared" si="38"/>
        <v>T283</v>
      </c>
      <c r="C223" s="701" t="str">
        <f t="shared" si="39"/>
        <v>T286</v>
      </c>
      <c r="D223" s="885" t="str">
        <f t="shared" si="40"/>
        <v>T28-</v>
      </c>
      <c r="F223" s="1105" t="str">
        <f t="shared" si="33"/>
        <v>T28</v>
      </c>
      <c r="G223" s="1106"/>
      <c r="H223" s="692">
        <f t="shared" si="34"/>
        <v>92.8</v>
      </c>
      <c r="I223" s="689">
        <f t="shared" si="41"/>
        <v>27.35</v>
      </c>
      <c r="J223" s="689">
        <f t="shared" si="42"/>
        <v>92.8</v>
      </c>
      <c r="K223" s="690">
        <f t="shared" si="43"/>
        <v>0.65101300000000006</v>
      </c>
      <c r="L223" s="691">
        <f t="shared" si="44"/>
        <v>0.25914449968181702</v>
      </c>
      <c r="M223" s="700">
        <f>IFERROR(IF(J223="","",IF($H$196="-","-",INDEX(BD!$A$1:$K$2510,MATCH('2.Win Load'!B223,BD!$A$1:$A$2510,0),6))),"")</f>
        <v>4.96E-3</v>
      </c>
      <c r="N223" s="700">
        <f>IFERROR(IF($J223="","",IF($I$196="-","-",INDEX(BD!$A$1:$K$2510,MATCH('2.Win Load'!C223,BD!$A$1:$A$2510,0),6))),"")</f>
        <v>-6.4099999999999997E-4</v>
      </c>
      <c r="O223" s="700" t="str">
        <f>IFERROR(IF($J223="","",IF($J$196="-","-",INDEX(BD!$A$1:$K$2510,MATCH('2.Win Load'!D223,BD!$A$1:$A$2510,0),6))),"")</f>
        <v>-</v>
      </c>
      <c r="P223" s="692">
        <f t="shared" si="45"/>
        <v>38.98061241258101</v>
      </c>
      <c r="Q223" s="692">
        <f t="shared" si="46"/>
        <v>59.876857163499054</v>
      </c>
      <c r="R223" s="960" t="str">
        <f t="shared" si="47"/>
        <v>-</v>
      </c>
      <c r="S223" s="498">
        <f t="array" ref="S223">MAX(IF('Wind base'!$AE$5:$AE$11&lt;I223,'Wind base'!$AE$5:$AE$11,""))</f>
        <v>20</v>
      </c>
      <c r="T223" s="498">
        <f t="array" ref="T223">MIN(IF('Wind base'!$AE$5:$AE$11&gt;I223,'Wind base'!$AE$5:$AE$11,""))</f>
        <v>40</v>
      </c>
      <c r="U223" s="499">
        <f t="array" ref="U223">MAX(IF('Wind base'!$AF$4:$AL$4&lt;J223,'Wind base'!$AF$4:$AL$4,""),5)</f>
        <v>80</v>
      </c>
      <c r="V223" s="498">
        <f t="array" ref="V223">MIN(IF('Wind base'!$AF$4:$AL$4&gt;J223,'Wind base'!$AF$4:$AL$4,""))</f>
        <v>160</v>
      </c>
      <c r="W223" s="500">
        <f t="array" ref="W223">INDEX('Wind base'!$AF$5:$AL$11,MATCH($S223,'Wind base'!$AE$5:$AE$11,0),MATCH($U223,'Wind base'!$AF$4:$AL$4,0))</f>
        <v>0.68</v>
      </c>
      <c r="X223" s="500">
        <f t="array" ref="X223">INDEX('Wind base'!$AF$5:$AL$11,MATCH($S223,'Wind base'!$AE$5:$AE$11,0),MATCH($V223,'Wind base'!$AF$4:$AL$4,0))</f>
        <v>0.61</v>
      </c>
      <c r="Y223" s="500">
        <f t="array" ref="Y223">INDEX('Wind base'!$AF$5:$AL$11,MATCH($T223,'Wind base'!$AE$5:$AE$11,0),MATCH($U223,'Wind base'!$AF$4:$AL$4,0))</f>
        <v>0.63</v>
      </c>
      <c r="Z223" s="500">
        <f t="array" ref="Z223">INDEX('Wind base'!$AF$5:$AL$11,MATCH($T223,'Wind base'!$AE$5:$AE$11,0),MATCH($V223,'Wind base'!$AF$4:$AL$4,0))</f>
        <v>0.56999999999999995</v>
      </c>
      <c r="AA223" s="501">
        <f t="shared" si="35"/>
        <v>0.66162500000000002</v>
      </c>
      <c r="AB223" s="501">
        <f t="shared" si="36"/>
        <v>0.59529999999999994</v>
      </c>
      <c r="AC223" s="501">
        <f t="shared" si="37"/>
        <v>0.65101300000000006</v>
      </c>
    </row>
    <row r="224" spans="1:29" ht="15" customHeight="1">
      <c r="A224" s="457">
        <f t="shared" si="32"/>
        <v>1</v>
      </c>
      <c r="B224" s="701" t="str">
        <f t="shared" si="38"/>
        <v>T273</v>
      </c>
      <c r="C224" s="701" t="str">
        <f t="shared" si="39"/>
        <v>T276</v>
      </c>
      <c r="D224" s="885" t="str">
        <f t="shared" si="40"/>
        <v>T27-</v>
      </c>
      <c r="F224" s="1105" t="str">
        <f t="shared" si="33"/>
        <v>T27</v>
      </c>
      <c r="G224" s="1106"/>
      <c r="H224" s="692">
        <f t="shared" si="34"/>
        <v>89.4</v>
      </c>
      <c r="I224" s="689">
        <f t="shared" si="41"/>
        <v>27.35</v>
      </c>
      <c r="J224" s="689">
        <f t="shared" si="42"/>
        <v>89.4</v>
      </c>
      <c r="K224" s="690">
        <f t="shared" si="43"/>
        <v>0.6538318125</v>
      </c>
      <c r="L224" s="691">
        <f t="shared" si="44"/>
        <v>0.25981840732300954</v>
      </c>
      <c r="M224" s="700">
        <f>IFERROR(IF(J224="","",IF($H$196="-","-",INDEX(BD!$A$1:$K$2510,MATCH('2.Win Load'!B224,BD!$A$1:$A$2510,0),6))),"")</f>
        <v>4.777E-3</v>
      </c>
      <c r="N224" s="700">
        <f>IFERROR(IF($J224="","",IF($I$196="-","-",INDEX(BD!$A$1:$K$2510,MATCH('2.Win Load'!C224,BD!$A$1:$A$2510,0),6))),"")</f>
        <v>-1.3370000000000001E-3</v>
      </c>
      <c r="O224" s="700" t="str">
        <f>IFERROR(IF($J224="","",IF($J$196="-","-",INDEX(BD!$A$1:$K$2510,MATCH('2.Win Load'!D224,BD!$A$1:$A$2510,0),6))),"")</f>
        <v>-</v>
      </c>
      <c r="P224" s="692">
        <f t="shared" si="45"/>
        <v>39.060021150441379</v>
      </c>
      <c r="Q224" s="692">
        <f t="shared" si="46"/>
        <v>59.740166207408855</v>
      </c>
      <c r="R224" s="960" t="str">
        <f t="shared" si="47"/>
        <v>-</v>
      </c>
      <c r="S224" s="498">
        <f t="array" ref="S224">MAX(IF('Wind base'!$AE$5:$AE$11&lt;I224,'Wind base'!$AE$5:$AE$11,""))</f>
        <v>20</v>
      </c>
      <c r="T224" s="498">
        <f t="array" ref="T224">MIN(IF('Wind base'!$AE$5:$AE$11&gt;I224,'Wind base'!$AE$5:$AE$11,""))</f>
        <v>40</v>
      </c>
      <c r="U224" s="499">
        <f t="array" ref="U224">MAX(IF('Wind base'!$AF$4:$AL$4&lt;J224,'Wind base'!$AF$4:$AL$4,""),5)</f>
        <v>80</v>
      </c>
      <c r="V224" s="498">
        <f t="array" ref="V224">MIN(IF('Wind base'!$AF$4:$AL$4&gt;J224,'Wind base'!$AF$4:$AL$4,""))</f>
        <v>160</v>
      </c>
      <c r="W224" s="500">
        <f t="array" ref="W224">INDEX('Wind base'!$AF$5:$AL$11,MATCH($S224,'Wind base'!$AE$5:$AE$11,0),MATCH($U224,'Wind base'!$AF$4:$AL$4,0))</f>
        <v>0.68</v>
      </c>
      <c r="X224" s="500">
        <f t="array" ref="X224">INDEX('Wind base'!$AF$5:$AL$11,MATCH($S224,'Wind base'!$AE$5:$AE$11,0),MATCH($V224,'Wind base'!$AF$4:$AL$4,0))</f>
        <v>0.61</v>
      </c>
      <c r="Y224" s="500">
        <f t="array" ref="Y224">INDEX('Wind base'!$AF$5:$AL$11,MATCH($T224,'Wind base'!$AE$5:$AE$11,0),MATCH($U224,'Wind base'!$AF$4:$AL$4,0))</f>
        <v>0.63</v>
      </c>
      <c r="Z224" s="500">
        <f t="array" ref="Z224">INDEX('Wind base'!$AF$5:$AL$11,MATCH($T224,'Wind base'!$AE$5:$AE$11,0),MATCH($V224,'Wind base'!$AF$4:$AL$4,0))</f>
        <v>0.56999999999999995</v>
      </c>
      <c r="AA224" s="501">
        <f t="shared" si="35"/>
        <v>0.66162500000000002</v>
      </c>
      <c r="AB224" s="501">
        <f t="shared" si="36"/>
        <v>0.59529999999999994</v>
      </c>
      <c r="AC224" s="501">
        <f t="shared" si="37"/>
        <v>0.6538318125</v>
      </c>
    </row>
    <row r="225" spans="1:29" ht="15" customHeight="1">
      <c r="A225" s="457">
        <f t="shared" si="32"/>
        <v>1</v>
      </c>
      <c r="B225" s="701" t="str">
        <f t="shared" si="38"/>
        <v>T263</v>
      </c>
      <c r="C225" s="701" t="str">
        <f t="shared" si="39"/>
        <v>T266</v>
      </c>
      <c r="D225" s="885" t="str">
        <f t="shared" si="40"/>
        <v>T26-</v>
      </c>
      <c r="F225" s="1105" t="str">
        <f t="shared" si="33"/>
        <v>T26</v>
      </c>
      <c r="G225" s="1106"/>
      <c r="H225" s="692">
        <f t="shared" si="34"/>
        <v>86</v>
      </c>
      <c r="I225" s="689">
        <f t="shared" si="41"/>
        <v>27.35</v>
      </c>
      <c r="J225" s="689">
        <f t="shared" si="42"/>
        <v>86</v>
      </c>
      <c r="K225" s="690">
        <f t="shared" si="43"/>
        <v>0.65665062500000004</v>
      </c>
      <c r="L225" s="691">
        <f t="shared" si="44"/>
        <v>0.26052014001918827</v>
      </c>
      <c r="M225" s="700">
        <f>IFERROR(IF(J225="","",IF($H$196="-","-",INDEX(BD!$A$1:$K$2510,MATCH('2.Win Load'!B225,BD!$A$1:$A$2510,0),6))),"")</f>
        <v>4.5900000000000003E-3</v>
      </c>
      <c r="N225" s="700">
        <f>IFERROR(IF($J225="","",IF($I$196="-","-",INDEX(BD!$A$1:$K$2510,MATCH('2.Win Load'!C225,BD!$A$1:$A$2510,0),6))),"")</f>
        <v>-2.0040000000000001E-3</v>
      </c>
      <c r="O225" s="700" t="str">
        <f>IFERROR(IF($J225="","",IF($J$196="-","-",INDEX(BD!$A$1:$K$2510,MATCH('2.Win Load'!D225,BD!$A$1:$A$2510,0),6))),"")</f>
        <v>-</v>
      </c>
      <c r="P225" s="692">
        <f t="shared" si="45"/>
        <v>39.135417226085579</v>
      </c>
      <c r="Q225" s="692">
        <f t="shared" si="46"/>
        <v>59.598537998932954</v>
      </c>
      <c r="R225" s="960" t="str">
        <f t="shared" si="47"/>
        <v>-</v>
      </c>
      <c r="S225" s="498">
        <f t="array" ref="S225">MAX(IF('Wind base'!$AE$5:$AE$11&lt;I225,'Wind base'!$AE$5:$AE$11,""))</f>
        <v>20</v>
      </c>
      <c r="T225" s="498">
        <f t="array" ref="T225">MIN(IF('Wind base'!$AE$5:$AE$11&gt;I225,'Wind base'!$AE$5:$AE$11,""))</f>
        <v>40</v>
      </c>
      <c r="U225" s="499">
        <f t="array" ref="U225">MAX(IF('Wind base'!$AF$4:$AL$4&lt;J225,'Wind base'!$AF$4:$AL$4,""),5)</f>
        <v>80</v>
      </c>
      <c r="V225" s="498">
        <f t="array" ref="V225">MIN(IF('Wind base'!$AF$4:$AL$4&gt;J225,'Wind base'!$AF$4:$AL$4,""))</f>
        <v>160</v>
      </c>
      <c r="W225" s="500">
        <f t="array" ref="W225">INDEX('Wind base'!$AF$5:$AL$11,MATCH($S225,'Wind base'!$AE$5:$AE$11,0),MATCH($U225,'Wind base'!$AF$4:$AL$4,0))</f>
        <v>0.68</v>
      </c>
      <c r="X225" s="500">
        <f t="array" ref="X225">INDEX('Wind base'!$AF$5:$AL$11,MATCH($S225,'Wind base'!$AE$5:$AE$11,0),MATCH($V225,'Wind base'!$AF$4:$AL$4,0))</f>
        <v>0.61</v>
      </c>
      <c r="Y225" s="500">
        <f t="array" ref="Y225">INDEX('Wind base'!$AF$5:$AL$11,MATCH($T225,'Wind base'!$AE$5:$AE$11,0),MATCH($U225,'Wind base'!$AF$4:$AL$4,0))</f>
        <v>0.63</v>
      </c>
      <c r="Z225" s="500">
        <f t="array" ref="Z225">INDEX('Wind base'!$AF$5:$AL$11,MATCH($T225,'Wind base'!$AE$5:$AE$11,0),MATCH($V225,'Wind base'!$AF$4:$AL$4,0))</f>
        <v>0.56999999999999995</v>
      </c>
      <c r="AA225" s="501">
        <f t="shared" si="35"/>
        <v>0.66162500000000002</v>
      </c>
      <c r="AB225" s="501">
        <f t="shared" si="36"/>
        <v>0.59529999999999994</v>
      </c>
      <c r="AC225" s="501">
        <f t="shared" si="37"/>
        <v>0.65665062500000004</v>
      </c>
    </row>
    <row r="226" spans="1:29" ht="15" customHeight="1">
      <c r="A226" s="457">
        <f t="shared" si="32"/>
        <v>1</v>
      </c>
      <c r="B226" s="701" t="str">
        <f t="shared" si="38"/>
        <v>T253</v>
      </c>
      <c r="C226" s="701" t="str">
        <f t="shared" si="39"/>
        <v>T256</v>
      </c>
      <c r="D226" s="885" t="str">
        <f t="shared" si="40"/>
        <v>T25-</v>
      </c>
      <c r="F226" s="1105" t="str">
        <f t="shared" si="33"/>
        <v>T25</v>
      </c>
      <c r="G226" s="1106"/>
      <c r="H226" s="692">
        <f t="shared" si="34"/>
        <v>82.6</v>
      </c>
      <c r="I226" s="689">
        <f t="shared" si="41"/>
        <v>27.35</v>
      </c>
      <c r="J226" s="689">
        <f t="shared" si="42"/>
        <v>82.6</v>
      </c>
      <c r="K226" s="690">
        <f t="shared" si="43"/>
        <v>0.65946943749999998</v>
      </c>
      <c r="L226" s="691">
        <f t="shared" si="44"/>
        <v>0.26125200985055774</v>
      </c>
      <c r="M226" s="700">
        <f>IFERROR(IF(J226="","",IF($H$196="-","-",INDEX(BD!$A$1:$K$2510,MATCH('2.Win Load'!B226,BD!$A$1:$A$2510,0),6))),"")</f>
        <v>4.398E-3</v>
      </c>
      <c r="N226" s="700">
        <f>IFERROR(IF($J226="","",IF($I$196="-","-",INDEX(BD!$A$1:$K$2510,MATCH('2.Win Load'!C226,BD!$A$1:$A$2510,0),6))),"")</f>
        <v>-2.6319999999999998E-3</v>
      </c>
      <c r="O226" s="700" t="str">
        <f>IFERROR(IF($J226="","",IF($J$196="-","-",INDEX(BD!$A$1:$K$2510,MATCH('2.Win Load'!D226,BD!$A$1:$A$2510,0),6))),"")</f>
        <v>-</v>
      </c>
      <c r="P226" s="692">
        <f t="shared" si="45"/>
        <v>39.206506197347956</v>
      </c>
      <c r="Q226" s="692">
        <f t="shared" si="46"/>
        <v>59.451589365501043</v>
      </c>
      <c r="R226" s="960" t="str">
        <f t="shared" si="47"/>
        <v>-</v>
      </c>
      <c r="S226" s="498">
        <f t="array" ref="S226">MAX(IF('Wind base'!$AE$5:$AE$11&lt;I226,'Wind base'!$AE$5:$AE$11,""))</f>
        <v>20</v>
      </c>
      <c r="T226" s="498">
        <f t="array" ref="T226">MIN(IF('Wind base'!$AE$5:$AE$11&gt;I226,'Wind base'!$AE$5:$AE$11,""))</f>
        <v>40</v>
      </c>
      <c r="U226" s="499">
        <f t="array" ref="U226">MAX(IF('Wind base'!$AF$4:$AL$4&lt;J226,'Wind base'!$AF$4:$AL$4,""),5)</f>
        <v>80</v>
      </c>
      <c r="V226" s="498">
        <f t="array" ref="V226">MIN(IF('Wind base'!$AF$4:$AL$4&gt;J226,'Wind base'!$AF$4:$AL$4,""))</f>
        <v>160</v>
      </c>
      <c r="W226" s="500">
        <f t="array" ref="W226">INDEX('Wind base'!$AF$5:$AL$11,MATCH($S226,'Wind base'!$AE$5:$AE$11,0),MATCH($U226,'Wind base'!$AF$4:$AL$4,0))</f>
        <v>0.68</v>
      </c>
      <c r="X226" s="500">
        <f t="array" ref="X226">INDEX('Wind base'!$AF$5:$AL$11,MATCH($S226,'Wind base'!$AE$5:$AE$11,0),MATCH($V226,'Wind base'!$AF$4:$AL$4,0))</f>
        <v>0.61</v>
      </c>
      <c r="Y226" s="500">
        <f t="array" ref="Y226">INDEX('Wind base'!$AF$5:$AL$11,MATCH($T226,'Wind base'!$AE$5:$AE$11,0),MATCH($U226,'Wind base'!$AF$4:$AL$4,0))</f>
        <v>0.63</v>
      </c>
      <c r="Z226" s="500">
        <f t="array" ref="Z226">INDEX('Wind base'!$AF$5:$AL$11,MATCH($T226,'Wind base'!$AE$5:$AE$11,0),MATCH($V226,'Wind base'!$AF$4:$AL$4,0))</f>
        <v>0.56999999999999995</v>
      </c>
      <c r="AA226" s="501">
        <f t="shared" si="35"/>
        <v>0.66162500000000002</v>
      </c>
      <c r="AB226" s="501">
        <f t="shared" si="36"/>
        <v>0.59529999999999994</v>
      </c>
      <c r="AC226" s="501">
        <f t="shared" si="37"/>
        <v>0.65946943749999998</v>
      </c>
    </row>
    <row r="227" spans="1:29" ht="15" customHeight="1">
      <c r="A227" s="457">
        <f t="shared" si="32"/>
        <v>1</v>
      </c>
      <c r="B227" s="701" t="str">
        <f t="shared" si="38"/>
        <v>T243</v>
      </c>
      <c r="C227" s="701" t="str">
        <f t="shared" si="39"/>
        <v>T246</v>
      </c>
      <c r="D227" s="885" t="str">
        <f t="shared" si="40"/>
        <v>T24-</v>
      </c>
      <c r="F227" s="1105" t="str">
        <f t="shared" si="33"/>
        <v>T24</v>
      </c>
      <c r="G227" s="1106"/>
      <c r="H227" s="692">
        <f t="shared" si="34"/>
        <v>79.2</v>
      </c>
      <c r="I227" s="689">
        <f t="shared" si="41"/>
        <v>27.35</v>
      </c>
      <c r="J227" s="689">
        <f t="shared" si="42"/>
        <v>79.2</v>
      </c>
      <c r="K227" s="690">
        <f t="shared" si="43"/>
        <v>0.66255149999999996</v>
      </c>
      <c r="L227" s="691">
        <f t="shared" si="44"/>
        <v>0.26201662578317975</v>
      </c>
      <c r="M227" s="700">
        <f>IFERROR(IF(J227="","",IF($H$196="-","-",INDEX(BD!$A$1:$K$2510,MATCH('2.Win Load'!B227,BD!$A$1:$A$2510,0),6))),"")</f>
        <v>4.2030000000000001E-3</v>
      </c>
      <c r="N227" s="700">
        <f>IFERROR(IF($J227="","",IF($I$196="-","-",INDEX(BD!$A$1:$K$2510,MATCH('2.Win Load'!C227,BD!$A$1:$A$2510,0),6))),"")</f>
        <v>-3.2160000000000001E-3</v>
      </c>
      <c r="O227" s="700" t="str">
        <f>IFERROR(IF($J227="","",IF($J$196="-","-",INDEX(BD!$A$1:$K$2510,MATCH('2.Win Load'!D227,BD!$A$1:$A$2510,0),6))),"")</f>
        <v>-</v>
      </c>
      <c r="P227" s="692">
        <f t="shared" si="45"/>
        <v>39.288568629510564</v>
      </c>
      <c r="Q227" s="692">
        <f t="shared" si="46"/>
        <v>59.29889016855379</v>
      </c>
      <c r="R227" s="960" t="str">
        <f t="shared" si="47"/>
        <v>-</v>
      </c>
      <c r="S227" s="498">
        <f t="array" ref="S227">MAX(IF('Wind base'!$AE$5:$AE$11&lt;I227,'Wind base'!$AE$5:$AE$11,""))</f>
        <v>20</v>
      </c>
      <c r="T227" s="498">
        <f t="array" ref="T227">MIN(IF('Wind base'!$AE$5:$AE$11&gt;I227,'Wind base'!$AE$5:$AE$11,""))</f>
        <v>40</v>
      </c>
      <c r="U227" s="499">
        <f t="array" ref="U227">MAX(IF('Wind base'!$AF$4:$AL$4&lt;J227,'Wind base'!$AF$4:$AL$4,""),5)</f>
        <v>40</v>
      </c>
      <c r="V227" s="498">
        <f t="array" ref="V227">MIN(IF('Wind base'!$AF$4:$AL$4&gt;J227,'Wind base'!$AF$4:$AL$4,""))</f>
        <v>80</v>
      </c>
      <c r="W227" s="500">
        <f t="array" ref="W227">INDEX('Wind base'!$AF$5:$AL$11,MATCH($S227,'Wind base'!$AE$5:$AE$11,0),MATCH($U227,'Wind base'!$AF$4:$AL$4,0))</f>
        <v>0.73</v>
      </c>
      <c r="X227" s="500">
        <f t="array" ref="X227">INDEX('Wind base'!$AF$5:$AL$11,MATCH($S227,'Wind base'!$AE$5:$AE$11,0),MATCH($V227,'Wind base'!$AF$4:$AL$4,0))</f>
        <v>0.68</v>
      </c>
      <c r="Y227" s="500">
        <f t="array" ref="Y227">INDEX('Wind base'!$AF$5:$AL$11,MATCH($T227,'Wind base'!$AE$5:$AE$11,0),MATCH($U227,'Wind base'!$AF$4:$AL$4,0))</f>
        <v>0.67</v>
      </c>
      <c r="Z227" s="500">
        <f t="array" ref="Z227">INDEX('Wind base'!$AF$5:$AL$11,MATCH($T227,'Wind base'!$AE$5:$AE$11,0),MATCH($V227,'Wind base'!$AF$4:$AL$4,0))</f>
        <v>0.63</v>
      </c>
      <c r="AA227" s="501">
        <f t="shared" si="35"/>
        <v>0.70794999999999997</v>
      </c>
      <c r="AB227" s="501">
        <f t="shared" si="36"/>
        <v>0.66162500000000002</v>
      </c>
      <c r="AC227" s="501">
        <f t="shared" si="37"/>
        <v>0.66255149999999996</v>
      </c>
    </row>
    <row r="228" spans="1:29" ht="15" customHeight="1">
      <c r="A228" s="457">
        <f t="shared" si="32"/>
        <v>1</v>
      </c>
      <c r="B228" s="701" t="str">
        <f t="shared" si="38"/>
        <v>T233</v>
      </c>
      <c r="C228" s="701" t="str">
        <f t="shared" si="39"/>
        <v>T236</v>
      </c>
      <c r="D228" s="885" t="str">
        <f t="shared" si="40"/>
        <v>T23-</v>
      </c>
      <c r="F228" s="1105" t="str">
        <f t="shared" si="33"/>
        <v>T23</v>
      </c>
      <c r="G228" s="1106"/>
      <c r="H228" s="692">
        <f t="shared" si="34"/>
        <v>75.8</v>
      </c>
      <c r="I228" s="689">
        <f t="shared" si="41"/>
        <v>27.35</v>
      </c>
      <c r="J228" s="689">
        <f t="shared" si="42"/>
        <v>75.8</v>
      </c>
      <c r="K228" s="690">
        <f t="shared" si="43"/>
        <v>0.66648912500000002</v>
      </c>
      <c r="L228" s="691">
        <f t="shared" si="44"/>
        <v>0.2628169464225471</v>
      </c>
      <c r="M228" s="700">
        <f>IFERROR(IF(J228="","",IF($H$196="-","-",INDEX(BD!$A$1:$K$2510,MATCH('2.Win Load'!B228,BD!$A$1:$A$2510,0),6))),"")</f>
        <v>4.0039999999999997E-3</v>
      </c>
      <c r="N228" s="700">
        <f>IFERROR(IF($J228="","",IF($I$196="-","-",INDEX(BD!$A$1:$K$2510,MATCH('2.Win Load'!C228,BD!$A$1:$A$2510,0),6))),"")</f>
        <v>-3.7469999999999999E-3</v>
      </c>
      <c r="O228" s="700" t="str">
        <f>IFERROR(IF($J228="","",IF($J$196="-","-",INDEX(BD!$A$1:$K$2510,MATCH('2.Win Load'!D228,BD!$A$1:$A$2510,0),6))),"")</f>
        <v>-</v>
      </c>
      <c r="P228" s="692">
        <f t="shared" si="45"/>
        <v>39.416137027459406</v>
      </c>
      <c r="Q228" s="692">
        <f t="shared" si="46"/>
        <v>59.139955250521766</v>
      </c>
      <c r="R228" s="960" t="str">
        <f t="shared" si="47"/>
        <v>-</v>
      </c>
      <c r="S228" s="498">
        <f t="array" ref="S228">MAX(IF('Wind base'!$AE$5:$AE$11&lt;I228,'Wind base'!$AE$5:$AE$11,""))</f>
        <v>20</v>
      </c>
      <c r="T228" s="498">
        <f t="array" ref="T228">MIN(IF('Wind base'!$AE$5:$AE$11&gt;I228,'Wind base'!$AE$5:$AE$11,""))</f>
        <v>40</v>
      </c>
      <c r="U228" s="499">
        <f t="array" ref="U228">MAX(IF('Wind base'!$AF$4:$AL$4&lt;J228,'Wind base'!$AF$4:$AL$4,""),5)</f>
        <v>40</v>
      </c>
      <c r="V228" s="498">
        <f t="array" ref="V228">MIN(IF('Wind base'!$AF$4:$AL$4&gt;J228,'Wind base'!$AF$4:$AL$4,""))</f>
        <v>80</v>
      </c>
      <c r="W228" s="500">
        <f t="array" ref="W228">INDEX('Wind base'!$AF$5:$AL$11,MATCH($S228,'Wind base'!$AE$5:$AE$11,0),MATCH($U228,'Wind base'!$AF$4:$AL$4,0))</f>
        <v>0.73</v>
      </c>
      <c r="X228" s="500">
        <f t="array" ref="X228">INDEX('Wind base'!$AF$5:$AL$11,MATCH($S228,'Wind base'!$AE$5:$AE$11,0),MATCH($V228,'Wind base'!$AF$4:$AL$4,0))</f>
        <v>0.68</v>
      </c>
      <c r="Y228" s="500">
        <f t="array" ref="Y228">INDEX('Wind base'!$AF$5:$AL$11,MATCH($T228,'Wind base'!$AE$5:$AE$11,0),MATCH($U228,'Wind base'!$AF$4:$AL$4,0))</f>
        <v>0.67</v>
      </c>
      <c r="Z228" s="500">
        <f t="array" ref="Z228">INDEX('Wind base'!$AF$5:$AL$11,MATCH($T228,'Wind base'!$AE$5:$AE$11,0),MATCH($V228,'Wind base'!$AF$4:$AL$4,0))</f>
        <v>0.63</v>
      </c>
      <c r="AA228" s="501">
        <f t="shared" si="35"/>
        <v>0.70794999999999997</v>
      </c>
      <c r="AB228" s="501">
        <f t="shared" si="36"/>
        <v>0.66162500000000002</v>
      </c>
      <c r="AC228" s="501">
        <f t="shared" si="37"/>
        <v>0.66648912500000002</v>
      </c>
    </row>
    <row r="229" spans="1:29" ht="15" customHeight="1">
      <c r="A229" s="457">
        <f t="shared" si="32"/>
        <v>1</v>
      </c>
      <c r="B229" s="701" t="str">
        <f t="shared" si="38"/>
        <v>T223</v>
      </c>
      <c r="C229" s="701" t="str">
        <f t="shared" si="39"/>
        <v>T226</v>
      </c>
      <c r="D229" s="885" t="str">
        <f t="shared" si="40"/>
        <v>T22-</v>
      </c>
      <c r="F229" s="1105" t="str">
        <f t="shared" si="33"/>
        <v>T22</v>
      </c>
      <c r="G229" s="1106"/>
      <c r="H229" s="692">
        <f t="shared" si="34"/>
        <v>72.400000000000006</v>
      </c>
      <c r="I229" s="689">
        <f t="shared" si="41"/>
        <v>27.35</v>
      </c>
      <c r="J229" s="689">
        <f t="shared" si="42"/>
        <v>72.400000000000006</v>
      </c>
      <c r="K229" s="690">
        <f t="shared" si="43"/>
        <v>0.67042674999999996</v>
      </c>
      <c r="L229" s="691">
        <f t="shared" si="44"/>
        <v>0.26365634497910023</v>
      </c>
      <c r="M229" s="700">
        <f>IFERROR(IF(J229="","",IF($H$196="-","-",INDEX(BD!$A$1:$K$2510,MATCH('2.Win Load'!B229,BD!$A$1:$A$2510,0),6))),"")</f>
        <v>3.8019999999999998E-3</v>
      </c>
      <c r="N229" s="700">
        <f>IFERROR(IF($J229="","",IF($I$196="-","-",INDEX(BD!$A$1:$K$2510,MATCH('2.Win Load'!C229,BD!$A$1:$A$2510,0),6))),"")</f>
        <v>-4.2209999999999999E-3</v>
      </c>
      <c r="O229" s="700" t="str">
        <f>IFERROR(IF($J229="","",IF($J$196="-","-",INDEX(BD!$A$1:$K$2510,MATCH('2.Win Load'!D229,BD!$A$1:$A$2510,0),6))),"")</f>
        <v>-</v>
      </c>
      <c r="P229" s="692">
        <f t="shared" si="45"/>
        <v>39.537904417340329</v>
      </c>
      <c r="Q229" s="692">
        <f t="shared" si="46"/>
        <v>58.974234571249326</v>
      </c>
      <c r="R229" s="960" t="str">
        <f t="shared" si="47"/>
        <v>-</v>
      </c>
      <c r="S229" s="498">
        <f t="array" ref="S229">MAX(IF('Wind base'!$AE$5:$AE$11&lt;I229,'Wind base'!$AE$5:$AE$11,""))</f>
        <v>20</v>
      </c>
      <c r="T229" s="498">
        <f t="array" ref="T229">MIN(IF('Wind base'!$AE$5:$AE$11&gt;I229,'Wind base'!$AE$5:$AE$11,""))</f>
        <v>40</v>
      </c>
      <c r="U229" s="499">
        <f t="array" ref="U229">MAX(IF('Wind base'!$AF$4:$AL$4&lt;J229,'Wind base'!$AF$4:$AL$4,""),5)</f>
        <v>40</v>
      </c>
      <c r="V229" s="498">
        <f t="array" ref="V229">MIN(IF('Wind base'!$AF$4:$AL$4&gt;J229,'Wind base'!$AF$4:$AL$4,""))</f>
        <v>80</v>
      </c>
      <c r="W229" s="500">
        <f t="array" ref="W229">INDEX('Wind base'!$AF$5:$AL$11,MATCH($S229,'Wind base'!$AE$5:$AE$11,0),MATCH($U229,'Wind base'!$AF$4:$AL$4,0))</f>
        <v>0.73</v>
      </c>
      <c r="X229" s="500">
        <f t="array" ref="X229">INDEX('Wind base'!$AF$5:$AL$11,MATCH($S229,'Wind base'!$AE$5:$AE$11,0),MATCH($V229,'Wind base'!$AF$4:$AL$4,0))</f>
        <v>0.68</v>
      </c>
      <c r="Y229" s="500">
        <f t="array" ref="Y229">INDEX('Wind base'!$AF$5:$AL$11,MATCH($T229,'Wind base'!$AE$5:$AE$11,0),MATCH($U229,'Wind base'!$AF$4:$AL$4,0))</f>
        <v>0.67</v>
      </c>
      <c r="Z229" s="500">
        <f t="array" ref="Z229">INDEX('Wind base'!$AF$5:$AL$11,MATCH($T229,'Wind base'!$AE$5:$AE$11,0),MATCH($V229,'Wind base'!$AF$4:$AL$4,0))</f>
        <v>0.63</v>
      </c>
      <c r="AA229" s="501">
        <f t="shared" si="35"/>
        <v>0.70794999999999997</v>
      </c>
      <c r="AB229" s="501">
        <f t="shared" si="36"/>
        <v>0.66162500000000002</v>
      </c>
      <c r="AC229" s="501">
        <f t="shared" si="37"/>
        <v>0.67042674999999996</v>
      </c>
    </row>
    <row r="230" spans="1:29" ht="15" customHeight="1">
      <c r="A230" s="457">
        <f t="shared" si="32"/>
        <v>1</v>
      </c>
      <c r="B230" s="701" t="str">
        <f t="shared" si="38"/>
        <v>T213</v>
      </c>
      <c r="C230" s="701" t="str">
        <f t="shared" si="39"/>
        <v>T216</v>
      </c>
      <c r="D230" s="885" t="str">
        <f t="shared" si="40"/>
        <v>T21-</v>
      </c>
      <c r="F230" s="1105" t="str">
        <f t="shared" si="33"/>
        <v>T21</v>
      </c>
      <c r="G230" s="1106"/>
      <c r="H230" s="692">
        <f t="shared" si="34"/>
        <v>69</v>
      </c>
      <c r="I230" s="689">
        <f t="shared" si="41"/>
        <v>27.35</v>
      </c>
      <c r="J230" s="689">
        <f t="shared" si="42"/>
        <v>69</v>
      </c>
      <c r="K230" s="690">
        <f t="shared" si="43"/>
        <v>0.67436437500000002</v>
      </c>
      <c r="L230" s="691">
        <f t="shared" si="44"/>
        <v>0.26453868999276914</v>
      </c>
      <c r="M230" s="700">
        <f>IFERROR(IF(J230="","",IF($H$196="-","-",INDEX(BD!$A$1:$K$2510,MATCH('2.Win Load'!B230,BD!$A$1:$A$2510,0),6))),"")</f>
        <v>3.5980000000000001E-3</v>
      </c>
      <c r="N230" s="700">
        <f>IFERROR(IF($J230="","",IF($I$196="-","-",INDEX(BD!$A$1:$K$2510,MATCH('2.Win Load'!C230,BD!$A$1:$A$2510,0),6))),"")</f>
        <v>-4.6299999999999996E-3</v>
      </c>
      <c r="O230" s="700" t="str">
        <f>IFERROR(IF($J230="","",IF($J$196="-","-",INDEX(BD!$A$1:$K$2510,MATCH('2.Win Load'!D230,BD!$A$1:$A$2510,0),6))),"")</f>
        <v>-</v>
      </c>
      <c r="P230" s="692">
        <f t="shared" si="45"/>
        <v>39.653367739283219</v>
      </c>
      <c r="Q230" s="692">
        <f t="shared" si="46"/>
        <v>58.801101020917983</v>
      </c>
      <c r="R230" s="960" t="str">
        <f t="shared" si="47"/>
        <v>-</v>
      </c>
      <c r="S230" s="498">
        <f t="array" ref="S230">MAX(IF('Wind base'!$AE$5:$AE$11&lt;I230,'Wind base'!$AE$5:$AE$11,""))</f>
        <v>20</v>
      </c>
      <c r="T230" s="498">
        <f t="array" ref="T230">MIN(IF('Wind base'!$AE$5:$AE$11&gt;I230,'Wind base'!$AE$5:$AE$11,""))</f>
        <v>40</v>
      </c>
      <c r="U230" s="499">
        <f t="array" ref="U230">MAX(IF('Wind base'!$AF$4:$AL$4&lt;J230,'Wind base'!$AF$4:$AL$4,""),5)</f>
        <v>40</v>
      </c>
      <c r="V230" s="498">
        <f t="array" ref="V230">MIN(IF('Wind base'!$AF$4:$AL$4&gt;J230,'Wind base'!$AF$4:$AL$4,""))</f>
        <v>80</v>
      </c>
      <c r="W230" s="500">
        <f t="array" ref="W230">INDEX('Wind base'!$AF$5:$AL$11,MATCH($S230,'Wind base'!$AE$5:$AE$11,0),MATCH($U230,'Wind base'!$AF$4:$AL$4,0))</f>
        <v>0.73</v>
      </c>
      <c r="X230" s="500">
        <f t="array" ref="X230">INDEX('Wind base'!$AF$5:$AL$11,MATCH($S230,'Wind base'!$AE$5:$AE$11,0),MATCH($V230,'Wind base'!$AF$4:$AL$4,0))</f>
        <v>0.68</v>
      </c>
      <c r="Y230" s="500">
        <f t="array" ref="Y230">INDEX('Wind base'!$AF$5:$AL$11,MATCH($T230,'Wind base'!$AE$5:$AE$11,0),MATCH($U230,'Wind base'!$AF$4:$AL$4,0))</f>
        <v>0.67</v>
      </c>
      <c r="Z230" s="500">
        <f t="array" ref="Z230">INDEX('Wind base'!$AF$5:$AL$11,MATCH($T230,'Wind base'!$AE$5:$AE$11,0),MATCH($V230,'Wind base'!$AF$4:$AL$4,0))</f>
        <v>0.63</v>
      </c>
      <c r="AA230" s="501">
        <f t="shared" si="35"/>
        <v>0.70794999999999997</v>
      </c>
      <c r="AB230" s="501">
        <f t="shared" si="36"/>
        <v>0.66162500000000002</v>
      </c>
      <c r="AC230" s="501">
        <f t="shared" si="37"/>
        <v>0.67436437500000002</v>
      </c>
    </row>
    <row r="231" spans="1:29" ht="15" customHeight="1">
      <c r="A231" s="457">
        <f t="shared" si="32"/>
        <v>1</v>
      </c>
      <c r="B231" s="701" t="str">
        <f t="shared" si="38"/>
        <v>T203</v>
      </c>
      <c r="C231" s="701" t="str">
        <f t="shared" si="39"/>
        <v>T206</v>
      </c>
      <c r="D231" s="885" t="str">
        <f t="shared" si="40"/>
        <v>T20-</v>
      </c>
      <c r="F231" s="1105" t="str">
        <f t="shared" si="33"/>
        <v>T20</v>
      </c>
      <c r="G231" s="1106"/>
      <c r="H231" s="692">
        <f t="shared" si="34"/>
        <v>65.599999999999994</v>
      </c>
      <c r="I231" s="689">
        <f t="shared" si="41"/>
        <v>27.35</v>
      </c>
      <c r="J231" s="689">
        <f t="shared" si="42"/>
        <v>65.599999999999994</v>
      </c>
      <c r="K231" s="690">
        <f t="shared" si="43"/>
        <v>0.67830199999999996</v>
      </c>
      <c r="L231" s="691">
        <f t="shared" si="44"/>
        <v>0.26546844662419994</v>
      </c>
      <c r="M231" s="700">
        <f>IFERROR(IF(J231="","",IF($H$196="-","-",INDEX(BD!$A$1:$K$2510,MATCH('2.Win Load'!B231,BD!$A$1:$A$2510,0),6))),"")</f>
        <v>3.3909999999999999E-3</v>
      </c>
      <c r="N231" s="700">
        <f>IFERROR(IF($J231="","",IF($I$196="-","-",INDEX(BD!$A$1:$K$2510,MATCH('2.Win Load'!C231,BD!$A$1:$A$2510,0),6))),"")</f>
        <v>-4.9709999999999997E-3</v>
      </c>
      <c r="O231" s="700" t="str">
        <f>IFERROR(IF($J231="","",IF($J$196="-","-",INDEX(BD!$A$1:$K$2510,MATCH('2.Win Load'!D231,BD!$A$1:$A$2510,0),6))),"")</f>
        <v>-</v>
      </c>
      <c r="P231" s="692">
        <f t="shared" si="45"/>
        <v>39.76195146816503</v>
      </c>
      <c r="Q231" s="692">
        <f t="shared" si="46"/>
        <v>58.619835218184569</v>
      </c>
      <c r="R231" s="960" t="str">
        <f t="shared" si="47"/>
        <v>-</v>
      </c>
      <c r="S231" s="498">
        <f t="array" ref="S231">MAX(IF('Wind base'!$AE$5:$AE$11&lt;I231,'Wind base'!$AE$5:$AE$11,""))</f>
        <v>20</v>
      </c>
      <c r="T231" s="498">
        <f t="array" ref="T231">MIN(IF('Wind base'!$AE$5:$AE$11&gt;I231,'Wind base'!$AE$5:$AE$11,""))</f>
        <v>40</v>
      </c>
      <c r="U231" s="499">
        <f t="array" ref="U231">MAX(IF('Wind base'!$AF$4:$AL$4&lt;J231,'Wind base'!$AF$4:$AL$4,""),5)</f>
        <v>40</v>
      </c>
      <c r="V231" s="498">
        <f t="array" ref="V231">MIN(IF('Wind base'!$AF$4:$AL$4&gt;J231,'Wind base'!$AF$4:$AL$4,""))</f>
        <v>80</v>
      </c>
      <c r="W231" s="500">
        <f t="array" ref="W231">INDEX('Wind base'!$AF$5:$AL$11,MATCH($S231,'Wind base'!$AE$5:$AE$11,0),MATCH($U231,'Wind base'!$AF$4:$AL$4,0))</f>
        <v>0.73</v>
      </c>
      <c r="X231" s="500">
        <f t="array" ref="X231">INDEX('Wind base'!$AF$5:$AL$11,MATCH($S231,'Wind base'!$AE$5:$AE$11,0),MATCH($V231,'Wind base'!$AF$4:$AL$4,0))</f>
        <v>0.68</v>
      </c>
      <c r="Y231" s="500">
        <f t="array" ref="Y231">INDEX('Wind base'!$AF$5:$AL$11,MATCH($T231,'Wind base'!$AE$5:$AE$11,0),MATCH($U231,'Wind base'!$AF$4:$AL$4,0))</f>
        <v>0.67</v>
      </c>
      <c r="Z231" s="500">
        <f t="array" ref="Z231">INDEX('Wind base'!$AF$5:$AL$11,MATCH($T231,'Wind base'!$AE$5:$AE$11,0),MATCH($V231,'Wind base'!$AF$4:$AL$4,0))</f>
        <v>0.63</v>
      </c>
      <c r="AA231" s="501">
        <f t="shared" si="35"/>
        <v>0.70794999999999997</v>
      </c>
      <c r="AB231" s="501">
        <f t="shared" si="36"/>
        <v>0.66162500000000002</v>
      </c>
      <c r="AC231" s="501">
        <f t="shared" si="37"/>
        <v>0.67830199999999996</v>
      </c>
    </row>
    <row r="232" spans="1:29" ht="15" customHeight="1">
      <c r="A232" s="457">
        <f t="shared" si="32"/>
        <v>1</v>
      </c>
      <c r="B232" s="701" t="str">
        <f t="shared" si="38"/>
        <v>T193</v>
      </c>
      <c r="C232" s="701" t="str">
        <f t="shared" si="39"/>
        <v>T196</v>
      </c>
      <c r="D232" s="885" t="str">
        <f t="shared" si="40"/>
        <v>T19-</v>
      </c>
      <c r="F232" s="1105" t="str">
        <f t="shared" si="33"/>
        <v>T19</v>
      </c>
      <c r="G232" s="1106"/>
      <c r="H232" s="692">
        <f t="shared" si="34"/>
        <v>62.2</v>
      </c>
      <c r="I232" s="689">
        <f t="shared" si="41"/>
        <v>27.35</v>
      </c>
      <c r="J232" s="689">
        <f t="shared" si="42"/>
        <v>62.2</v>
      </c>
      <c r="K232" s="690">
        <f t="shared" si="43"/>
        <v>0.68223962500000002</v>
      </c>
      <c r="L232" s="691">
        <f t="shared" si="44"/>
        <v>0.26645080511943431</v>
      </c>
      <c r="M232" s="700">
        <f>IFERROR(IF(J232="","",IF($H$196="-","-",INDEX(BD!$A$1:$K$2510,MATCH('2.Win Load'!B232,BD!$A$1:$A$2510,0),6))),"")</f>
        <v>3.1830000000000001E-3</v>
      </c>
      <c r="N232" s="700">
        <f>IFERROR(IF($J232="","",IF($I$196="-","-",INDEX(BD!$A$1:$K$2510,MATCH('2.Win Load'!C232,BD!$A$1:$A$2510,0),6))),"")</f>
        <v>-5.2389999999999997E-3</v>
      </c>
      <c r="O232" s="700" t="str">
        <f>IFERROR(IF($J232="","",IF($J$196="-","-",INDEX(BD!$A$1:$K$2510,MATCH('2.Win Load'!D232,BD!$A$1:$A$2510,0),6))),"")</f>
        <v>-</v>
      </c>
      <c r="P232" s="692">
        <f t="shared" si="45"/>
        <v>39.862992724582753</v>
      </c>
      <c r="Q232" s="692">
        <f t="shared" si="46"/>
        <v>58.429606349210147</v>
      </c>
      <c r="R232" s="960" t="str">
        <f t="shared" si="47"/>
        <v>-</v>
      </c>
      <c r="S232" s="498">
        <f t="array" ref="S232">MAX(IF('Wind base'!$AE$5:$AE$11&lt;I232,'Wind base'!$AE$5:$AE$11,""))</f>
        <v>20</v>
      </c>
      <c r="T232" s="498">
        <f t="array" ref="T232">MIN(IF('Wind base'!$AE$5:$AE$11&gt;I232,'Wind base'!$AE$5:$AE$11,""))</f>
        <v>40</v>
      </c>
      <c r="U232" s="499">
        <f t="array" ref="U232">MAX(IF('Wind base'!$AF$4:$AL$4&lt;J232,'Wind base'!$AF$4:$AL$4,""),5)</f>
        <v>40</v>
      </c>
      <c r="V232" s="498">
        <f t="array" ref="V232">MIN(IF('Wind base'!$AF$4:$AL$4&gt;J232,'Wind base'!$AF$4:$AL$4,""))</f>
        <v>80</v>
      </c>
      <c r="W232" s="500">
        <f t="array" ref="W232">INDEX('Wind base'!$AF$5:$AL$11,MATCH($S232,'Wind base'!$AE$5:$AE$11,0),MATCH($U232,'Wind base'!$AF$4:$AL$4,0))</f>
        <v>0.73</v>
      </c>
      <c r="X232" s="500">
        <f t="array" ref="X232">INDEX('Wind base'!$AF$5:$AL$11,MATCH($S232,'Wind base'!$AE$5:$AE$11,0),MATCH($V232,'Wind base'!$AF$4:$AL$4,0))</f>
        <v>0.68</v>
      </c>
      <c r="Y232" s="500">
        <f t="array" ref="Y232">INDEX('Wind base'!$AF$5:$AL$11,MATCH($T232,'Wind base'!$AE$5:$AE$11,0),MATCH($U232,'Wind base'!$AF$4:$AL$4,0))</f>
        <v>0.67</v>
      </c>
      <c r="Z232" s="500">
        <f t="array" ref="Z232">INDEX('Wind base'!$AF$5:$AL$11,MATCH($T232,'Wind base'!$AE$5:$AE$11,0),MATCH($V232,'Wind base'!$AF$4:$AL$4,0))</f>
        <v>0.63</v>
      </c>
      <c r="AA232" s="501">
        <f t="shared" si="35"/>
        <v>0.70794999999999997</v>
      </c>
      <c r="AB232" s="501">
        <f t="shared" si="36"/>
        <v>0.66162500000000002</v>
      </c>
      <c r="AC232" s="501">
        <f t="shared" si="37"/>
        <v>0.68223962500000002</v>
      </c>
    </row>
    <row r="233" spans="1:29" ht="15" customHeight="1">
      <c r="A233" s="457">
        <f t="shared" si="32"/>
        <v>1</v>
      </c>
      <c r="B233" s="701" t="str">
        <f t="shared" si="38"/>
        <v>T183</v>
      </c>
      <c r="C233" s="701" t="str">
        <f t="shared" si="39"/>
        <v>T186</v>
      </c>
      <c r="D233" s="885" t="str">
        <f t="shared" si="40"/>
        <v>T18-</v>
      </c>
      <c r="F233" s="1105" t="str">
        <f t="shared" si="33"/>
        <v>T18</v>
      </c>
      <c r="G233" s="1106"/>
      <c r="H233" s="692">
        <f t="shared" si="34"/>
        <v>58.8</v>
      </c>
      <c r="I233" s="689">
        <f t="shared" si="41"/>
        <v>27.35</v>
      </c>
      <c r="J233" s="689">
        <f t="shared" si="42"/>
        <v>58.8</v>
      </c>
      <c r="K233" s="690">
        <f t="shared" si="43"/>
        <v>0.68617724999999996</v>
      </c>
      <c r="L233" s="691">
        <f t="shared" si="44"/>
        <v>0.26749184566554302</v>
      </c>
      <c r="M233" s="700">
        <f>IFERROR(IF(J233="","",IF($H$196="-","-",INDEX(BD!$A$1:$K$2510,MATCH('2.Win Load'!B233,BD!$A$1:$A$2510,0),6))),"")</f>
        <v>2.9740000000000001E-3</v>
      </c>
      <c r="N233" s="700">
        <f>IFERROR(IF($J233="","",IF($I$196="-","-",INDEX(BD!$A$1:$K$2510,MATCH('2.Win Load'!C233,BD!$A$1:$A$2510,0),6))),"")</f>
        <v>-5.4320000000000002E-3</v>
      </c>
      <c r="O233" s="700" t="str">
        <f>IFERROR(IF($J233="","",IF($J$196="-","-",INDEX(BD!$A$1:$K$2510,MATCH('2.Win Load'!D233,BD!$A$1:$A$2510,0),6))),"")</f>
        <v>-</v>
      </c>
      <c r="P233" s="692">
        <f t="shared" si="45"/>
        <v>39.95572231809129</v>
      </c>
      <c r="Q233" s="692">
        <f t="shared" si="46"/>
        <v>58.229447738308565</v>
      </c>
      <c r="R233" s="960" t="str">
        <f t="shared" si="47"/>
        <v>-</v>
      </c>
      <c r="S233" s="498">
        <f t="array" ref="S233">MAX(IF('Wind base'!$AE$5:$AE$11&lt;I233,'Wind base'!$AE$5:$AE$11,""))</f>
        <v>20</v>
      </c>
      <c r="T233" s="498">
        <f t="array" ref="T233">MIN(IF('Wind base'!$AE$5:$AE$11&gt;I233,'Wind base'!$AE$5:$AE$11,""))</f>
        <v>40</v>
      </c>
      <c r="U233" s="499">
        <f t="array" ref="U233">MAX(IF('Wind base'!$AF$4:$AL$4&lt;J233,'Wind base'!$AF$4:$AL$4,""),5)</f>
        <v>40</v>
      </c>
      <c r="V233" s="498">
        <f t="array" ref="V233">MIN(IF('Wind base'!$AF$4:$AL$4&gt;J233,'Wind base'!$AF$4:$AL$4,""))</f>
        <v>80</v>
      </c>
      <c r="W233" s="500">
        <f t="array" ref="W233">INDEX('Wind base'!$AF$5:$AL$11,MATCH($S233,'Wind base'!$AE$5:$AE$11,0),MATCH($U233,'Wind base'!$AF$4:$AL$4,0))</f>
        <v>0.73</v>
      </c>
      <c r="X233" s="500">
        <f t="array" ref="X233">INDEX('Wind base'!$AF$5:$AL$11,MATCH($S233,'Wind base'!$AE$5:$AE$11,0),MATCH($V233,'Wind base'!$AF$4:$AL$4,0))</f>
        <v>0.68</v>
      </c>
      <c r="Y233" s="500">
        <f t="array" ref="Y233">INDEX('Wind base'!$AF$5:$AL$11,MATCH($T233,'Wind base'!$AE$5:$AE$11,0),MATCH($U233,'Wind base'!$AF$4:$AL$4,0))</f>
        <v>0.67</v>
      </c>
      <c r="Z233" s="500">
        <f t="array" ref="Z233">INDEX('Wind base'!$AF$5:$AL$11,MATCH($T233,'Wind base'!$AE$5:$AE$11,0),MATCH($V233,'Wind base'!$AF$4:$AL$4,0))</f>
        <v>0.63</v>
      </c>
      <c r="AA233" s="501">
        <f t="shared" si="35"/>
        <v>0.70794999999999997</v>
      </c>
      <c r="AB233" s="501">
        <f t="shared" si="36"/>
        <v>0.66162500000000002</v>
      </c>
      <c r="AC233" s="501">
        <f t="shared" si="37"/>
        <v>0.68617724999999996</v>
      </c>
    </row>
    <row r="234" spans="1:29" ht="15" customHeight="1">
      <c r="A234" s="457">
        <f t="shared" si="32"/>
        <v>1</v>
      </c>
      <c r="B234" s="701" t="str">
        <f t="shared" si="38"/>
        <v>T173</v>
      </c>
      <c r="C234" s="701" t="str">
        <f t="shared" si="39"/>
        <v>T176</v>
      </c>
      <c r="D234" s="885" t="str">
        <f t="shared" si="40"/>
        <v>T17-</v>
      </c>
      <c r="F234" s="1105" t="str">
        <f t="shared" si="33"/>
        <v>T17</v>
      </c>
      <c r="G234" s="1106"/>
      <c r="H234" s="692">
        <f t="shared" si="34"/>
        <v>55.4</v>
      </c>
      <c r="I234" s="689">
        <f t="shared" si="41"/>
        <v>27.35</v>
      </c>
      <c r="J234" s="689">
        <f t="shared" si="42"/>
        <v>55.4</v>
      </c>
      <c r="K234" s="690">
        <f t="shared" si="43"/>
        <v>0.69011487500000002</v>
      </c>
      <c r="L234" s="691">
        <f t="shared" si="44"/>
        <v>0.26859875271309047</v>
      </c>
      <c r="M234" s="700">
        <f>IFERROR(IF(J234="","",IF($H$196="-","-",INDEX(BD!$A$1:$K$2510,MATCH('2.Win Load'!B234,BD!$A$1:$A$2510,0),6))),"")</f>
        <v>2.764E-3</v>
      </c>
      <c r="N234" s="700">
        <f>IFERROR(IF($J234="","",IF($I$196="-","-",INDEX(BD!$A$1:$K$2510,MATCH('2.Win Load'!C234,BD!$A$1:$A$2510,0),6))),"")</f>
        <v>-5.5490000000000001E-3</v>
      </c>
      <c r="O234" s="700" t="str">
        <f>IFERROR(IF($J234="","",IF($J$196="-","-",INDEX(BD!$A$1:$K$2510,MATCH('2.Win Load'!D234,BD!$A$1:$A$2510,0),6))),"")</f>
        <v>-</v>
      </c>
      <c r="P234" s="692">
        <f t="shared" si="45"/>
        <v>40.039240304125705</v>
      </c>
      <c r="Q234" s="692">
        <f t="shared" si="46"/>
        <v>58.01822530506346</v>
      </c>
      <c r="R234" s="960" t="str">
        <f t="shared" si="47"/>
        <v>-</v>
      </c>
      <c r="S234" s="498">
        <f t="array" ref="S234">MAX(IF('Wind base'!$AE$5:$AE$11&lt;I234,'Wind base'!$AE$5:$AE$11,""))</f>
        <v>20</v>
      </c>
      <c r="T234" s="498">
        <f t="array" ref="T234">MIN(IF('Wind base'!$AE$5:$AE$11&gt;I234,'Wind base'!$AE$5:$AE$11,""))</f>
        <v>40</v>
      </c>
      <c r="U234" s="499">
        <f t="array" ref="U234">MAX(IF('Wind base'!$AF$4:$AL$4&lt;J234,'Wind base'!$AF$4:$AL$4,""),5)</f>
        <v>40</v>
      </c>
      <c r="V234" s="498">
        <f t="array" ref="V234">MIN(IF('Wind base'!$AF$4:$AL$4&gt;J234,'Wind base'!$AF$4:$AL$4,""))</f>
        <v>80</v>
      </c>
      <c r="W234" s="500">
        <f t="array" ref="W234">INDEX('Wind base'!$AF$5:$AL$11,MATCH($S234,'Wind base'!$AE$5:$AE$11,0),MATCH($U234,'Wind base'!$AF$4:$AL$4,0))</f>
        <v>0.73</v>
      </c>
      <c r="X234" s="500">
        <f t="array" ref="X234">INDEX('Wind base'!$AF$5:$AL$11,MATCH($S234,'Wind base'!$AE$5:$AE$11,0),MATCH($V234,'Wind base'!$AF$4:$AL$4,0))</f>
        <v>0.68</v>
      </c>
      <c r="Y234" s="500">
        <f t="array" ref="Y234">INDEX('Wind base'!$AF$5:$AL$11,MATCH($T234,'Wind base'!$AE$5:$AE$11,0),MATCH($U234,'Wind base'!$AF$4:$AL$4,0))</f>
        <v>0.67</v>
      </c>
      <c r="Z234" s="500">
        <f t="array" ref="Z234">INDEX('Wind base'!$AF$5:$AL$11,MATCH($T234,'Wind base'!$AE$5:$AE$11,0),MATCH($V234,'Wind base'!$AF$4:$AL$4,0))</f>
        <v>0.63</v>
      </c>
      <c r="AA234" s="501">
        <f t="shared" si="35"/>
        <v>0.70794999999999997</v>
      </c>
      <c r="AB234" s="501">
        <f t="shared" si="36"/>
        <v>0.66162500000000002</v>
      </c>
      <c r="AC234" s="501">
        <f t="shared" si="37"/>
        <v>0.69011487500000002</v>
      </c>
    </row>
    <row r="235" spans="1:29" ht="15" customHeight="1">
      <c r="A235" s="457">
        <f t="shared" si="32"/>
        <v>1</v>
      </c>
      <c r="B235" s="701" t="str">
        <f t="shared" si="38"/>
        <v>T163</v>
      </c>
      <c r="C235" s="701" t="str">
        <f t="shared" si="39"/>
        <v>T166</v>
      </c>
      <c r="D235" s="885" t="str">
        <f t="shared" si="40"/>
        <v>T16-</v>
      </c>
      <c r="F235" s="1105" t="str">
        <f t="shared" si="33"/>
        <v>T16</v>
      </c>
      <c r="G235" s="1106"/>
      <c r="H235" s="692">
        <f t="shared" si="34"/>
        <v>52</v>
      </c>
      <c r="I235" s="689">
        <f t="shared" si="41"/>
        <v>27.35</v>
      </c>
      <c r="J235" s="689">
        <f t="shared" si="42"/>
        <v>52</v>
      </c>
      <c r="K235" s="690">
        <f t="shared" si="43"/>
        <v>0.69405249999999996</v>
      </c>
      <c r="L235" s="691">
        <f t="shared" si="44"/>
        <v>0.26978009765980832</v>
      </c>
      <c r="M235" s="700">
        <f>IFERROR(IF(J235="","",IF($H$196="-","-",INDEX(BD!$A$1:$K$2510,MATCH('2.Win Load'!B235,BD!$A$1:$A$2510,0),6))),"")</f>
        <v>2.555E-3</v>
      </c>
      <c r="N235" s="700">
        <f>IFERROR(IF($J235="","",IF($I$196="-","-",INDEX(BD!$A$1:$K$2510,MATCH('2.Win Load'!C235,BD!$A$1:$A$2510,0),6))),"")</f>
        <v>-5.5880000000000001E-3</v>
      </c>
      <c r="O235" s="700" t="str">
        <f>IFERROR(IF($J235="","",IF($J$196="-","-",INDEX(BD!$A$1:$K$2510,MATCH('2.Win Load'!D235,BD!$A$1:$A$2510,0),6))),"")</f>
        <v>-</v>
      </c>
      <c r="P235" s="692">
        <f t="shared" si="45"/>
        <v>40.112484020821135</v>
      </c>
      <c r="Q235" s="692">
        <f t="shared" si="46"/>
        <v>57.794596260111646</v>
      </c>
      <c r="R235" s="960" t="str">
        <f t="shared" si="47"/>
        <v>-</v>
      </c>
      <c r="S235" s="498">
        <f t="array" ref="S235">MAX(IF('Wind base'!$AE$5:$AE$11&lt;I235,'Wind base'!$AE$5:$AE$11,""))</f>
        <v>20</v>
      </c>
      <c r="T235" s="498">
        <f t="array" ref="T235">MIN(IF('Wind base'!$AE$5:$AE$11&gt;I235,'Wind base'!$AE$5:$AE$11,""))</f>
        <v>40</v>
      </c>
      <c r="U235" s="499">
        <f t="array" ref="U235">MAX(IF('Wind base'!$AF$4:$AL$4&lt;J235,'Wind base'!$AF$4:$AL$4,""),5)</f>
        <v>40</v>
      </c>
      <c r="V235" s="498">
        <f t="array" ref="V235">MIN(IF('Wind base'!$AF$4:$AL$4&gt;J235,'Wind base'!$AF$4:$AL$4,""))</f>
        <v>80</v>
      </c>
      <c r="W235" s="500">
        <f t="array" ref="W235">INDEX('Wind base'!$AF$5:$AL$11,MATCH($S235,'Wind base'!$AE$5:$AE$11,0),MATCH($U235,'Wind base'!$AF$4:$AL$4,0))</f>
        <v>0.73</v>
      </c>
      <c r="X235" s="500">
        <f t="array" ref="X235">INDEX('Wind base'!$AF$5:$AL$11,MATCH($S235,'Wind base'!$AE$5:$AE$11,0),MATCH($V235,'Wind base'!$AF$4:$AL$4,0))</f>
        <v>0.68</v>
      </c>
      <c r="Y235" s="500">
        <f t="array" ref="Y235">INDEX('Wind base'!$AF$5:$AL$11,MATCH($T235,'Wind base'!$AE$5:$AE$11,0),MATCH($U235,'Wind base'!$AF$4:$AL$4,0))</f>
        <v>0.67</v>
      </c>
      <c r="Z235" s="500">
        <f t="array" ref="Z235">INDEX('Wind base'!$AF$5:$AL$11,MATCH($T235,'Wind base'!$AE$5:$AE$11,0),MATCH($V235,'Wind base'!$AF$4:$AL$4,0))</f>
        <v>0.63</v>
      </c>
      <c r="AA235" s="501">
        <f t="shared" si="35"/>
        <v>0.70794999999999997</v>
      </c>
      <c r="AB235" s="501">
        <f t="shared" si="36"/>
        <v>0.66162500000000002</v>
      </c>
      <c r="AC235" s="501">
        <f t="shared" si="37"/>
        <v>0.69405249999999996</v>
      </c>
    </row>
    <row r="236" spans="1:29" ht="15" customHeight="1">
      <c r="A236" s="457">
        <f t="shared" si="32"/>
        <v>1</v>
      </c>
      <c r="B236" s="701" t="str">
        <f t="shared" si="38"/>
        <v>T153</v>
      </c>
      <c r="C236" s="701" t="str">
        <f t="shared" si="39"/>
        <v>T156</v>
      </c>
      <c r="D236" s="885" t="str">
        <f t="shared" si="40"/>
        <v>T15-</v>
      </c>
      <c r="F236" s="1105" t="str">
        <f t="shared" si="33"/>
        <v>T15</v>
      </c>
      <c r="G236" s="1106"/>
      <c r="H236" s="692">
        <f t="shared" si="34"/>
        <v>48.6</v>
      </c>
      <c r="I236" s="689">
        <f t="shared" si="41"/>
        <v>27.35</v>
      </c>
      <c r="J236" s="689">
        <f t="shared" si="42"/>
        <v>48.6</v>
      </c>
      <c r="K236" s="690">
        <f t="shared" si="43"/>
        <v>0.69799012500000002</v>
      </c>
      <c r="L236" s="691">
        <f t="shared" si="44"/>
        <v>0.27104621776329074</v>
      </c>
      <c r="M236" s="700">
        <f>IFERROR(IF(J236="","",IF($H$196="-","-",INDEX(BD!$A$1:$K$2510,MATCH('2.Win Load'!B236,BD!$A$1:$A$2510,0),6))),"")</f>
        <v>2.346E-3</v>
      </c>
      <c r="N236" s="700">
        <f>IFERROR(IF($J236="","",IF($I$196="-","-",INDEX(BD!$A$1:$K$2510,MATCH('2.Win Load'!C236,BD!$A$1:$A$2510,0),6))),"")</f>
        <v>-5.5510000000000004E-3</v>
      </c>
      <c r="O236" s="700" t="str">
        <f>IFERROR(IF($J236="","",IF($J$196="-","-",INDEX(BD!$A$1:$K$2510,MATCH('2.Win Load'!D236,BD!$A$1:$A$2510,0),6))),"")</f>
        <v>-</v>
      </c>
      <c r="P236" s="692">
        <f t="shared" si="45"/>
        <v>40.174185630692335</v>
      </c>
      <c r="Q236" s="692">
        <f t="shared" si="46"/>
        <v>57.55695416277176</v>
      </c>
      <c r="R236" s="960" t="str">
        <f t="shared" si="47"/>
        <v>-</v>
      </c>
      <c r="S236" s="498">
        <f t="array" ref="S236">MAX(IF('Wind base'!$AE$5:$AE$11&lt;I236,'Wind base'!$AE$5:$AE$11,""))</f>
        <v>20</v>
      </c>
      <c r="T236" s="498">
        <f t="array" ref="T236">MIN(IF('Wind base'!$AE$5:$AE$11&gt;I236,'Wind base'!$AE$5:$AE$11,""))</f>
        <v>40</v>
      </c>
      <c r="U236" s="499">
        <f t="array" ref="U236">MAX(IF('Wind base'!$AF$4:$AL$4&lt;J236,'Wind base'!$AF$4:$AL$4,""),5)</f>
        <v>40</v>
      </c>
      <c r="V236" s="498">
        <f t="array" ref="V236">MIN(IF('Wind base'!$AF$4:$AL$4&gt;J236,'Wind base'!$AF$4:$AL$4,""))</f>
        <v>80</v>
      </c>
      <c r="W236" s="500">
        <f t="array" ref="W236">INDEX('Wind base'!$AF$5:$AL$11,MATCH($S236,'Wind base'!$AE$5:$AE$11,0),MATCH($U236,'Wind base'!$AF$4:$AL$4,0))</f>
        <v>0.73</v>
      </c>
      <c r="X236" s="500">
        <f t="array" ref="X236">INDEX('Wind base'!$AF$5:$AL$11,MATCH($S236,'Wind base'!$AE$5:$AE$11,0),MATCH($V236,'Wind base'!$AF$4:$AL$4,0))</f>
        <v>0.68</v>
      </c>
      <c r="Y236" s="500">
        <f t="array" ref="Y236">INDEX('Wind base'!$AF$5:$AL$11,MATCH($T236,'Wind base'!$AE$5:$AE$11,0),MATCH($U236,'Wind base'!$AF$4:$AL$4,0))</f>
        <v>0.67</v>
      </c>
      <c r="Z236" s="500">
        <f t="array" ref="Z236">INDEX('Wind base'!$AF$5:$AL$11,MATCH($T236,'Wind base'!$AE$5:$AE$11,0),MATCH($V236,'Wind base'!$AF$4:$AL$4,0))</f>
        <v>0.63</v>
      </c>
      <c r="AA236" s="501">
        <f t="shared" si="35"/>
        <v>0.70794999999999997</v>
      </c>
      <c r="AB236" s="501">
        <f t="shared" si="36"/>
        <v>0.66162500000000002</v>
      </c>
      <c r="AC236" s="501">
        <f t="shared" si="37"/>
        <v>0.69799012500000002</v>
      </c>
    </row>
    <row r="237" spans="1:29" ht="15" customHeight="1">
      <c r="A237" s="457">
        <f t="shared" si="32"/>
        <v>1</v>
      </c>
      <c r="B237" s="701" t="str">
        <f t="shared" si="38"/>
        <v>T143</v>
      </c>
      <c r="C237" s="701" t="str">
        <f t="shared" si="39"/>
        <v>T146</v>
      </c>
      <c r="D237" s="885" t="str">
        <f t="shared" si="40"/>
        <v>T14-</v>
      </c>
      <c r="F237" s="1105" t="str">
        <f t="shared" si="33"/>
        <v>T14</v>
      </c>
      <c r="G237" s="1106"/>
      <c r="H237" s="692">
        <f t="shared" si="34"/>
        <v>45.2</v>
      </c>
      <c r="I237" s="689">
        <f t="shared" si="41"/>
        <v>27.35</v>
      </c>
      <c r="J237" s="689">
        <f t="shared" si="42"/>
        <v>45.2</v>
      </c>
      <c r="K237" s="690">
        <f t="shared" si="43"/>
        <v>0.70192774999999996</v>
      </c>
      <c r="L237" s="691">
        <f t="shared" si="44"/>
        <v>0.27240973334083035</v>
      </c>
      <c r="M237" s="700">
        <f>IFERROR(IF(J237="","",IF($H$196="-","-",INDEX(BD!$A$1:$K$2510,MATCH('2.Win Load'!B237,BD!$A$1:$A$2510,0),6))),"")</f>
        <v>2.1389999999999998E-3</v>
      </c>
      <c r="N237" s="700">
        <f>IFERROR(IF($J237="","",IF($I$196="-","-",INDEX(BD!$A$1:$K$2510,MATCH('2.Win Load'!C237,BD!$A$1:$A$2510,0),6))),"")</f>
        <v>-5.4390000000000003E-3</v>
      </c>
      <c r="O237" s="700" t="str">
        <f>IFERROR(IF($J237="","",IF($J$196="-","-",INDEX(BD!$A$1:$K$2510,MATCH('2.Win Load'!D237,BD!$A$1:$A$2510,0),6))),"")</f>
        <v>-</v>
      </c>
      <c r="P237" s="692">
        <f t="shared" si="45"/>
        <v>40.222814716123203</v>
      </c>
      <c r="Q237" s="692">
        <f t="shared" si="46"/>
        <v>57.303354534883688</v>
      </c>
      <c r="R237" s="960" t="str">
        <f t="shared" si="47"/>
        <v>-</v>
      </c>
      <c r="S237" s="498">
        <f t="array" ref="S237">MAX(IF('Wind base'!$AE$5:$AE$11&lt;I237,'Wind base'!$AE$5:$AE$11,""))</f>
        <v>20</v>
      </c>
      <c r="T237" s="498">
        <f t="array" ref="T237">MIN(IF('Wind base'!$AE$5:$AE$11&gt;I237,'Wind base'!$AE$5:$AE$11,""))</f>
        <v>40</v>
      </c>
      <c r="U237" s="499">
        <f t="array" ref="U237">MAX(IF('Wind base'!$AF$4:$AL$4&lt;J237,'Wind base'!$AF$4:$AL$4,""),5)</f>
        <v>40</v>
      </c>
      <c r="V237" s="498">
        <f t="array" ref="V237">MIN(IF('Wind base'!$AF$4:$AL$4&gt;J237,'Wind base'!$AF$4:$AL$4,""))</f>
        <v>80</v>
      </c>
      <c r="W237" s="500">
        <f t="array" ref="W237">INDEX('Wind base'!$AF$5:$AL$11,MATCH($S237,'Wind base'!$AE$5:$AE$11,0),MATCH($U237,'Wind base'!$AF$4:$AL$4,0))</f>
        <v>0.73</v>
      </c>
      <c r="X237" s="500">
        <f t="array" ref="X237">INDEX('Wind base'!$AF$5:$AL$11,MATCH($S237,'Wind base'!$AE$5:$AE$11,0),MATCH($V237,'Wind base'!$AF$4:$AL$4,0))</f>
        <v>0.68</v>
      </c>
      <c r="Y237" s="500">
        <f t="array" ref="Y237">INDEX('Wind base'!$AF$5:$AL$11,MATCH($T237,'Wind base'!$AE$5:$AE$11,0),MATCH($U237,'Wind base'!$AF$4:$AL$4,0))</f>
        <v>0.67</v>
      </c>
      <c r="Z237" s="500">
        <f t="array" ref="Z237">INDEX('Wind base'!$AF$5:$AL$11,MATCH($T237,'Wind base'!$AE$5:$AE$11,0),MATCH($V237,'Wind base'!$AF$4:$AL$4,0))</f>
        <v>0.63</v>
      </c>
      <c r="AA237" s="501">
        <f t="shared" si="35"/>
        <v>0.70794999999999997</v>
      </c>
      <c r="AB237" s="501">
        <f t="shared" si="36"/>
        <v>0.66162500000000002</v>
      </c>
      <c r="AC237" s="501">
        <f t="shared" si="37"/>
        <v>0.70192774999999996</v>
      </c>
    </row>
    <row r="238" spans="1:29" ht="15" customHeight="1">
      <c r="A238" s="457">
        <f t="shared" si="32"/>
        <v>1</v>
      </c>
      <c r="B238" s="701" t="str">
        <f t="shared" si="38"/>
        <v>T133</v>
      </c>
      <c r="C238" s="701" t="str">
        <f t="shared" si="39"/>
        <v>T136</v>
      </c>
      <c r="D238" s="885" t="str">
        <f t="shared" si="40"/>
        <v>T13-</v>
      </c>
      <c r="F238" s="1105" t="str">
        <f t="shared" si="33"/>
        <v>T13</v>
      </c>
      <c r="G238" s="1106"/>
      <c r="H238" s="692">
        <f t="shared" si="34"/>
        <v>41.8</v>
      </c>
      <c r="I238" s="689">
        <f t="shared" si="41"/>
        <v>27.35</v>
      </c>
      <c r="J238" s="689">
        <f t="shared" si="42"/>
        <v>41.8</v>
      </c>
      <c r="K238" s="690">
        <f t="shared" si="43"/>
        <v>0.70586537500000002</v>
      </c>
      <c r="L238" s="691">
        <f t="shared" si="44"/>
        <v>0.27388626839678909</v>
      </c>
      <c r="M238" s="700">
        <f>IFERROR(IF(J238="","",IF($H$196="-","-",INDEX(BD!$A$1:$K$2510,MATCH('2.Win Load'!B238,BD!$A$1:$A$2510,0),6))),"")</f>
        <v>1.934E-3</v>
      </c>
      <c r="N238" s="700">
        <f>IFERROR(IF($J238="","",IF($I$196="-","-",INDEX(BD!$A$1:$K$2510,MATCH('2.Win Load'!C238,BD!$A$1:$A$2510,0),6))),"")</f>
        <v>-5.2550000000000001E-3</v>
      </c>
      <c r="O238" s="700" t="str">
        <f>IFERROR(IF($J238="","",IF($J$196="-","-",INDEX(BD!$A$1:$K$2510,MATCH('2.Win Load'!D238,BD!$A$1:$A$2510,0),6))),"")</f>
        <v>-</v>
      </c>
      <c r="P238" s="692">
        <f t="shared" si="45"/>
        <v>40.256499097952869</v>
      </c>
      <c r="Q238" s="692">
        <f t="shared" si="46"/>
        <v>57.031412113043324</v>
      </c>
      <c r="R238" s="960" t="str">
        <f t="shared" si="47"/>
        <v>-</v>
      </c>
      <c r="S238" s="498">
        <f t="array" ref="S238">MAX(IF('Wind base'!$AE$5:$AE$11&lt;I238,'Wind base'!$AE$5:$AE$11,""))</f>
        <v>20</v>
      </c>
      <c r="T238" s="498">
        <f t="array" ref="T238">MIN(IF('Wind base'!$AE$5:$AE$11&gt;I238,'Wind base'!$AE$5:$AE$11,""))</f>
        <v>40</v>
      </c>
      <c r="U238" s="499">
        <f t="array" ref="U238">MAX(IF('Wind base'!$AF$4:$AL$4&lt;J238,'Wind base'!$AF$4:$AL$4,""),5)</f>
        <v>40</v>
      </c>
      <c r="V238" s="498">
        <f t="array" ref="V238">MIN(IF('Wind base'!$AF$4:$AL$4&gt;J238,'Wind base'!$AF$4:$AL$4,""))</f>
        <v>80</v>
      </c>
      <c r="W238" s="500">
        <f t="array" ref="W238">INDEX('Wind base'!$AF$5:$AL$11,MATCH($S238,'Wind base'!$AE$5:$AE$11,0),MATCH($U238,'Wind base'!$AF$4:$AL$4,0))</f>
        <v>0.73</v>
      </c>
      <c r="X238" s="500">
        <f t="array" ref="X238">INDEX('Wind base'!$AF$5:$AL$11,MATCH($S238,'Wind base'!$AE$5:$AE$11,0),MATCH($V238,'Wind base'!$AF$4:$AL$4,0))</f>
        <v>0.68</v>
      </c>
      <c r="Y238" s="500">
        <f t="array" ref="Y238">INDEX('Wind base'!$AF$5:$AL$11,MATCH($T238,'Wind base'!$AE$5:$AE$11,0),MATCH($U238,'Wind base'!$AF$4:$AL$4,0))</f>
        <v>0.67</v>
      </c>
      <c r="Z238" s="500">
        <f t="array" ref="Z238">INDEX('Wind base'!$AF$5:$AL$11,MATCH($T238,'Wind base'!$AE$5:$AE$11,0),MATCH($V238,'Wind base'!$AF$4:$AL$4,0))</f>
        <v>0.63</v>
      </c>
      <c r="AA238" s="501">
        <f t="shared" si="35"/>
        <v>0.70794999999999997</v>
      </c>
      <c r="AB238" s="501">
        <f t="shared" si="36"/>
        <v>0.66162500000000002</v>
      </c>
      <c r="AC238" s="501">
        <f t="shared" si="37"/>
        <v>0.70586537500000002</v>
      </c>
    </row>
    <row r="239" spans="1:29" ht="15" customHeight="1">
      <c r="A239" s="457">
        <f t="shared" si="32"/>
        <v>1</v>
      </c>
      <c r="B239" s="701" t="str">
        <f t="shared" si="38"/>
        <v>T123</v>
      </c>
      <c r="C239" s="701" t="str">
        <f t="shared" si="39"/>
        <v>T126</v>
      </c>
      <c r="D239" s="885" t="str">
        <f t="shared" si="40"/>
        <v>T12-</v>
      </c>
      <c r="F239" s="1105" t="str">
        <f t="shared" si="33"/>
        <v>T12</v>
      </c>
      <c r="G239" s="1106"/>
      <c r="H239" s="692">
        <f t="shared" si="34"/>
        <v>38.4</v>
      </c>
      <c r="I239" s="689">
        <f t="shared" si="41"/>
        <v>27.35</v>
      </c>
      <c r="J239" s="689">
        <f t="shared" si="42"/>
        <v>38.4</v>
      </c>
      <c r="K239" s="690">
        <f t="shared" si="43"/>
        <v>0.71034999999999993</v>
      </c>
      <c r="L239" s="691">
        <f t="shared" si="44"/>
        <v>0.27549547858534507</v>
      </c>
      <c r="M239" s="700">
        <f>IFERROR(IF(J239="","",IF($H$196="-","-",INDEX(BD!$A$1:$K$2510,MATCH('2.Win Load'!B239,BD!$A$1:$A$2510,0),6))),"")</f>
        <v>1.732E-3</v>
      </c>
      <c r="N239" s="700">
        <f>IFERROR(IF($J239="","",IF($I$196="-","-",INDEX(BD!$A$1:$K$2510,MATCH('2.Win Load'!C239,BD!$A$1:$A$2510,0),6))),"")</f>
        <v>-5.0049999999999999E-3</v>
      </c>
      <c r="O239" s="700" t="str">
        <f>IFERROR(IF($J239="","",IF($J$196="-","-",INDEX(BD!$A$1:$K$2510,MATCH('2.Win Load'!D239,BD!$A$1:$A$2510,0),6))),"")</f>
        <v>-</v>
      </c>
      <c r="P239" s="692">
        <f t="shared" si="45"/>
        <v>40.303948858434588</v>
      </c>
      <c r="Q239" s="692">
        <f t="shared" si="46"/>
        <v>56.738155639381425</v>
      </c>
      <c r="R239" s="960" t="str">
        <f t="shared" si="47"/>
        <v>-</v>
      </c>
      <c r="S239" s="498">
        <f t="array" ref="S239">MAX(IF('Wind base'!$AE$5:$AE$11&lt;I239,'Wind base'!$AE$5:$AE$11,""))</f>
        <v>20</v>
      </c>
      <c r="T239" s="498">
        <f t="array" ref="T239">MIN(IF('Wind base'!$AE$5:$AE$11&gt;I239,'Wind base'!$AE$5:$AE$11,""))</f>
        <v>40</v>
      </c>
      <c r="U239" s="499">
        <f t="array" ref="U239">MAX(IF('Wind base'!$AF$4:$AL$4&lt;J239,'Wind base'!$AF$4:$AL$4,""),5)</f>
        <v>20</v>
      </c>
      <c r="V239" s="498">
        <f t="array" ref="V239">MIN(IF('Wind base'!$AF$4:$AL$4&gt;J239,'Wind base'!$AF$4:$AL$4,""))</f>
        <v>40</v>
      </c>
      <c r="W239" s="500">
        <f t="array" ref="W239">INDEX('Wind base'!$AF$5:$AL$11,MATCH($S239,'Wind base'!$AE$5:$AE$11,0),MATCH($U239,'Wind base'!$AF$4:$AL$4,0))</f>
        <v>0.76</v>
      </c>
      <c r="X239" s="500">
        <f t="array" ref="X239">INDEX('Wind base'!$AF$5:$AL$11,MATCH($S239,'Wind base'!$AE$5:$AE$11,0),MATCH($V239,'Wind base'!$AF$4:$AL$4,0))</f>
        <v>0.73</v>
      </c>
      <c r="Y239" s="500">
        <f t="array" ref="Y239">INDEX('Wind base'!$AF$5:$AL$11,MATCH($T239,'Wind base'!$AE$5:$AE$11,0),MATCH($U239,'Wind base'!$AF$4:$AL$4,0))</f>
        <v>0.7</v>
      </c>
      <c r="Z239" s="500">
        <f t="array" ref="Z239">INDEX('Wind base'!$AF$5:$AL$11,MATCH($T239,'Wind base'!$AE$5:$AE$11,0),MATCH($V239,'Wind base'!$AF$4:$AL$4,0))</f>
        <v>0.67</v>
      </c>
      <c r="AA239" s="501">
        <f t="shared" si="35"/>
        <v>0.73794999999999999</v>
      </c>
      <c r="AB239" s="501">
        <f t="shared" si="36"/>
        <v>0.70794999999999997</v>
      </c>
      <c r="AC239" s="501">
        <f t="shared" si="37"/>
        <v>0.71034999999999993</v>
      </c>
    </row>
    <row r="240" spans="1:29" ht="15" customHeight="1">
      <c r="A240" s="457">
        <f t="shared" si="32"/>
        <v>1</v>
      </c>
      <c r="B240" s="701" t="str">
        <f t="shared" si="38"/>
        <v>T113</v>
      </c>
      <c r="C240" s="701" t="str">
        <f t="shared" si="39"/>
        <v>T116</v>
      </c>
      <c r="D240" s="885" t="str">
        <f t="shared" si="40"/>
        <v>T11-</v>
      </c>
      <c r="F240" s="1105" t="str">
        <f t="shared" si="33"/>
        <v>T11</v>
      </c>
      <c r="G240" s="1106"/>
      <c r="H240" s="692">
        <f t="shared" si="34"/>
        <v>35</v>
      </c>
      <c r="I240" s="689">
        <f t="shared" si="41"/>
        <v>27.35</v>
      </c>
      <c r="J240" s="689">
        <f t="shared" si="42"/>
        <v>35</v>
      </c>
      <c r="K240" s="690">
        <f t="shared" si="43"/>
        <v>0.71544999999999992</v>
      </c>
      <c r="L240" s="691">
        <f t="shared" si="44"/>
        <v>0.27726255795831445</v>
      </c>
      <c r="M240" s="700">
        <f>IFERROR(IF(J240="","",IF($H$196="-","-",INDEX(BD!$A$1:$K$2510,MATCH('2.Win Load'!B240,BD!$A$1:$A$2510,0),6))),"")</f>
        <v>1.5349999999999999E-3</v>
      </c>
      <c r="N240" s="700">
        <f>IFERROR(IF($J240="","",IF($I$196="-","-",INDEX(BD!$A$1:$K$2510,MATCH('2.Win Load'!C240,BD!$A$1:$A$2510,0),6))),"")</f>
        <v>-4.692E-3</v>
      </c>
      <c r="O240" s="700" t="str">
        <f>IFERROR(IF($J240="","",IF($J$196="-","-",INDEX(BD!$A$1:$K$2510,MATCH('2.Win Load'!D240,BD!$A$1:$A$2510,0),6))),"")</f>
        <v>-</v>
      </c>
      <c r="P240" s="692">
        <f t="shared" si="45"/>
        <v>40.365558177208321</v>
      </c>
      <c r="Q240" s="692">
        <f t="shared" si="46"/>
        <v>56.419817146143437</v>
      </c>
      <c r="R240" s="960" t="str">
        <f t="shared" si="47"/>
        <v>-</v>
      </c>
      <c r="S240" s="498">
        <f t="array" ref="S240">MAX(IF('Wind base'!$AE$5:$AE$11&lt;I240,'Wind base'!$AE$5:$AE$11,""))</f>
        <v>20</v>
      </c>
      <c r="T240" s="498">
        <f t="array" ref="T240">MIN(IF('Wind base'!$AE$5:$AE$11&gt;I240,'Wind base'!$AE$5:$AE$11,""))</f>
        <v>40</v>
      </c>
      <c r="U240" s="499">
        <f t="array" ref="U240">MAX(IF('Wind base'!$AF$4:$AL$4&lt;J240,'Wind base'!$AF$4:$AL$4,""),5)</f>
        <v>20</v>
      </c>
      <c r="V240" s="498">
        <f t="array" ref="V240">MIN(IF('Wind base'!$AF$4:$AL$4&gt;J240,'Wind base'!$AF$4:$AL$4,""))</f>
        <v>40</v>
      </c>
      <c r="W240" s="500">
        <f t="array" ref="W240">INDEX('Wind base'!$AF$5:$AL$11,MATCH($S240,'Wind base'!$AE$5:$AE$11,0),MATCH($U240,'Wind base'!$AF$4:$AL$4,0))</f>
        <v>0.76</v>
      </c>
      <c r="X240" s="500">
        <f t="array" ref="X240">INDEX('Wind base'!$AF$5:$AL$11,MATCH($S240,'Wind base'!$AE$5:$AE$11,0),MATCH($V240,'Wind base'!$AF$4:$AL$4,0))</f>
        <v>0.73</v>
      </c>
      <c r="Y240" s="500">
        <f t="array" ref="Y240">INDEX('Wind base'!$AF$5:$AL$11,MATCH($T240,'Wind base'!$AE$5:$AE$11,0),MATCH($U240,'Wind base'!$AF$4:$AL$4,0))</f>
        <v>0.7</v>
      </c>
      <c r="Z240" s="500">
        <f t="array" ref="Z240">INDEX('Wind base'!$AF$5:$AL$11,MATCH($T240,'Wind base'!$AE$5:$AE$11,0),MATCH($V240,'Wind base'!$AF$4:$AL$4,0))</f>
        <v>0.67</v>
      </c>
      <c r="AA240" s="501">
        <f t="shared" si="35"/>
        <v>0.73794999999999999</v>
      </c>
      <c r="AB240" s="501">
        <f t="shared" si="36"/>
        <v>0.70794999999999997</v>
      </c>
      <c r="AC240" s="501">
        <f t="shared" si="37"/>
        <v>0.71544999999999992</v>
      </c>
    </row>
    <row r="241" spans="1:29" ht="15" customHeight="1">
      <c r="A241" s="457">
        <f t="shared" si="32"/>
        <v>1</v>
      </c>
      <c r="B241" s="701" t="str">
        <f t="shared" si="38"/>
        <v>T103</v>
      </c>
      <c r="C241" s="701" t="str">
        <f t="shared" si="39"/>
        <v>T106</v>
      </c>
      <c r="D241" s="885" t="str">
        <f t="shared" si="40"/>
        <v>T10-</v>
      </c>
      <c r="F241" s="1105" t="str">
        <f t="shared" si="33"/>
        <v>T10</v>
      </c>
      <c r="G241" s="1106"/>
      <c r="H241" s="692">
        <f t="shared" si="34"/>
        <v>31.6</v>
      </c>
      <c r="I241" s="689">
        <f t="shared" si="41"/>
        <v>27.35</v>
      </c>
      <c r="J241" s="689">
        <f t="shared" si="42"/>
        <v>31.6</v>
      </c>
      <c r="K241" s="690">
        <f t="shared" si="43"/>
        <v>0.72055000000000002</v>
      </c>
      <c r="L241" s="691">
        <f t="shared" si="44"/>
        <v>0.27922051871967063</v>
      </c>
      <c r="M241" s="700">
        <f>IFERROR(IF(J241="","",IF($H$196="-","-",INDEX(BD!$A$1:$K$2510,MATCH('2.Win Load'!B241,BD!$A$1:$A$2510,0),6))),"")</f>
        <v>1.3420000000000001E-3</v>
      </c>
      <c r="N241" s="700">
        <f>IFERROR(IF($J241="","",IF($I$196="-","-",INDEX(BD!$A$1:$K$2510,MATCH('2.Win Load'!C241,BD!$A$1:$A$2510,0),6))),"")</f>
        <v>-4.3239999999999997E-3</v>
      </c>
      <c r="O241" s="700" t="str">
        <f>IFERROR(IF($J241="","",IF($J$196="-","-",INDEX(BD!$A$1:$K$2510,MATCH('2.Win Load'!D241,BD!$A$1:$A$2510,0),6))),"")</f>
        <v>-</v>
      </c>
      <c r="P241" s="692">
        <f t="shared" si="45"/>
        <v>40.402331280600841</v>
      </c>
      <c r="Q241" s="692">
        <f t="shared" si="46"/>
        <v>56.071516592326468</v>
      </c>
      <c r="R241" s="960" t="str">
        <f t="shared" si="47"/>
        <v>-</v>
      </c>
      <c r="S241" s="498">
        <f t="array" ref="S241">MAX(IF('Wind base'!$AE$5:$AE$11&lt;I241,'Wind base'!$AE$5:$AE$11,""))</f>
        <v>20</v>
      </c>
      <c r="T241" s="498">
        <f t="array" ref="T241">MIN(IF('Wind base'!$AE$5:$AE$11&gt;I241,'Wind base'!$AE$5:$AE$11,""))</f>
        <v>40</v>
      </c>
      <c r="U241" s="499">
        <f t="array" ref="U241">MAX(IF('Wind base'!$AF$4:$AL$4&lt;J241,'Wind base'!$AF$4:$AL$4,""),5)</f>
        <v>20</v>
      </c>
      <c r="V241" s="498">
        <f t="array" ref="V241">MIN(IF('Wind base'!$AF$4:$AL$4&gt;J241,'Wind base'!$AF$4:$AL$4,""))</f>
        <v>40</v>
      </c>
      <c r="W241" s="500">
        <f t="array" ref="W241">INDEX('Wind base'!$AF$5:$AL$11,MATCH($S241,'Wind base'!$AE$5:$AE$11,0),MATCH($U241,'Wind base'!$AF$4:$AL$4,0))</f>
        <v>0.76</v>
      </c>
      <c r="X241" s="500">
        <f t="array" ref="X241">INDEX('Wind base'!$AF$5:$AL$11,MATCH($S241,'Wind base'!$AE$5:$AE$11,0),MATCH($V241,'Wind base'!$AF$4:$AL$4,0))</f>
        <v>0.73</v>
      </c>
      <c r="Y241" s="500">
        <f t="array" ref="Y241">INDEX('Wind base'!$AF$5:$AL$11,MATCH($T241,'Wind base'!$AE$5:$AE$11,0),MATCH($U241,'Wind base'!$AF$4:$AL$4,0))</f>
        <v>0.7</v>
      </c>
      <c r="Z241" s="500">
        <f t="array" ref="Z241">INDEX('Wind base'!$AF$5:$AL$11,MATCH($T241,'Wind base'!$AE$5:$AE$11,0),MATCH($V241,'Wind base'!$AF$4:$AL$4,0))</f>
        <v>0.67</v>
      </c>
      <c r="AA241" s="501">
        <f t="shared" si="35"/>
        <v>0.73794999999999999</v>
      </c>
      <c r="AB241" s="501">
        <f t="shared" si="36"/>
        <v>0.70794999999999997</v>
      </c>
      <c r="AC241" s="501">
        <f t="shared" si="37"/>
        <v>0.72055000000000002</v>
      </c>
    </row>
    <row r="242" spans="1:29" ht="15" customHeight="1">
      <c r="A242" s="457">
        <f t="shared" si="32"/>
        <v>1</v>
      </c>
      <c r="B242" s="701" t="str">
        <f t="shared" si="38"/>
        <v>T93</v>
      </c>
      <c r="C242" s="701" t="str">
        <f t="shared" si="39"/>
        <v>T96</v>
      </c>
      <c r="D242" s="885" t="str">
        <f t="shared" si="40"/>
        <v>T9-</v>
      </c>
      <c r="F242" s="1105" t="str">
        <f t="shared" si="33"/>
        <v>T9</v>
      </c>
      <c r="G242" s="1106"/>
      <c r="H242" s="692">
        <f t="shared" si="34"/>
        <v>28.2</v>
      </c>
      <c r="I242" s="689">
        <f t="shared" si="41"/>
        <v>27.35</v>
      </c>
      <c r="J242" s="689">
        <f t="shared" si="42"/>
        <v>28.2</v>
      </c>
      <c r="K242" s="690">
        <f t="shared" si="43"/>
        <v>0.72565000000000002</v>
      </c>
      <c r="L242" s="691">
        <f t="shared" si="44"/>
        <v>0.28141377274660173</v>
      </c>
      <c r="M242" s="700">
        <f>IFERROR(IF(J242="","",IF($H$196="-","-",INDEX(BD!$A$1:$K$2510,MATCH('2.Win Load'!B242,BD!$A$1:$A$2510,0),6))),"")</f>
        <v>1.155E-3</v>
      </c>
      <c r="N242" s="700">
        <f>IFERROR(IF($J242="","",IF($I$196="-","-",INDEX(BD!$A$1:$K$2510,MATCH('2.Win Load'!C242,BD!$A$1:$A$2510,0),6))),"")</f>
        <v>-3.9090000000000001E-3</v>
      </c>
      <c r="O242" s="700" t="str">
        <f>IFERROR(IF($J242="","",IF($J$196="-","-",INDEX(BD!$A$1:$K$2510,MATCH('2.Win Load'!D242,BD!$A$1:$A$2510,0),6))),"")</f>
        <v>-</v>
      </c>
      <c r="P242" s="692">
        <f t="shared" si="45"/>
        <v>40.40910631482118</v>
      </c>
      <c r="Q242" s="692">
        <f t="shared" si="46"/>
        <v>55.686772293559123</v>
      </c>
      <c r="R242" s="960" t="str">
        <f t="shared" si="47"/>
        <v>-</v>
      </c>
      <c r="S242" s="498">
        <f t="array" ref="S242">MAX(IF('Wind base'!$AE$5:$AE$11&lt;I242,'Wind base'!$AE$5:$AE$11,""))</f>
        <v>20</v>
      </c>
      <c r="T242" s="498">
        <f t="array" ref="T242">MIN(IF('Wind base'!$AE$5:$AE$11&gt;I242,'Wind base'!$AE$5:$AE$11,""))</f>
        <v>40</v>
      </c>
      <c r="U242" s="499">
        <f t="array" ref="U242">MAX(IF('Wind base'!$AF$4:$AL$4&lt;J242,'Wind base'!$AF$4:$AL$4,""),5)</f>
        <v>20</v>
      </c>
      <c r="V242" s="498">
        <f t="array" ref="V242">MIN(IF('Wind base'!$AF$4:$AL$4&gt;J242,'Wind base'!$AF$4:$AL$4,""))</f>
        <v>40</v>
      </c>
      <c r="W242" s="500">
        <f t="array" ref="W242">INDEX('Wind base'!$AF$5:$AL$11,MATCH($S242,'Wind base'!$AE$5:$AE$11,0),MATCH($U242,'Wind base'!$AF$4:$AL$4,0))</f>
        <v>0.76</v>
      </c>
      <c r="X242" s="500">
        <f t="array" ref="X242">INDEX('Wind base'!$AF$5:$AL$11,MATCH($S242,'Wind base'!$AE$5:$AE$11,0),MATCH($V242,'Wind base'!$AF$4:$AL$4,0))</f>
        <v>0.73</v>
      </c>
      <c r="Y242" s="500">
        <f t="array" ref="Y242">INDEX('Wind base'!$AF$5:$AL$11,MATCH($T242,'Wind base'!$AE$5:$AE$11,0),MATCH($U242,'Wind base'!$AF$4:$AL$4,0))</f>
        <v>0.7</v>
      </c>
      <c r="Z242" s="500">
        <f t="array" ref="Z242">INDEX('Wind base'!$AF$5:$AL$11,MATCH($T242,'Wind base'!$AE$5:$AE$11,0),MATCH($V242,'Wind base'!$AF$4:$AL$4,0))</f>
        <v>0.67</v>
      </c>
      <c r="AA242" s="501">
        <f t="shared" si="35"/>
        <v>0.73794999999999999</v>
      </c>
      <c r="AB242" s="501">
        <f t="shared" si="36"/>
        <v>0.70794999999999997</v>
      </c>
      <c r="AC242" s="501">
        <f t="shared" si="37"/>
        <v>0.72565000000000002</v>
      </c>
    </row>
    <row r="243" spans="1:29" ht="15" customHeight="1">
      <c r="A243" s="457">
        <f t="shared" ref="A243:A274" si="48">IF(F243="","",1)</f>
        <v>1</v>
      </c>
      <c r="B243" s="701" t="str">
        <f t="shared" si="38"/>
        <v>T83</v>
      </c>
      <c r="C243" s="701" t="str">
        <f t="shared" si="39"/>
        <v>T86</v>
      </c>
      <c r="D243" s="885" t="str">
        <f t="shared" si="40"/>
        <v>T8-</v>
      </c>
      <c r="F243" s="1105" t="str">
        <f t="shared" si="33"/>
        <v>T8</v>
      </c>
      <c r="G243" s="1106"/>
      <c r="H243" s="692">
        <f t="shared" si="34"/>
        <v>24.8</v>
      </c>
      <c r="I243" s="689">
        <f t="shared" si="41"/>
        <v>27.35</v>
      </c>
      <c r="J243" s="689">
        <f t="shared" si="42"/>
        <v>24.8</v>
      </c>
      <c r="K243" s="690">
        <f t="shared" si="43"/>
        <v>0.73075000000000001</v>
      </c>
      <c r="L243" s="691">
        <f t="shared" si="44"/>
        <v>0.28390401899364226</v>
      </c>
      <c r="M243" s="700">
        <f>IFERROR(IF(J243="","",IF($H$196="-","-",INDEX(BD!$A$1:$K$2510,MATCH('2.Win Load'!B243,BD!$A$1:$A$2510,0),6))),"")</f>
        <v>9.7599999999999998E-4</v>
      </c>
      <c r="N243" s="700">
        <f>IFERROR(IF($J243="","",IF($I$196="-","-",INDEX(BD!$A$1:$K$2510,MATCH('2.Win Load'!C243,BD!$A$1:$A$2510,0),6))),"")</f>
        <v>-3.4559999999999999E-3</v>
      </c>
      <c r="O243" s="700" t="str">
        <f>IFERROR(IF($J243="","",IF($J$196="-","-",INDEX(BD!$A$1:$K$2510,MATCH('2.Win Load'!D243,BD!$A$1:$A$2510,0),6))),"")</f>
        <v>-</v>
      </c>
      <c r="P243" s="692">
        <f t="shared" si="45"/>
        <v>40.378838401132349</v>
      </c>
      <c r="Q243" s="692">
        <f t="shared" si="46"/>
        <v>55.25670667277776</v>
      </c>
      <c r="R243" s="960" t="str">
        <f t="shared" si="47"/>
        <v>-</v>
      </c>
      <c r="S243" s="498">
        <f t="array" ref="S243">MAX(IF('Wind base'!$AE$5:$AE$11&lt;I243,'Wind base'!$AE$5:$AE$11,""))</f>
        <v>20</v>
      </c>
      <c r="T243" s="498">
        <f t="array" ref="T243">MIN(IF('Wind base'!$AE$5:$AE$11&gt;I243,'Wind base'!$AE$5:$AE$11,""))</f>
        <v>40</v>
      </c>
      <c r="U243" s="499">
        <f t="array" ref="U243">MAX(IF('Wind base'!$AF$4:$AL$4&lt;J243,'Wind base'!$AF$4:$AL$4,""),5)</f>
        <v>20</v>
      </c>
      <c r="V243" s="498">
        <f t="array" ref="V243">MIN(IF('Wind base'!$AF$4:$AL$4&gt;J243,'Wind base'!$AF$4:$AL$4,""))</f>
        <v>40</v>
      </c>
      <c r="W243" s="500">
        <f t="array" ref="W243">INDEX('Wind base'!$AF$5:$AL$11,MATCH($S243,'Wind base'!$AE$5:$AE$11,0),MATCH($U243,'Wind base'!$AF$4:$AL$4,0))</f>
        <v>0.76</v>
      </c>
      <c r="X243" s="500">
        <f t="array" ref="X243">INDEX('Wind base'!$AF$5:$AL$11,MATCH($S243,'Wind base'!$AE$5:$AE$11,0),MATCH($V243,'Wind base'!$AF$4:$AL$4,0))</f>
        <v>0.73</v>
      </c>
      <c r="Y243" s="500">
        <f t="array" ref="Y243">INDEX('Wind base'!$AF$5:$AL$11,MATCH($T243,'Wind base'!$AE$5:$AE$11,0),MATCH($U243,'Wind base'!$AF$4:$AL$4,0))</f>
        <v>0.7</v>
      </c>
      <c r="Z243" s="500">
        <f t="array" ref="Z243">INDEX('Wind base'!$AF$5:$AL$11,MATCH($T243,'Wind base'!$AE$5:$AE$11,0),MATCH($V243,'Wind base'!$AF$4:$AL$4,0))</f>
        <v>0.67</v>
      </c>
      <c r="AA243" s="501">
        <f t="shared" ref="AA243:AA274" si="49">Y243+(T243-I243)/(T243-S243)*(W243-Y243)</f>
        <v>0.73794999999999999</v>
      </c>
      <c r="AB243" s="501">
        <f t="shared" ref="AB243:AB274" si="50">Z243+(T243-I243)/(T243-S243)*(X243-Z243)</f>
        <v>0.70794999999999997</v>
      </c>
      <c r="AC243" s="501">
        <f t="shared" ref="AC243:AC274" si="51">IFERROR(AB243+(V243-J243)*(AA243-AB243)/(V243-U243),AA243)</f>
        <v>0.73075000000000001</v>
      </c>
    </row>
    <row r="244" spans="1:29" ht="15" customHeight="1">
      <c r="A244" s="457">
        <f t="shared" si="48"/>
        <v>1</v>
      </c>
      <c r="B244" s="701" t="str">
        <f t="shared" si="38"/>
        <v>T73</v>
      </c>
      <c r="C244" s="701" t="str">
        <f t="shared" si="39"/>
        <v>T76</v>
      </c>
      <c r="D244" s="885" t="str">
        <f t="shared" si="40"/>
        <v>T7-</v>
      </c>
      <c r="F244" s="1105" t="str">
        <f t="shared" si="33"/>
        <v>T7</v>
      </c>
      <c r="G244" s="1106"/>
      <c r="H244" s="692">
        <f t="shared" si="34"/>
        <v>21.4</v>
      </c>
      <c r="I244" s="689">
        <f t="shared" si="41"/>
        <v>27.35</v>
      </c>
      <c r="J244" s="689">
        <f t="shared" si="42"/>
        <v>21.4</v>
      </c>
      <c r="K244" s="690">
        <f t="shared" si="43"/>
        <v>0.73585</v>
      </c>
      <c r="L244" s="691">
        <f t="shared" si="44"/>
        <v>0.28678047599745321</v>
      </c>
      <c r="M244" s="700">
        <f>IFERROR(IF(J244="","",IF($H$196="-","-",INDEX(BD!$A$1:$K$2510,MATCH('2.Win Load'!B244,BD!$A$1:$A$2510,0),6))),"")</f>
        <v>8.0500000000000005E-4</v>
      </c>
      <c r="N244" s="700">
        <f>IFERROR(IF($J244="","",IF($I$196="-","-",INDEX(BD!$A$1:$K$2510,MATCH('2.Win Load'!C244,BD!$A$1:$A$2510,0),6))),"")</f>
        <v>-2.9759999999999999E-3</v>
      </c>
      <c r="O244" s="700" t="str">
        <f>IFERROR(IF($J244="","",IF($J$196="-","-",INDEX(BD!$A$1:$K$2510,MATCH('2.Win Load'!D244,BD!$A$1:$A$2510,0),6))),"")</f>
        <v>-</v>
      </c>
      <c r="P244" s="692">
        <f t="shared" si="45"/>
        <v>40.301537573997329</v>
      </c>
      <c r="Q244" s="692">
        <f t="shared" si="46"/>
        <v>54.76868597403999</v>
      </c>
      <c r="R244" s="960" t="str">
        <f t="shared" si="47"/>
        <v>-</v>
      </c>
      <c r="S244" s="498">
        <f t="array" ref="S244">MAX(IF('Wind base'!$AE$5:$AE$11&lt;I244,'Wind base'!$AE$5:$AE$11,""))</f>
        <v>20</v>
      </c>
      <c r="T244" s="498">
        <f t="array" ref="T244">MIN(IF('Wind base'!$AE$5:$AE$11&gt;I244,'Wind base'!$AE$5:$AE$11,""))</f>
        <v>40</v>
      </c>
      <c r="U244" s="499">
        <f t="array" ref="U244">MAX(IF('Wind base'!$AF$4:$AL$4&lt;J244,'Wind base'!$AF$4:$AL$4,""),5)</f>
        <v>20</v>
      </c>
      <c r="V244" s="498">
        <f t="array" ref="V244">MIN(IF('Wind base'!$AF$4:$AL$4&gt;J244,'Wind base'!$AF$4:$AL$4,""))</f>
        <v>40</v>
      </c>
      <c r="W244" s="500">
        <f t="array" ref="W244">INDEX('Wind base'!$AF$5:$AL$11,MATCH($S244,'Wind base'!$AE$5:$AE$11,0),MATCH($U244,'Wind base'!$AF$4:$AL$4,0))</f>
        <v>0.76</v>
      </c>
      <c r="X244" s="500">
        <f t="array" ref="X244">INDEX('Wind base'!$AF$5:$AL$11,MATCH($S244,'Wind base'!$AE$5:$AE$11,0),MATCH($V244,'Wind base'!$AF$4:$AL$4,0))</f>
        <v>0.73</v>
      </c>
      <c r="Y244" s="500">
        <f t="array" ref="Y244">INDEX('Wind base'!$AF$5:$AL$11,MATCH($T244,'Wind base'!$AE$5:$AE$11,0),MATCH($U244,'Wind base'!$AF$4:$AL$4,0))</f>
        <v>0.7</v>
      </c>
      <c r="Z244" s="500">
        <f t="array" ref="Z244">INDEX('Wind base'!$AF$5:$AL$11,MATCH($T244,'Wind base'!$AE$5:$AE$11,0),MATCH($V244,'Wind base'!$AF$4:$AL$4,0))</f>
        <v>0.67</v>
      </c>
      <c r="AA244" s="501">
        <f t="shared" si="49"/>
        <v>0.73794999999999999</v>
      </c>
      <c r="AB244" s="501">
        <f t="shared" si="50"/>
        <v>0.70794999999999997</v>
      </c>
      <c r="AC244" s="501">
        <f t="shared" si="51"/>
        <v>0.73585</v>
      </c>
    </row>
    <row r="245" spans="1:29" ht="15" customHeight="1">
      <c r="A245" s="457">
        <f t="shared" si="48"/>
        <v>1</v>
      </c>
      <c r="B245" s="701" t="str">
        <f t="shared" si="38"/>
        <v>T63</v>
      </c>
      <c r="C245" s="701" t="str">
        <f t="shared" si="39"/>
        <v>T66</v>
      </c>
      <c r="D245" s="885" t="str">
        <f t="shared" si="40"/>
        <v>T6-</v>
      </c>
      <c r="F245" s="1105" t="str">
        <f t="shared" si="33"/>
        <v>T6</v>
      </c>
      <c r="G245" s="1106"/>
      <c r="H245" s="692">
        <f t="shared" si="34"/>
        <v>18</v>
      </c>
      <c r="I245" s="689">
        <f t="shared" si="41"/>
        <v>27.35</v>
      </c>
      <c r="J245" s="689">
        <f t="shared" ref="J245:J275" si="52">IF(AND(F245&lt;&gt;"",F245&lt;&gt;"BASE"),IF(H245&gt;0,H245,""),"")</f>
        <v>18</v>
      </c>
      <c r="K245" s="690">
        <f t="shared" ref="K245:K274" si="53">IF(AND(F245&lt;&gt;"",F245&lt;&gt;"BASE",H245&gt;0),AC245,"")</f>
        <v>0.74195</v>
      </c>
      <c r="L245" s="691">
        <f t="shared" si="44"/>
        <v>0.29017896276236688</v>
      </c>
      <c r="M245" s="700">
        <f>IFERROR(IF(J245="","",IF($H$196="-","-",INDEX(BD!$A$1:$K$2510,MATCH('2.Win Load'!B245,BD!$A$1:$A$2510,0),6))),"")</f>
        <v>6.4400000000000004E-4</v>
      </c>
      <c r="N245" s="700">
        <f>IFERROR(IF($J245="","",IF($I$196="-","-",INDEX(BD!$A$1:$K$2510,MATCH('2.Win Load'!C245,BD!$A$1:$A$2510,0),6))),"")</f>
        <v>-2.4789999999999999E-3</v>
      </c>
      <c r="O245" s="700" t="str">
        <f>IFERROR(IF($J245="","",IF($J$196="-","-",INDEX(BD!$A$1:$K$2510,MATCH('2.Win Load'!D245,BD!$A$1:$A$2510,0),6))),"")</f>
        <v>-</v>
      </c>
      <c r="P245" s="692">
        <f t="shared" si="45"/>
        <v>40.216528445278072</v>
      </c>
      <c r="Q245" s="692">
        <f t="shared" si="46"/>
        <v>54.203825655742399</v>
      </c>
      <c r="R245" s="960" t="str">
        <f t="shared" si="47"/>
        <v>-</v>
      </c>
      <c r="S245" s="498">
        <f t="array" ref="S245">MAX(IF('Wind base'!$AE$5:$AE$11&lt;I245,'Wind base'!$AE$5:$AE$11,""))</f>
        <v>20</v>
      </c>
      <c r="T245" s="498">
        <f t="array" ref="T245">MIN(IF('Wind base'!$AE$5:$AE$11&gt;I245,'Wind base'!$AE$5:$AE$11,""))</f>
        <v>40</v>
      </c>
      <c r="U245" s="499">
        <f t="array" ref="U245">MAX(IF('Wind base'!$AF$4:$AL$4&lt;J245,'Wind base'!$AF$4:$AL$4,""),5)</f>
        <v>10</v>
      </c>
      <c r="V245" s="498">
        <f t="array" ref="V245">MIN(IF('Wind base'!$AF$4:$AL$4&gt;J245,'Wind base'!$AF$4:$AL$4,""))</f>
        <v>20</v>
      </c>
      <c r="W245" s="500">
        <f t="array" ref="W245">INDEX('Wind base'!$AF$5:$AL$11,MATCH($S245,'Wind base'!$AE$5:$AE$11,0),MATCH($U245,'Wind base'!$AF$4:$AL$4,0))</f>
        <v>0.78</v>
      </c>
      <c r="X245" s="500">
        <f t="array" ref="X245">INDEX('Wind base'!$AF$5:$AL$11,MATCH($S245,'Wind base'!$AE$5:$AE$11,0),MATCH($V245,'Wind base'!$AF$4:$AL$4,0))</f>
        <v>0.76</v>
      </c>
      <c r="Y245" s="500">
        <f t="array" ref="Y245">INDEX('Wind base'!$AF$5:$AL$11,MATCH($T245,'Wind base'!$AE$5:$AE$11,0),MATCH($U245,'Wind base'!$AF$4:$AL$4,0))</f>
        <v>0.72</v>
      </c>
      <c r="Z245" s="500">
        <f t="array" ref="Z245">INDEX('Wind base'!$AF$5:$AL$11,MATCH($T245,'Wind base'!$AE$5:$AE$11,0),MATCH($V245,'Wind base'!$AF$4:$AL$4,0))</f>
        <v>0.7</v>
      </c>
      <c r="AA245" s="501">
        <f t="shared" si="49"/>
        <v>0.75795000000000001</v>
      </c>
      <c r="AB245" s="501">
        <f t="shared" si="50"/>
        <v>0.73794999999999999</v>
      </c>
      <c r="AC245" s="501">
        <f t="shared" si="51"/>
        <v>0.74195</v>
      </c>
    </row>
    <row r="246" spans="1:29" ht="15" customHeight="1">
      <c r="A246" s="457">
        <f t="shared" si="48"/>
        <v>1</v>
      </c>
      <c r="B246" s="701" t="str">
        <f t="shared" si="38"/>
        <v>T53</v>
      </c>
      <c r="C246" s="701" t="str">
        <f t="shared" si="39"/>
        <v>T56</v>
      </c>
      <c r="D246" s="885" t="str">
        <f t="shared" si="40"/>
        <v>T5-</v>
      </c>
      <c r="F246" s="1105" t="str">
        <f t="shared" si="33"/>
        <v>T5</v>
      </c>
      <c r="G246" s="1106"/>
      <c r="H246" s="692">
        <f t="shared" si="34"/>
        <v>14.6</v>
      </c>
      <c r="I246" s="689">
        <f t="shared" si="41"/>
        <v>27.35</v>
      </c>
      <c r="J246" s="689">
        <f t="shared" si="52"/>
        <v>14.6</v>
      </c>
      <c r="K246" s="690">
        <f t="shared" si="53"/>
        <v>0.74875000000000003</v>
      </c>
      <c r="L246" s="691">
        <f t="shared" si="44"/>
        <v>0.29432090733657923</v>
      </c>
      <c r="M246" s="700">
        <f>IFERROR(IF(J246="","",IF($H$196="-","-",INDEX(BD!$A$1:$K$2510,MATCH('2.Win Load'!B246,BD!$A$1:$A$2510,0),6))),"")</f>
        <v>4.95E-4</v>
      </c>
      <c r="N246" s="700">
        <f>IFERROR(IF($J246="","",IF($I$196="-","-",INDEX(BD!$A$1:$K$2510,MATCH('2.Win Load'!C246,BD!$A$1:$A$2510,0),6))),"")</f>
        <v>-1.98E-3</v>
      </c>
      <c r="O246" s="700" t="str">
        <f>IFERROR(IF($J246="","",IF($J$196="-","-",INDEX(BD!$A$1:$K$2510,MATCH('2.Win Load'!D246,BD!$A$1:$A$2510,0),6))),"")</f>
        <v>-</v>
      </c>
      <c r="P246" s="692">
        <f t="shared" si="45"/>
        <v>40.082076095268079</v>
      </c>
      <c r="Q246" s="692">
        <f t="shared" si="46"/>
        <v>53.531988107202771</v>
      </c>
      <c r="R246" s="960" t="str">
        <f t="shared" si="47"/>
        <v>-</v>
      </c>
      <c r="S246" s="498">
        <f t="array" ref="S246">MAX(IF('Wind base'!$AE$5:$AE$11&lt;I246,'Wind base'!$AE$5:$AE$11,""))</f>
        <v>20</v>
      </c>
      <c r="T246" s="498">
        <f t="array" ref="T246">MIN(IF('Wind base'!$AE$5:$AE$11&gt;I246,'Wind base'!$AE$5:$AE$11,""))</f>
        <v>40</v>
      </c>
      <c r="U246" s="499">
        <f t="array" ref="U246">MAX(IF('Wind base'!$AF$4:$AL$4&lt;J246,'Wind base'!$AF$4:$AL$4,""),5)</f>
        <v>10</v>
      </c>
      <c r="V246" s="498">
        <f t="array" ref="V246">MIN(IF('Wind base'!$AF$4:$AL$4&gt;J246,'Wind base'!$AF$4:$AL$4,""))</f>
        <v>20</v>
      </c>
      <c r="W246" s="500">
        <f t="array" ref="W246">INDEX('Wind base'!$AF$5:$AL$11,MATCH($S246,'Wind base'!$AE$5:$AE$11,0),MATCH($U246,'Wind base'!$AF$4:$AL$4,0))</f>
        <v>0.78</v>
      </c>
      <c r="X246" s="500">
        <f t="array" ref="X246">INDEX('Wind base'!$AF$5:$AL$11,MATCH($S246,'Wind base'!$AE$5:$AE$11,0),MATCH($V246,'Wind base'!$AF$4:$AL$4,0))</f>
        <v>0.76</v>
      </c>
      <c r="Y246" s="500">
        <f t="array" ref="Y246">INDEX('Wind base'!$AF$5:$AL$11,MATCH($T246,'Wind base'!$AE$5:$AE$11,0),MATCH($U246,'Wind base'!$AF$4:$AL$4,0))</f>
        <v>0.72</v>
      </c>
      <c r="Z246" s="500">
        <f t="array" ref="Z246">INDEX('Wind base'!$AF$5:$AL$11,MATCH($T246,'Wind base'!$AE$5:$AE$11,0),MATCH($V246,'Wind base'!$AF$4:$AL$4,0))</f>
        <v>0.7</v>
      </c>
      <c r="AA246" s="501">
        <f t="shared" si="49"/>
        <v>0.75795000000000001</v>
      </c>
      <c r="AB246" s="501">
        <f t="shared" si="50"/>
        <v>0.73794999999999999</v>
      </c>
      <c r="AC246" s="501">
        <f t="shared" si="51"/>
        <v>0.74875000000000003</v>
      </c>
    </row>
    <row r="247" spans="1:29" ht="15" customHeight="1">
      <c r="A247" s="457">
        <f t="shared" si="48"/>
        <v>1</v>
      </c>
      <c r="B247" s="701" t="str">
        <f t="shared" si="38"/>
        <v>T43</v>
      </c>
      <c r="C247" s="701" t="str">
        <f t="shared" si="39"/>
        <v>T46</v>
      </c>
      <c r="D247" s="885" t="str">
        <f t="shared" si="40"/>
        <v>T4-</v>
      </c>
      <c r="F247" s="1105" t="str">
        <f t="shared" si="33"/>
        <v>T4</v>
      </c>
      <c r="G247" s="1106"/>
      <c r="H247" s="692">
        <f t="shared" si="34"/>
        <v>11.2</v>
      </c>
      <c r="I247" s="689">
        <f t="shared" si="41"/>
        <v>27.35</v>
      </c>
      <c r="J247" s="689">
        <f t="shared" si="52"/>
        <v>11.2</v>
      </c>
      <c r="K247" s="690">
        <f t="shared" si="53"/>
        <v>0.75555000000000005</v>
      </c>
      <c r="L247" s="691">
        <f t="shared" si="44"/>
        <v>0.29960382063371022</v>
      </c>
      <c r="M247" s="700">
        <f>IFERROR(IF(J247="","",IF($H$196="-","-",INDEX(BD!$A$1:$K$2510,MATCH('2.Win Load'!B247,BD!$A$1:$A$2510,0),6))),"")</f>
        <v>3.6000000000000002E-4</v>
      </c>
      <c r="N247" s="700">
        <f>IFERROR(IF($J247="","",IF($I$196="-","-",INDEX(BD!$A$1:$K$2510,MATCH('2.Win Load'!C247,BD!$A$1:$A$2510,0),6))),"")</f>
        <v>-1.4920000000000001E-3</v>
      </c>
      <c r="O247" s="700" t="str">
        <f>IFERROR(IF($J247="","",IF($J$196="-","-",INDEX(BD!$A$1:$K$2510,MATCH('2.Win Load'!D247,BD!$A$1:$A$2510,0),6))),"")</f>
        <v>-</v>
      </c>
      <c r="P247" s="692">
        <f t="shared" si="45"/>
        <v>39.817821661296868</v>
      </c>
      <c r="Q247" s="692">
        <f t="shared" si="46"/>
        <v>52.700445584404562</v>
      </c>
      <c r="R247" s="960" t="str">
        <f t="shared" si="47"/>
        <v>-</v>
      </c>
      <c r="S247" s="498">
        <f t="array" ref="S247">MAX(IF('Wind base'!$AE$5:$AE$11&lt;I247,'Wind base'!$AE$5:$AE$11,""))</f>
        <v>20</v>
      </c>
      <c r="T247" s="498">
        <f t="array" ref="T247">MIN(IF('Wind base'!$AE$5:$AE$11&gt;I247,'Wind base'!$AE$5:$AE$11,""))</f>
        <v>40</v>
      </c>
      <c r="U247" s="499">
        <f t="array" ref="U247">MAX(IF('Wind base'!$AF$4:$AL$4&lt;J247,'Wind base'!$AF$4:$AL$4,""),5)</f>
        <v>10</v>
      </c>
      <c r="V247" s="498">
        <f t="array" ref="V247">MIN(IF('Wind base'!$AF$4:$AL$4&gt;J247,'Wind base'!$AF$4:$AL$4,""))</f>
        <v>20</v>
      </c>
      <c r="W247" s="500">
        <f t="array" ref="W247">INDEX('Wind base'!$AF$5:$AL$11,MATCH($S247,'Wind base'!$AE$5:$AE$11,0),MATCH($U247,'Wind base'!$AF$4:$AL$4,0))</f>
        <v>0.78</v>
      </c>
      <c r="X247" s="500">
        <f t="array" ref="X247">INDEX('Wind base'!$AF$5:$AL$11,MATCH($S247,'Wind base'!$AE$5:$AE$11,0),MATCH($V247,'Wind base'!$AF$4:$AL$4,0))</f>
        <v>0.76</v>
      </c>
      <c r="Y247" s="500">
        <f t="array" ref="Y247">INDEX('Wind base'!$AF$5:$AL$11,MATCH($T247,'Wind base'!$AE$5:$AE$11,0),MATCH($U247,'Wind base'!$AF$4:$AL$4,0))</f>
        <v>0.72</v>
      </c>
      <c r="Z247" s="500">
        <f t="array" ref="Z247">INDEX('Wind base'!$AF$5:$AL$11,MATCH($T247,'Wind base'!$AE$5:$AE$11,0),MATCH($V247,'Wind base'!$AF$4:$AL$4,0))</f>
        <v>0.7</v>
      </c>
      <c r="AA247" s="501">
        <f t="shared" si="49"/>
        <v>0.75795000000000001</v>
      </c>
      <c r="AB247" s="501">
        <f t="shared" si="50"/>
        <v>0.73794999999999999</v>
      </c>
      <c r="AC247" s="501">
        <f t="shared" si="51"/>
        <v>0.75555000000000005</v>
      </c>
    </row>
    <row r="248" spans="1:29" ht="15" customHeight="1">
      <c r="A248" s="457">
        <f t="shared" si="48"/>
        <v>1</v>
      </c>
      <c r="B248" s="701" t="str">
        <f t="shared" si="38"/>
        <v>T33</v>
      </c>
      <c r="C248" s="701" t="str">
        <f t="shared" si="39"/>
        <v>T36</v>
      </c>
      <c r="D248" s="885" t="str">
        <f t="shared" si="40"/>
        <v>T3-</v>
      </c>
      <c r="F248" s="1105" t="str">
        <f t="shared" si="33"/>
        <v>T3</v>
      </c>
      <c r="G248" s="1106"/>
      <c r="H248" s="692">
        <f t="shared" si="34"/>
        <v>7.8</v>
      </c>
      <c r="I248" s="689">
        <f t="shared" si="41"/>
        <v>27.35</v>
      </c>
      <c r="J248" s="689">
        <f t="shared" si="52"/>
        <v>7.8</v>
      </c>
      <c r="K248" s="690">
        <f t="shared" si="53"/>
        <v>0.76351600000000008</v>
      </c>
      <c r="L248" s="691">
        <f t="shared" si="44"/>
        <v>0.3068541100674162</v>
      </c>
      <c r="M248" s="700">
        <f>IFERROR(IF(J248="","",IF($H$196="-","-",INDEX(BD!$A$1:$K$2510,MATCH('2.Win Load'!B248,BD!$A$1:$A$2510,0),6))),"")</f>
        <v>2.4000000000000001E-4</v>
      </c>
      <c r="N248" s="700">
        <f>IFERROR(IF($J248="","",IF($I$196="-","-",INDEX(BD!$A$1:$K$2510,MATCH('2.Win Load'!C248,BD!$A$1:$A$2510,0),6))),"")</f>
        <v>-1.0319999999999999E-3</v>
      </c>
      <c r="O248" s="700" t="str">
        <f>IFERROR(IF($J248="","",IF($J$196="-","-",INDEX(BD!$A$1:$K$2510,MATCH('2.Win Load'!D248,BD!$A$1:$A$2510,0),6))),"")</f>
        <v>-</v>
      </c>
      <c r="P248" s="692">
        <f t="shared" si="45"/>
        <v>39.399796975215367</v>
      </c>
      <c r="Q248" s="692">
        <f t="shared" si="46"/>
        <v>51.603105861848817</v>
      </c>
      <c r="R248" s="960" t="str">
        <f t="shared" si="47"/>
        <v>-</v>
      </c>
      <c r="S248" s="498">
        <f t="array" ref="S248">MAX(IF('Wind base'!$AE$5:$AE$11&lt;I248,'Wind base'!$AE$5:$AE$11,""))</f>
        <v>20</v>
      </c>
      <c r="T248" s="498">
        <f t="array" ref="T248">MIN(IF('Wind base'!$AE$5:$AE$11&gt;I248,'Wind base'!$AE$5:$AE$11,""))</f>
        <v>40</v>
      </c>
      <c r="U248" s="499">
        <f t="array" ref="U248">MAX(IF('Wind base'!$AF$4:$AL$4&lt;J248,'Wind base'!$AF$4:$AL$4,""),5)</f>
        <v>5</v>
      </c>
      <c r="V248" s="498">
        <f t="array" ref="V248">MIN(IF('Wind base'!$AF$4:$AL$4&gt;J248,'Wind base'!$AF$4:$AL$4,""))</f>
        <v>10</v>
      </c>
      <c r="W248" s="500">
        <f t="array" ref="W248">INDEX('Wind base'!$AF$5:$AL$11,MATCH($S248,'Wind base'!$AE$5:$AE$11,0),MATCH($U248,'Wind base'!$AF$4:$AL$4,0))</f>
        <v>0.8</v>
      </c>
      <c r="X248" s="500">
        <f t="array" ref="X248">INDEX('Wind base'!$AF$5:$AL$11,MATCH($S248,'Wind base'!$AE$5:$AE$11,0),MATCH($V248,'Wind base'!$AF$4:$AL$4,0))</f>
        <v>0.78</v>
      </c>
      <c r="Y248" s="500">
        <f t="array" ref="Y248">INDEX('Wind base'!$AF$5:$AL$11,MATCH($T248,'Wind base'!$AE$5:$AE$11,0),MATCH($U248,'Wind base'!$AF$4:$AL$4,0))</f>
        <v>0.72</v>
      </c>
      <c r="Z248" s="500">
        <f t="array" ref="Z248">INDEX('Wind base'!$AF$5:$AL$11,MATCH($T248,'Wind base'!$AE$5:$AE$11,0),MATCH($V248,'Wind base'!$AF$4:$AL$4,0))</f>
        <v>0.72</v>
      </c>
      <c r="AA248" s="501">
        <f t="shared" si="49"/>
        <v>0.77060000000000006</v>
      </c>
      <c r="AB248" s="501">
        <f t="shared" si="50"/>
        <v>0.75795000000000001</v>
      </c>
      <c r="AC248" s="501">
        <f t="shared" si="51"/>
        <v>0.76351600000000008</v>
      </c>
    </row>
    <row r="249" spans="1:29" ht="15" customHeight="1">
      <c r="A249" s="457">
        <f t="shared" si="48"/>
        <v>1</v>
      </c>
      <c r="B249" s="701" t="str">
        <f t="shared" si="38"/>
        <v>T23</v>
      </c>
      <c r="C249" s="701" t="str">
        <f t="shared" si="39"/>
        <v>T26</v>
      </c>
      <c r="D249" s="885" t="str">
        <f t="shared" si="40"/>
        <v>T2-</v>
      </c>
      <c r="F249" s="1105" t="str">
        <f t="shared" si="33"/>
        <v>T2</v>
      </c>
      <c r="G249" s="1106"/>
      <c r="H249" s="692">
        <f t="shared" si="34"/>
        <v>4.4000000000000004</v>
      </c>
      <c r="I249" s="689">
        <f t="shared" si="41"/>
        <v>27.35</v>
      </c>
      <c r="J249" s="689">
        <f t="shared" si="52"/>
        <v>4.4000000000000004</v>
      </c>
      <c r="K249" s="690">
        <f t="shared" si="53"/>
        <v>0.77060000000000006</v>
      </c>
      <c r="L249" s="691">
        <f t="shared" si="44"/>
        <v>0.318</v>
      </c>
      <c r="M249" s="700">
        <f>IFERROR(IF(J249="","",IF($H$196="-","-",INDEX(BD!$A$1:$K$2510,MATCH('2.Win Load'!B249,BD!$A$1:$A$2510,0),6))),"")</f>
        <v>1.3799999999999999E-4</v>
      </c>
      <c r="N249" s="700">
        <f>IFERROR(IF($J249="","",IF($I$196="-","-",INDEX(BD!$A$1:$K$2510,MATCH('2.Win Load'!C249,BD!$A$1:$A$2510,0),6))),"")</f>
        <v>-6.1899999999999998E-4</v>
      </c>
      <c r="O249" s="700" t="str">
        <f>IFERROR(IF($J249="","",IF($J$196="-","-",INDEX(BD!$A$1:$K$2510,MATCH('2.Win Load'!D249,BD!$A$1:$A$2510,0),6))),"")</f>
        <v>-</v>
      </c>
      <c r="P249" s="692">
        <f t="shared" si="45"/>
        <v>44.126737124219488</v>
      </c>
      <c r="Q249" s="692">
        <f t="shared" si="46"/>
        <v>57.262830423331799</v>
      </c>
      <c r="R249" s="960" t="str">
        <f t="shared" si="47"/>
        <v>-</v>
      </c>
      <c r="S249" s="498">
        <f t="array" ref="S249">MAX(IF('Wind base'!$AE$5:$AE$11&lt;I249,'Wind base'!$AE$5:$AE$11,""))</f>
        <v>20</v>
      </c>
      <c r="T249" s="498">
        <f t="array" ref="T249">MIN(IF('Wind base'!$AE$5:$AE$11&gt;I249,'Wind base'!$AE$5:$AE$11,""))</f>
        <v>40</v>
      </c>
      <c r="U249" s="499">
        <f t="array" ref="U249">MAX(IF('Wind base'!$AF$4:$AL$4&lt;J249,'Wind base'!$AF$4:$AL$4,""),5)</f>
        <v>5</v>
      </c>
      <c r="V249" s="498">
        <f t="array" ref="V249">MIN(IF('Wind base'!$AF$4:$AL$4&gt;J249,'Wind base'!$AF$4:$AL$4,""))</f>
        <v>5</v>
      </c>
      <c r="W249" s="500">
        <f t="array" ref="W249">INDEX('Wind base'!$AF$5:$AL$11,MATCH($S249,'Wind base'!$AE$5:$AE$11,0),MATCH($U249,'Wind base'!$AF$4:$AL$4,0))</f>
        <v>0.8</v>
      </c>
      <c r="X249" s="500">
        <f t="array" ref="X249">INDEX('Wind base'!$AF$5:$AL$11,MATCH($S249,'Wind base'!$AE$5:$AE$11,0),MATCH($V249,'Wind base'!$AF$4:$AL$4,0))</f>
        <v>0.8</v>
      </c>
      <c r="Y249" s="500">
        <f t="array" ref="Y249">INDEX('Wind base'!$AF$5:$AL$11,MATCH($T249,'Wind base'!$AE$5:$AE$11,0),MATCH($U249,'Wind base'!$AF$4:$AL$4,0))</f>
        <v>0.72</v>
      </c>
      <c r="Z249" s="500">
        <f t="array" ref="Z249">INDEX('Wind base'!$AF$5:$AL$11,MATCH($T249,'Wind base'!$AE$5:$AE$11,0),MATCH($V249,'Wind base'!$AF$4:$AL$4,0))</f>
        <v>0.72</v>
      </c>
      <c r="AA249" s="501">
        <f t="shared" si="49"/>
        <v>0.77060000000000006</v>
      </c>
      <c r="AB249" s="501">
        <f t="shared" si="50"/>
        <v>0.77060000000000006</v>
      </c>
      <c r="AC249" s="501">
        <f t="shared" si="51"/>
        <v>0.77060000000000006</v>
      </c>
    </row>
    <row r="250" spans="1:29" ht="15" customHeight="1">
      <c r="A250" s="457">
        <f t="shared" si="48"/>
        <v>1</v>
      </c>
      <c r="B250" s="701" t="str">
        <f t="shared" si="38"/>
        <v>T13</v>
      </c>
      <c r="C250" s="701" t="str">
        <f t="shared" si="39"/>
        <v>T16</v>
      </c>
      <c r="D250" s="885" t="str">
        <f t="shared" si="40"/>
        <v>T1-</v>
      </c>
      <c r="F250" s="1105" t="str">
        <f t="shared" si="33"/>
        <v>T1</v>
      </c>
      <c r="G250" s="1106"/>
      <c r="H250" s="692">
        <f t="shared" si="34"/>
        <v>0</v>
      </c>
      <c r="I250" s="689">
        <f t="shared" si="41"/>
        <v>27.35</v>
      </c>
      <c r="J250" s="689" t="str">
        <f t="shared" si="52"/>
        <v/>
      </c>
      <c r="K250" s="690" t="str">
        <f t="shared" si="53"/>
        <v/>
      </c>
      <c r="L250" s="691" t="str">
        <f t="shared" si="44"/>
        <v/>
      </c>
      <c r="M250" s="700" t="str">
        <f>IFERROR(IF(J250="","",IF($H$196="-","-",INDEX(BD!$A$1:$K$2510,MATCH('2.Win Load'!B250,BD!$A$1:$A$2510,0),6))),"")</f>
        <v/>
      </c>
      <c r="N250" s="700" t="str">
        <f>IFERROR(IF($J250="","",IF($I$196="-","-",INDEX(BD!$A$1:$K$2510,MATCH('2.Win Load'!C250,BD!$A$1:$A$2510,0),6))),"")</f>
        <v/>
      </c>
      <c r="O250" s="700" t="str">
        <f>IFERROR(IF($J250="","",IF($J$196="-","-",INDEX(BD!$A$1:$K$2510,MATCH('2.Win Load'!D250,BD!$A$1:$A$2510,0),6))),"")</f>
        <v/>
      </c>
      <c r="P250" s="692" t="str">
        <f t="shared" si="45"/>
        <v/>
      </c>
      <c r="Q250" s="692" t="str">
        <f t="shared" si="46"/>
        <v/>
      </c>
      <c r="R250" s="960" t="str">
        <f t="shared" si="47"/>
        <v/>
      </c>
      <c r="S250" s="498">
        <f t="array" ref="S250">MAX(IF('Wind base'!$AE$5:$AE$11&lt;I250,'Wind base'!$AE$5:$AE$11,""))</f>
        <v>20</v>
      </c>
      <c r="T250" s="498">
        <f t="array" ref="T250">MIN(IF('Wind base'!$AE$5:$AE$11&gt;I250,'Wind base'!$AE$5:$AE$11,""))</f>
        <v>40</v>
      </c>
      <c r="U250" s="499">
        <f t="array" ref="U250">MAX(IF('Wind base'!$AF$4:$AL$4&lt;J250,'Wind base'!$AF$4:$AL$4,""),5)</f>
        <v>350</v>
      </c>
      <c r="V250" s="498">
        <f t="array" ref="V250">MIN(IF('Wind base'!$AF$4:$AL$4&gt;J250,'Wind base'!$AF$4:$AL$4,""))</f>
        <v>0</v>
      </c>
      <c r="W250" s="500">
        <f t="array" ref="W250">INDEX('Wind base'!$AF$5:$AL$11,MATCH($S250,'Wind base'!$AE$5:$AE$11,0),MATCH($U250,'Wind base'!$AF$4:$AL$4,0))</f>
        <v>0.51</v>
      </c>
      <c r="X250" s="500" t="e">
        <f t="array" ref="X250">INDEX('Wind base'!$AF$5:$AL$11,MATCH($S250,'Wind base'!$AE$5:$AE$11,0),MATCH($V250,'Wind base'!$AF$4:$AL$4,0))</f>
        <v>#N/A</v>
      </c>
      <c r="Y250" s="500">
        <f t="array" ref="Y250">INDEX('Wind base'!$AF$5:$AL$11,MATCH($T250,'Wind base'!$AE$5:$AE$11,0),MATCH($U250,'Wind base'!$AF$4:$AL$4,0))</f>
        <v>0.48</v>
      </c>
      <c r="Z250" s="500" t="e">
        <f t="array" ref="Z250">INDEX('Wind base'!$AF$5:$AL$11,MATCH($T250,'Wind base'!$AE$5:$AE$11,0),MATCH($V250,'Wind base'!$AF$4:$AL$4,0))</f>
        <v>#N/A</v>
      </c>
      <c r="AA250" s="501">
        <f t="shared" si="49"/>
        <v>0.498975</v>
      </c>
      <c r="AB250" s="501" t="e">
        <f t="shared" si="50"/>
        <v>#N/A</v>
      </c>
      <c r="AC250" s="501">
        <f t="shared" si="51"/>
        <v>0.498975</v>
      </c>
    </row>
    <row r="251" spans="1:29" ht="15" customHeight="1">
      <c r="A251" s="457">
        <f t="shared" si="48"/>
        <v>1</v>
      </c>
      <c r="B251" s="701" t="str">
        <f t="shared" si="38"/>
        <v>B13</v>
      </c>
      <c r="C251" s="701" t="str">
        <f t="shared" si="39"/>
        <v>B16</v>
      </c>
      <c r="D251" s="885" t="str">
        <f t="shared" si="40"/>
        <v>B1-</v>
      </c>
      <c r="F251" s="1105" t="str">
        <f t="shared" si="33"/>
        <v>B1</v>
      </c>
      <c r="G251" s="1106"/>
      <c r="H251" s="692">
        <f t="shared" si="34"/>
        <v>-4.6500000000000004</v>
      </c>
      <c r="I251" s="689" t="str">
        <f t="shared" si="41"/>
        <v/>
      </c>
      <c r="J251" s="689" t="str">
        <f t="shared" si="52"/>
        <v/>
      </c>
      <c r="K251" s="690" t="str">
        <f t="shared" si="53"/>
        <v/>
      </c>
      <c r="L251" s="691" t="str">
        <f t="shared" si="44"/>
        <v/>
      </c>
      <c r="M251" s="700" t="str">
        <f>IFERROR(IF(J251="","",IF($H$196="-","-",INDEX(BD!$A$1:$K$2510,MATCH('2.Win Load'!B251,BD!$A$1:$A$2510,0),6))),"")</f>
        <v/>
      </c>
      <c r="N251" s="700" t="str">
        <f>IFERROR(IF($J251="","",IF($I$196="-","-",INDEX(BD!$A$1:$K$2510,MATCH('2.Win Load'!C251,BD!$A$1:$A$2510,0),6))),"")</f>
        <v/>
      </c>
      <c r="O251" s="700" t="str">
        <f>IFERROR(IF($J251="","",IF($J$196="-","-",INDEX(BD!$A$1:$K$2510,MATCH('2.Win Load'!D251,BD!$A$1:$A$2510,0),6))),"")</f>
        <v/>
      </c>
      <c r="P251" s="692" t="str">
        <f t="shared" si="45"/>
        <v/>
      </c>
      <c r="Q251" s="692" t="str">
        <f t="shared" si="46"/>
        <v/>
      </c>
      <c r="R251" s="960" t="str">
        <f t="shared" si="47"/>
        <v/>
      </c>
      <c r="S251" s="498">
        <f t="array" ref="S251">MAX(IF('Wind base'!$AE$5:$AE$11&lt;I251,'Wind base'!$AE$5:$AE$11,""))</f>
        <v>160</v>
      </c>
      <c r="T251" s="498">
        <f t="array" ref="T251">MIN(IF('Wind base'!$AE$5:$AE$11&gt;I251,'Wind base'!$AE$5:$AE$11,""))</f>
        <v>0</v>
      </c>
      <c r="U251" s="499">
        <f t="array" ref="U251">MAX(IF('Wind base'!$AF$4:$AL$4&lt;J251,'Wind base'!$AF$4:$AL$4,""),5)</f>
        <v>350</v>
      </c>
      <c r="V251" s="498">
        <f t="array" ref="V251">MIN(IF('Wind base'!$AF$4:$AL$4&gt;J251,'Wind base'!$AF$4:$AL$4,""))</f>
        <v>0</v>
      </c>
      <c r="W251" s="500">
        <f t="array" ref="W251">INDEX('Wind base'!$AF$5:$AL$11,MATCH($S251,'Wind base'!$AE$5:$AE$11,0),MATCH($U251,'Wind base'!$AF$4:$AL$4,0))</f>
        <v>0.38</v>
      </c>
      <c r="X251" s="500" t="e">
        <f t="array" ref="X251">INDEX('Wind base'!$AF$5:$AL$11,MATCH($S251,'Wind base'!$AE$5:$AE$11,0),MATCH($V251,'Wind base'!$AF$4:$AL$4,0))</f>
        <v>#N/A</v>
      </c>
      <c r="Y251" s="500" t="e">
        <f t="array" ref="Y251">INDEX('Wind base'!$AF$5:$AL$11,MATCH($T251,'Wind base'!$AE$5:$AE$11,0),MATCH($U251,'Wind base'!$AF$4:$AL$4,0))</f>
        <v>#N/A</v>
      </c>
      <c r="Z251" s="500" t="e">
        <f t="array" ref="Z251">INDEX('Wind base'!$AF$5:$AL$11,MATCH($T251,'Wind base'!$AE$5:$AE$11,0),MATCH($V251,'Wind base'!$AF$4:$AL$4,0))</f>
        <v>#N/A</v>
      </c>
      <c r="AA251" s="501" t="e">
        <f t="shared" si="49"/>
        <v>#N/A</v>
      </c>
      <c r="AB251" s="501" t="e">
        <f t="shared" si="50"/>
        <v>#N/A</v>
      </c>
      <c r="AC251" s="501" t="e">
        <f t="shared" si="51"/>
        <v>#N/A</v>
      </c>
    </row>
    <row r="252" spans="1:29" ht="15" customHeight="1">
      <c r="A252" s="457">
        <f t="shared" si="48"/>
        <v>1</v>
      </c>
      <c r="B252" s="701" t="str">
        <f t="shared" si="38"/>
        <v>BASE3</v>
      </c>
      <c r="C252" s="701" t="str">
        <f t="shared" si="39"/>
        <v>BASE6</v>
      </c>
      <c r="D252" s="885" t="str">
        <f t="shared" si="40"/>
        <v>BASE-</v>
      </c>
      <c r="F252" s="1105" t="str">
        <f t="shared" si="33"/>
        <v>BASE</v>
      </c>
      <c r="G252" s="1106"/>
      <c r="H252" s="692">
        <f t="shared" si="34"/>
        <v>-7.65</v>
      </c>
      <c r="I252" s="689" t="str">
        <f t="shared" si="41"/>
        <v/>
      </c>
      <c r="J252" s="689" t="str">
        <f t="shared" si="52"/>
        <v/>
      </c>
      <c r="K252" s="690" t="str">
        <f t="shared" si="53"/>
        <v/>
      </c>
      <c r="L252" s="691" t="str">
        <f t="shared" si="44"/>
        <v/>
      </c>
      <c r="M252" s="700" t="str">
        <f>IFERROR(IF(J252="","",IF($H$196="-","-",INDEX(BD!$A$1:$K$2510,MATCH('2.Win Load'!B252,BD!$A$1:$A$2510,0),6))),"")</f>
        <v/>
      </c>
      <c r="N252" s="700" t="str">
        <f>IFERROR(IF($J252="","",IF($I$196="-","-",INDEX(BD!$A$1:$K$2510,MATCH('2.Win Load'!C252,BD!$A$1:$A$2510,0),6))),"")</f>
        <v/>
      </c>
      <c r="O252" s="700" t="str">
        <f>IFERROR(IF($J252="","",IF($J$196="-","-",INDEX(BD!$A$1:$K$2510,MATCH('2.Win Load'!D252,BD!$A$1:$A$2510,0),6))),"")</f>
        <v/>
      </c>
      <c r="P252" s="692" t="str">
        <f t="shared" si="45"/>
        <v/>
      </c>
      <c r="Q252" s="692" t="str">
        <f t="shared" si="46"/>
        <v/>
      </c>
      <c r="R252" s="960" t="str">
        <f t="shared" si="47"/>
        <v/>
      </c>
      <c r="S252" s="498">
        <f t="array" ref="S252">MAX(IF('Wind base'!$AE$5:$AE$11&lt;I252,'Wind base'!$AE$5:$AE$11,""))</f>
        <v>160</v>
      </c>
      <c r="T252" s="498">
        <f t="array" ref="T252">MIN(IF('Wind base'!$AE$5:$AE$11&gt;I252,'Wind base'!$AE$5:$AE$11,""))</f>
        <v>0</v>
      </c>
      <c r="U252" s="499">
        <f t="array" ref="U252">MAX(IF('Wind base'!$AF$4:$AL$4&lt;J252,'Wind base'!$AF$4:$AL$4,""),5)</f>
        <v>350</v>
      </c>
      <c r="V252" s="498">
        <f t="array" ref="V252">MIN(IF('Wind base'!$AF$4:$AL$4&gt;J252,'Wind base'!$AF$4:$AL$4,""))</f>
        <v>0</v>
      </c>
      <c r="W252" s="500">
        <f t="array" ref="W252">INDEX('Wind base'!$AF$5:$AL$11,MATCH($S252,'Wind base'!$AE$5:$AE$11,0),MATCH($U252,'Wind base'!$AF$4:$AL$4,0))</f>
        <v>0.38</v>
      </c>
      <c r="X252" s="500" t="e">
        <f t="array" ref="X252">INDEX('Wind base'!$AF$5:$AL$11,MATCH($S252,'Wind base'!$AE$5:$AE$11,0),MATCH($V252,'Wind base'!$AF$4:$AL$4,0))</f>
        <v>#N/A</v>
      </c>
      <c r="Y252" s="500" t="e">
        <f t="array" ref="Y252">INDEX('Wind base'!$AF$5:$AL$11,MATCH($T252,'Wind base'!$AE$5:$AE$11,0),MATCH($U252,'Wind base'!$AF$4:$AL$4,0))</f>
        <v>#N/A</v>
      </c>
      <c r="Z252" s="500" t="e">
        <f t="array" ref="Z252">INDEX('Wind base'!$AF$5:$AL$11,MATCH($T252,'Wind base'!$AE$5:$AE$11,0),MATCH($V252,'Wind base'!$AF$4:$AL$4,0))</f>
        <v>#N/A</v>
      </c>
      <c r="AA252" s="501" t="e">
        <f t="shared" si="49"/>
        <v>#N/A</v>
      </c>
      <c r="AB252" s="501" t="e">
        <f t="shared" si="50"/>
        <v>#N/A</v>
      </c>
      <c r="AC252" s="501" t="e">
        <f t="shared" si="51"/>
        <v>#N/A</v>
      </c>
    </row>
    <row r="253" spans="1:29" ht="15" customHeight="1">
      <c r="A253" s="457" t="str">
        <f t="shared" si="48"/>
        <v/>
      </c>
      <c r="B253" s="701" t="str">
        <f t="shared" si="38"/>
        <v>3</v>
      </c>
      <c r="C253" s="701" t="str">
        <f t="shared" si="39"/>
        <v>6</v>
      </c>
      <c r="D253" s="885" t="str">
        <f t="shared" si="40"/>
        <v>-</v>
      </c>
      <c r="F253" s="1105" t="str">
        <f t="shared" si="33"/>
        <v/>
      </c>
      <c r="G253" s="1106"/>
      <c r="H253" s="692" t="str">
        <f t="shared" si="34"/>
        <v/>
      </c>
      <c r="I253" s="689" t="str">
        <f t="shared" si="41"/>
        <v/>
      </c>
      <c r="J253" s="689" t="str">
        <f t="shared" si="52"/>
        <v/>
      </c>
      <c r="K253" s="690" t="str">
        <f t="shared" si="53"/>
        <v/>
      </c>
      <c r="L253" s="691" t="str">
        <f t="shared" si="44"/>
        <v/>
      </c>
      <c r="M253" s="700" t="str">
        <f>IFERROR(IF(J253="","",IF($H$196="-","-",INDEX(BD!$A$1:$K$2510,MATCH('2.Win Load'!B253,BD!$A$1:$A$2510,0),6))),"")</f>
        <v/>
      </c>
      <c r="N253" s="700" t="str">
        <f>IFERROR(IF($J253="","",IF($I$196="-","-",INDEX(BD!$A$1:$K$2510,MATCH('2.Win Load'!C253,BD!$A$1:$A$2510,0),6))),"")</f>
        <v/>
      </c>
      <c r="O253" s="700" t="str">
        <f>IFERROR(IF($J253="","",IF($J$196="-","-",INDEX(BD!$A$1:$K$2510,MATCH('2.Win Load'!D253,BD!$A$1:$A$2510,0),6))),"")</f>
        <v/>
      </c>
      <c r="P253" s="692" t="str">
        <f t="shared" si="45"/>
        <v/>
      </c>
      <c r="Q253" s="692" t="str">
        <f t="shared" si="46"/>
        <v/>
      </c>
      <c r="R253" s="960" t="str">
        <f t="shared" si="47"/>
        <v/>
      </c>
      <c r="S253" s="498">
        <f t="array" ref="S253">MAX(IF('Wind base'!$AE$5:$AE$11&lt;I253,'Wind base'!$AE$5:$AE$11,""))</f>
        <v>160</v>
      </c>
      <c r="T253" s="498">
        <f t="array" ref="T253">MIN(IF('Wind base'!$AE$5:$AE$11&gt;I253,'Wind base'!$AE$5:$AE$11,""))</f>
        <v>0</v>
      </c>
      <c r="U253" s="499">
        <f t="array" ref="U253">MAX(IF('Wind base'!$AF$4:$AL$4&lt;J253,'Wind base'!$AF$4:$AL$4,""),5)</f>
        <v>350</v>
      </c>
      <c r="V253" s="498">
        <f t="array" ref="V253">MIN(IF('Wind base'!$AF$4:$AL$4&gt;J253,'Wind base'!$AF$4:$AL$4,""))</f>
        <v>0</v>
      </c>
      <c r="W253" s="500">
        <f t="array" ref="W253">INDEX('Wind base'!$AF$5:$AL$11,MATCH($S253,'Wind base'!$AE$5:$AE$11,0),MATCH($U253,'Wind base'!$AF$4:$AL$4,0))</f>
        <v>0.38</v>
      </c>
      <c r="X253" s="500" t="e">
        <f t="array" ref="X253">INDEX('Wind base'!$AF$5:$AL$11,MATCH($S253,'Wind base'!$AE$5:$AE$11,0),MATCH($V253,'Wind base'!$AF$4:$AL$4,0))</f>
        <v>#N/A</v>
      </c>
      <c r="Y253" s="500" t="e">
        <f t="array" ref="Y253">INDEX('Wind base'!$AF$5:$AL$11,MATCH($T253,'Wind base'!$AE$5:$AE$11,0),MATCH($U253,'Wind base'!$AF$4:$AL$4,0))</f>
        <v>#N/A</v>
      </c>
      <c r="Z253" s="500" t="e">
        <f t="array" ref="Z253">INDEX('Wind base'!$AF$5:$AL$11,MATCH($T253,'Wind base'!$AE$5:$AE$11,0),MATCH($V253,'Wind base'!$AF$4:$AL$4,0))</f>
        <v>#N/A</v>
      </c>
      <c r="AA253" s="501" t="e">
        <f t="shared" si="49"/>
        <v>#N/A</v>
      </c>
      <c r="AB253" s="501" t="e">
        <f t="shared" si="50"/>
        <v>#N/A</v>
      </c>
      <c r="AC253" s="501" t="e">
        <f t="shared" si="51"/>
        <v>#N/A</v>
      </c>
    </row>
    <row r="254" spans="1:29" ht="15" customHeight="1">
      <c r="A254" s="457" t="str">
        <f t="shared" si="48"/>
        <v/>
      </c>
      <c r="B254" s="701" t="str">
        <f t="shared" si="38"/>
        <v>3</v>
      </c>
      <c r="C254" s="701" t="str">
        <f t="shared" si="39"/>
        <v>6</v>
      </c>
      <c r="D254" s="885" t="str">
        <f t="shared" si="40"/>
        <v>-</v>
      </c>
      <c r="F254" s="1105" t="str">
        <f t="shared" si="33"/>
        <v/>
      </c>
      <c r="G254" s="1106"/>
      <c r="H254" s="692" t="str">
        <f t="shared" si="34"/>
        <v/>
      </c>
      <c r="I254" s="689" t="str">
        <f t="shared" si="41"/>
        <v/>
      </c>
      <c r="J254" s="689" t="str">
        <f t="shared" si="52"/>
        <v/>
      </c>
      <c r="K254" s="690" t="str">
        <f t="shared" si="53"/>
        <v/>
      </c>
      <c r="L254" s="691" t="str">
        <f t="shared" si="44"/>
        <v/>
      </c>
      <c r="M254" s="700" t="str">
        <f>IFERROR(IF(J254="","",IF($H$196="-","-",INDEX(BD!$A$1:$K$2510,MATCH('2.Win Load'!B254,BD!$A$1:$A$2510,0),6))),"")</f>
        <v/>
      </c>
      <c r="N254" s="700" t="str">
        <f>IFERROR(IF($J254="","",IF($I$196="-","-",INDEX(BD!$A$1:$K$2510,MATCH('2.Win Load'!C254,BD!$A$1:$A$2510,0),6))),"")</f>
        <v/>
      </c>
      <c r="O254" s="700" t="str">
        <f>IFERROR(IF($J254="","",IF($J$196="-","-",INDEX(BD!$A$1:$K$2510,MATCH('2.Win Load'!D254,BD!$A$1:$A$2510,0),6))),"")</f>
        <v/>
      </c>
      <c r="P254" s="692" t="str">
        <f t="shared" si="45"/>
        <v/>
      </c>
      <c r="Q254" s="692" t="str">
        <f t="shared" si="46"/>
        <v/>
      </c>
      <c r="R254" s="960" t="str">
        <f t="shared" si="47"/>
        <v/>
      </c>
      <c r="S254" s="498">
        <f t="array" ref="S254">MAX(IF('Wind base'!$AE$5:$AE$11&lt;I254,'Wind base'!$AE$5:$AE$11,""))</f>
        <v>160</v>
      </c>
      <c r="T254" s="498">
        <f t="array" ref="T254">MIN(IF('Wind base'!$AE$5:$AE$11&gt;I254,'Wind base'!$AE$5:$AE$11,""))</f>
        <v>0</v>
      </c>
      <c r="U254" s="499">
        <f t="array" ref="U254">MAX(IF('Wind base'!$AF$4:$AL$4&lt;J254,'Wind base'!$AF$4:$AL$4,""),5)</f>
        <v>350</v>
      </c>
      <c r="V254" s="498">
        <f t="array" ref="V254">MIN(IF('Wind base'!$AF$4:$AL$4&gt;J254,'Wind base'!$AF$4:$AL$4,""))</f>
        <v>0</v>
      </c>
      <c r="W254" s="500">
        <f t="array" ref="W254">INDEX('Wind base'!$AF$5:$AL$11,MATCH($S254,'Wind base'!$AE$5:$AE$11,0),MATCH($U254,'Wind base'!$AF$4:$AL$4,0))</f>
        <v>0.38</v>
      </c>
      <c r="X254" s="500" t="e">
        <f t="array" ref="X254">INDEX('Wind base'!$AF$5:$AL$11,MATCH($S254,'Wind base'!$AE$5:$AE$11,0),MATCH($V254,'Wind base'!$AF$4:$AL$4,0))</f>
        <v>#N/A</v>
      </c>
      <c r="Y254" s="500" t="e">
        <f t="array" ref="Y254">INDEX('Wind base'!$AF$5:$AL$11,MATCH($T254,'Wind base'!$AE$5:$AE$11,0),MATCH($U254,'Wind base'!$AF$4:$AL$4,0))</f>
        <v>#N/A</v>
      </c>
      <c r="Z254" s="500" t="e">
        <f t="array" ref="Z254">INDEX('Wind base'!$AF$5:$AL$11,MATCH($T254,'Wind base'!$AE$5:$AE$11,0),MATCH($V254,'Wind base'!$AF$4:$AL$4,0))</f>
        <v>#N/A</v>
      </c>
      <c r="AA254" s="501" t="e">
        <f t="shared" si="49"/>
        <v>#N/A</v>
      </c>
      <c r="AB254" s="501" t="e">
        <f t="shared" si="50"/>
        <v>#N/A</v>
      </c>
      <c r="AC254" s="501" t="e">
        <f t="shared" si="51"/>
        <v>#N/A</v>
      </c>
    </row>
    <row r="255" spans="1:29" ht="15" customHeight="1">
      <c r="A255" s="457" t="str">
        <f t="shared" si="48"/>
        <v/>
      </c>
      <c r="B255" s="701" t="str">
        <f t="shared" si="38"/>
        <v>3</v>
      </c>
      <c r="C255" s="701" t="str">
        <f t="shared" si="39"/>
        <v>6</v>
      </c>
      <c r="D255" s="885" t="str">
        <f t="shared" si="40"/>
        <v>-</v>
      </c>
      <c r="F255" s="1105" t="str">
        <f t="shared" si="33"/>
        <v/>
      </c>
      <c r="G255" s="1106"/>
      <c r="H255" s="692" t="str">
        <f t="shared" si="34"/>
        <v/>
      </c>
      <c r="I255" s="689" t="str">
        <f t="shared" si="41"/>
        <v/>
      </c>
      <c r="J255" s="689" t="str">
        <f t="shared" si="52"/>
        <v/>
      </c>
      <c r="K255" s="690" t="str">
        <f t="shared" si="53"/>
        <v/>
      </c>
      <c r="L255" s="691" t="str">
        <f t="shared" si="44"/>
        <v/>
      </c>
      <c r="M255" s="700" t="str">
        <f>IFERROR(IF(J255="","",IF($H$196="-","-",INDEX(BD!$A$1:$K$2510,MATCH('2.Win Load'!B255,BD!$A$1:$A$2510,0),6))),"")</f>
        <v/>
      </c>
      <c r="N255" s="700" t="str">
        <f>IFERROR(IF($J255="","",IF($I$196="-","-",INDEX(BD!$A$1:$K$2510,MATCH('2.Win Load'!C255,BD!$A$1:$A$2510,0),6))),"")</f>
        <v/>
      </c>
      <c r="O255" s="700" t="str">
        <f>IFERROR(IF($J255="","",IF($J$196="-","-",INDEX(BD!$A$1:$K$2510,MATCH('2.Win Load'!D255,BD!$A$1:$A$2510,0),6))),"")</f>
        <v/>
      </c>
      <c r="P255" s="692" t="str">
        <f t="shared" si="45"/>
        <v/>
      </c>
      <c r="Q255" s="692" t="str">
        <f t="shared" si="46"/>
        <v/>
      </c>
      <c r="R255" s="960" t="str">
        <f t="shared" si="47"/>
        <v/>
      </c>
      <c r="S255" s="498">
        <f t="array" ref="S255">MAX(IF('Wind base'!$AE$5:$AE$11&lt;I255,'Wind base'!$AE$5:$AE$11,""))</f>
        <v>160</v>
      </c>
      <c r="T255" s="498">
        <f t="array" ref="T255">MIN(IF('Wind base'!$AE$5:$AE$11&gt;I255,'Wind base'!$AE$5:$AE$11,""))</f>
        <v>0</v>
      </c>
      <c r="U255" s="499">
        <f t="array" ref="U255">MAX(IF('Wind base'!$AF$4:$AL$4&lt;J255,'Wind base'!$AF$4:$AL$4,""),5)</f>
        <v>350</v>
      </c>
      <c r="V255" s="498">
        <f t="array" ref="V255">MIN(IF('Wind base'!$AF$4:$AL$4&gt;J255,'Wind base'!$AF$4:$AL$4,""))</f>
        <v>0</v>
      </c>
      <c r="W255" s="500">
        <f t="array" ref="W255">INDEX('Wind base'!$AF$5:$AL$11,MATCH($S255,'Wind base'!$AE$5:$AE$11,0),MATCH($U255,'Wind base'!$AF$4:$AL$4,0))</f>
        <v>0.38</v>
      </c>
      <c r="X255" s="500" t="e">
        <f t="array" ref="X255">INDEX('Wind base'!$AF$5:$AL$11,MATCH($S255,'Wind base'!$AE$5:$AE$11,0),MATCH($V255,'Wind base'!$AF$4:$AL$4,0))</f>
        <v>#N/A</v>
      </c>
      <c r="Y255" s="500" t="e">
        <f t="array" ref="Y255">INDEX('Wind base'!$AF$5:$AL$11,MATCH($T255,'Wind base'!$AE$5:$AE$11,0),MATCH($U255,'Wind base'!$AF$4:$AL$4,0))</f>
        <v>#N/A</v>
      </c>
      <c r="Z255" s="500" t="e">
        <f t="array" ref="Z255">INDEX('Wind base'!$AF$5:$AL$11,MATCH($T255,'Wind base'!$AE$5:$AE$11,0),MATCH($V255,'Wind base'!$AF$4:$AL$4,0))</f>
        <v>#N/A</v>
      </c>
      <c r="AA255" s="501" t="e">
        <f t="shared" si="49"/>
        <v>#N/A</v>
      </c>
      <c r="AB255" s="501" t="e">
        <f t="shared" si="50"/>
        <v>#N/A</v>
      </c>
      <c r="AC255" s="501" t="e">
        <f t="shared" si="51"/>
        <v>#N/A</v>
      </c>
    </row>
    <row r="256" spans="1:29" ht="15" customHeight="1">
      <c r="A256" s="457" t="str">
        <f t="shared" si="48"/>
        <v/>
      </c>
      <c r="B256" s="701" t="str">
        <f t="shared" si="38"/>
        <v>3</v>
      </c>
      <c r="C256" s="701" t="str">
        <f t="shared" si="39"/>
        <v>6</v>
      </c>
      <c r="D256" s="885" t="str">
        <f t="shared" si="40"/>
        <v>-</v>
      </c>
      <c r="F256" s="1105" t="str">
        <f t="shared" si="33"/>
        <v/>
      </c>
      <c r="G256" s="1106"/>
      <c r="H256" s="692" t="str">
        <f t="shared" si="34"/>
        <v/>
      </c>
      <c r="I256" s="689" t="str">
        <f t="shared" si="41"/>
        <v/>
      </c>
      <c r="J256" s="689" t="str">
        <f t="shared" si="52"/>
        <v/>
      </c>
      <c r="K256" s="690" t="str">
        <f t="shared" si="53"/>
        <v/>
      </c>
      <c r="L256" s="691" t="str">
        <f t="shared" si="44"/>
        <v/>
      </c>
      <c r="M256" s="700" t="str">
        <f>IFERROR(IF(J256="","",IF($H$196="-","-",INDEX(BD!$A$1:$K$2510,MATCH('2.Win Load'!B256,BD!$A$1:$A$2510,0),6))),"")</f>
        <v/>
      </c>
      <c r="N256" s="700" t="str">
        <f>IFERROR(IF($J256="","",IF($I$196="-","-",INDEX(BD!$A$1:$K$2510,MATCH('2.Win Load'!C256,BD!$A$1:$A$2510,0),6))),"")</f>
        <v/>
      </c>
      <c r="O256" s="700" t="str">
        <f>IFERROR(IF($J256="","",IF($J$196="-","-",INDEX(BD!$A$1:$K$2510,MATCH('2.Win Load'!D256,BD!$A$1:$A$2510,0),6))),"")</f>
        <v/>
      </c>
      <c r="P256" s="692" t="str">
        <f t="shared" si="45"/>
        <v/>
      </c>
      <c r="Q256" s="692" t="str">
        <f t="shared" si="46"/>
        <v/>
      </c>
      <c r="R256" s="960" t="str">
        <f t="shared" si="47"/>
        <v/>
      </c>
      <c r="S256" s="498">
        <f t="array" ref="S256">MAX(IF('Wind base'!$AE$5:$AE$11&lt;I256,'Wind base'!$AE$5:$AE$11,""))</f>
        <v>160</v>
      </c>
      <c r="T256" s="498">
        <f t="array" ref="T256">MIN(IF('Wind base'!$AE$5:$AE$11&gt;I256,'Wind base'!$AE$5:$AE$11,""))</f>
        <v>0</v>
      </c>
      <c r="U256" s="499">
        <f t="array" ref="U256">MAX(IF('Wind base'!$AF$4:$AL$4&lt;J256,'Wind base'!$AF$4:$AL$4,""),5)</f>
        <v>350</v>
      </c>
      <c r="V256" s="498">
        <f t="array" ref="V256">MIN(IF('Wind base'!$AF$4:$AL$4&gt;J256,'Wind base'!$AF$4:$AL$4,""))</f>
        <v>0</v>
      </c>
      <c r="W256" s="500">
        <f t="array" ref="W256">INDEX('Wind base'!$AF$5:$AL$11,MATCH($S256,'Wind base'!$AE$5:$AE$11,0),MATCH($U256,'Wind base'!$AF$4:$AL$4,0))</f>
        <v>0.38</v>
      </c>
      <c r="X256" s="500" t="e">
        <f t="array" ref="X256">INDEX('Wind base'!$AF$5:$AL$11,MATCH($S256,'Wind base'!$AE$5:$AE$11,0),MATCH($V256,'Wind base'!$AF$4:$AL$4,0))</f>
        <v>#N/A</v>
      </c>
      <c r="Y256" s="500" t="e">
        <f t="array" ref="Y256">INDEX('Wind base'!$AF$5:$AL$11,MATCH($T256,'Wind base'!$AE$5:$AE$11,0),MATCH($U256,'Wind base'!$AF$4:$AL$4,0))</f>
        <v>#N/A</v>
      </c>
      <c r="Z256" s="500" t="e">
        <f t="array" ref="Z256">INDEX('Wind base'!$AF$5:$AL$11,MATCH($T256,'Wind base'!$AE$5:$AE$11,0),MATCH($V256,'Wind base'!$AF$4:$AL$4,0))</f>
        <v>#N/A</v>
      </c>
      <c r="AA256" s="501" t="e">
        <f t="shared" si="49"/>
        <v>#N/A</v>
      </c>
      <c r="AB256" s="501" t="e">
        <f t="shared" si="50"/>
        <v>#N/A</v>
      </c>
      <c r="AC256" s="501" t="e">
        <f t="shared" si="51"/>
        <v>#N/A</v>
      </c>
    </row>
    <row r="257" spans="1:29" ht="15" customHeight="1">
      <c r="A257" s="457" t="str">
        <f t="shared" si="48"/>
        <v/>
      </c>
      <c r="B257" s="701" t="str">
        <f t="shared" si="38"/>
        <v>3</v>
      </c>
      <c r="C257" s="701" t="str">
        <f t="shared" si="39"/>
        <v>6</v>
      </c>
      <c r="D257" s="885" t="str">
        <f t="shared" si="40"/>
        <v>-</v>
      </c>
      <c r="F257" s="1105" t="str">
        <f t="shared" si="33"/>
        <v/>
      </c>
      <c r="G257" s="1106"/>
      <c r="H257" s="692" t="str">
        <f t="shared" si="34"/>
        <v/>
      </c>
      <c r="I257" s="689" t="str">
        <f t="shared" si="41"/>
        <v/>
      </c>
      <c r="J257" s="689" t="str">
        <f t="shared" si="52"/>
        <v/>
      </c>
      <c r="K257" s="690" t="str">
        <f t="shared" si="53"/>
        <v/>
      </c>
      <c r="L257" s="691" t="str">
        <f t="shared" si="44"/>
        <v/>
      </c>
      <c r="M257" s="700" t="str">
        <f>IFERROR(IF(J257="","",IF($H$196="-","-",INDEX(BD!$A$1:$K$2510,MATCH('2.Win Load'!B257,BD!$A$1:$A$2510,0),6))),"")</f>
        <v/>
      </c>
      <c r="N257" s="700" t="str">
        <f>IFERROR(IF($J257="","",IF($I$196="-","-",INDEX(BD!$A$1:$K$2510,MATCH('2.Win Load'!C257,BD!$A$1:$A$2510,0),6))),"")</f>
        <v/>
      </c>
      <c r="O257" s="700" t="str">
        <f>IFERROR(IF($J257="","",IF($J$196="-","-",INDEX(BD!$A$1:$K$2510,MATCH('2.Win Load'!D257,BD!$A$1:$A$2510,0),6))),"")</f>
        <v/>
      </c>
      <c r="P257" s="692" t="str">
        <f t="shared" si="45"/>
        <v/>
      </c>
      <c r="Q257" s="692" t="str">
        <f t="shared" si="46"/>
        <v/>
      </c>
      <c r="R257" s="960" t="str">
        <f t="shared" si="47"/>
        <v/>
      </c>
      <c r="S257" s="498">
        <f t="array" ref="S257">MAX(IF('Wind base'!$AE$5:$AE$11&lt;I257,'Wind base'!$AE$5:$AE$11,""))</f>
        <v>160</v>
      </c>
      <c r="T257" s="498">
        <f t="array" ref="T257">MIN(IF('Wind base'!$AE$5:$AE$11&gt;I257,'Wind base'!$AE$5:$AE$11,""))</f>
        <v>0</v>
      </c>
      <c r="U257" s="499">
        <f t="array" ref="U257">MAX(IF('Wind base'!$AF$4:$AL$4&lt;J257,'Wind base'!$AF$4:$AL$4,""),5)</f>
        <v>350</v>
      </c>
      <c r="V257" s="498">
        <f t="array" ref="V257">MIN(IF('Wind base'!$AF$4:$AL$4&gt;J257,'Wind base'!$AF$4:$AL$4,""))</f>
        <v>0</v>
      </c>
      <c r="W257" s="500">
        <f t="array" ref="W257">INDEX('Wind base'!$AF$5:$AL$11,MATCH($S257,'Wind base'!$AE$5:$AE$11,0),MATCH($U257,'Wind base'!$AF$4:$AL$4,0))</f>
        <v>0.38</v>
      </c>
      <c r="X257" s="500" t="e">
        <f t="array" ref="X257">INDEX('Wind base'!$AF$5:$AL$11,MATCH($S257,'Wind base'!$AE$5:$AE$11,0),MATCH($V257,'Wind base'!$AF$4:$AL$4,0))</f>
        <v>#N/A</v>
      </c>
      <c r="Y257" s="500" t="e">
        <f t="array" ref="Y257">INDEX('Wind base'!$AF$5:$AL$11,MATCH($T257,'Wind base'!$AE$5:$AE$11,0),MATCH($U257,'Wind base'!$AF$4:$AL$4,0))</f>
        <v>#N/A</v>
      </c>
      <c r="Z257" s="500" t="e">
        <f t="array" ref="Z257">INDEX('Wind base'!$AF$5:$AL$11,MATCH($T257,'Wind base'!$AE$5:$AE$11,0),MATCH($V257,'Wind base'!$AF$4:$AL$4,0))</f>
        <v>#N/A</v>
      </c>
      <c r="AA257" s="501" t="e">
        <f t="shared" si="49"/>
        <v>#N/A</v>
      </c>
      <c r="AB257" s="501" t="e">
        <f t="shared" si="50"/>
        <v>#N/A</v>
      </c>
      <c r="AC257" s="501" t="e">
        <f t="shared" si="51"/>
        <v>#N/A</v>
      </c>
    </row>
    <row r="258" spans="1:29" ht="15" customHeight="1">
      <c r="A258" s="457" t="str">
        <f t="shared" si="48"/>
        <v/>
      </c>
      <c r="B258" s="701" t="str">
        <f t="shared" si="38"/>
        <v>3</v>
      </c>
      <c r="C258" s="701" t="str">
        <f t="shared" si="39"/>
        <v>6</v>
      </c>
      <c r="D258" s="885" t="str">
        <f t="shared" si="40"/>
        <v>-</v>
      </c>
      <c r="F258" s="1105" t="str">
        <f t="shared" si="33"/>
        <v/>
      </c>
      <c r="G258" s="1106"/>
      <c r="H258" s="692" t="str">
        <f t="shared" si="34"/>
        <v/>
      </c>
      <c r="I258" s="689" t="str">
        <f t="shared" si="41"/>
        <v/>
      </c>
      <c r="J258" s="689" t="str">
        <f t="shared" si="52"/>
        <v/>
      </c>
      <c r="K258" s="690" t="str">
        <f t="shared" si="53"/>
        <v/>
      </c>
      <c r="L258" s="691" t="str">
        <f t="shared" si="44"/>
        <v/>
      </c>
      <c r="M258" s="700" t="str">
        <f>IFERROR(IF(J258="","",IF($H$196="-","-",INDEX(BD!$A$1:$K$2510,MATCH('2.Win Load'!B258,BD!$A$1:$A$2510,0),6))),"")</f>
        <v/>
      </c>
      <c r="N258" s="700" t="str">
        <f>IFERROR(IF($J258="","",IF($I$196="-","-",INDEX(BD!$A$1:$K$2510,MATCH('2.Win Load'!C258,BD!$A$1:$A$2510,0),6))),"")</f>
        <v/>
      </c>
      <c r="O258" s="700" t="str">
        <f>IFERROR(IF($J258="","",IF($J$196="-","-",INDEX(BD!$A$1:$K$2510,MATCH('2.Win Load'!D258,BD!$A$1:$A$2510,0),6))),"")</f>
        <v/>
      </c>
      <c r="P258" s="692" t="str">
        <f t="shared" si="45"/>
        <v/>
      </c>
      <c r="Q258" s="692" t="str">
        <f t="shared" si="46"/>
        <v/>
      </c>
      <c r="R258" s="960" t="str">
        <f t="shared" si="47"/>
        <v/>
      </c>
      <c r="S258" s="498">
        <f t="array" ref="S258">MAX(IF('Wind base'!$AE$5:$AE$11&lt;I258,'Wind base'!$AE$5:$AE$11,""))</f>
        <v>160</v>
      </c>
      <c r="T258" s="498">
        <f t="array" ref="T258">MIN(IF('Wind base'!$AE$5:$AE$11&gt;I258,'Wind base'!$AE$5:$AE$11,""))</f>
        <v>0</v>
      </c>
      <c r="U258" s="499">
        <f t="array" ref="U258">MAX(IF('Wind base'!$AF$4:$AL$4&lt;J258,'Wind base'!$AF$4:$AL$4,""),5)</f>
        <v>350</v>
      </c>
      <c r="V258" s="498">
        <f t="array" ref="V258">MIN(IF('Wind base'!$AF$4:$AL$4&gt;J258,'Wind base'!$AF$4:$AL$4,""))</f>
        <v>0</v>
      </c>
      <c r="W258" s="500">
        <f t="array" ref="W258">INDEX('Wind base'!$AF$5:$AL$11,MATCH($S258,'Wind base'!$AE$5:$AE$11,0),MATCH($U258,'Wind base'!$AF$4:$AL$4,0))</f>
        <v>0.38</v>
      </c>
      <c r="X258" s="500" t="e">
        <f t="array" ref="X258">INDEX('Wind base'!$AF$5:$AL$11,MATCH($S258,'Wind base'!$AE$5:$AE$11,0),MATCH($V258,'Wind base'!$AF$4:$AL$4,0))</f>
        <v>#N/A</v>
      </c>
      <c r="Y258" s="500" t="e">
        <f t="array" ref="Y258">INDEX('Wind base'!$AF$5:$AL$11,MATCH($T258,'Wind base'!$AE$5:$AE$11,0),MATCH($U258,'Wind base'!$AF$4:$AL$4,0))</f>
        <v>#N/A</v>
      </c>
      <c r="Z258" s="500" t="e">
        <f t="array" ref="Z258">INDEX('Wind base'!$AF$5:$AL$11,MATCH($T258,'Wind base'!$AE$5:$AE$11,0),MATCH($V258,'Wind base'!$AF$4:$AL$4,0))</f>
        <v>#N/A</v>
      </c>
      <c r="AA258" s="501" t="e">
        <f t="shared" si="49"/>
        <v>#N/A</v>
      </c>
      <c r="AB258" s="501" t="e">
        <f t="shared" si="50"/>
        <v>#N/A</v>
      </c>
      <c r="AC258" s="501" t="e">
        <f t="shared" si="51"/>
        <v>#N/A</v>
      </c>
    </row>
    <row r="259" spans="1:29" ht="15" customHeight="1">
      <c r="A259" s="457" t="str">
        <f t="shared" si="48"/>
        <v/>
      </c>
      <c r="B259" s="701" t="str">
        <f t="shared" si="38"/>
        <v>3</v>
      </c>
      <c r="C259" s="701" t="str">
        <f t="shared" si="39"/>
        <v>6</v>
      </c>
      <c r="D259" s="885" t="str">
        <f t="shared" si="40"/>
        <v>-</v>
      </c>
      <c r="F259" s="1105" t="str">
        <f t="shared" si="33"/>
        <v/>
      </c>
      <c r="G259" s="1106"/>
      <c r="H259" s="692" t="str">
        <f t="shared" si="34"/>
        <v/>
      </c>
      <c r="I259" s="689" t="str">
        <f t="shared" si="41"/>
        <v/>
      </c>
      <c r="J259" s="689" t="str">
        <f t="shared" si="52"/>
        <v/>
      </c>
      <c r="K259" s="690" t="str">
        <f t="shared" si="53"/>
        <v/>
      </c>
      <c r="L259" s="691" t="str">
        <f t="shared" si="44"/>
        <v/>
      </c>
      <c r="M259" s="700" t="str">
        <f>IFERROR(IF(J259="","",IF($H$196="-","-",INDEX(BD!$A$1:$K$2510,MATCH('2.Win Load'!B259,BD!$A$1:$A$2510,0),6))),"")</f>
        <v/>
      </c>
      <c r="N259" s="700" t="str">
        <f>IFERROR(IF($J259="","",IF($I$196="-","-",INDEX(BD!$A$1:$K$2510,MATCH('2.Win Load'!C259,BD!$A$1:$A$2510,0),6))),"")</f>
        <v/>
      </c>
      <c r="O259" s="700" t="str">
        <f>IFERROR(IF($J259="","",IF($J$196="-","-",INDEX(BD!$A$1:$K$2510,MATCH('2.Win Load'!D259,BD!$A$1:$A$2510,0),6))),"")</f>
        <v/>
      </c>
      <c r="P259" s="692" t="str">
        <f t="shared" si="45"/>
        <v/>
      </c>
      <c r="Q259" s="692" t="str">
        <f t="shared" si="46"/>
        <v/>
      </c>
      <c r="R259" s="960" t="str">
        <f t="shared" si="47"/>
        <v/>
      </c>
      <c r="S259" s="498">
        <f t="array" ref="S259">MAX(IF('Wind base'!$AE$5:$AE$11&lt;I259,'Wind base'!$AE$5:$AE$11,""))</f>
        <v>160</v>
      </c>
      <c r="T259" s="498">
        <f t="array" ref="T259">MIN(IF('Wind base'!$AE$5:$AE$11&gt;I259,'Wind base'!$AE$5:$AE$11,""))</f>
        <v>0</v>
      </c>
      <c r="U259" s="499">
        <f t="array" ref="U259">MAX(IF('Wind base'!$AF$4:$AL$4&lt;J259,'Wind base'!$AF$4:$AL$4,""),5)</f>
        <v>350</v>
      </c>
      <c r="V259" s="498">
        <f t="array" ref="V259">MIN(IF('Wind base'!$AF$4:$AL$4&gt;J259,'Wind base'!$AF$4:$AL$4,""))</f>
        <v>0</v>
      </c>
      <c r="W259" s="500">
        <f t="array" ref="W259">INDEX('Wind base'!$AF$5:$AL$11,MATCH($S259,'Wind base'!$AE$5:$AE$11,0),MATCH($U259,'Wind base'!$AF$4:$AL$4,0))</f>
        <v>0.38</v>
      </c>
      <c r="X259" s="500" t="e">
        <f t="array" ref="X259">INDEX('Wind base'!$AF$5:$AL$11,MATCH($S259,'Wind base'!$AE$5:$AE$11,0),MATCH($V259,'Wind base'!$AF$4:$AL$4,0))</f>
        <v>#N/A</v>
      </c>
      <c r="Y259" s="500" t="e">
        <f t="array" ref="Y259">INDEX('Wind base'!$AF$5:$AL$11,MATCH($T259,'Wind base'!$AE$5:$AE$11,0),MATCH($U259,'Wind base'!$AF$4:$AL$4,0))</f>
        <v>#N/A</v>
      </c>
      <c r="Z259" s="500" t="e">
        <f t="array" ref="Z259">INDEX('Wind base'!$AF$5:$AL$11,MATCH($T259,'Wind base'!$AE$5:$AE$11,0),MATCH($V259,'Wind base'!$AF$4:$AL$4,0))</f>
        <v>#N/A</v>
      </c>
      <c r="AA259" s="501" t="e">
        <f t="shared" si="49"/>
        <v>#N/A</v>
      </c>
      <c r="AB259" s="501" t="e">
        <f t="shared" si="50"/>
        <v>#N/A</v>
      </c>
      <c r="AC259" s="501" t="e">
        <f t="shared" si="51"/>
        <v>#N/A</v>
      </c>
    </row>
    <row r="260" spans="1:29" ht="15" customHeight="1">
      <c r="A260" s="457" t="str">
        <f t="shared" si="48"/>
        <v/>
      </c>
      <c r="B260" s="701" t="str">
        <f t="shared" si="38"/>
        <v>3</v>
      </c>
      <c r="C260" s="701" t="str">
        <f t="shared" si="39"/>
        <v>6</v>
      </c>
      <c r="D260" s="885" t="str">
        <f t="shared" si="40"/>
        <v>-</v>
      </c>
      <c r="F260" s="1105" t="str">
        <f t="shared" si="33"/>
        <v/>
      </c>
      <c r="G260" s="1106"/>
      <c r="H260" s="692" t="str">
        <f t="shared" si="34"/>
        <v/>
      </c>
      <c r="I260" s="689" t="str">
        <f t="shared" si="41"/>
        <v/>
      </c>
      <c r="J260" s="689" t="str">
        <f t="shared" si="52"/>
        <v/>
      </c>
      <c r="K260" s="690" t="str">
        <f t="shared" si="53"/>
        <v/>
      </c>
      <c r="L260" s="691" t="str">
        <f t="shared" si="44"/>
        <v/>
      </c>
      <c r="M260" s="700" t="str">
        <f>IFERROR(IF(J260="","",IF($H$196="-","-",INDEX(BD!$A$1:$K$2510,MATCH('2.Win Load'!B260,BD!$A$1:$A$2510,0),6))),"")</f>
        <v/>
      </c>
      <c r="N260" s="700" t="str">
        <f>IFERROR(IF($J260="","",IF($I$196="-","-",INDEX(BD!$A$1:$K$2510,MATCH('2.Win Load'!C260,BD!$A$1:$A$2510,0),6))),"")</f>
        <v/>
      </c>
      <c r="O260" s="700" t="str">
        <f>IFERROR(IF($J260="","",IF($J$196="-","-",INDEX(BD!$A$1:$K$2510,MATCH('2.Win Load'!D260,BD!$A$1:$A$2510,0),6))),"")</f>
        <v/>
      </c>
      <c r="P260" s="692" t="str">
        <f t="shared" si="45"/>
        <v/>
      </c>
      <c r="Q260" s="692" t="str">
        <f t="shared" si="46"/>
        <v/>
      </c>
      <c r="R260" s="960" t="str">
        <f t="shared" si="47"/>
        <v/>
      </c>
      <c r="S260" s="498">
        <f t="array" ref="S260">MAX(IF('Wind base'!$AE$5:$AE$11&lt;I260,'Wind base'!$AE$5:$AE$11,""))</f>
        <v>160</v>
      </c>
      <c r="T260" s="498">
        <f t="array" ref="T260">MIN(IF('Wind base'!$AE$5:$AE$11&gt;I260,'Wind base'!$AE$5:$AE$11,""))</f>
        <v>0</v>
      </c>
      <c r="U260" s="499">
        <f t="array" ref="U260">MAX(IF('Wind base'!$AF$4:$AL$4&lt;J260,'Wind base'!$AF$4:$AL$4,""),5)</f>
        <v>350</v>
      </c>
      <c r="V260" s="498">
        <f t="array" ref="V260">MIN(IF('Wind base'!$AF$4:$AL$4&gt;J260,'Wind base'!$AF$4:$AL$4,""))</f>
        <v>0</v>
      </c>
      <c r="W260" s="500">
        <f t="array" ref="W260">INDEX('Wind base'!$AF$5:$AL$11,MATCH($S260,'Wind base'!$AE$5:$AE$11,0),MATCH($U260,'Wind base'!$AF$4:$AL$4,0))</f>
        <v>0.38</v>
      </c>
      <c r="X260" s="500" t="e">
        <f t="array" ref="X260">INDEX('Wind base'!$AF$5:$AL$11,MATCH($S260,'Wind base'!$AE$5:$AE$11,0),MATCH($V260,'Wind base'!$AF$4:$AL$4,0))</f>
        <v>#N/A</v>
      </c>
      <c r="Y260" s="500" t="e">
        <f t="array" ref="Y260">INDEX('Wind base'!$AF$5:$AL$11,MATCH($T260,'Wind base'!$AE$5:$AE$11,0),MATCH($U260,'Wind base'!$AF$4:$AL$4,0))</f>
        <v>#N/A</v>
      </c>
      <c r="Z260" s="500" t="e">
        <f t="array" ref="Z260">INDEX('Wind base'!$AF$5:$AL$11,MATCH($T260,'Wind base'!$AE$5:$AE$11,0),MATCH($V260,'Wind base'!$AF$4:$AL$4,0))</f>
        <v>#N/A</v>
      </c>
      <c r="AA260" s="501" t="e">
        <f t="shared" si="49"/>
        <v>#N/A</v>
      </c>
      <c r="AB260" s="501" t="e">
        <f t="shared" si="50"/>
        <v>#N/A</v>
      </c>
      <c r="AC260" s="501" t="e">
        <f t="shared" si="51"/>
        <v>#N/A</v>
      </c>
    </row>
    <row r="261" spans="1:29" ht="15" customHeight="1">
      <c r="A261" s="457" t="str">
        <f t="shared" si="48"/>
        <v/>
      </c>
      <c r="B261" s="701" t="str">
        <f t="shared" si="38"/>
        <v>3</v>
      </c>
      <c r="C261" s="701" t="str">
        <f t="shared" si="39"/>
        <v>6</v>
      </c>
      <c r="D261" s="885" t="str">
        <f t="shared" si="40"/>
        <v>-</v>
      </c>
      <c r="F261" s="1105" t="str">
        <f t="shared" si="33"/>
        <v/>
      </c>
      <c r="G261" s="1106"/>
      <c r="H261" s="692" t="str">
        <f t="shared" si="34"/>
        <v/>
      </c>
      <c r="I261" s="689" t="str">
        <f t="shared" si="41"/>
        <v/>
      </c>
      <c r="J261" s="689" t="str">
        <f t="shared" si="52"/>
        <v/>
      </c>
      <c r="K261" s="690" t="str">
        <f t="shared" si="53"/>
        <v/>
      </c>
      <c r="L261" s="691" t="str">
        <f t="shared" si="44"/>
        <v/>
      </c>
      <c r="M261" s="700" t="str">
        <f>IFERROR(IF(J261="","",IF($H$196="-","-",INDEX(BD!$A$1:$K$2510,MATCH('2.Win Load'!B261,BD!$A$1:$A$2510,0),6))),"")</f>
        <v/>
      </c>
      <c r="N261" s="700" t="str">
        <f>IFERROR(IF($J261="","",IF($I$196="-","-",INDEX(BD!$A$1:$K$2510,MATCH('2.Win Load'!C261,BD!$A$1:$A$2510,0),6))),"")</f>
        <v/>
      </c>
      <c r="O261" s="700" t="str">
        <f>IFERROR(IF($J261="","",IF($J$196="-","-",INDEX(BD!$A$1:$K$2510,MATCH('2.Win Load'!D261,BD!$A$1:$A$2510,0),6))),"")</f>
        <v/>
      </c>
      <c r="P261" s="692" t="str">
        <f t="shared" si="45"/>
        <v/>
      </c>
      <c r="Q261" s="692" t="str">
        <f t="shared" si="46"/>
        <v/>
      </c>
      <c r="R261" s="960" t="str">
        <f t="shared" si="47"/>
        <v/>
      </c>
      <c r="S261" s="498">
        <f t="array" ref="S261">MAX(IF('Wind base'!$AE$5:$AE$11&lt;I261,'Wind base'!$AE$5:$AE$11,""))</f>
        <v>160</v>
      </c>
      <c r="T261" s="498">
        <f t="array" ref="T261">MIN(IF('Wind base'!$AE$5:$AE$11&gt;I261,'Wind base'!$AE$5:$AE$11,""))</f>
        <v>0</v>
      </c>
      <c r="U261" s="499">
        <f t="array" ref="U261">MAX(IF('Wind base'!$AF$4:$AL$4&lt;J261,'Wind base'!$AF$4:$AL$4,""),5)</f>
        <v>350</v>
      </c>
      <c r="V261" s="498">
        <f t="array" ref="V261">MIN(IF('Wind base'!$AF$4:$AL$4&gt;J261,'Wind base'!$AF$4:$AL$4,""))</f>
        <v>0</v>
      </c>
      <c r="W261" s="500">
        <f t="array" ref="W261">INDEX('Wind base'!$AF$5:$AL$11,MATCH($S261,'Wind base'!$AE$5:$AE$11,0),MATCH($U261,'Wind base'!$AF$4:$AL$4,0))</f>
        <v>0.38</v>
      </c>
      <c r="X261" s="500" t="e">
        <f t="array" ref="X261">INDEX('Wind base'!$AF$5:$AL$11,MATCH($S261,'Wind base'!$AE$5:$AE$11,0),MATCH($V261,'Wind base'!$AF$4:$AL$4,0))</f>
        <v>#N/A</v>
      </c>
      <c r="Y261" s="500" t="e">
        <f t="array" ref="Y261">INDEX('Wind base'!$AF$5:$AL$11,MATCH($T261,'Wind base'!$AE$5:$AE$11,0),MATCH($U261,'Wind base'!$AF$4:$AL$4,0))</f>
        <v>#N/A</v>
      </c>
      <c r="Z261" s="500" t="e">
        <f t="array" ref="Z261">INDEX('Wind base'!$AF$5:$AL$11,MATCH($T261,'Wind base'!$AE$5:$AE$11,0),MATCH($V261,'Wind base'!$AF$4:$AL$4,0))</f>
        <v>#N/A</v>
      </c>
      <c r="AA261" s="501" t="e">
        <f t="shared" si="49"/>
        <v>#N/A</v>
      </c>
      <c r="AB261" s="501" t="e">
        <f t="shared" si="50"/>
        <v>#N/A</v>
      </c>
      <c r="AC261" s="501" t="e">
        <f t="shared" si="51"/>
        <v>#N/A</v>
      </c>
    </row>
    <row r="262" spans="1:29" ht="15" customHeight="1">
      <c r="A262" s="457" t="str">
        <f t="shared" si="48"/>
        <v/>
      </c>
      <c r="B262" s="701" t="str">
        <f t="shared" si="38"/>
        <v>3</v>
      </c>
      <c r="C262" s="701" t="str">
        <f t="shared" si="39"/>
        <v>6</v>
      </c>
      <c r="D262" s="885" t="str">
        <f t="shared" si="40"/>
        <v>-</v>
      </c>
      <c r="F262" s="1105" t="str">
        <f t="shared" si="33"/>
        <v/>
      </c>
      <c r="G262" s="1106"/>
      <c r="H262" s="692" t="str">
        <f t="shared" si="34"/>
        <v/>
      </c>
      <c r="I262" s="689" t="str">
        <f t="shared" si="41"/>
        <v/>
      </c>
      <c r="J262" s="689" t="str">
        <f t="shared" si="52"/>
        <v/>
      </c>
      <c r="K262" s="690" t="str">
        <f t="shared" si="53"/>
        <v/>
      </c>
      <c r="L262" s="691" t="str">
        <f t="shared" si="44"/>
        <v/>
      </c>
      <c r="M262" s="700" t="str">
        <f>IFERROR(IF(J262="","",IF($H$196="-","-",INDEX(BD!$A$1:$K$2510,MATCH('2.Win Load'!B262,BD!$A$1:$A$2510,0),6))),"")</f>
        <v/>
      </c>
      <c r="N262" s="700" t="str">
        <f>IFERROR(IF($J262="","",IF($I$196="-","-",INDEX(BD!$A$1:$K$2510,MATCH('2.Win Load'!C262,BD!$A$1:$A$2510,0),6))),"")</f>
        <v/>
      </c>
      <c r="O262" s="700" t="str">
        <f>IFERROR(IF($J262="","",IF($J$196="-","-",INDEX(BD!$A$1:$K$2510,MATCH('2.Win Load'!D262,BD!$A$1:$A$2510,0),6))),"")</f>
        <v/>
      </c>
      <c r="P262" s="692" t="str">
        <f t="shared" si="45"/>
        <v/>
      </c>
      <c r="Q262" s="692" t="str">
        <f t="shared" si="46"/>
        <v/>
      </c>
      <c r="R262" s="960" t="str">
        <f t="shared" si="47"/>
        <v/>
      </c>
      <c r="S262" s="498">
        <f t="array" ref="S262">MAX(IF('Wind base'!$AE$5:$AE$11&lt;I262,'Wind base'!$AE$5:$AE$11,""))</f>
        <v>160</v>
      </c>
      <c r="T262" s="498">
        <f t="array" ref="T262">MIN(IF('Wind base'!$AE$5:$AE$11&gt;I262,'Wind base'!$AE$5:$AE$11,""))</f>
        <v>0</v>
      </c>
      <c r="U262" s="499">
        <f t="array" ref="U262">MAX(IF('Wind base'!$AF$4:$AL$4&lt;J262,'Wind base'!$AF$4:$AL$4,""),5)</f>
        <v>350</v>
      </c>
      <c r="V262" s="498">
        <f t="array" ref="V262">MIN(IF('Wind base'!$AF$4:$AL$4&gt;J262,'Wind base'!$AF$4:$AL$4,""))</f>
        <v>0</v>
      </c>
      <c r="W262" s="500">
        <f t="array" ref="W262">INDEX('Wind base'!$AF$5:$AL$11,MATCH($S262,'Wind base'!$AE$5:$AE$11,0),MATCH($U262,'Wind base'!$AF$4:$AL$4,0))</f>
        <v>0.38</v>
      </c>
      <c r="X262" s="500" t="e">
        <f t="array" ref="X262">INDEX('Wind base'!$AF$5:$AL$11,MATCH($S262,'Wind base'!$AE$5:$AE$11,0),MATCH($V262,'Wind base'!$AF$4:$AL$4,0))</f>
        <v>#N/A</v>
      </c>
      <c r="Y262" s="500" t="e">
        <f t="array" ref="Y262">INDEX('Wind base'!$AF$5:$AL$11,MATCH($T262,'Wind base'!$AE$5:$AE$11,0),MATCH($U262,'Wind base'!$AF$4:$AL$4,0))</f>
        <v>#N/A</v>
      </c>
      <c r="Z262" s="500" t="e">
        <f t="array" ref="Z262">INDEX('Wind base'!$AF$5:$AL$11,MATCH($T262,'Wind base'!$AE$5:$AE$11,0),MATCH($V262,'Wind base'!$AF$4:$AL$4,0))</f>
        <v>#N/A</v>
      </c>
      <c r="AA262" s="501" t="e">
        <f t="shared" si="49"/>
        <v>#N/A</v>
      </c>
      <c r="AB262" s="501" t="e">
        <f t="shared" si="50"/>
        <v>#N/A</v>
      </c>
      <c r="AC262" s="501" t="e">
        <f t="shared" si="51"/>
        <v>#N/A</v>
      </c>
    </row>
    <row r="263" spans="1:29" ht="15" customHeight="1">
      <c r="A263" s="457" t="str">
        <f t="shared" si="48"/>
        <v/>
      </c>
      <c r="B263" s="701" t="str">
        <f t="shared" si="38"/>
        <v>3</v>
      </c>
      <c r="C263" s="701" t="str">
        <f t="shared" si="39"/>
        <v>6</v>
      </c>
      <c r="D263" s="885" t="str">
        <f t="shared" si="40"/>
        <v>-</v>
      </c>
      <c r="F263" s="1105" t="str">
        <f t="shared" si="33"/>
        <v/>
      </c>
      <c r="G263" s="1106"/>
      <c r="H263" s="692" t="str">
        <f t="shared" si="34"/>
        <v/>
      </c>
      <c r="I263" s="689" t="str">
        <f t="shared" si="41"/>
        <v/>
      </c>
      <c r="J263" s="689" t="str">
        <f t="shared" si="52"/>
        <v/>
      </c>
      <c r="K263" s="690" t="str">
        <f t="shared" si="53"/>
        <v/>
      </c>
      <c r="L263" s="691" t="str">
        <f t="shared" si="44"/>
        <v/>
      </c>
      <c r="M263" s="700" t="str">
        <f>IFERROR(IF(J263="","",IF($H$196="-","-",INDEX(BD!$A$1:$K$2510,MATCH('2.Win Load'!B263,BD!$A$1:$A$2510,0),6))),"")</f>
        <v/>
      </c>
      <c r="N263" s="700" t="str">
        <f>IFERROR(IF($J263="","",IF($I$196="-","-",INDEX(BD!$A$1:$K$2510,MATCH('2.Win Load'!C263,BD!$A$1:$A$2510,0),6))),"")</f>
        <v/>
      </c>
      <c r="O263" s="700" t="str">
        <f>IFERROR(IF($J263="","",IF($J$196="-","-",INDEX(BD!$A$1:$K$2510,MATCH('2.Win Load'!D263,BD!$A$1:$A$2510,0),6))),"")</f>
        <v/>
      </c>
      <c r="P263" s="692" t="str">
        <f t="shared" si="45"/>
        <v/>
      </c>
      <c r="Q263" s="692" t="str">
        <f t="shared" si="46"/>
        <v/>
      </c>
      <c r="R263" s="960" t="str">
        <f t="shared" si="47"/>
        <v/>
      </c>
      <c r="S263" s="498">
        <f t="array" ref="S263">MAX(IF('Wind base'!$AE$5:$AE$11&lt;I263,'Wind base'!$AE$5:$AE$11,""))</f>
        <v>160</v>
      </c>
      <c r="T263" s="498">
        <f t="array" ref="T263">MIN(IF('Wind base'!$AE$5:$AE$11&gt;I263,'Wind base'!$AE$5:$AE$11,""))</f>
        <v>0</v>
      </c>
      <c r="U263" s="499">
        <f t="array" ref="U263">MAX(IF('Wind base'!$AF$4:$AL$4&lt;J263,'Wind base'!$AF$4:$AL$4,""),5)</f>
        <v>350</v>
      </c>
      <c r="V263" s="498">
        <f t="array" ref="V263">MIN(IF('Wind base'!$AF$4:$AL$4&gt;J263,'Wind base'!$AF$4:$AL$4,""))</f>
        <v>0</v>
      </c>
      <c r="W263" s="500">
        <f t="array" ref="W263">INDEX('Wind base'!$AF$5:$AL$11,MATCH($S263,'Wind base'!$AE$5:$AE$11,0),MATCH($U263,'Wind base'!$AF$4:$AL$4,0))</f>
        <v>0.38</v>
      </c>
      <c r="X263" s="500" t="e">
        <f t="array" ref="X263">INDEX('Wind base'!$AF$5:$AL$11,MATCH($S263,'Wind base'!$AE$5:$AE$11,0),MATCH($V263,'Wind base'!$AF$4:$AL$4,0))</f>
        <v>#N/A</v>
      </c>
      <c r="Y263" s="500" t="e">
        <f t="array" ref="Y263">INDEX('Wind base'!$AF$5:$AL$11,MATCH($T263,'Wind base'!$AE$5:$AE$11,0),MATCH($U263,'Wind base'!$AF$4:$AL$4,0))</f>
        <v>#N/A</v>
      </c>
      <c r="Z263" s="500" t="e">
        <f t="array" ref="Z263">INDEX('Wind base'!$AF$5:$AL$11,MATCH($T263,'Wind base'!$AE$5:$AE$11,0),MATCH($V263,'Wind base'!$AF$4:$AL$4,0))</f>
        <v>#N/A</v>
      </c>
      <c r="AA263" s="501" t="e">
        <f t="shared" si="49"/>
        <v>#N/A</v>
      </c>
      <c r="AB263" s="501" t="e">
        <f t="shared" si="50"/>
        <v>#N/A</v>
      </c>
      <c r="AC263" s="501" t="e">
        <f t="shared" si="51"/>
        <v>#N/A</v>
      </c>
    </row>
    <row r="264" spans="1:29" ht="15" customHeight="1">
      <c r="A264" s="457" t="str">
        <f t="shared" si="48"/>
        <v/>
      </c>
      <c r="B264" s="701" t="str">
        <f t="shared" si="38"/>
        <v>3</v>
      </c>
      <c r="C264" s="701" t="str">
        <f t="shared" si="39"/>
        <v>6</v>
      </c>
      <c r="D264" s="885" t="str">
        <f t="shared" si="40"/>
        <v>-</v>
      </c>
      <c r="F264" s="1105" t="str">
        <f t="shared" si="33"/>
        <v/>
      </c>
      <c r="G264" s="1106"/>
      <c r="H264" s="692" t="str">
        <f t="shared" si="34"/>
        <v/>
      </c>
      <c r="I264" s="689" t="str">
        <f t="shared" si="41"/>
        <v/>
      </c>
      <c r="J264" s="689" t="str">
        <f t="shared" si="52"/>
        <v/>
      </c>
      <c r="K264" s="690" t="str">
        <f t="shared" si="53"/>
        <v/>
      </c>
      <c r="L264" s="691" t="str">
        <f t="shared" si="44"/>
        <v/>
      </c>
      <c r="M264" s="700" t="str">
        <f>IFERROR(IF(J264="","",IF($H$196="-","-",INDEX(BD!$A$1:$K$2510,MATCH('2.Win Load'!B264,BD!$A$1:$A$2510,0),6))),"")</f>
        <v/>
      </c>
      <c r="N264" s="700" t="str">
        <f>IFERROR(IF($J264="","",IF($I$196="-","-",INDEX(BD!$A$1:$K$2510,MATCH('2.Win Load'!C264,BD!$A$1:$A$2510,0),6))),"")</f>
        <v/>
      </c>
      <c r="O264" s="700" t="str">
        <f>IFERROR(IF($J264="","",IF($J$196="-","-",INDEX(BD!$A$1:$K$2510,MATCH('2.Win Load'!D264,BD!$A$1:$A$2510,0),6))),"")</f>
        <v/>
      </c>
      <c r="P264" s="692" t="str">
        <f t="shared" si="45"/>
        <v/>
      </c>
      <c r="Q264" s="692" t="str">
        <f t="shared" si="46"/>
        <v/>
      </c>
      <c r="R264" s="960" t="str">
        <f t="shared" si="47"/>
        <v/>
      </c>
      <c r="S264" s="498">
        <f t="array" ref="S264">MAX(IF('Wind base'!$AE$5:$AE$11&lt;I264,'Wind base'!$AE$5:$AE$11,""))</f>
        <v>160</v>
      </c>
      <c r="T264" s="498">
        <f t="array" ref="T264">MIN(IF('Wind base'!$AE$5:$AE$11&gt;I264,'Wind base'!$AE$5:$AE$11,""))</f>
        <v>0</v>
      </c>
      <c r="U264" s="499">
        <f t="array" ref="U264">MAX(IF('Wind base'!$AF$4:$AL$4&lt;J264,'Wind base'!$AF$4:$AL$4,""),5)</f>
        <v>350</v>
      </c>
      <c r="V264" s="498">
        <f t="array" ref="V264">MIN(IF('Wind base'!$AF$4:$AL$4&gt;J264,'Wind base'!$AF$4:$AL$4,""))</f>
        <v>0</v>
      </c>
      <c r="W264" s="500">
        <f t="array" ref="W264">INDEX('Wind base'!$AF$5:$AL$11,MATCH($S264,'Wind base'!$AE$5:$AE$11,0),MATCH($U264,'Wind base'!$AF$4:$AL$4,0))</f>
        <v>0.38</v>
      </c>
      <c r="X264" s="500" t="e">
        <f t="array" ref="X264">INDEX('Wind base'!$AF$5:$AL$11,MATCH($S264,'Wind base'!$AE$5:$AE$11,0),MATCH($V264,'Wind base'!$AF$4:$AL$4,0))</f>
        <v>#N/A</v>
      </c>
      <c r="Y264" s="500" t="e">
        <f t="array" ref="Y264">INDEX('Wind base'!$AF$5:$AL$11,MATCH($T264,'Wind base'!$AE$5:$AE$11,0),MATCH($U264,'Wind base'!$AF$4:$AL$4,0))</f>
        <v>#N/A</v>
      </c>
      <c r="Z264" s="500" t="e">
        <f t="array" ref="Z264">INDEX('Wind base'!$AF$5:$AL$11,MATCH($T264,'Wind base'!$AE$5:$AE$11,0),MATCH($V264,'Wind base'!$AF$4:$AL$4,0))</f>
        <v>#N/A</v>
      </c>
      <c r="AA264" s="501" t="e">
        <f t="shared" si="49"/>
        <v>#N/A</v>
      </c>
      <c r="AB264" s="501" t="e">
        <f t="shared" si="50"/>
        <v>#N/A</v>
      </c>
      <c r="AC264" s="501" t="e">
        <f t="shared" si="51"/>
        <v>#N/A</v>
      </c>
    </row>
    <row r="265" spans="1:29" ht="15" customHeight="1">
      <c r="A265" s="457" t="str">
        <f t="shared" si="48"/>
        <v/>
      </c>
      <c r="B265" s="701" t="str">
        <f t="shared" si="38"/>
        <v>3</v>
      </c>
      <c r="C265" s="701" t="str">
        <f t="shared" si="39"/>
        <v>6</v>
      </c>
      <c r="D265" s="885" t="str">
        <f t="shared" si="40"/>
        <v>-</v>
      </c>
      <c r="F265" s="1105" t="str">
        <f t="shared" si="33"/>
        <v/>
      </c>
      <c r="G265" s="1106"/>
      <c r="H265" s="692" t="str">
        <f t="shared" si="34"/>
        <v/>
      </c>
      <c r="I265" s="689" t="str">
        <f t="shared" si="41"/>
        <v/>
      </c>
      <c r="J265" s="689" t="str">
        <f t="shared" si="52"/>
        <v/>
      </c>
      <c r="K265" s="690" t="str">
        <f t="shared" si="53"/>
        <v/>
      </c>
      <c r="L265" s="691" t="str">
        <f t="shared" si="44"/>
        <v/>
      </c>
      <c r="M265" s="700" t="str">
        <f>IFERROR(IF(J265="","",IF($H$196="-","-",INDEX(BD!$A$1:$K$2510,MATCH('2.Win Load'!B265,BD!$A$1:$A$2510,0),6))),"")</f>
        <v/>
      </c>
      <c r="N265" s="700" t="str">
        <f>IFERROR(IF($J265="","",IF($I$196="-","-",INDEX(BD!$A$1:$K$2510,MATCH('2.Win Load'!C265,BD!$A$1:$A$2510,0),6))),"")</f>
        <v/>
      </c>
      <c r="O265" s="700" t="str">
        <f>IFERROR(IF($J265="","",IF($J$196="-","-",INDEX(BD!$A$1:$K$2510,MATCH('2.Win Load'!D265,BD!$A$1:$A$2510,0),6))),"")</f>
        <v/>
      </c>
      <c r="P265" s="692" t="str">
        <f t="shared" si="45"/>
        <v/>
      </c>
      <c r="Q265" s="692" t="str">
        <f t="shared" si="46"/>
        <v/>
      </c>
      <c r="R265" s="960" t="str">
        <f t="shared" si="47"/>
        <v/>
      </c>
      <c r="S265" s="498">
        <f t="array" ref="S265">MAX(IF('Wind base'!$AE$5:$AE$11&lt;I265,'Wind base'!$AE$5:$AE$11,""))</f>
        <v>160</v>
      </c>
      <c r="T265" s="498">
        <f t="array" ref="T265">MIN(IF('Wind base'!$AE$5:$AE$11&gt;I265,'Wind base'!$AE$5:$AE$11,""))</f>
        <v>0</v>
      </c>
      <c r="U265" s="499">
        <f t="array" ref="U265">MAX(IF('Wind base'!$AF$4:$AL$4&lt;J265,'Wind base'!$AF$4:$AL$4,""),5)</f>
        <v>350</v>
      </c>
      <c r="V265" s="498">
        <f t="array" ref="V265">MIN(IF('Wind base'!$AF$4:$AL$4&gt;J265,'Wind base'!$AF$4:$AL$4,""))</f>
        <v>0</v>
      </c>
      <c r="W265" s="500">
        <f t="array" ref="W265">INDEX('Wind base'!$AF$5:$AL$11,MATCH($S265,'Wind base'!$AE$5:$AE$11,0),MATCH($U265,'Wind base'!$AF$4:$AL$4,0))</f>
        <v>0.38</v>
      </c>
      <c r="X265" s="500" t="e">
        <f t="array" ref="X265">INDEX('Wind base'!$AF$5:$AL$11,MATCH($S265,'Wind base'!$AE$5:$AE$11,0),MATCH($V265,'Wind base'!$AF$4:$AL$4,0))</f>
        <v>#N/A</v>
      </c>
      <c r="Y265" s="500" t="e">
        <f t="array" ref="Y265">INDEX('Wind base'!$AF$5:$AL$11,MATCH($T265,'Wind base'!$AE$5:$AE$11,0),MATCH($U265,'Wind base'!$AF$4:$AL$4,0))</f>
        <v>#N/A</v>
      </c>
      <c r="Z265" s="500" t="e">
        <f t="array" ref="Z265">INDEX('Wind base'!$AF$5:$AL$11,MATCH($T265,'Wind base'!$AE$5:$AE$11,0),MATCH($V265,'Wind base'!$AF$4:$AL$4,0))</f>
        <v>#N/A</v>
      </c>
      <c r="AA265" s="501" t="e">
        <f t="shared" si="49"/>
        <v>#N/A</v>
      </c>
      <c r="AB265" s="501" t="e">
        <f t="shared" si="50"/>
        <v>#N/A</v>
      </c>
      <c r="AC265" s="501" t="e">
        <f t="shared" si="51"/>
        <v>#N/A</v>
      </c>
    </row>
    <row r="266" spans="1:29" ht="15" customHeight="1">
      <c r="A266" s="457" t="str">
        <f t="shared" si="48"/>
        <v/>
      </c>
      <c r="B266" s="701" t="str">
        <f t="shared" si="38"/>
        <v>3</v>
      </c>
      <c r="C266" s="701" t="str">
        <f t="shared" si="39"/>
        <v>6</v>
      </c>
      <c r="D266" s="885" t="str">
        <f t="shared" si="40"/>
        <v>-</v>
      </c>
      <c r="F266" s="1105" t="str">
        <f t="shared" si="33"/>
        <v/>
      </c>
      <c r="G266" s="1106"/>
      <c r="H266" s="692" t="str">
        <f t="shared" si="34"/>
        <v/>
      </c>
      <c r="I266" s="689" t="str">
        <f t="shared" si="41"/>
        <v/>
      </c>
      <c r="J266" s="689" t="str">
        <f t="shared" si="52"/>
        <v/>
      </c>
      <c r="K266" s="690" t="str">
        <f t="shared" si="53"/>
        <v/>
      </c>
      <c r="L266" s="691" t="str">
        <f t="shared" si="44"/>
        <v/>
      </c>
      <c r="M266" s="700" t="str">
        <f>IFERROR(IF(J266="","",IF($H$196="-","-",INDEX(BD!$A$1:$K$2510,MATCH('2.Win Load'!B266,BD!$A$1:$A$2510,0),6))),"")</f>
        <v/>
      </c>
      <c r="N266" s="700" t="str">
        <f>IFERROR(IF($J266="","",IF($I$196="-","-",INDEX(BD!$A$1:$K$2510,MATCH('2.Win Load'!C266,BD!$A$1:$A$2510,0),6))),"")</f>
        <v/>
      </c>
      <c r="O266" s="700" t="str">
        <f>IFERROR(IF($J266="","",IF($J$196="-","-",INDEX(BD!$A$1:$K$2510,MATCH('2.Win Load'!D266,BD!$A$1:$A$2510,0),6))),"")</f>
        <v/>
      </c>
      <c r="P266" s="692" t="str">
        <f t="shared" si="45"/>
        <v/>
      </c>
      <c r="Q266" s="692" t="str">
        <f t="shared" si="46"/>
        <v/>
      </c>
      <c r="R266" s="960" t="str">
        <f t="shared" si="47"/>
        <v/>
      </c>
      <c r="S266" s="498">
        <f t="array" ref="S266">MAX(IF('Wind base'!$AE$5:$AE$11&lt;I266,'Wind base'!$AE$5:$AE$11,""))</f>
        <v>160</v>
      </c>
      <c r="T266" s="498">
        <f t="array" ref="T266">MIN(IF('Wind base'!$AE$5:$AE$11&gt;I266,'Wind base'!$AE$5:$AE$11,""))</f>
        <v>0</v>
      </c>
      <c r="U266" s="499">
        <f t="array" ref="U266">MAX(IF('Wind base'!$AF$4:$AL$4&lt;J266,'Wind base'!$AF$4:$AL$4,""),5)</f>
        <v>350</v>
      </c>
      <c r="V266" s="498">
        <f t="array" ref="V266">MIN(IF('Wind base'!$AF$4:$AL$4&gt;J266,'Wind base'!$AF$4:$AL$4,""))</f>
        <v>0</v>
      </c>
      <c r="W266" s="500">
        <f t="array" ref="W266">INDEX('Wind base'!$AF$5:$AL$11,MATCH($S266,'Wind base'!$AE$5:$AE$11,0),MATCH($U266,'Wind base'!$AF$4:$AL$4,0))</f>
        <v>0.38</v>
      </c>
      <c r="X266" s="500" t="e">
        <f t="array" ref="X266">INDEX('Wind base'!$AF$5:$AL$11,MATCH($S266,'Wind base'!$AE$5:$AE$11,0),MATCH($V266,'Wind base'!$AF$4:$AL$4,0))</f>
        <v>#N/A</v>
      </c>
      <c r="Y266" s="500" t="e">
        <f t="array" ref="Y266">INDEX('Wind base'!$AF$5:$AL$11,MATCH($T266,'Wind base'!$AE$5:$AE$11,0),MATCH($U266,'Wind base'!$AF$4:$AL$4,0))</f>
        <v>#N/A</v>
      </c>
      <c r="Z266" s="500" t="e">
        <f t="array" ref="Z266">INDEX('Wind base'!$AF$5:$AL$11,MATCH($T266,'Wind base'!$AE$5:$AE$11,0),MATCH($V266,'Wind base'!$AF$4:$AL$4,0))</f>
        <v>#N/A</v>
      </c>
      <c r="AA266" s="501" t="e">
        <f t="shared" si="49"/>
        <v>#N/A</v>
      </c>
      <c r="AB266" s="501" t="e">
        <f t="shared" si="50"/>
        <v>#N/A</v>
      </c>
      <c r="AC266" s="501" t="e">
        <f t="shared" si="51"/>
        <v>#N/A</v>
      </c>
    </row>
    <row r="267" spans="1:29" ht="15" customHeight="1">
      <c r="A267" s="457" t="str">
        <f t="shared" si="48"/>
        <v/>
      </c>
      <c r="B267" s="701" t="str">
        <f t="shared" si="38"/>
        <v>3</v>
      </c>
      <c r="C267" s="701" t="str">
        <f t="shared" si="39"/>
        <v>6</v>
      </c>
      <c r="D267" s="885" t="str">
        <f t="shared" si="40"/>
        <v>-</v>
      </c>
      <c r="F267" s="1105" t="str">
        <f t="shared" si="33"/>
        <v/>
      </c>
      <c r="G267" s="1106"/>
      <c r="H267" s="692" t="str">
        <f t="shared" si="34"/>
        <v/>
      </c>
      <c r="I267" s="689" t="str">
        <f t="shared" si="41"/>
        <v/>
      </c>
      <c r="J267" s="689" t="str">
        <f t="shared" si="52"/>
        <v/>
      </c>
      <c r="K267" s="690" t="str">
        <f t="shared" si="53"/>
        <v/>
      </c>
      <c r="L267" s="691" t="str">
        <f t="shared" si="44"/>
        <v/>
      </c>
      <c r="M267" s="700" t="str">
        <f>IFERROR(IF(J267="","",IF($H$196="-","-",INDEX(BD!$A$1:$K$2510,MATCH('2.Win Load'!B267,BD!$A$1:$A$2510,0),6))),"")</f>
        <v/>
      </c>
      <c r="N267" s="700" t="str">
        <f>IFERROR(IF($J267="","",IF($I$196="-","-",INDEX(BD!$A$1:$K$2510,MATCH('2.Win Load'!C267,BD!$A$1:$A$2510,0),6))),"")</f>
        <v/>
      </c>
      <c r="O267" s="700" t="str">
        <f>IFERROR(IF($J267="","",IF($J$196="-","-",INDEX(BD!$A$1:$K$2510,MATCH('2.Win Load'!D267,BD!$A$1:$A$2510,0),6))),"")</f>
        <v/>
      </c>
      <c r="P267" s="692" t="str">
        <f t="shared" si="45"/>
        <v/>
      </c>
      <c r="Q267" s="692" t="str">
        <f t="shared" si="46"/>
        <v/>
      </c>
      <c r="R267" s="960" t="str">
        <f t="shared" si="47"/>
        <v/>
      </c>
      <c r="S267" s="498">
        <f t="array" ref="S267">MAX(IF('Wind base'!$AE$5:$AE$11&lt;I267,'Wind base'!$AE$5:$AE$11,""))</f>
        <v>160</v>
      </c>
      <c r="T267" s="498">
        <f t="array" ref="T267">MIN(IF('Wind base'!$AE$5:$AE$11&gt;I267,'Wind base'!$AE$5:$AE$11,""))</f>
        <v>0</v>
      </c>
      <c r="U267" s="499">
        <f t="array" ref="U267">MAX(IF('Wind base'!$AF$4:$AL$4&lt;J267,'Wind base'!$AF$4:$AL$4,""),5)</f>
        <v>350</v>
      </c>
      <c r="V267" s="498">
        <f t="array" ref="V267">MIN(IF('Wind base'!$AF$4:$AL$4&gt;J267,'Wind base'!$AF$4:$AL$4,""))</f>
        <v>0</v>
      </c>
      <c r="W267" s="500">
        <f t="array" ref="W267">INDEX('Wind base'!$AF$5:$AL$11,MATCH($S267,'Wind base'!$AE$5:$AE$11,0),MATCH($U267,'Wind base'!$AF$4:$AL$4,0))</f>
        <v>0.38</v>
      </c>
      <c r="X267" s="500" t="e">
        <f t="array" ref="X267">INDEX('Wind base'!$AF$5:$AL$11,MATCH($S267,'Wind base'!$AE$5:$AE$11,0),MATCH($V267,'Wind base'!$AF$4:$AL$4,0))</f>
        <v>#N/A</v>
      </c>
      <c r="Y267" s="500" t="e">
        <f t="array" ref="Y267">INDEX('Wind base'!$AF$5:$AL$11,MATCH($T267,'Wind base'!$AE$5:$AE$11,0),MATCH($U267,'Wind base'!$AF$4:$AL$4,0))</f>
        <v>#N/A</v>
      </c>
      <c r="Z267" s="500" t="e">
        <f t="array" ref="Z267">INDEX('Wind base'!$AF$5:$AL$11,MATCH($T267,'Wind base'!$AE$5:$AE$11,0),MATCH($V267,'Wind base'!$AF$4:$AL$4,0))</f>
        <v>#N/A</v>
      </c>
      <c r="AA267" s="501" t="e">
        <f t="shared" si="49"/>
        <v>#N/A</v>
      </c>
      <c r="AB267" s="501" t="e">
        <f t="shared" si="50"/>
        <v>#N/A</v>
      </c>
      <c r="AC267" s="501" t="e">
        <f t="shared" si="51"/>
        <v>#N/A</v>
      </c>
    </row>
    <row r="268" spans="1:29" ht="15" customHeight="1">
      <c r="A268" s="457" t="str">
        <f t="shared" si="48"/>
        <v/>
      </c>
      <c r="B268" s="701" t="str">
        <f t="shared" si="38"/>
        <v>3</v>
      </c>
      <c r="C268" s="701" t="str">
        <f t="shared" si="39"/>
        <v>6</v>
      </c>
      <c r="D268" s="885" t="str">
        <f t="shared" si="40"/>
        <v>-</v>
      </c>
      <c r="F268" s="1105" t="str">
        <f t="shared" si="33"/>
        <v/>
      </c>
      <c r="G268" s="1106"/>
      <c r="H268" s="692" t="str">
        <f t="shared" si="34"/>
        <v/>
      </c>
      <c r="I268" s="689" t="str">
        <f t="shared" si="41"/>
        <v/>
      </c>
      <c r="J268" s="689" t="str">
        <f t="shared" si="52"/>
        <v/>
      </c>
      <c r="K268" s="690" t="str">
        <f t="shared" si="53"/>
        <v/>
      </c>
      <c r="L268" s="691" t="str">
        <f t="shared" si="44"/>
        <v/>
      </c>
      <c r="M268" s="700" t="str">
        <f>IFERROR(IF(J268="","",IF($H$196="-","-",INDEX(BD!$A$1:$K$2510,MATCH('2.Win Load'!B268,BD!$A$1:$A$2510,0),6))),"")</f>
        <v/>
      </c>
      <c r="N268" s="700" t="str">
        <f>IFERROR(IF($J268="","",IF($I$196="-","-",INDEX(BD!$A$1:$K$2510,MATCH('2.Win Load'!C268,BD!$A$1:$A$2510,0),6))),"")</f>
        <v/>
      </c>
      <c r="O268" s="700" t="str">
        <f>IFERROR(IF($J268="","",IF($J$196="-","-",INDEX(BD!$A$1:$K$2510,MATCH('2.Win Load'!D268,BD!$A$1:$A$2510,0),6))),"")</f>
        <v/>
      </c>
      <c r="P268" s="692" t="str">
        <f t="shared" si="45"/>
        <v/>
      </c>
      <c r="Q268" s="692" t="str">
        <f t="shared" si="46"/>
        <v/>
      </c>
      <c r="R268" s="960" t="str">
        <f t="shared" si="47"/>
        <v/>
      </c>
      <c r="S268" s="498">
        <f t="array" ref="S268">MAX(IF('Wind base'!$AE$5:$AE$11&lt;I268,'Wind base'!$AE$5:$AE$11,""))</f>
        <v>160</v>
      </c>
      <c r="T268" s="498">
        <f t="array" ref="T268">MIN(IF('Wind base'!$AE$5:$AE$11&gt;I268,'Wind base'!$AE$5:$AE$11,""))</f>
        <v>0</v>
      </c>
      <c r="U268" s="499">
        <f t="array" ref="U268">MAX(IF('Wind base'!$AF$4:$AL$4&lt;J268,'Wind base'!$AF$4:$AL$4,""),5)</f>
        <v>350</v>
      </c>
      <c r="V268" s="498">
        <f t="array" ref="V268">MIN(IF('Wind base'!$AF$4:$AL$4&gt;J268,'Wind base'!$AF$4:$AL$4,""))</f>
        <v>0</v>
      </c>
      <c r="W268" s="500">
        <f t="array" ref="W268">INDEX('Wind base'!$AF$5:$AL$11,MATCH($S268,'Wind base'!$AE$5:$AE$11,0),MATCH($U268,'Wind base'!$AF$4:$AL$4,0))</f>
        <v>0.38</v>
      </c>
      <c r="X268" s="500" t="e">
        <f t="array" ref="X268">INDEX('Wind base'!$AF$5:$AL$11,MATCH($S268,'Wind base'!$AE$5:$AE$11,0),MATCH($V268,'Wind base'!$AF$4:$AL$4,0))</f>
        <v>#N/A</v>
      </c>
      <c r="Y268" s="500" t="e">
        <f t="array" ref="Y268">INDEX('Wind base'!$AF$5:$AL$11,MATCH($T268,'Wind base'!$AE$5:$AE$11,0),MATCH($U268,'Wind base'!$AF$4:$AL$4,0))</f>
        <v>#N/A</v>
      </c>
      <c r="Z268" s="500" t="e">
        <f t="array" ref="Z268">INDEX('Wind base'!$AF$5:$AL$11,MATCH($T268,'Wind base'!$AE$5:$AE$11,0),MATCH($V268,'Wind base'!$AF$4:$AL$4,0))</f>
        <v>#N/A</v>
      </c>
      <c r="AA268" s="501" t="e">
        <f t="shared" si="49"/>
        <v>#N/A</v>
      </c>
      <c r="AB268" s="501" t="e">
        <f t="shared" si="50"/>
        <v>#N/A</v>
      </c>
      <c r="AC268" s="501" t="e">
        <f t="shared" si="51"/>
        <v>#N/A</v>
      </c>
    </row>
    <row r="269" spans="1:29" ht="15" customHeight="1">
      <c r="A269" s="457" t="str">
        <f t="shared" si="48"/>
        <v/>
      </c>
      <c r="B269" s="701" t="str">
        <f t="shared" si="38"/>
        <v>3</v>
      </c>
      <c r="C269" s="701" t="str">
        <f t="shared" si="39"/>
        <v>6</v>
      </c>
      <c r="D269" s="885" t="str">
        <f t="shared" si="40"/>
        <v>-</v>
      </c>
      <c r="F269" s="1105" t="str">
        <f t="shared" si="33"/>
        <v/>
      </c>
      <c r="G269" s="1106"/>
      <c r="H269" s="692" t="str">
        <f t="shared" si="34"/>
        <v/>
      </c>
      <c r="I269" s="689" t="str">
        <f t="shared" si="41"/>
        <v/>
      </c>
      <c r="J269" s="689" t="str">
        <f t="shared" si="52"/>
        <v/>
      </c>
      <c r="K269" s="690" t="str">
        <f t="shared" si="53"/>
        <v/>
      </c>
      <c r="L269" s="691" t="str">
        <f t="shared" si="44"/>
        <v/>
      </c>
      <c r="M269" s="700" t="str">
        <f>IFERROR(IF(J269="","",IF($H$196="-","-",INDEX(BD!$A$1:$K$2510,MATCH('2.Win Load'!B269,BD!$A$1:$A$2510,0),6))),"")</f>
        <v/>
      </c>
      <c r="N269" s="700" t="str">
        <f>IFERROR(IF($J269="","",IF($I$196="-","-",INDEX(BD!$A$1:$K$2510,MATCH('2.Win Load'!C269,BD!$A$1:$A$2510,0),6))),"")</f>
        <v/>
      </c>
      <c r="O269" s="700" t="str">
        <f>IFERROR(IF($J269="","",IF($J$196="-","-",INDEX(BD!$A$1:$K$2510,MATCH('2.Win Load'!D269,BD!$A$1:$A$2510,0),6))),"")</f>
        <v/>
      </c>
      <c r="P269" s="692" t="str">
        <f t="shared" si="45"/>
        <v/>
      </c>
      <c r="Q269" s="692" t="str">
        <f t="shared" si="46"/>
        <v/>
      </c>
      <c r="R269" s="960" t="str">
        <f t="shared" si="47"/>
        <v/>
      </c>
      <c r="S269" s="498">
        <f t="array" ref="S269">MAX(IF('Wind base'!$AE$5:$AE$11&lt;I269,'Wind base'!$AE$5:$AE$11,""))</f>
        <v>160</v>
      </c>
      <c r="T269" s="498">
        <f t="array" ref="T269">MIN(IF('Wind base'!$AE$5:$AE$11&gt;I269,'Wind base'!$AE$5:$AE$11,""))</f>
        <v>0</v>
      </c>
      <c r="U269" s="499">
        <f t="array" ref="U269">MAX(IF('Wind base'!$AF$4:$AL$4&lt;J269,'Wind base'!$AF$4:$AL$4,""),5)</f>
        <v>350</v>
      </c>
      <c r="V269" s="498">
        <f t="array" ref="V269">MIN(IF('Wind base'!$AF$4:$AL$4&gt;J269,'Wind base'!$AF$4:$AL$4,""))</f>
        <v>0</v>
      </c>
      <c r="W269" s="500">
        <f t="array" ref="W269">INDEX('Wind base'!$AF$5:$AL$11,MATCH($S269,'Wind base'!$AE$5:$AE$11,0),MATCH($U269,'Wind base'!$AF$4:$AL$4,0))</f>
        <v>0.38</v>
      </c>
      <c r="X269" s="500" t="e">
        <f t="array" ref="X269">INDEX('Wind base'!$AF$5:$AL$11,MATCH($S269,'Wind base'!$AE$5:$AE$11,0),MATCH($V269,'Wind base'!$AF$4:$AL$4,0))</f>
        <v>#N/A</v>
      </c>
      <c r="Y269" s="500" t="e">
        <f t="array" ref="Y269">INDEX('Wind base'!$AF$5:$AL$11,MATCH($T269,'Wind base'!$AE$5:$AE$11,0),MATCH($U269,'Wind base'!$AF$4:$AL$4,0))</f>
        <v>#N/A</v>
      </c>
      <c r="Z269" s="500" t="e">
        <f t="array" ref="Z269">INDEX('Wind base'!$AF$5:$AL$11,MATCH($T269,'Wind base'!$AE$5:$AE$11,0),MATCH($V269,'Wind base'!$AF$4:$AL$4,0))</f>
        <v>#N/A</v>
      </c>
      <c r="AA269" s="501" t="e">
        <f t="shared" si="49"/>
        <v>#N/A</v>
      </c>
      <c r="AB269" s="501" t="e">
        <f t="shared" si="50"/>
        <v>#N/A</v>
      </c>
      <c r="AC269" s="501" t="e">
        <f t="shared" si="51"/>
        <v>#N/A</v>
      </c>
    </row>
    <row r="270" spans="1:29" ht="15" customHeight="1">
      <c r="A270" s="457" t="str">
        <f t="shared" si="48"/>
        <v/>
      </c>
      <c r="B270" s="701" t="str">
        <f t="shared" si="38"/>
        <v>3</v>
      </c>
      <c r="C270" s="701" t="str">
        <f t="shared" si="39"/>
        <v>6</v>
      </c>
      <c r="D270" s="885" t="str">
        <f t="shared" si="40"/>
        <v>-</v>
      </c>
      <c r="F270" s="1105" t="str">
        <f t="shared" si="33"/>
        <v/>
      </c>
      <c r="G270" s="1106"/>
      <c r="H270" s="692" t="str">
        <f t="shared" si="34"/>
        <v/>
      </c>
      <c r="I270" s="689" t="str">
        <f t="shared" si="41"/>
        <v/>
      </c>
      <c r="J270" s="689" t="str">
        <f t="shared" si="52"/>
        <v/>
      </c>
      <c r="K270" s="690" t="str">
        <f t="shared" si="53"/>
        <v/>
      </c>
      <c r="L270" s="691" t="str">
        <f t="shared" si="44"/>
        <v/>
      </c>
      <c r="M270" s="700" t="str">
        <f>IFERROR(IF(J270="","",IF($H$196="-","-",INDEX(BD!$A$1:$K$2510,MATCH('2.Win Load'!B270,BD!$A$1:$A$2510,0),6))),"")</f>
        <v/>
      </c>
      <c r="N270" s="700" t="str">
        <f>IFERROR(IF($J270="","",IF($I$196="-","-",INDEX(BD!$A$1:$K$2510,MATCH('2.Win Load'!C270,BD!$A$1:$A$2510,0),6))),"")</f>
        <v/>
      </c>
      <c r="O270" s="700" t="str">
        <f>IFERROR(IF($J270="","",IF($J$196="-","-",INDEX(BD!$A$1:$K$2510,MATCH('2.Win Load'!D270,BD!$A$1:$A$2510,0),6))),"")</f>
        <v/>
      </c>
      <c r="P270" s="692" t="str">
        <f t="shared" si="45"/>
        <v/>
      </c>
      <c r="Q270" s="692" t="str">
        <f t="shared" si="46"/>
        <v/>
      </c>
      <c r="R270" s="960" t="str">
        <f t="shared" si="47"/>
        <v/>
      </c>
      <c r="S270" s="498">
        <f t="array" ref="S270">MAX(IF('Wind base'!$AE$5:$AE$11&lt;I270,'Wind base'!$AE$5:$AE$11,""))</f>
        <v>160</v>
      </c>
      <c r="T270" s="498">
        <f t="array" ref="T270">MIN(IF('Wind base'!$AE$5:$AE$11&gt;I270,'Wind base'!$AE$5:$AE$11,""))</f>
        <v>0</v>
      </c>
      <c r="U270" s="499">
        <f t="array" ref="U270">MAX(IF('Wind base'!$AF$4:$AL$4&lt;J270,'Wind base'!$AF$4:$AL$4,""),5)</f>
        <v>350</v>
      </c>
      <c r="V270" s="498">
        <f t="array" ref="V270">MIN(IF('Wind base'!$AF$4:$AL$4&gt;J270,'Wind base'!$AF$4:$AL$4,""))</f>
        <v>0</v>
      </c>
      <c r="W270" s="500">
        <f t="array" ref="W270">INDEX('Wind base'!$AF$5:$AL$11,MATCH($S270,'Wind base'!$AE$5:$AE$11,0),MATCH($U270,'Wind base'!$AF$4:$AL$4,0))</f>
        <v>0.38</v>
      </c>
      <c r="X270" s="500" t="e">
        <f t="array" ref="X270">INDEX('Wind base'!$AF$5:$AL$11,MATCH($S270,'Wind base'!$AE$5:$AE$11,0),MATCH($V270,'Wind base'!$AF$4:$AL$4,0))</f>
        <v>#N/A</v>
      </c>
      <c r="Y270" s="500" t="e">
        <f t="array" ref="Y270">INDEX('Wind base'!$AF$5:$AL$11,MATCH($T270,'Wind base'!$AE$5:$AE$11,0),MATCH($U270,'Wind base'!$AF$4:$AL$4,0))</f>
        <v>#N/A</v>
      </c>
      <c r="Z270" s="500" t="e">
        <f t="array" ref="Z270">INDEX('Wind base'!$AF$5:$AL$11,MATCH($T270,'Wind base'!$AE$5:$AE$11,0),MATCH($V270,'Wind base'!$AF$4:$AL$4,0))</f>
        <v>#N/A</v>
      </c>
      <c r="AA270" s="501" t="e">
        <f t="shared" si="49"/>
        <v>#N/A</v>
      </c>
      <c r="AB270" s="501" t="e">
        <f t="shared" si="50"/>
        <v>#N/A</v>
      </c>
      <c r="AC270" s="501" t="e">
        <f t="shared" si="51"/>
        <v>#N/A</v>
      </c>
    </row>
    <row r="271" spans="1:29" ht="15" customHeight="1">
      <c r="A271" s="457" t="str">
        <f t="shared" si="48"/>
        <v/>
      </c>
      <c r="B271" s="701" t="str">
        <f t="shared" si="38"/>
        <v>3</v>
      </c>
      <c r="C271" s="701" t="str">
        <f t="shared" si="39"/>
        <v>6</v>
      </c>
      <c r="D271" s="885" t="str">
        <f t="shared" si="40"/>
        <v>-</v>
      </c>
      <c r="F271" s="1105" t="str">
        <f t="shared" si="33"/>
        <v/>
      </c>
      <c r="G271" s="1106"/>
      <c r="H271" s="692" t="str">
        <f t="shared" si="34"/>
        <v/>
      </c>
      <c r="I271" s="689" t="str">
        <f t="shared" si="41"/>
        <v/>
      </c>
      <c r="J271" s="689" t="str">
        <f t="shared" si="52"/>
        <v/>
      </c>
      <c r="K271" s="690" t="str">
        <f t="shared" si="53"/>
        <v/>
      </c>
      <c r="L271" s="691" t="str">
        <f t="shared" si="44"/>
        <v/>
      </c>
      <c r="M271" s="700" t="str">
        <f>IFERROR(IF(J271="","",IF($H$196="-","-",INDEX(BD!$A$1:$K$2510,MATCH('2.Win Load'!B271,BD!$A$1:$A$2510,0),6))),"")</f>
        <v/>
      </c>
      <c r="N271" s="700" t="str">
        <f>IFERROR(IF($J271="","",IF($I$196="-","-",INDEX(BD!$A$1:$K$2510,MATCH('2.Win Load'!C271,BD!$A$1:$A$2510,0),6))),"")</f>
        <v/>
      </c>
      <c r="O271" s="700" t="str">
        <f>IFERROR(IF($J271="","",IF($J$196="-","-",INDEX(BD!$A$1:$K$2510,MATCH('2.Win Load'!D271,BD!$A$1:$A$2510,0),6))),"")</f>
        <v/>
      </c>
      <c r="P271" s="692" t="str">
        <f t="shared" si="45"/>
        <v/>
      </c>
      <c r="Q271" s="692" t="str">
        <f t="shared" si="46"/>
        <v/>
      </c>
      <c r="R271" s="960" t="str">
        <f t="shared" si="47"/>
        <v/>
      </c>
      <c r="S271" s="498">
        <f t="array" ref="S271">MAX(IF('Wind base'!$AE$5:$AE$11&lt;I271,'Wind base'!$AE$5:$AE$11,""))</f>
        <v>160</v>
      </c>
      <c r="T271" s="498">
        <f t="array" ref="T271">MIN(IF('Wind base'!$AE$5:$AE$11&gt;I271,'Wind base'!$AE$5:$AE$11,""))</f>
        <v>0</v>
      </c>
      <c r="U271" s="499">
        <f t="array" ref="U271">MAX(IF('Wind base'!$AF$4:$AL$4&lt;J271,'Wind base'!$AF$4:$AL$4,""),5)</f>
        <v>350</v>
      </c>
      <c r="V271" s="498">
        <f t="array" ref="V271">MIN(IF('Wind base'!$AF$4:$AL$4&gt;J271,'Wind base'!$AF$4:$AL$4,""))</f>
        <v>0</v>
      </c>
      <c r="W271" s="500">
        <f t="array" ref="W271">INDEX('Wind base'!$AF$5:$AL$11,MATCH($S271,'Wind base'!$AE$5:$AE$11,0),MATCH($U271,'Wind base'!$AF$4:$AL$4,0))</f>
        <v>0.38</v>
      </c>
      <c r="X271" s="500" t="e">
        <f t="array" ref="X271">INDEX('Wind base'!$AF$5:$AL$11,MATCH($S271,'Wind base'!$AE$5:$AE$11,0),MATCH($V271,'Wind base'!$AF$4:$AL$4,0))</f>
        <v>#N/A</v>
      </c>
      <c r="Y271" s="500" t="e">
        <f t="array" ref="Y271">INDEX('Wind base'!$AF$5:$AL$11,MATCH($T271,'Wind base'!$AE$5:$AE$11,0),MATCH($U271,'Wind base'!$AF$4:$AL$4,0))</f>
        <v>#N/A</v>
      </c>
      <c r="Z271" s="500" t="e">
        <f t="array" ref="Z271">INDEX('Wind base'!$AF$5:$AL$11,MATCH($T271,'Wind base'!$AE$5:$AE$11,0),MATCH($V271,'Wind base'!$AF$4:$AL$4,0))</f>
        <v>#N/A</v>
      </c>
      <c r="AA271" s="501" t="e">
        <f t="shared" si="49"/>
        <v>#N/A</v>
      </c>
      <c r="AB271" s="501" t="e">
        <f t="shared" si="50"/>
        <v>#N/A</v>
      </c>
      <c r="AC271" s="501" t="e">
        <f t="shared" si="51"/>
        <v>#N/A</v>
      </c>
    </row>
    <row r="272" spans="1:29" ht="15" customHeight="1">
      <c r="A272" s="457" t="str">
        <f t="shared" si="48"/>
        <v/>
      </c>
      <c r="B272" s="701" t="str">
        <f t="shared" si="38"/>
        <v>3</v>
      </c>
      <c r="C272" s="701" t="str">
        <f t="shared" si="39"/>
        <v>6</v>
      </c>
      <c r="D272" s="885" t="str">
        <f t="shared" si="40"/>
        <v>-</v>
      </c>
      <c r="F272" s="1105" t="str">
        <f t="shared" si="33"/>
        <v/>
      </c>
      <c r="G272" s="1106"/>
      <c r="H272" s="692" t="str">
        <f t="shared" si="34"/>
        <v/>
      </c>
      <c r="I272" s="689" t="str">
        <f t="shared" si="41"/>
        <v/>
      </c>
      <c r="J272" s="689" t="str">
        <f t="shared" si="52"/>
        <v/>
      </c>
      <c r="K272" s="690" t="str">
        <f t="shared" si="53"/>
        <v/>
      </c>
      <c r="L272" s="691" t="str">
        <f t="shared" si="44"/>
        <v/>
      </c>
      <c r="M272" s="700" t="str">
        <f>IFERROR(IF(J272="","",IF($H$196="-","-",INDEX(BD!$A$1:$K$2510,MATCH('2.Win Load'!B272,BD!$A$1:$A$2510,0),6))),"")</f>
        <v/>
      </c>
      <c r="N272" s="700" t="str">
        <f>IFERROR(IF($J272="","",IF($I$196="-","-",INDEX(BD!$A$1:$K$2510,MATCH('2.Win Load'!C272,BD!$A$1:$A$2510,0),6))),"")</f>
        <v/>
      </c>
      <c r="O272" s="700" t="str">
        <f>IFERROR(IF($J272="","",IF($J$196="-","-",INDEX(BD!$A$1:$K$2510,MATCH('2.Win Load'!D272,BD!$A$1:$A$2510,0),6))),"")</f>
        <v/>
      </c>
      <c r="P272" s="692" t="str">
        <f t="shared" si="45"/>
        <v/>
      </c>
      <c r="Q272" s="692" t="str">
        <f t="shared" si="46"/>
        <v/>
      </c>
      <c r="R272" s="960" t="str">
        <f t="shared" si="47"/>
        <v/>
      </c>
      <c r="S272" s="498">
        <f t="array" ref="S272">MAX(IF('Wind base'!$AE$5:$AE$11&lt;I272,'Wind base'!$AE$5:$AE$11,""))</f>
        <v>160</v>
      </c>
      <c r="T272" s="498">
        <f t="array" ref="T272">MIN(IF('Wind base'!$AE$5:$AE$11&gt;I272,'Wind base'!$AE$5:$AE$11,""))</f>
        <v>0</v>
      </c>
      <c r="U272" s="499">
        <f t="array" ref="U272">MAX(IF('Wind base'!$AF$4:$AL$4&lt;J272,'Wind base'!$AF$4:$AL$4,""),5)</f>
        <v>350</v>
      </c>
      <c r="V272" s="498">
        <f t="array" ref="V272">MIN(IF('Wind base'!$AF$4:$AL$4&gt;J272,'Wind base'!$AF$4:$AL$4,""))</f>
        <v>0</v>
      </c>
      <c r="W272" s="500">
        <f t="array" ref="W272">INDEX('Wind base'!$AF$5:$AL$11,MATCH($S272,'Wind base'!$AE$5:$AE$11,0),MATCH($U272,'Wind base'!$AF$4:$AL$4,0))</f>
        <v>0.38</v>
      </c>
      <c r="X272" s="500" t="e">
        <f t="array" ref="X272">INDEX('Wind base'!$AF$5:$AL$11,MATCH($S272,'Wind base'!$AE$5:$AE$11,0),MATCH($V272,'Wind base'!$AF$4:$AL$4,0))</f>
        <v>#N/A</v>
      </c>
      <c r="Y272" s="500" t="e">
        <f t="array" ref="Y272">INDEX('Wind base'!$AF$5:$AL$11,MATCH($T272,'Wind base'!$AE$5:$AE$11,0),MATCH($U272,'Wind base'!$AF$4:$AL$4,0))</f>
        <v>#N/A</v>
      </c>
      <c r="Z272" s="500" t="e">
        <f t="array" ref="Z272">INDEX('Wind base'!$AF$5:$AL$11,MATCH($T272,'Wind base'!$AE$5:$AE$11,0),MATCH($V272,'Wind base'!$AF$4:$AL$4,0))</f>
        <v>#N/A</v>
      </c>
      <c r="AA272" s="501" t="e">
        <f t="shared" si="49"/>
        <v>#N/A</v>
      </c>
      <c r="AB272" s="501" t="e">
        <f t="shared" si="50"/>
        <v>#N/A</v>
      </c>
      <c r="AC272" s="501" t="e">
        <f t="shared" si="51"/>
        <v>#N/A</v>
      </c>
    </row>
    <row r="273" spans="1:29" ht="15" customHeight="1">
      <c r="A273" s="457" t="str">
        <f t="shared" si="48"/>
        <v/>
      </c>
      <c r="B273" s="701" t="str">
        <f t="shared" si="38"/>
        <v>3</v>
      </c>
      <c r="C273" s="701" t="str">
        <f t="shared" si="39"/>
        <v>6</v>
      </c>
      <c r="D273" s="885" t="str">
        <f t="shared" si="40"/>
        <v>-</v>
      </c>
      <c r="F273" s="1105" t="str">
        <f t="shared" si="33"/>
        <v/>
      </c>
      <c r="G273" s="1106"/>
      <c r="H273" s="692" t="str">
        <f t="shared" si="34"/>
        <v/>
      </c>
      <c r="I273" s="689" t="str">
        <f t="shared" si="41"/>
        <v/>
      </c>
      <c r="J273" s="689" t="str">
        <f t="shared" si="52"/>
        <v/>
      </c>
      <c r="K273" s="690" t="str">
        <f t="shared" si="53"/>
        <v/>
      </c>
      <c r="L273" s="691" t="str">
        <f t="shared" si="44"/>
        <v/>
      </c>
      <c r="M273" s="700" t="str">
        <f>IFERROR(IF(J273="","",IF($H$196="-","-",INDEX(BD!$A$1:$K$2510,MATCH('2.Win Load'!B273,BD!$A$1:$A$2510,0),6))),"")</f>
        <v/>
      </c>
      <c r="N273" s="700" t="str">
        <f>IFERROR(IF($J273="","",IF($I$196="-","-",INDEX(BD!$A$1:$K$2510,MATCH('2.Win Load'!C273,BD!$A$1:$A$2510,0),6))),"")</f>
        <v/>
      </c>
      <c r="O273" s="700" t="str">
        <f>IFERROR(IF($J273="","",IF($J$196="-","-",INDEX(BD!$A$1:$K$2510,MATCH('2.Win Load'!D273,BD!$A$1:$A$2510,0),6))),"")</f>
        <v/>
      </c>
      <c r="P273" s="692" t="str">
        <f t="shared" si="45"/>
        <v/>
      </c>
      <c r="Q273" s="692" t="str">
        <f t="shared" si="46"/>
        <v/>
      </c>
      <c r="R273" s="960" t="str">
        <f t="shared" si="47"/>
        <v/>
      </c>
      <c r="S273" s="498">
        <f t="array" ref="S273">MAX(IF('Wind base'!$AE$5:$AE$11&lt;I273,'Wind base'!$AE$5:$AE$11,""))</f>
        <v>160</v>
      </c>
      <c r="T273" s="498">
        <f t="array" ref="T273">MIN(IF('Wind base'!$AE$5:$AE$11&gt;I273,'Wind base'!$AE$5:$AE$11,""))</f>
        <v>0</v>
      </c>
      <c r="U273" s="499">
        <f t="array" ref="U273">MAX(IF('Wind base'!$AF$4:$AL$4&lt;J273,'Wind base'!$AF$4:$AL$4,""),5)</f>
        <v>350</v>
      </c>
      <c r="V273" s="498">
        <f t="array" ref="V273">MIN(IF('Wind base'!$AF$4:$AL$4&gt;J273,'Wind base'!$AF$4:$AL$4,""))</f>
        <v>0</v>
      </c>
      <c r="W273" s="500">
        <f t="array" ref="W273">INDEX('Wind base'!$AF$5:$AL$11,MATCH($S273,'Wind base'!$AE$5:$AE$11,0),MATCH($U273,'Wind base'!$AF$4:$AL$4,0))</f>
        <v>0.38</v>
      </c>
      <c r="X273" s="500" t="e">
        <f t="array" ref="X273">INDEX('Wind base'!$AF$5:$AL$11,MATCH($S273,'Wind base'!$AE$5:$AE$11,0),MATCH($V273,'Wind base'!$AF$4:$AL$4,0))</f>
        <v>#N/A</v>
      </c>
      <c r="Y273" s="500" t="e">
        <f t="array" ref="Y273">INDEX('Wind base'!$AF$5:$AL$11,MATCH($T273,'Wind base'!$AE$5:$AE$11,0),MATCH($U273,'Wind base'!$AF$4:$AL$4,0))</f>
        <v>#N/A</v>
      </c>
      <c r="Z273" s="500" t="e">
        <f t="array" ref="Z273">INDEX('Wind base'!$AF$5:$AL$11,MATCH($T273,'Wind base'!$AE$5:$AE$11,0),MATCH($V273,'Wind base'!$AF$4:$AL$4,0))</f>
        <v>#N/A</v>
      </c>
      <c r="AA273" s="501" t="e">
        <f t="shared" si="49"/>
        <v>#N/A</v>
      </c>
      <c r="AB273" s="501" t="e">
        <f t="shared" si="50"/>
        <v>#N/A</v>
      </c>
      <c r="AC273" s="501" t="e">
        <f t="shared" si="51"/>
        <v>#N/A</v>
      </c>
    </row>
    <row r="274" spans="1:29" ht="15" customHeight="1">
      <c r="A274" s="457" t="str">
        <f t="shared" si="48"/>
        <v/>
      </c>
      <c r="B274" s="701" t="str">
        <f t="shared" si="38"/>
        <v>3</v>
      </c>
      <c r="C274" s="701" t="str">
        <f t="shared" si="39"/>
        <v>6</v>
      </c>
      <c r="D274" s="885" t="str">
        <f t="shared" si="40"/>
        <v>-</v>
      </c>
      <c r="F274" s="1105" t="str">
        <f t="shared" si="33"/>
        <v/>
      </c>
      <c r="G274" s="1106"/>
      <c r="H274" s="692" t="str">
        <f t="shared" si="34"/>
        <v/>
      </c>
      <c r="I274" s="689" t="str">
        <f t="shared" si="41"/>
        <v/>
      </c>
      <c r="J274" s="689" t="str">
        <f t="shared" si="52"/>
        <v/>
      </c>
      <c r="K274" s="690" t="str">
        <f t="shared" si="53"/>
        <v/>
      </c>
      <c r="L274" s="691" t="str">
        <f t="shared" si="44"/>
        <v/>
      </c>
      <c r="M274" s="700" t="str">
        <f>IFERROR(IF(J274="","",IF($H$196="-","-",INDEX(BD!$A$1:$K$2510,MATCH('2.Win Load'!B274,BD!$A$1:$A$2510,0),6))),"")</f>
        <v/>
      </c>
      <c r="N274" s="700" t="str">
        <f>IFERROR(IF($J274="","",IF($I$196="-","-",INDEX(BD!$A$1:$K$2510,MATCH('2.Win Load'!C274,BD!$A$1:$A$2510,0),6))),"")</f>
        <v/>
      </c>
      <c r="O274" s="700" t="str">
        <f>IFERROR(IF($J274="","",IF($J$196="-","-",INDEX(BD!$A$1:$K$2510,MATCH('2.Win Load'!D274,BD!$A$1:$A$2510,0),6))),"")</f>
        <v/>
      </c>
      <c r="P274" s="692" t="str">
        <f t="shared" si="45"/>
        <v/>
      </c>
      <c r="Q274" s="692" t="str">
        <f t="shared" si="46"/>
        <v/>
      </c>
      <c r="R274" s="960" t="str">
        <f t="shared" si="47"/>
        <v/>
      </c>
      <c r="S274" s="498">
        <f t="array" ref="S274">MAX(IF('Wind base'!$AE$5:$AE$11&lt;I274,'Wind base'!$AE$5:$AE$11,""))</f>
        <v>160</v>
      </c>
      <c r="T274" s="498">
        <f t="array" ref="T274">MIN(IF('Wind base'!$AE$5:$AE$11&gt;I274,'Wind base'!$AE$5:$AE$11,""))</f>
        <v>0</v>
      </c>
      <c r="U274" s="499">
        <f t="array" ref="U274">MAX(IF('Wind base'!$AF$4:$AL$4&lt;J274,'Wind base'!$AF$4:$AL$4,""),5)</f>
        <v>350</v>
      </c>
      <c r="V274" s="498">
        <f t="array" ref="V274">MIN(IF('Wind base'!$AF$4:$AL$4&gt;J274,'Wind base'!$AF$4:$AL$4,""))</f>
        <v>0</v>
      </c>
      <c r="W274" s="500">
        <f t="array" ref="W274">INDEX('Wind base'!$AF$5:$AL$11,MATCH($S274,'Wind base'!$AE$5:$AE$11,0),MATCH($U274,'Wind base'!$AF$4:$AL$4,0))</f>
        <v>0.38</v>
      </c>
      <c r="X274" s="500" t="e">
        <f t="array" ref="X274">INDEX('Wind base'!$AF$5:$AL$11,MATCH($S274,'Wind base'!$AE$5:$AE$11,0),MATCH($V274,'Wind base'!$AF$4:$AL$4,0))</f>
        <v>#N/A</v>
      </c>
      <c r="Y274" s="500" t="e">
        <f t="array" ref="Y274">INDEX('Wind base'!$AF$5:$AL$11,MATCH($T274,'Wind base'!$AE$5:$AE$11,0),MATCH($U274,'Wind base'!$AF$4:$AL$4,0))</f>
        <v>#N/A</v>
      </c>
      <c r="Z274" s="500" t="e">
        <f t="array" ref="Z274">INDEX('Wind base'!$AF$5:$AL$11,MATCH($T274,'Wind base'!$AE$5:$AE$11,0),MATCH($V274,'Wind base'!$AF$4:$AL$4,0))</f>
        <v>#N/A</v>
      </c>
      <c r="AA274" s="501" t="e">
        <f t="shared" si="49"/>
        <v>#N/A</v>
      </c>
      <c r="AB274" s="501" t="e">
        <f t="shared" si="50"/>
        <v>#N/A</v>
      </c>
      <c r="AC274" s="501" t="e">
        <f t="shared" si="51"/>
        <v>#N/A</v>
      </c>
    </row>
    <row r="275" spans="1:29" ht="15" customHeight="1">
      <c r="A275" s="457" t="str">
        <f t="shared" ref="A275:A306" si="54">IF(F275="","",1)</f>
        <v/>
      </c>
      <c r="B275" s="701" t="str">
        <f t="shared" si="38"/>
        <v>3</v>
      </c>
      <c r="C275" s="701" t="str">
        <f t="shared" si="39"/>
        <v>6</v>
      </c>
      <c r="D275" s="885" t="str">
        <f t="shared" si="40"/>
        <v>-</v>
      </c>
      <c r="F275" s="1105" t="str">
        <f t="shared" ref="F275:F289" si="55">F88</f>
        <v/>
      </c>
      <c r="G275" s="1106"/>
      <c r="H275" s="692" t="str">
        <f t="shared" si="34"/>
        <v/>
      </c>
      <c r="I275" s="689" t="str">
        <f t="shared" si="41"/>
        <v/>
      </c>
      <c r="J275" s="689" t="str">
        <f t="shared" si="52"/>
        <v/>
      </c>
      <c r="K275" s="690" t="str">
        <f t="shared" ref="K275:K289" si="56">IF(AND(F275&lt;&gt;"",F275&lt;&gt;"BASE",H275&gt;0),AC275,"")</f>
        <v/>
      </c>
      <c r="L275" s="691" t="str">
        <f t="shared" si="44"/>
        <v/>
      </c>
      <c r="M275" s="700" t="str">
        <f>IFERROR(IF(J275="","",IF($H$196="-","-",INDEX(BD!$A$1:$K$2510,MATCH('2.Win Load'!B275,BD!$A$1:$A$2510,0),6))),"")</f>
        <v/>
      </c>
      <c r="N275" s="700" t="str">
        <f>IFERROR(IF($J275="","",IF($I$196="-","-",INDEX(BD!$A$1:$K$2510,MATCH('2.Win Load'!C275,BD!$A$1:$A$2510,0),6))),"")</f>
        <v/>
      </c>
      <c r="O275" s="700" t="str">
        <f>IFERROR(IF($J275="","",IF($J$196="-","-",INDEX(BD!$A$1:$K$2510,MATCH('2.Win Load'!D275,BD!$A$1:$A$2510,0),6))),"")</f>
        <v/>
      </c>
      <c r="P275" s="692" t="str">
        <f t="shared" si="45"/>
        <v/>
      </c>
      <c r="Q275" s="692" t="str">
        <f t="shared" si="46"/>
        <v/>
      </c>
      <c r="R275" s="960" t="str">
        <f t="shared" si="47"/>
        <v/>
      </c>
      <c r="S275" s="498">
        <f t="array" ref="S275">MAX(IF('Wind base'!$AE$5:$AE$11&lt;I275,'Wind base'!$AE$5:$AE$11,""))</f>
        <v>160</v>
      </c>
      <c r="T275" s="498">
        <f t="array" ref="T275">MIN(IF('Wind base'!$AE$5:$AE$11&gt;I275,'Wind base'!$AE$5:$AE$11,""))</f>
        <v>0</v>
      </c>
      <c r="U275" s="499">
        <f t="array" ref="U275">MAX(IF('Wind base'!$AF$4:$AL$4&lt;J275,'Wind base'!$AF$4:$AL$4,""),5)</f>
        <v>350</v>
      </c>
      <c r="V275" s="498">
        <f t="array" ref="V275">MIN(IF('Wind base'!$AF$4:$AL$4&gt;J275,'Wind base'!$AF$4:$AL$4,""))</f>
        <v>0</v>
      </c>
      <c r="W275" s="500">
        <f t="array" ref="W275">INDEX('Wind base'!$AF$5:$AL$11,MATCH($S275,'Wind base'!$AE$5:$AE$11,0),MATCH($U275,'Wind base'!$AF$4:$AL$4,0))</f>
        <v>0.38</v>
      </c>
      <c r="X275" s="500" t="e">
        <f t="array" ref="X275">INDEX('Wind base'!$AF$5:$AL$11,MATCH($S275,'Wind base'!$AE$5:$AE$11,0),MATCH($V275,'Wind base'!$AF$4:$AL$4,0))</f>
        <v>#N/A</v>
      </c>
      <c r="Y275" s="500" t="e">
        <f t="array" ref="Y275">INDEX('Wind base'!$AF$5:$AL$11,MATCH($T275,'Wind base'!$AE$5:$AE$11,0),MATCH($U275,'Wind base'!$AF$4:$AL$4,0))</f>
        <v>#N/A</v>
      </c>
      <c r="Z275" s="500" t="e">
        <f t="array" ref="Z275">INDEX('Wind base'!$AF$5:$AL$11,MATCH($T275,'Wind base'!$AE$5:$AE$11,0),MATCH($V275,'Wind base'!$AF$4:$AL$4,0))</f>
        <v>#N/A</v>
      </c>
      <c r="AA275" s="501" t="e">
        <f t="shared" ref="AA275:AA289" si="57">Y275+(T275-I275)/(T275-S275)*(W275-Y275)</f>
        <v>#N/A</v>
      </c>
      <c r="AB275" s="501" t="e">
        <f t="shared" ref="AB275:AB289" si="58">Z275+(T275-I275)/(T275-S275)*(X275-Z275)</f>
        <v>#N/A</v>
      </c>
      <c r="AC275" s="501" t="e">
        <f t="shared" ref="AC275:AC289" si="59">IFERROR(AB275+(V275-J275)*(AA275-AB275)/(V275-U275),AA275)</f>
        <v>#N/A</v>
      </c>
    </row>
    <row r="276" spans="1:29" ht="15" customHeight="1">
      <c r="A276" s="457" t="str">
        <f t="shared" si="54"/>
        <v/>
      </c>
      <c r="B276" s="701" t="str">
        <f t="shared" ref="B276:B289" si="60">F276&amp;$H$195</f>
        <v>3</v>
      </c>
      <c r="C276" s="701" t="str">
        <f t="shared" ref="C276:C289" si="61">F276&amp;$I$195</f>
        <v>6</v>
      </c>
      <c r="D276" s="885" t="str">
        <f t="shared" ref="D276:D339" si="62">F276&amp;$J$195</f>
        <v>-</v>
      </c>
      <c r="F276" s="1105" t="str">
        <f t="shared" si="55"/>
        <v/>
      </c>
      <c r="G276" s="1106"/>
      <c r="H276" s="692" t="str">
        <f t="shared" si="34"/>
        <v/>
      </c>
      <c r="I276" s="689" t="str">
        <f t="shared" ref="I276:I289" si="63">N89</f>
        <v/>
      </c>
      <c r="J276" s="689" t="str">
        <f t="shared" ref="J276:J289" si="64">IF(AND(F276&lt;&gt;"",F276&lt;&gt;"BASE"),IF(H276&gt;0,H276,""),"")</f>
        <v/>
      </c>
      <c r="K276" s="690" t="str">
        <f t="shared" si="56"/>
        <v/>
      </c>
      <c r="L276" s="691" t="str">
        <f t="shared" ref="L276:L289" si="65">IF(J276&lt;&gt;"",IF($K$13="A",IF(0.356*(H276-$O$11)^(-0.07)&gt;0.318,0.318,0.356*(H276-$O$11)^(-0.07)),IF($K$13="B",IF(0.5979*(H276-$O$11)^(-0.0899)&gt;0.517,0.517,0.5979*(H276-$O$11)^(-0.0899)),IF(0.944*(H276-$O$11)^(-0.1399)&gt;0.754,0.754,0.944*(H276-$O$11)^(-0.1399)))),"")</f>
        <v/>
      </c>
      <c r="M276" s="700" t="str">
        <f>IFERROR(IF(J276="","",IF($H$196="-","-",INDEX(BD!$A$1:$K$2510,MATCH('2.Win Load'!B276,BD!$A$1:$A$2510,0),6))),"")</f>
        <v/>
      </c>
      <c r="N276" s="700" t="str">
        <f>IFERROR(IF($J276="","",IF($I$196="-","-",INDEX(BD!$A$1:$K$2510,MATCH('2.Win Load'!C276,BD!$A$1:$A$2510,0),6))),"")</f>
        <v/>
      </c>
      <c r="O276" s="700" t="str">
        <f>IFERROR(IF($J276="","",IF($J$196="-","-",INDEX(BD!$A$1:$K$2510,MATCH('2.Win Load'!D276,BD!$A$1:$A$2510,0),6))),"")</f>
        <v/>
      </c>
      <c r="P276" s="692" t="str">
        <f t="shared" ref="P276:P289" si="66">IF(M276="","",IF(M276="-","-",$O89*$L276*IF($H$206=1,K276,IF($H$206=2,1,"-"))))</f>
        <v/>
      </c>
      <c r="Q276" s="692" t="str">
        <f t="shared" ref="Q276:Q289" si="67">IF(N276="","",IF(N276="-","-",$O89*$L276*IF($I$206=1,K276,IF($I$206=2,1,"-"))))</f>
        <v/>
      </c>
      <c r="R276" s="960" t="str">
        <f t="shared" ref="R276:R289" si="68">IF(O276="","",IF(O276="-","-",$O89*$L276*IF($I$206=1,K276,IF($I$206=2,1,"-"))))</f>
        <v/>
      </c>
      <c r="S276" s="498">
        <f t="array" ref="S276">MAX(IF('Wind base'!$AE$5:$AE$11&lt;I276,'Wind base'!$AE$5:$AE$11,""))</f>
        <v>160</v>
      </c>
      <c r="T276" s="498">
        <f t="array" ref="T276">MIN(IF('Wind base'!$AE$5:$AE$11&gt;I276,'Wind base'!$AE$5:$AE$11,""))</f>
        <v>0</v>
      </c>
      <c r="U276" s="499">
        <f t="array" ref="U276">MAX(IF('Wind base'!$AF$4:$AL$4&lt;J276,'Wind base'!$AF$4:$AL$4,""),5)</f>
        <v>350</v>
      </c>
      <c r="V276" s="498">
        <f t="array" ref="V276">MIN(IF('Wind base'!$AF$4:$AL$4&gt;J276,'Wind base'!$AF$4:$AL$4,""))</f>
        <v>0</v>
      </c>
      <c r="W276" s="500">
        <f t="array" ref="W276">INDEX('Wind base'!$AF$5:$AL$11,MATCH($S276,'Wind base'!$AE$5:$AE$11,0),MATCH($U276,'Wind base'!$AF$4:$AL$4,0))</f>
        <v>0.38</v>
      </c>
      <c r="X276" s="500" t="e">
        <f t="array" ref="X276">INDEX('Wind base'!$AF$5:$AL$11,MATCH($S276,'Wind base'!$AE$5:$AE$11,0),MATCH($V276,'Wind base'!$AF$4:$AL$4,0))</f>
        <v>#N/A</v>
      </c>
      <c r="Y276" s="500" t="e">
        <f t="array" ref="Y276">INDEX('Wind base'!$AF$5:$AL$11,MATCH($T276,'Wind base'!$AE$5:$AE$11,0),MATCH($U276,'Wind base'!$AF$4:$AL$4,0))</f>
        <v>#N/A</v>
      </c>
      <c r="Z276" s="500" t="e">
        <f t="array" ref="Z276">INDEX('Wind base'!$AF$5:$AL$11,MATCH($T276,'Wind base'!$AE$5:$AE$11,0),MATCH($V276,'Wind base'!$AF$4:$AL$4,0))</f>
        <v>#N/A</v>
      </c>
      <c r="AA276" s="501" t="e">
        <f t="shared" si="57"/>
        <v>#N/A</v>
      </c>
      <c r="AB276" s="501" t="e">
        <f t="shared" si="58"/>
        <v>#N/A</v>
      </c>
      <c r="AC276" s="501" t="e">
        <f t="shared" si="59"/>
        <v>#N/A</v>
      </c>
    </row>
    <row r="277" spans="1:29" ht="15" customHeight="1">
      <c r="A277" s="457" t="str">
        <f t="shared" si="54"/>
        <v/>
      </c>
      <c r="B277" s="701" t="str">
        <f t="shared" si="60"/>
        <v>3</v>
      </c>
      <c r="C277" s="701" t="str">
        <f t="shared" si="61"/>
        <v>6</v>
      </c>
      <c r="D277" s="885" t="str">
        <f t="shared" si="62"/>
        <v>-</v>
      </c>
      <c r="F277" s="1105" t="str">
        <f t="shared" si="55"/>
        <v/>
      </c>
      <c r="G277" s="1106"/>
      <c r="H277" s="692" t="str">
        <f t="shared" si="34"/>
        <v/>
      </c>
      <c r="I277" s="689" t="str">
        <f t="shared" si="63"/>
        <v/>
      </c>
      <c r="J277" s="689" t="str">
        <f t="shared" si="64"/>
        <v/>
      </c>
      <c r="K277" s="690" t="str">
        <f t="shared" si="56"/>
        <v/>
      </c>
      <c r="L277" s="691" t="str">
        <f t="shared" si="65"/>
        <v/>
      </c>
      <c r="M277" s="700" t="str">
        <f>IFERROR(IF(J277="","",IF($H$196="-","-",INDEX(BD!$A$1:$K$2510,MATCH('2.Win Load'!B277,BD!$A$1:$A$2510,0),6))),"")</f>
        <v/>
      </c>
      <c r="N277" s="700" t="str">
        <f>IFERROR(IF($J277="","",IF($I$196="-","-",INDEX(BD!$A$1:$K$2510,MATCH('2.Win Load'!C277,BD!$A$1:$A$2510,0),6))),"")</f>
        <v/>
      </c>
      <c r="O277" s="700" t="str">
        <f>IFERROR(IF($J277="","",IF($J$196="-","-",INDEX(BD!$A$1:$K$2510,MATCH('2.Win Load'!D277,BD!$A$1:$A$2510,0),6))),"")</f>
        <v/>
      </c>
      <c r="P277" s="692" t="str">
        <f t="shared" si="66"/>
        <v/>
      </c>
      <c r="Q277" s="692" t="str">
        <f t="shared" si="67"/>
        <v/>
      </c>
      <c r="R277" s="960" t="str">
        <f t="shared" si="68"/>
        <v/>
      </c>
      <c r="S277" s="498">
        <f t="array" ref="S277">MAX(IF('Wind base'!$AE$5:$AE$11&lt;I277,'Wind base'!$AE$5:$AE$11,""))</f>
        <v>160</v>
      </c>
      <c r="T277" s="498">
        <f t="array" ref="T277">MIN(IF('Wind base'!$AE$5:$AE$11&gt;I277,'Wind base'!$AE$5:$AE$11,""))</f>
        <v>0</v>
      </c>
      <c r="U277" s="499">
        <f t="array" ref="U277">MAX(IF('Wind base'!$AF$4:$AL$4&lt;J277,'Wind base'!$AF$4:$AL$4,""),5)</f>
        <v>350</v>
      </c>
      <c r="V277" s="498">
        <f t="array" ref="V277">MIN(IF('Wind base'!$AF$4:$AL$4&gt;J277,'Wind base'!$AF$4:$AL$4,""))</f>
        <v>0</v>
      </c>
      <c r="W277" s="500">
        <f t="array" ref="W277">INDEX('Wind base'!$AF$5:$AL$11,MATCH($S277,'Wind base'!$AE$5:$AE$11,0),MATCH($U277,'Wind base'!$AF$4:$AL$4,0))</f>
        <v>0.38</v>
      </c>
      <c r="X277" s="500" t="e">
        <f t="array" ref="X277">INDEX('Wind base'!$AF$5:$AL$11,MATCH($S277,'Wind base'!$AE$5:$AE$11,0),MATCH($V277,'Wind base'!$AF$4:$AL$4,0))</f>
        <v>#N/A</v>
      </c>
      <c r="Y277" s="500" t="e">
        <f t="array" ref="Y277">INDEX('Wind base'!$AF$5:$AL$11,MATCH($T277,'Wind base'!$AE$5:$AE$11,0),MATCH($U277,'Wind base'!$AF$4:$AL$4,0))</f>
        <v>#N/A</v>
      </c>
      <c r="Z277" s="500" t="e">
        <f t="array" ref="Z277">INDEX('Wind base'!$AF$5:$AL$11,MATCH($T277,'Wind base'!$AE$5:$AE$11,0),MATCH($V277,'Wind base'!$AF$4:$AL$4,0))</f>
        <v>#N/A</v>
      </c>
      <c r="AA277" s="501" t="e">
        <f t="shared" si="57"/>
        <v>#N/A</v>
      </c>
      <c r="AB277" s="501" t="e">
        <f t="shared" si="58"/>
        <v>#N/A</v>
      </c>
      <c r="AC277" s="501" t="e">
        <f t="shared" si="59"/>
        <v>#N/A</v>
      </c>
    </row>
    <row r="278" spans="1:29" ht="15" customHeight="1">
      <c r="A278" s="457" t="str">
        <f t="shared" si="54"/>
        <v/>
      </c>
      <c r="B278" s="701" t="str">
        <f t="shared" si="60"/>
        <v>3</v>
      </c>
      <c r="C278" s="701" t="str">
        <f t="shared" si="61"/>
        <v>6</v>
      </c>
      <c r="D278" s="885" t="str">
        <f t="shared" si="62"/>
        <v>-</v>
      </c>
      <c r="F278" s="1105" t="str">
        <f t="shared" si="55"/>
        <v/>
      </c>
      <c r="G278" s="1106"/>
      <c r="H278" s="692" t="str">
        <f t="shared" si="34"/>
        <v/>
      </c>
      <c r="I278" s="689" t="str">
        <f t="shared" si="63"/>
        <v/>
      </c>
      <c r="J278" s="689" t="str">
        <f t="shared" si="64"/>
        <v/>
      </c>
      <c r="K278" s="690" t="str">
        <f t="shared" si="56"/>
        <v/>
      </c>
      <c r="L278" s="691" t="str">
        <f t="shared" si="65"/>
        <v/>
      </c>
      <c r="M278" s="700" t="str">
        <f>IFERROR(IF(J278="","",IF($H$196="-","-",INDEX(BD!$A$1:$K$2510,MATCH('2.Win Load'!B278,BD!$A$1:$A$2510,0),6))),"")</f>
        <v/>
      </c>
      <c r="N278" s="700" t="str">
        <f>IFERROR(IF($J278="","",IF($I$196="-","-",INDEX(BD!$A$1:$K$2510,MATCH('2.Win Load'!C278,BD!$A$1:$A$2510,0),6))),"")</f>
        <v/>
      </c>
      <c r="O278" s="700" t="str">
        <f>IFERROR(IF($J278="","",IF($J$196="-","-",INDEX(BD!$A$1:$K$2510,MATCH('2.Win Load'!D278,BD!$A$1:$A$2510,0),6))),"")</f>
        <v/>
      </c>
      <c r="P278" s="692" t="str">
        <f t="shared" si="66"/>
        <v/>
      </c>
      <c r="Q278" s="692" t="str">
        <f t="shared" si="67"/>
        <v/>
      </c>
      <c r="R278" s="960" t="str">
        <f t="shared" si="68"/>
        <v/>
      </c>
      <c r="S278" s="498">
        <f t="array" ref="S278">MAX(IF('Wind base'!$AE$5:$AE$11&lt;I278,'Wind base'!$AE$5:$AE$11,""))</f>
        <v>160</v>
      </c>
      <c r="T278" s="498">
        <f t="array" ref="T278">MIN(IF('Wind base'!$AE$5:$AE$11&gt;I278,'Wind base'!$AE$5:$AE$11,""))</f>
        <v>0</v>
      </c>
      <c r="U278" s="499">
        <f t="array" ref="U278">MAX(IF('Wind base'!$AF$4:$AL$4&lt;J278,'Wind base'!$AF$4:$AL$4,""),5)</f>
        <v>350</v>
      </c>
      <c r="V278" s="498">
        <f t="array" ref="V278">MIN(IF('Wind base'!$AF$4:$AL$4&gt;J278,'Wind base'!$AF$4:$AL$4,""))</f>
        <v>0</v>
      </c>
      <c r="W278" s="500">
        <f t="array" ref="W278">INDEX('Wind base'!$AF$5:$AL$11,MATCH($S278,'Wind base'!$AE$5:$AE$11,0),MATCH($U278,'Wind base'!$AF$4:$AL$4,0))</f>
        <v>0.38</v>
      </c>
      <c r="X278" s="500" t="e">
        <f t="array" ref="X278">INDEX('Wind base'!$AF$5:$AL$11,MATCH($S278,'Wind base'!$AE$5:$AE$11,0),MATCH($V278,'Wind base'!$AF$4:$AL$4,0))</f>
        <v>#N/A</v>
      </c>
      <c r="Y278" s="500" t="e">
        <f t="array" ref="Y278">INDEX('Wind base'!$AF$5:$AL$11,MATCH($T278,'Wind base'!$AE$5:$AE$11,0),MATCH($U278,'Wind base'!$AF$4:$AL$4,0))</f>
        <v>#N/A</v>
      </c>
      <c r="Z278" s="500" t="e">
        <f t="array" ref="Z278">INDEX('Wind base'!$AF$5:$AL$11,MATCH($T278,'Wind base'!$AE$5:$AE$11,0),MATCH($V278,'Wind base'!$AF$4:$AL$4,0))</f>
        <v>#N/A</v>
      </c>
      <c r="AA278" s="501" t="e">
        <f t="shared" si="57"/>
        <v>#N/A</v>
      </c>
      <c r="AB278" s="501" t="e">
        <f t="shared" si="58"/>
        <v>#N/A</v>
      </c>
      <c r="AC278" s="501" t="e">
        <f t="shared" si="59"/>
        <v>#N/A</v>
      </c>
    </row>
    <row r="279" spans="1:29" ht="15" customHeight="1">
      <c r="A279" s="457" t="str">
        <f t="shared" si="54"/>
        <v/>
      </c>
      <c r="B279" s="701" t="str">
        <f t="shared" si="60"/>
        <v>3</v>
      </c>
      <c r="C279" s="701" t="str">
        <f t="shared" si="61"/>
        <v>6</v>
      </c>
      <c r="D279" s="885" t="str">
        <f t="shared" si="62"/>
        <v>-</v>
      </c>
      <c r="F279" s="1105" t="str">
        <f t="shared" si="55"/>
        <v/>
      </c>
      <c r="G279" s="1106"/>
      <c r="H279" s="692" t="str">
        <f t="shared" si="34"/>
        <v/>
      </c>
      <c r="I279" s="689" t="str">
        <f t="shared" si="63"/>
        <v/>
      </c>
      <c r="J279" s="689" t="str">
        <f t="shared" si="64"/>
        <v/>
      </c>
      <c r="K279" s="690" t="str">
        <f t="shared" si="56"/>
        <v/>
      </c>
      <c r="L279" s="691" t="str">
        <f t="shared" si="65"/>
        <v/>
      </c>
      <c r="M279" s="700" t="str">
        <f>IFERROR(IF(J279="","",IF($H$196="-","-",INDEX(BD!$A$1:$K$2510,MATCH('2.Win Load'!B279,BD!$A$1:$A$2510,0),6))),"")</f>
        <v/>
      </c>
      <c r="N279" s="700" t="str">
        <f>IFERROR(IF($J279="","",IF($I$196="-","-",INDEX(BD!$A$1:$K$2510,MATCH('2.Win Load'!C279,BD!$A$1:$A$2510,0),6))),"")</f>
        <v/>
      </c>
      <c r="O279" s="700" t="str">
        <f>IFERROR(IF($J279="","",IF($J$196="-","-",INDEX(BD!$A$1:$K$2510,MATCH('2.Win Load'!D279,BD!$A$1:$A$2510,0),6))),"")</f>
        <v/>
      </c>
      <c r="P279" s="692" t="str">
        <f t="shared" si="66"/>
        <v/>
      </c>
      <c r="Q279" s="692" t="str">
        <f t="shared" si="67"/>
        <v/>
      </c>
      <c r="R279" s="960" t="str">
        <f t="shared" si="68"/>
        <v/>
      </c>
      <c r="S279" s="498">
        <f t="array" ref="S279">MAX(IF('Wind base'!$AE$5:$AE$11&lt;I279,'Wind base'!$AE$5:$AE$11,""))</f>
        <v>160</v>
      </c>
      <c r="T279" s="498">
        <f t="array" ref="T279">MIN(IF('Wind base'!$AE$5:$AE$11&gt;I279,'Wind base'!$AE$5:$AE$11,""))</f>
        <v>0</v>
      </c>
      <c r="U279" s="499">
        <f t="array" ref="U279">MAX(IF('Wind base'!$AF$4:$AL$4&lt;J279,'Wind base'!$AF$4:$AL$4,""),5)</f>
        <v>350</v>
      </c>
      <c r="V279" s="498">
        <f t="array" ref="V279">MIN(IF('Wind base'!$AF$4:$AL$4&gt;J279,'Wind base'!$AF$4:$AL$4,""))</f>
        <v>0</v>
      </c>
      <c r="W279" s="500">
        <f t="array" ref="W279">INDEX('Wind base'!$AF$5:$AL$11,MATCH($S279,'Wind base'!$AE$5:$AE$11,0),MATCH($U279,'Wind base'!$AF$4:$AL$4,0))</f>
        <v>0.38</v>
      </c>
      <c r="X279" s="500" t="e">
        <f t="array" ref="X279">INDEX('Wind base'!$AF$5:$AL$11,MATCH($S279,'Wind base'!$AE$5:$AE$11,0),MATCH($V279,'Wind base'!$AF$4:$AL$4,0))</f>
        <v>#N/A</v>
      </c>
      <c r="Y279" s="500" t="e">
        <f t="array" ref="Y279">INDEX('Wind base'!$AF$5:$AL$11,MATCH($T279,'Wind base'!$AE$5:$AE$11,0),MATCH($U279,'Wind base'!$AF$4:$AL$4,0))</f>
        <v>#N/A</v>
      </c>
      <c r="Z279" s="500" t="e">
        <f t="array" ref="Z279">INDEX('Wind base'!$AF$5:$AL$11,MATCH($T279,'Wind base'!$AE$5:$AE$11,0),MATCH($V279,'Wind base'!$AF$4:$AL$4,0))</f>
        <v>#N/A</v>
      </c>
      <c r="AA279" s="501" t="e">
        <f t="shared" si="57"/>
        <v>#N/A</v>
      </c>
      <c r="AB279" s="501" t="e">
        <f t="shared" si="58"/>
        <v>#N/A</v>
      </c>
      <c r="AC279" s="501" t="e">
        <f t="shared" si="59"/>
        <v>#N/A</v>
      </c>
    </row>
    <row r="280" spans="1:29" ht="15" customHeight="1">
      <c r="A280" s="457" t="str">
        <f t="shared" si="54"/>
        <v/>
      </c>
      <c r="B280" s="701" t="str">
        <f t="shared" si="60"/>
        <v>3</v>
      </c>
      <c r="C280" s="701" t="str">
        <f t="shared" si="61"/>
        <v>6</v>
      </c>
      <c r="D280" s="885" t="str">
        <f t="shared" si="62"/>
        <v>-</v>
      </c>
      <c r="F280" s="1105" t="str">
        <f t="shared" si="55"/>
        <v/>
      </c>
      <c r="G280" s="1106"/>
      <c r="H280" s="692" t="str">
        <f t="shared" si="34"/>
        <v/>
      </c>
      <c r="I280" s="689" t="str">
        <f t="shared" si="63"/>
        <v/>
      </c>
      <c r="J280" s="689" t="str">
        <f t="shared" si="64"/>
        <v/>
      </c>
      <c r="K280" s="690" t="str">
        <f t="shared" si="56"/>
        <v/>
      </c>
      <c r="L280" s="691" t="str">
        <f t="shared" si="65"/>
        <v/>
      </c>
      <c r="M280" s="700" t="str">
        <f>IFERROR(IF(J280="","",IF($H$196="-","-",INDEX(BD!$A$1:$K$2510,MATCH('2.Win Load'!B280,BD!$A$1:$A$2510,0),6))),"")</f>
        <v/>
      </c>
      <c r="N280" s="700" t="str">
        <f>IFERROR(IF($J280="","",IF($I$196="-","-",INDEX(BD!$A$1:$K$2510,MATCH('2.Win Load'!C280,BD!$A$1:$A$2510,0),6))),"")</f>
        <v/>
      </c>
      <c r="O280" s="700" t="str">
        <f>IFERROR(IF($J280="","",IF($J$196="-","-",INDEX(BD!$A$1:$K$2510,MATCH('2.Win Load'!D280,BD!$A$1:$A$2510,0),6))),"")</f>
        <v/>
      </c>
      <c r="P280" s="692" t="str">
        <f t="shared" si="66"/>
        <v/>
      </c>
      <c r="Q280" s="692" t="str">
        <f t="shared" si="67"/>
        <v/>
      </c>
      <c r="R280" s="960" t="str">
        <f t="shared" si="68"/>
        <v/>
      </c>
      <c r="S280" s="498">
        <f t="array" ref="S280">MAX(IF('Wind base'!$AE$5:$AE$11&lt;I280,'Wind base'!$AE$5:$AE$11,""))</f>
        <v>160</v>
      </c>
      <c r="T280" s="498">
        <f t="array" ref="T280">MIN(IF('Wind base'!$AE$5:$AE$11&gt;I280,'Wind base'!$AE$5:$AE$11,""))</f>
        <v>0</v>
      </c>
      <c r="U280" s="499">
        <f t="array" ref="U280">MAX(IF('Wind base'!$AF$4:$AL$4&lt;J280,'Wind base'!$AF$4:$AL$4,""),5)</f>
        <v>350</v>
      </c>
      <c r="V280" s="498">
        <f t="array" ref="V280">MIN(IF('Wind base'!$AF$4:$AL$4&gt;J280,'Wind base'!$AF$4:$AL$4,""))</f>
        <v>0</v>
      </c>
      <c r="W280" s="500">
        <f t="array" ref="W280">INDEX('Wind base'!$AF$5:$AL$11,MATCH($S280,'Wind base'!$AE$5:$AE$11,0),MATCH($U280,'Wind base'!$AF$4:$AL$4,0))</f>
        <v>0.38</v>
      </c>
      <c r="X280" s="500" t="e">
        <f t="array" ref="X280">INDEX('Wind base'!$AF$5:$AL$11,MATCH($S280,'Wind base'!$AE$5:$AE$11,0),MATCH($V280,'Wind base'!$AF$4:$AL$4,0))</f>
        <v>#N/A</v>
      </c>
      <c r="Y280" s="500" t="e">
        <f t="array" ref="Y280">INDEX('Wind base'!$AF$5:$AL$11,MATCH($T280,'Wind base'!$AE$5:$AE$11,0),MATCH($U280,'Wind base'!$AF$4:$AL$4,0))</f>
        <v>#N/A</v>
      </c>
      <c r="Z280" s="500" t="e">
        <f t="array" ref="Z280">INDEX('Wind base'!$AF$5:$AL$11,MATCH($T280,'Wind base'!$AE$5:$AE$11,0),MATCH($V280,'Wind base'!$AF$4:$AL$4,0))</f>
        <v>#N/A</v>
      </c>
      <c r="AA280" s="501" t="e">
        <f t="shared" si="57"/>
        <v>#N/A</v>
      </c>
      <c r="AB280" s="501" t="e">
        <f t="shared" si="58"/>
        <v>#N/A</v>
      </c>
      <c r="AC280" s="501" t="e">
        <f t="shared" si="59"/>
        <v>#N/A</v>
      </c>
    </row>
    <row r="281" spans="1:29" ht="15" customHeight="1">
      <c r="A281" s="457" t="str">
        <f t="shared" si="54"/>
        <v/>
      </c>
      <c r="B281" s="701" t="str">
        <f t="shared" si="60"/>
        <v>3</v>
      </c>
      <c r="C281" s="701" t="str">
        <f t="shared" si="61"/>
        <v>6</v>
      </c>
      <c r="D281" s="885" t="str">
        <f t="shared" si="62"/>
        <v>-</v>
      </c>
      <c r="F281" s="1105" t="str">
        <f t="shared" si="55"/>
        <v/>
      </c>
      <c r="G281" s="1106"/>
      <c r="H281" s="692" t="str">
        <f t="shared" si="34"/>
        <v/>
      </c>
      <c r="I281" s="689" t="str">
        <f t="shared" si="63"/>
        <v/>
      </c>
      <c r="J281" s="689" t="str">
        <f t="shared" si="64"/>
        <v/>
      </c>
      <c r="K281" s="690" t="str">
        <f t="shared" si="56"/>
        <v/>
      </c>
      <c r="L281" s="691" t="str">
        <f t="shared" si="65"/>
        <v/>
      </c>
      <c r="M281" s="700" t="str">
        <f>IFERROR(IF(J281="","",IF($H$196="-","-",INDEX(BD!$A$1:$K$2510,MATCH('2.Win Load'!B281,BD!$A$1:$A$2510,0),6))),"")</f>
        <v/>
      </c>
      <c r="N281" s="700" t="str">
        <f>IFERROR(IF($J281="","",IF($I$196="-","-",INDEX(BD!$A$1:$K$2510,MATCH('2.Win Load'!C281,BD!$A$1:$A$2510,0),6))),"")</f>
        <v/>
      </c>
      <c r="O281" s="700" t="str">
        <f>IFERROR(IF($J281="","",IF($J$196="-","-",INDEX(BD!$A$1:$K$2510,MATCH('2.Win Load'!D281,BD!$A$1:$A$2510,0),6))),"")</f>
        <v/>
      </c>
      <c r="P281" s="692" t="str">
        <f t="shared" si="66"/>
        <v/>
      </c>
      <c r="Q281" s="692" t="str">
        <f t="shared" si="67"/>
        <v/>
      </c>
      <c r="R281" s="960" t="str">
        <f t="shared" si="68"/>
        <v/>
      </c>
      <c r="S281" s="498">
        <f t="array" ref="S281">MAX(IF('Wind base'!$AE$5:$AE$11&lt;I281,'Wind base'!$AE$5:$AE$11,""))</f>
        <v>160</v>
      </c>
      <c r="T281" s="498">
        <f t="array" ref="T281">MIN(IF('Wind base'!$AE$5:$AE$11&gt;I281,'Wind base'!$AE$5:$AE$11,""))</f>
        <v>0</v>
      </c>
      <c r="U281" s="499">
        <f t="array" ref="U281">MAX(IF('Wind base'!$AF$4:$AL$4&lt;J281,'Wind base'!$AF$4:$AL$4,""),5)</f>
        <v>350</v>
      </c>
      <c r="V281" s="498">
        <f t="array" ref="V281">MIN(IF('Wind base'!$AF$4:$AL$4&gt;J281,'Wind base'!$AF$4:$AL$4,""))</f>
        <v>0</v>
      </c>
      <c r="W281" s="500">
        <f t="array" ref="W281">INDEX('Wind base'!$AF$5:$AL$11,MATCH($S281,'Wind base'!$AE$5:$AE$11,0),MATCH($U281,'Wind base'!$AF$4:$AL$4,0))</f>
        <v>0.38</v>
      </c>
      <c r="X281" s="500" t="e">
        <f t="array" ref="X281">INDEX('Wind base'!$AF$5:$AL$11,MATCH($S281,'Wind base'!$AE$5:$AE$11,0),MATCH($V281,'Wind base'!$AF$4:$AL$4,0))</f>
        <v>#N/A</v>
      </c>
      <c r="Y281" s="500" t="e">
        <f t="array" ref="Y281">INDEX('Wind base'!$AF$5:$AL$11,MATCH($T281,'Wind base'!$AE$5:$AE$11,0),MATCH($U281,'Wind base'!$AF$4:$AL$4,0))</f>
        <v>#N/A</v>
      </c>
      <c r="Z281" s="500" t="e">
        <f t="array" ref="Z281">INDEX('Wind base'!$AF$5:$AL$11,MATCH($T281,'Wind base'!$AE$5:$AE$11,0),MATCH($V281,'Wind base'!$AF$4:$AL$4,0))</f>
        <v>#N/A</v>
      </c>
      <c r="AA281" s="501" t="e">
        <f t="shared" si="57"/>
        <v>#N/A</v>
      </c>
      <c r="AB281" s="501" t="e">
        <f t="shared" si="58"/>
        <v>#N/A</v>
      </c>
      <c r="AC281" s="501" t="e">
        <f t="shared" si="59"/>
        <v>#N/A</v>
      </c>
    </row>
    <row r="282" spans="1:29" ht="15" customHeight="1">
      <c r="A282" s="457" t="str">
        <f t="shared" si="54"/>
        <v/>
      </c>
      <c r="B282" s="701" t="str">
        <f t="shared" si="60"/>
        <v>3</v>
      </c>
      <c r="C282" s="701" t="str">
        <f t="shared" si="61"/>
        <v>6</v>
      </c>
      <c r="D282" s="885" t="str">
        <f t="shared" si="62"/>
        <v>-</v>
      </c>
      <c r="F282" s="1105" t="str">
        <f t="shared" si="55"/>
        <v/>
      </c>
      <c r="G282" s="1106"/>
      <c r="H282" s="692" t="str">
        <f t="shared" si="34"/>
        <v/>
      </c>
      <c r="I282" s="689" t="str">
        <f t="shared" si="63"/>
        <v/>
      </c>
      <c r="J282" s="689" t="str">
        <f t="shared" si="64"/>
        <v/>
      </c>
      <c r="K282" s="690" t="str">
        <f t="shared" si="56"/>
        <v/>
      </c>
      <c r="L282" s="691" t="str">
        <f t="shared" si="65"/>
        <v/>
      </c>
      <c r="M282" s="700" t="str">
        <f>IFERROR(IF(J282="","",IF($H$196="-","-",INDEX(BD!$A$1:$K$2510,MATCH('2.Win Load'!B282,BD!$A$1:$A$2510,0),6))),"")</f>
        <v/>
      </c>
      <c r="N282" s="700" t="str">
        <f>IFERROR(IF($J282="","",IF($I$196="-","-",INDEX(BD!$A$1:$K$2510,MATCH('2.Win Load'!C282,BD!$A$1:$A$2510,0),6))),"")</f>
        <v/>
      </c>
      <c r="O282" s="700" t="str">
        <f>IFERROR(IF($J282="","",IF($J$196="-","-",INDEX(BD!$A$1:$K$2510,MATCH('2.Win Load'!D282,BD!$A$1:$A$2510,0),6))),"")</f>
        <v/>
      </c>
      <c r="P282" s="692" t="str">
        <f t="shared" si="66"/>
        <v/>
      </c>
      <c r="Q282" s="692" t="str">
        <f t="shared" si="67"/>
        <v/>
      </c>
      <c r="R282" s="960" t="str">
        <f t="shared" si="68"/>
        <v/>
      </c>
      <c r="S282" s="498">
        <f t="array" ref="S282">MAX(IF('Wind base'!$AE$5:$AE$11&lt;I282,'Wind base'!$AE$5:$AE$11,""))</f>
        <v>160</v>
      </c>
      <c r="T282" s="498">
        <f t="array" ref="T282">MIN(IF('Wind base'!$AE$5:$AE$11&gt;I282,'Wind base'!$AE$5:$AE$11,""))</f>
        <v>0</v>
      </c>
      <c r="U282" s="499">
        <f t="array" ref="U282">MAX(IF('Wind base'!$AF$4:$AL$4&lt;J282,'Wind base'!$AF$4:$AL$4,""),5)</f>
        <v>350</v>
      </c>
      <c r="V282" s="498">
        <f t="array" ref="V282">MIN(IF('Wind base'!$AF$4:$AL$4&gt;J282,'Wind base'!$AF$4:$AL$4,""))</f>
        <v>0</v>
      </c>
      <c r="W282" s="500">
        <f t="array" ref="W282">INDEX('Wind base'!$AF$5:$AL$11,MATCH($S282,'Wind base'!$AE$5:$AE$11,0),MATCH($U282,'Wind base'!$AF$4:$AL$4,0))</f>
        <v>0.38</v>
      </c>
      <c r="X282" s="500" t="e">
        <f t="array" ref="X282">INDEX('Wind base'!$AF$5:$AL$11,MATCH($S282,'Wind base'!$AE$5:$AE$11,0),MATCH($V282,'Wind base'!$AF$4:$AL$4,0))</f>
        <v>#N/A</v>
      </c>
      <c r="Y282" s="500" t="e">
        <f t="array" ref="Y282">INDEX('Wind base'!$AF$5:$AL$11,MATCH($T282,'Wind base'!$AE$5:$AE$11,0),MATCH($U282,'Wind base'!$AF$4:$AL$4,0))</f>
        <v>#N/A</v>
      </c>
      <c r="Z282" s="500" t="e">
        <f t="array" ref="Z282">INDEX('Wind base'!$AF$5:$AL$11,MATCH($T282,'Wind base'!$AE$5:$AE$11,0),MATCH($V282,'Wind base'!$AF$4:$AL$4,0))</f>
        <v>#N/A</v>
      </c>
      <c r="AA282" s="501" t="e">
        <f t="shared" si="57"/>
        <v>#N/A</v>
      </c>
      <c r="AB282" s="501" t="e">
        <f t="shared" si="58"/>
        <v>#N/A</v>
      </c>
      <c r="AC282" s="501" t="e">
        <f t="shared" si="59"/>
        <v>#N/A</v>
      </c>
    </row>
    <row r="283" spans="1:29" ht="15" customHeight="1">
      <c r="A283" s="457" t="str">
        <f t="shared" si="54"/>
        <v/>
      </c>
      <c r="B283" s="701" t="str">
        <f t="shared" si="60"/>
        <v>3</v>
      </c>
      <c r="C283" s="701" t="str">
        <f t="shared" si="61"/>
        <v>6</v>
      </c>
      <c r="D283" s="885" t="str">
        <f t="shared" si="62"/>
        <v>-</v>
      </c>
      <c r="F283" s="1105" t="str">
        <f t="shared" si="55"/>
        <v/>
      </c>
      <c r="G283" s="1106"/>
      <c r="H283" s="692" t="str">
        <f t="shared" si="34"/>
        <v/>
      </c>
      <c r="I283" s="689" t="str">
        <f t="shared" si="63"/>
        <v/>
      </c>
      <c r="J283" s="689" t="str">
        <f t="shared" si="64"/>
        <v/>
      </c>
      <c r="K283" s="690" t="str">
        <f t="shared" si="56"/>
        <v/>
      </c>
      <c r="L283" s="691" t="str">
        <f t="shared" si="65"/>
        <v/>
      </c>
      <c r="M283" s="700" t="str">
        <f>IFERROR(IF(J283="","",IF($H$196="-","-",INDEX(BD!$A$1:$K$2510,MATCH('2.Win Load'!B283,BD!$A$1:$A$2510,0),6))),"")</f>
        <v/>
      </c>
      <c r="N283" s="700" t="str">
        <f>IFERROR(IF($J283="","",IF($I$196="-","-",INDEX(BD!$A$1:$K$2510,MATCH('2.Win Load'!C283,BD!$A$1:$A$2510,0),6))),"")</f>
        <v/>
      </c>
      <c r="O283" s="700" t="str">
        <f>IFERROR(IF($J283="","",IF($J$196="-","-",INDEX(BD!$A$1:$K$2510,MATCH('2.Win Load'!D283,BD!$A$1:$A$2510,0),6))),"")</f>
        <v/>
      </c>
      <c r="P283" s="692" t="str">
        <f t="shared" si="66"/>
        <v/>
      </c>
      <c r="Q283" s="692" t="str">
        <f t="shared" si="67"/>
        <v/>
      </c>
      <c r="R283" s="960" t="str">
        <f t="shared" si="68"/>
        <v/>
      </c>
      <c r="S283" s="498">
        <f t="array" ref="S283">MAX(IF('Wind base'!$AE$5:$AE$11&lt;I283,'Wind base'!$AE$5:$AE$11,""))</f>
        <v>160</v>
      </c>
      <c r="T283" s="498">
        <f t="array" ref="T283">MIN(IF('Wind base'!$AE$5:$AE$11&gt;I283,'Wind base'!$AE$5:$AE$11,""))</f>
        <v>0</v>
      </c>
      <c r="U283" s="499">
        <f t="array" ref="U283">MAX(IF('Wind base'!$AF$4:$AL$4&lt;J283,'Wind base'!$AF$4:$AL$4,""),5)</f>
        <v>350</v>
      </c>
      <c r="V283" s="498">
        <f t="array" ref="V283">MIN(IF('Wind base'!$AF$4:$AL$4&gt;J283,'Wind base'!$AF$4:$AL$4,""))</f>
        <v>0</v>
      </c>
      <c r="W283" s="500">
        <f t="array" ref="W283">INDEX('Wind base'!$AF$5:$AL$11,MATCH($S283,'Wind base'!$AE$5:$AE$11,0),MATCH($U283,'Wind base'!$AF$4:$AL$4,0))</f>
        <v>0.38</v>
      </c>
      <c r="X283" s="500" t="e">
        <f t="array" ref="X283">INDEX('Wind base'!$AF$5:$AL$11,MATCH($S283,'Wind base'!$AE$5:$AE$11,0),MATCH($V283,'Wind base'!$AF$4:$AL$4,0))</f>
        <v>#N/A</v>
      </c>
      <c r="Y283" s="500" t="e">
        <f t="array" ref="Y283">INDEX('Wind base'!$AF$5:$AL$11,MATCH($T283,'Wind base'!$AE$5:$AE$11,0),MATCH($U283,'Wind base'!$AF$4:$AL$4,0))</f>
        <v>#N/A</v>
      </c>
      <c r="Z283" s="500" t="e">
        <f t="array" ref="Z283">INDEX('Wind base'!$AF$5:$AL$11,MATCH($T283,'Wind base'!$AE$5:$AE$11,0),MATCH($V283,'Wind base'!$AF$4:$AL$4,0))</f>
        <v>#N/A</v>
      </c>
      <c r="AA283" s="501" t="e">
        <f t="shared" si="57"/>
        <v>#N/A</v>
      </c>
      <c r="AB283" s="501" t="e">
        <f t="shared" si="58"/>
        <v>#N/A</v>
      </c>
      <c r="AC283" s="501" t="e">
        <f t="shared" si="59"/>
        <v>#N/A</v>
      </c>
    </row>
    <row r="284" spans="1:29" ht="15" customHeight="1">
      <c r="A284" s="457" t="str">
        <f t="shared" si="54"/>
        <v/>
      </c>
      <c r="B284" s="701" t="str">
        <f t="shared" si="60"/>
        <v>3</v>
      </c>
      <c r="C284" s="701" t="str">
        <f t="shared" si="61"/>
        <v>6</v>
      </c>
      <c r="D284" s="885" t="str">
        <f t="shared" si="62"/>
        <v>-</v>
      </c>
      <c r="F284" s="1105" t="str">
        <f t="shared" si="55"/>
        <v/>
      </c>
      <c r="G284" s="1106"/>
      <c r="H284" s="692" t="str">
        <f t="shared" si="34"/>
        <v/>
      </c>
      <c r="I284" s="689" t="str">
        <f t="shared" si="63"/>
        <v/>
      </c>
      <c r="J284" s="689" t="str">
        <f t="shared" si="64"/>
        <v/>
      </c>
      <c r="K284" s="690" t="str">
        <f t="shared" si="56"/>
        <v/>
      </c>
      <c r="L284" s="691" t="str">
        <f t="shared" si="65"/>
        <v/>
      </c>
      <c r="M284" s="700" t="str">
        <f>IFERROR(IF(J284="","",IF($H$196="-","-",INDEX(BD!$A$1:$K$2510,MATCH('2.Win Load'!B284,BD!$A$1:$A$2510,0),6))),"")</f>
        <v/>
      </c>
      <c r="N284" s="700" t="str">
        <f>IFERROR(IF($J284="","",IF($I$196="-","-",INDEX(BD!$A$1:$K$2510,MATCH('2.Win Load'!C284,BD!$A$1:$A$2510,0),6))),"")</f>
        <v/>
      </c>
      <c r="O284" s="700" t="str">
        <f>IFERROR(IF($J284="","",IF($J$196="-","-",INDEX(BD!$A$1:$K$2510,MATCH('2.Win Load'!D284,BD!$A$1:$A$2510,0),6))),"")</f>
        <v/>
      </c>
      <c r="P284" s="692" t="str">
        <f t="shared" si="66"/>
        <v/>
      </c>
      <c r="Q284" s="692" t="str">
        <f t="shared" si="67"/>
        <v/>
      </c>
      <c r="R284" s="960" t="str">
        <f t="shared" si="68"/>
        <v/>
      </c>
      <c r="S284" s="498">
        <f t="array" ref="S284">MAX(IF('Wind base'!$AE$5:$AE$11&lt;I284,'Wind base'!$AE$5:$AE$11,""))</f>
        <v>160</v>
      </c>
      <c r="T284" s="498">
        <f t="array" ref="T284">MIN(IF('Wind base'!$AE$5:$AE$11&gt;I284,'Wind base'!$AE$5:$AE$11,""))</f>
        <v>0</v>
      </c>
      <c r="U284" s="499">
        <f t="array" ref="U284">MAX(IF('Wind base'!$AF$4:$AL$4&lt;J284,'Wind base'!$AF$4:$AL$4,""),5)</f>
        <v>350</v>
      </c>
      <c r="V284" s="498">
        <f t="array" ref="V284">MIN(IF('Wind base'!$AF$4:$AL$4&gt;J284,'Wind base'!$AF$4:$AL$4,""))</f>
        <v>0</v>
      </c>
      <c r="W284" s="500">
        <f t="array" ref="W284">INDEX('Wind base'!$AF$5:$AL$11,MATCH($S284,'Wind base'!$AE$5:$AE$11,0),MATCH($U284,'Wind base'!$AF$4:$AL$4,0))</f>
        <v>0.38</v>
      </c>
      <c r="X284" s="500" t="e">
        <f t="array" ref="X284">INDEX('Wind base'!$AF$5:$AL$11,MATCH($S284,'Wind base'!$AE$5:$AE$11,0),MATCH($V284,'Wind base'!$AF$4:$AL$4,0))</f>
        <v>#N/A</v>
      </c>
      <c r="Y284" s="500" t="e">
        <f t="array" ref="Y284">INDEX('Wind base'!$AF$5:$AL$11,MATCH($T284,'Wind base'!$AE$5:$AE$11,0),MATCH($U284,'Wind base'!$AF$4:$AL$4,0))</f>
        <v>#N/A</v>
      </c>
      <c r="Z284" s="500" t="e">
        <f t="array" ref="Z284">INDEX('Wind base'!$AF$5:$AL$11,MATCH($T284,'Wind base'!$AE$5:$AE$11,0),MATCH($V284,'Wind base'!$AF$4:$AL$4,0))</f>
        <v>#N/A</v>
      </c>
      <c r="AA284" s="501" t="e">
        <f t="shared" si="57"/>
        <v>#N/A</v>
      </c>
      <c r="AB284" s="501" t="e">
        <f t="shared" si="58"/>
        <v>#N/A</v>
      </c>
      <c r="AC284" s="501" t="e">
        <f t="shared" si="59"/>
        <v>#N/A</v>
      </c>
    </row>
    <row r="285" spans="1:29" ht="15" customHeight="1">
      <c r="A285" s="457" t="str">
        <f t="shared" si="54"/>
        <v/>
      </c>
      <c r="B285" s="701" t="str">
        <f t="shared" si="60"/>
        <v>3</v>
      </c>
      <c r="C285" s="701" t="str">
        <f t="shared" si="61"/>
        <v>6</v>
      </c>
      <c r="D285" s="885" t="str">
        <f t="shared" si="62"/>
        <v>-</v>
      </c>
      <c r="F285" s="1105" t="str">
        <f t="shared" si="55"/>
        <v/>
      </c>
      <c r="G285" s="1106"/>
      <c r="H285" s="692" t="str">
        <f t="shared" si="34"/>
        <v/>
      </c>
      <c r="I285" s="689" t="str">
        <f t="shared" si="63"/>
        <v/>
      </c>
      <c r="J285" s="689" t="str">
        <f t="shared" si="64"/>
        <v/>
      </c>
      <c r="K285" s="690" t="str">
        <f t="shared" si="56"/>
        <v/>
      </c>
      <c r="L285" s="691" t="str">
        <f t="shared" si="65"/>
        <v/>
      </c>
      <c r="M285" s="700" t="str">
        <f>IFERROR(IF(J285="","",IF($H$196="-","-",INDEX(BD!$A$1:$K$2510,MATCH('2.Win Load'!B285,BD!$A$1:$A$2510,0),6))),"")</f>
        <v/>
      </c>
      <c r="N285" s="700" t="str">
        <f>IFERROR(IF($J285="","",IF($I$196="-","-",INDEX(BD!$A$1:$K$2510,MATCH('2.Win Load'!C285,BD!$A$1:$A$2510,0),6))),"")</f>
        <v/>
      </c>
      <c r="O285" s="700" t="str">
        <f>IFERROR(IF($J285="","",IF($J$196="-","-",INDEX(BD!$A$1:$K$2510,MATCH('2.Win Load'!D285,BD!$A$1:$A$2510,0),6))),"")</f>
        <v/>
      </c>
      <c r="P285" s="692" t="str">
        <f t="shared" si="66"/>
        <v/>
      </c>
      <c r="Q285" s="692" t="str">
        <f t="shared" si="67"/>
        <v/>
      </c>
      <c r="R285" s="960" t="str">
        <f t="shared" si="68"/>
        <v/>
      </c>
      <c r="S285" s="498">
        <f t="array" ref="S285">MAX(IF('Wind base'!$AE$5:$AE$11&lt;I285,'Wind base'!$AE$5:$AE$11,""))</f>
        <v>160</v>
      </c>
      <c r="T285" s="498">
        <f t="array" ref="T285">MIN(IF('Wind base'!$AE$5:$AE$11&gt;I285,'Wind base'!$AE$5:$AE$11,""))</f>
        <v>0</v>
      </c>
      <c r="U285" s="499">
        <f t="array" ref="U285">MAX(IF('Wind base'!$AF$4:$AL$4&lt;J285,'Wind base'!$AF$4:$AL$4,""),5)</f>
        <v>350</v>
      </c>
      <c r="V285" s="498">
        <f t="array" ref="V285">MIN(IF('Wind base'!$AF$4:$AL$4&gt;J285,'Wind base'!$AF$4:$AL$4,""))</f>
        <v>0</v>
      </c>
      <c r="W285" s="500">
        <f t="array" ref="W285">INDEX('Wind base'!$AF$5:$AL$11,MATCH($S285,'Wind base'!$AE$5:$AE$11,0),MATCH($U285,'Wind base'!$AF$4:$AL$4,0))</f>
        <v>0.38</v>
      </c>
      <c r="X285" s="500" t="e">
        <f t="array" ref="X285">INDEX('Wind base'!$AF$5:$AL$11,MATCH($S285,'Wind base'!$AE$5:$AE$11,0),MATCH($V285,'Wind base'!$AF$4:$AL$4,0))</f>
        <v>#N/A</v>
      </c>
      <c r="Y285" s="500" t="e">
        <f t="array" ref="Y285">INDEX('Wind base'!$AF$5:$AL$11,MATCH($T285,'Wind base'!$AE$5:$AE$11,0),MATCH($U285,'Wind base'!$AF$4:$AL$4,0))</f>
        <v>#N/A</v>
      </c>
      <c r="Z285" s="500" t="e">
        <f t="array" ref="Z285">INDEX('Wind base'!$AF$5:$AL$11,MATCH($T285,'Wind base'!$AE$5:$AE$11,0),MATCH($V285,'Wind base'!$AF$4:$AL$4,0))</f>
        <v>#N/A</v>
      </c>
      <c r="AA285" s="501" t="e">
        <f t="shared" si="57"/>
        <v>#N/A</v>
      </c>
      <c r="AB285" s="501" t="e">
        <f t="shared" si="58"/>
        <v>#N/A</v>
      </c>
      <c r="AC285" s="501" t="e">
        <f t="shared" si="59"/>
        <v>#N/A</v>
      </c>
    </row>
    <row r="286" spans="1:29" ht="15" customHeight="1">
      <c r="A286" s="457" t="str">
        <f t="shared" si="54"/>
        <v/>
      </c>
      <c r="B286" s="701" t="str">
        <f t="shared" si="60"/>
        <v>3</v>
      </c>
      <c r="C286" s="701" t="str">
        <f t="shared" si="61"/>
        <v>6</v>
      </c>
      <c r="D286" s="885" t="str">
        <f t="shared" si="62"/>
        <v>-</v>
      </c>
      <c r="F286" s="1105" t="str">
        <f t="shared" si="55"/>
        <v/>
      </c>
      <c r="G286" s="1106"/>
      <c r="H286" s="692" t="str">
        <f t="shared" si="34"/>
        <v/>
      </c>
      <c r="I286" s="689" t="str">
        <f t="shared" si="63"/>
        <v/>
      </c>
      <c r="J286" s="689" t="str">
        <f t="shared" si="64"/>
        <v/>
      </c>
      <c r="K286" s="690" t="str">
        <f t="shared" si="56"/>
        <v/>
      </c>
      <c r="L286" s="691" t="str">
        <f t="shared" si="65"/>
        <v/>
      </c>
      <c r="M286" s="700" t="str">
        <f>IFERROR(IF(J286="","",IF($H$196="-","-",INDEX(BD!$A$1:$K$2510,MATCH('2.Win Load'!B286,BD!$A$1:$A$2510,0),6))),"")</f>
        <v/>
      </c>
      <c r="N286" s="700" t="str">
        <f>IFERROR(IF($J286="","",IF($I$196="-","-",INDEX(BD!$A$1:$K$2510,MATCH('2.Win Load'!C286,BD!$A$1:$A$2510,0),6))),"")</f>
        <v/>
      </c>
      <c r="O286" s="700" t="str">
        <f>IFERROR(IF($J286="","",IF($J$196="-","-",INDEX(BD!$A$1:$K$2510,MATCH('2.Win Load'!D286,BD!$A$1:$A$2510,0),6))),"")</f>
        <v/>
      </c>
      <c r="P286" s="692" t="str">
        <f t="shared" si="66"/>
        <v/>
      </c>
      <c r="Q286" s="692" t="str">
        <f t="shared" si="67"/>
        <v/>
      </c>
      <c r="R286" s="960" t="str">
        <f t="shared" si="68"/>
        <v/>
      </c>
      <c r="S286" s="498">
        <f t="array" ref="S286">MAX(IF('Wind base'!$AE$5:$AE$11&lt;I286,'Wind base'!$AE$5:$AE$11,""))</f>
        <v>160</v>
      </c>
      <c r="T286" s="498">
        <f t="array" ref="T286">MIN(IF('Wind base'!$AE$5:$AE$11&gt;I286,'Wind base'!$AE$5:$AE$11,""))</f>
        <v>0</v>
      </c>
      <c r="U286" s="499">
        <f t="array" ref="U286">MAX(IF('Wind base'!$AF$4:$AL$4&lt;J286,'Wind base'!$AF$4:$AL$4,""),5)</f>
        <v>350</v>
      </c>
      <c r="V286" s="498">
        <f t="array" ref="V286">MIN(IF('Wind base'!$AF$4:$AL$4&gt;J286,'Wind base'!$AF$4:$AL$4,""))</f>
        <v>0</v>
      </c>
      <c r="W286" s="500">
        <f t="array" ref="W286">INDEX('Wind base'!$AF$5:$AL$11,MATCH($S286,'Wind base'!$AE$5:$AE$11,0),MATCH($U286,'Wind base'!$AF$4:$AL$4,0))</f>
        <v>0.38</v>
      </c>
      <c r="X286" s="500" t="e">
        <f t="array" ref="X286">INDEX('Wind base'!$AF$5:$AL$11,MATCH($S286,'Wind base'!$AE$5:$AE$11,0),MATCH($V286,'Wind base'!$AF$4:$AL$4,0))</f>
        <v>#N/A</v>
      </c>
      <c r="Y286" s="500" t="e">
        <f t="array" ref="Y286">INDEX('Wind base'!$AF$5:$AL$11,MATCH($T286,'Wind base'!$AE$5:$AE$11,0),MATCH($U286,'Wind base'!$AF$4:$AL$4,0))</f>
        <v>#N/A</v>
      </c>
      <c r="Z286" s="500" t="e">
        <f t="array" ref="Z286">INDEX('Wind base'!$AF$5:$AL$11,MATCH($T286,'Wind base'!$AE$5:$AE$11,0),MATCH($V286,'Wind base'!$AF$4:$AL$4,0))</f>
        <v>#N/A</v>
      </c>
      <c r="AA286" s="501" t="e">
        <f t="shared" si="57"/>
        <v>#N/A</v>
      </c>
      <c r="AB286" s="501" t="e">
        <f t="shared" si="58"/>
        <v>#N/A</v>
      </c>
      <c r="AC286" s="501" t="e">
        <f t="shared" si="59"/>
        <v>#N/A</v>
      </c>
    </row>
    <row r="287" spans="1:29" ht="15" customHeight="1">
      <c r="A287" s="457" t="str">
        <f t="shared" si="54"/>
        <v/>
      </c>
      <c r="B287" s="701" t="str">
        <f t="shared" si="60"/>
        <v>3</v>
      </c>
      <c r="C287" s="701" t="str">
        <f t="shared" si="61"/>
        <v>6</v>
      </c>
      <c r="D287" s="885" t="str">
        <f t="shared" si="62"/>
        <v>-</v>
      </c>
      <c r="F287" s="1105" t="str">
        <f t="shared" si="55"/>
        <v/>
      </c>
      <c r="G287" s="1106"/>
      <c r="H287" s="692" t="str">
        <f t="shared" si="34"/>
        <v/>
      </c>
      <c r="I287" s="689" t="str">
        <f t="shared" si="63"/>
        <v/>
      </c>
      <c r="J287" s="689" t="str">
        <f t="shared" si="64"/>
        <v/>
      </c>
      <c r="K287" s="690" t="str">
        <f t="shared" si="56"/>
        <v/>
      </c>
      <c r="L287" s="691" t="str">
        <f t="shared" si="65"/>
        <v/>
      </c>
      <c r="M287" s="700" t="str">
        <f>IFERROR(IF(J287="","",IF($H$196="-","-",INDEX(BD!$A$1:$K$2510,MATCH('2.Win Load'!B287,BD!$A$1:$A$2510,0),6))),"")</f>
        <v/>
      </c>
      <c r="N287" s="700" t="str">
        <f>IFERROR(IF($J287="","",IF($I$196="-","-",INDEX(BD!$A$1:$K$2510,MATCH('2.Win Load'!C287,BD!$A$1:$A$2510,0),6))),"")</f>
        <v/>
      </c>
      <c r="O287" s="700" t="str">
        <f>IFERROR(IF($J287="","",IF($J$196="-","-",INDEX(BD!$A$1:$K$2510,MATCH('2.Win Load'!D287,BD!$A$1:$A$2510,0),6))),"")</f>
        <v/>
      </c>
      <c r="P287" s="692" t="str">
        <f t="shared" si="66"/>
        <v/>
      </c>
      <c r="Q287" s="692" t="str">
        <f t="shared" si="67"/>
        <v/>
      </c>
      <c r="R287" s="960" t="str">
        <f t="shared" si="68"/>
        <v/>
      </c>
      <c r="S287" s="498">
        <f t="array" ref="S287">MAX(IF('Wind base'!$AE$5:$AE$11&lt;I287,'Wind base'!$AE$5:$AE$11,""))</f>
        <v>160</v>
      </c>
      <c r="T287" s="498">
        <f t="array" ref="T287">MIN(IF('Wind base'!$AE$5:$AE$11&gt;I287,'Wind base'!$AE$5:$AE$11,""))</f>
        <v>0</v>
      </c>
      <c r="U287" s="499">
        <f t="array" ref="U287">MAX(IF('Wind base'!$AF$4:$AL$4&lt;J287,'Wind base'!$AF$4:$AL$4,""),5)</f>
        <v>350</v>
      </c>
      <c r="V287" s="498">
        <f t="array" ref="V287">MIN(IF('Wind base'!$AF$4:$AL$4&gt;J287,'Wind base'!$AF$4:$AL$4,""))</f>
        <v>0</v>
      </c>
      <c r="W287" s="500">
        <f t="array" ref="W287">INDEX('Wind base'!$AF$5:$AL$11,MATCH($S287,'Wind base'!$AE$5:$AE$11,0),MATCH($U287,'Wind base'!$AF$4:$AL$4,0))</f>
        <v>0.38</v>
      </c>
      <c r="X287" s="500" t="e">
        <f t="array" ref="X287">INDEX('Wind base'!$AF$5:$AL$11,MATCH($S287,'Wind base'!$AE$5:$AE$11,0),MATCH($V287,'Wind base'!$AF$4:$AL$4,0))</f>
        <v>#N/A</v>
      </c>
      <c r="Y287" s="500" t="e">
        <f t="array" ref="Y287">INDEX('Wind base'!$AF$5:$AL$11,MATCH($T287,'Wind base'!$AE$5:$AE$11,0),MATCH($U287,'Wind base'!$AF$4:$AL$4,0))</f>
        <v>#N/A</v>
      </c>
      <c r="Z287" s="500" t="e">
        <f t="array" ref="Z287">INDEX('Wind base'!$AF$5:$AL$11,MATCH($T287,'Wind base'!$AE$5:$AE$11,0),MATCH($V287,'Wind base'!$AF$4:$AL$4,0))</f>
        <v>#N/A</v>
      </c>
      <c r="AA287" s="501" t="e">
        <f t="shared" si="57"/>
        <v>#N/A</v>
      </c>
      <c r="AB287" s="501" t="e">
        <f t="shared" si="58"/>
        <v>#N/A</v>
      </c>
      <c r="AC287" s="501" t="e">
        <f t="shared" si="59"/>
        <v>#N/A</v>
      </c>
    </row>
    <row r="288" spans="1:29" ht="15" customHeight="1">
      <c r="A288" s="457" t="str">
        <f t="shared" si="54"/>
        <v/>
      </c>
      <c r="B288" s="701" t="str">
        <f t="shared" si="60"/>
        <v>3</v>
      </c>
      <c r="C288" s="701" t="str">
        <f t="shared" si="61"/>
        <v>6</v>
      </c>
      <c r="D288" s="885" t="str">
        <f t="shared" si="62"/>
        <v>-</v>
      </c>
      <c r="F288" s="1105" t="str">
        <f t="shared" si="55"/>
        <v/>
      </c>
      <c r="G288" s="1106"/>
      <c r="H288" s="692" t="str">
        <f t="shared" si="34"/>
        <v/>
      </c>
      <c r="I288" s="689" t="str">
        <f t="shared" si="63"/>
        <v/>
      </c>
      <c r="J288" s="689" t="str">
        <f t="shared" si="64"/>
        <v/>
      </c>
      <c r="K288" s="690" t="str">
        <f t="shared" si="56"/>
        <v/>
      </c>
      <c r="L288" s="691" t="str">
        <f t="shared" si="65"/>
        <v/>
      </c>
      <c r="M288" s="700" t="str">
        <f>IFERROR(IF(J288="","",IF($H$196="-","-",INDEX(BD!$A$1:$K$2510,MATCH('2.Win Load'!B288,BD!$A$1:$A$2510,0),6))),"")</f>
        <v/>
      </c>
      <c r="N288" s="700" t="str">
        <f>IFERROR(IF($J288="","",IF($I$196="-","-",INDEX(BD!$A$1:$K$2510,MATCH('2.Win Load'!C288,BD!$A$1:$A$2510,0),6))),"")</f>
        <v/>
      </c>
      <c r="O288" s="700" t="str">
        <f>IFERROR(IF($J288="","",IF($J$196="-","-",INDEX(BD!$A$1:$K$2510,MATCH('2.Win Load'!D288,BD!$A$1:$A$2510,0),6))),"")</f>
        <v/>
      </c>
      <c r="P288" s="692" t="str">
        <f t="shared" si="66"/>
        <v/>
      </c>
      <c r="Q288" s="692" t="str">
        <f t="shared" si="67"/>
        <v/>
      </c>
      <c r="R288" s="960" t="str">
        <f t="shared" si="68"/>
        <v/>
      </c>
      <c r="S288" s="498">
        <f t="array" ref="S288">MAX(IF('Wind base'!$AE$5:$AE$11&lt;I288,'Wind base'!$AE$5:$AE$11,""))</f>
        <v>160</v>
      </c>
      <c r="T288" s="498">
        <f t="array" ref="T288">MIN(IF('Wind base'!$AE$5:$AE$11&gt;I288,'Wind base'!$AE$5:$AE$11,""))</f>
        <v>0</v>
      </c>
      <c r="U288" s="499">
        <f t="array" ref="U288">MAX(IF('Wind base'!$AF$4:$AL$4&lt;J288,'Wind base'!$AF$4:$AL$4,""),5)</f>
        <v>350</v>
      </c>
      <c r="V288" s="498">
        <f t="array" ref="V288">MIN(IF('Wind base'!$AF$4:$AL$4&gt;J288,'Wind base'!$AF$4:$AL$4,""))</f>
        <v>0</v>
      </c>
      <c r="W288" s="500">
        <f t="array" ref="W288">INDEX('Wind base'!$AF$5:$AL$11,MATCH($S288,'Wind base'!$AE$5:$AE$11,0),MATCH($U288,'Wind base'!$AF$4:$AL$4,0))</f>
        <v>0.38</v>
      </c>
      <c r="X288" s="500" t="e">
        <f t="array" ref="X288">INDEX('Wind base'!$AF$5:$AL$11,MATCH($S288,'Wind base'!$AE$5:$AE$11,0),MATCH($V288,'Wind base'!$AF$4:$AL$4,0))</f>
        <v>#N/A</v>
      </c>
      <c r="Y288" s="500" t="e">
        <f t="array" ref="Y288">INDEX('Wind base'!$AF$5:$AL$11,MATCH($T288,'Wind base'!$AE$5:$AE$11,0),MATCH($U288,'Wind base'!$AF$4:$AL$4,0))</f>
        <v>#N/A</v>
      </c>
      <c r="Z288" s="500" t="e">
        <f t="array" ref="Z288">INDEX('Wind base'!$AF$5:$AL$11,MATCH($T288,'Wind base'!$AE$5:$AE$11,0),MATCH($V288,'Wind base'!$AF$4:$AL$4,0))</f>
        <v>#N/A</v>
      </c>
      <c r="AA288" s="501" t="e">
        <f t="shared" si="57"/>
        <v>#N/A</v>
      </c>
      <c r="AB288" s="501" t="e">
        <f t="shared" si="58"/>
        <v>#N/A</v>
      </c>
      <c r="AC288" s="501" t="e">
        <f t="shared" si="59"/>
        <v>#N/A</v>
      </c>
    </row>
    <row r="289" spans="1:29" ht="15" customHeight="1">
      <c r="A289" s="457" t="str">
        <f t="shared" si="54"/>
        <v/>
      </c>
      <c r="B289" s="701" t="str">
        <f t="shared" si="60"/>
        <v>3</v>
      </c>
      <c r="C289" s="701" t="str">
        <f t="shared" si="61"/>
        <v>6</v>
      </c>
      <c r="D289" s="885" t="str">
        <f t="shared" si="62"/>
        <v>-</v>
      </c>
      <c r="F289" s="1105" t="str">
        <f t="shared" si="55"/>
        <v/>
      </c>
      <c r="G289" s="1106"/>
      <c r="H289" s="692" t="str">
        <f t="shared" si="34"/>
        <v/>
      </c>
      <c r="I289" s="689" t="str">
        <f t="shared" si="63"/>
        <v/>
      </c>
      <c r="J289" s="689" t="str">
        <f t="shared" si="64"/>
        <v/>
      </c>
      <c r="K289" s="690" t="str">
        <f t="shared" si="56"/>
        <v/>
      </c>
      <c r="L289" s="691" t="str">
        <f t="shared" si="65"/>
        <v/>
      </c>
      <c r="M289" s="700" t="str">
        <f>IFERROR(IF(J289="","",IF($H$196="-","-",INDEX(BD!$A$1:$K$2510,MATCH('2.Win Load'!B289,BD!$A$1:$A$2510,0),6))),"")</f>
        <v/>
      </c>
      <c r="N289" s="700" t="str">
        <f>IFERROR(IF($J289="","",IF($I$196="-","-",INDEX(BD!$A$1:$K$2510,MATCH('2.Win Load'!C289,BD!$A$1:$A$2510,0),6))),"")</f>
        <v/>
      </c>
      <c r="O289" s="700" t="str">
        <f>IFERROR(IF($J289="","",IF($J$196="-","-",INDEX(BD!$A$1:$K$2510,MATCH('2.Win Load'!D289,BD!$A$1:$A$2510,0),6))),"")</f>
        <v/>
      </c>
      <c r="P289" s="692" t="str">
        <f t="shared" si="66"/>
        <v/>
      </c>
      <c r="Q289" s="692" t="str">
        <f t="shared" si="67"/>
        <v/>
      </c>
      <c r="R289" s="960" t="str">
        <f t="shared" si="68"/>
        <v/>
      </c>
      <c r="S289" s="498">
        <f t="array" ref="S289">MAX(IF('Wind base'!$AE$5:$AE$11&lt;I289,'Wind base'!$AE$5:$AE$11,""))</f>
        <v>160</v>
      </c>
      <c r="T289" s="498">
        <f t="array" ref="T289">MIN(IF('Wind base'!$AE$5:$AE$11&gt;I289,'Wind base'!$AE$5:$AE$11,""))</f>
        <v>0</v>
      </c>
      <c r="U289" s="499">
        <f t="array" ref="U289">MAX(IF('Wind base'!$AF$4:$AL$4&lt;J289,'Wind base'!$AF$4:$AL$4,""),5)</f>
        <v>350</v>
      </c>
      <c r="V289" s="498">
        <f t="array" ref="V289">MIN(IF('Wind base'!$AF$4:$AL$4&gt;J289,'Wind base'!$AF$4:$AL$4,""))</f>
        <v>0</v>
      </c>
      <c r="W289" s="500">
        <f t="array" ref="W289">INDEX('Wind base'!$AF$5:$AL$11,MATCH($S289,'Wind base'!$AE$5:$AE$11,0),MATCH($U289,'Wind base'!$AF$4:$AL$4,0))</f>
        <v>0.38</v>
      </c>
      <c r="X289" s="500" t="e">
        <f t="array" ref="X289">INDEX('Wind base'!$AF$5:$AL$11,MATCH($S289,'Wind base'!$AE$5:$AE$11,0),MATCH($V289,'Wind base'!$AF$4:$AL$4,0))</f>
        <v>#N/A</v>
      </c>
      <c r="Y289" s="500" t="e">
        <f t="array" ref="Y289">INDEX('Wind base'!$AF$5:$AL$11,MATCH($T289,'Wind base'!$AE$5:$AE$11,0),MATCH($U289,'Wind base'!$AF$4:$AL$4,0))</f>
        <v>#N/A</v>
      </c>
      <c r="Z289" s="500" t="e">
        <f t="array" ref="Z289">INDEX('Wind base'!$AF$5:$AL$11,MATCH($T289,'Wind base'!$AE$5:$AE$11,0),MATCH($V289,'Wind base'!$AF$4:$AL$4,0))</f>
        <v>#N/A</v>
      </c>
      <c r="AA289" s="501" t="e">
        <f t="shared" si="57"/>
        <v>#N/A</v>
      </c>
      <c r="AB289" s="501" t="e">
        <f t="shared" si="58"/>
        <v>#N/A</v>
      </c>
      <c r="AC289" s="501" t="e">
        <f t="shared" si="59"/>
        <v>#N/A</v>
      </c>
    </row>
    <row r="290" spans="1:29" ht="15" customHeight="1">
      <c r="A290" s="457">
        <f t="shared" si="54"/>
        <v>1</v>
      </c>
      <c r="B290" s="701"/>
      <c r="C290" s="701"/>
      <c r="D290" s="885"/>
      <c r="F290" s="516" t="s">
        <v>1806</v>
      </c>
      <c r="G290" s="553"/>
      <c r="H290" s="554"/>
      <c r="I290" s="456"/>
      <c r="J290" s="456"/>
      <c r="K290" s="555"/>
      <c r="L290" s="556"/>
      <c r="M290" s="557"/>
      <c r="N290" s="557"/>
      <c r="O290" s="557"/>
      <c r="P290" s="554"/>
      <c r="Q290" s="554"/>
      <c r="R290" s="558"/>
      <c r="S290" s="502"/>
      <c r="T290" s="502"/>
      <c r="U290" s="503"/>
      <c r="V290" s="502"/>
      <c r="W290" s="504"/>
      <c r="X290" s="504"/>
      <c r="Y290" s="504"/>
      <c r="Z290" s="504"/>
      <c r="AA290" s="505"/>
      <c r="AB290" s="505"/>
      <c r="AC290" s="505"/>
    </row>
    <row r="291" spans="1:29" ht="15" customHeight="1">
      <c r="A291" s="457">
        <f t="shared" si="54"/>
        <v>1</v>
      </c>
      <c r="B291" s="701"/>
      <c r="C291" s="701"/>
      <c r="D291" s="885"/>
      <c r="F291" s="516" t="s">
        <v>1806</v>
      </c>
      <c r="G291" s="559"/>
      <c r="H291" s="560"/>
      <c r="I291" s="561"/>
      <c r="J291" s="456"/>
      <c r="K291" s="555"/>
      <c r="L291" s="562"/>
      <c r="M291" s="563"/>
      <c r="N291" s="563"/>
      <c r="O291" s="563"/>
      <c r="P291" s="1112" t="s">
        <v>1786</v>
      </c>
      <c r="Q291" s="1113"/>
      <c r="R291" s="1114"/>
      <c r="S291" s="502"/>
      <c r="T291" s="502"/>
      <c r="U291" s="503"/>
      <c r="V291" s="502"/>
      <c r="W291" s="504"/>
      <c r="X291" s="504"/>
      <c r="Y291" s="504"/>
      <c r="Z291" s="504"/>
      <c r="AA291" s="505"/>
      <c r="AB291" s="505"/>
      <c r="AC291" s="505"/>
    </row>
    <row r="292" spans="1:29" ht="15" customHeight="1">
      <c r="A292" s="457">
        <f t="shared" si="54"/>
        <v>1</v>
      </c>
      <c r="B292" s="701"/>
      <c r="C292" s="701"/>
      <c r="D292" s="885"/>
      <c r="F292" s="516" t="s">
        <v>1806</v>
      </c>
      <c r="G292" s="563"/>
      <c r="H292" s="563"/>
      <c r="I292" s="563"/>
      <c r="J292" s="563"/>
      <c r="K292" s="563"/>
      <c r="L292" s="563"/>
      <c r="M292" s="563"/>
      <c r="N292" s="563"/>
      <c r="O292" s="563"/>
      <c r="P292" s="1115" t="str">
        <f>IF(Menu!C7="V","","Modal dynamic component (kN)")</f>
        <v/>
      </c>
      <c r="Q292" s="1116"/>
      <c r="R292" s="1117"/>
      <c r="S292" s="502"/>
      <c r="T292" s="502"/>
      <c r="U292" s="503"/>
      <c r="V292" s="502"/>
      <c r="W292" s="504"/>
      <c r="X292" s="504"/>
      <c r="Y292" s="504"/>
      <c r="Z292" s="504"/>
      <c r="AA292" s="505"/>
      <c r="AB292" s="505"/>
      <c r="AC292" s="505"/>
    </row>
    <row r="293" spans="1:29" ht="19.5" customHeight="1">
      <c r="A293" s="457">
        <f t="shared" si="54"/>
        <v>1</v>
      </c>
      <c r="B293" s="701"/>
      <c r="C293" s="701"/>
      <c r="D293" s="885"/>
      <c r="F293" s="1119" t="s">
        <v>50</v>
      </c>
      <c r="G293" s="1119"/>
      <c r="H293" s="695" t="s">
        <v>5</v>
      </c>
      <c r="I293" s="1134" t="s">
        <v>89</v>
      </c>
      <c r="J293" s="1135" t="s">
        <v>2262</v>
      </c>
      <c r="K293" s="1135" t="s">
        <v>2263</v>
      </c>
      <c r="L293" s="1135" t="s">
        <v>2264</v>
      </c>
      <c r="M293" s="1135" t="s">
        <v>2265</v>
      </c>
      <c r="N293" s="1135" t="s">
        <v>2266</v>
      </c>
      <c r="O293" s="1135" t="s">
        <v>2267</v>
      </c>
      <c r="P293" s="1135" t="s">
        <v>1964</v>
      </c>
      <c r="Q293" s="1135" t="s">
        <v>1965</v>
      </c>
      <c r="R293" s="1135" t="s">
        <v>1966</v>
      </c>
      <c r="S293" s="502"/>
      <c r="T293" s="502"/>
      <c r="U293" s="503"/>
      <c r="V293" s="502"/>
      <c r="W293" s="504"/>
      <c r="X293" s="504"/>
      <c r="Y293" s="504"/>
      <c r="Z293" s="504"/>
      <c r="AA293" s="505"/>
      <c r="AB293" s="505"/>
      <c r="AC293" s="505"/>
    </row>
    <row r="294" spans="1:29" ht="15" customHeight="1">
      <c r="A294" s="457" t="str">
        <f t="shared" si="54"/>
        <v/>
      </c>
      <c r="B294" s="701"/>
      <c r="C294" s="701"/>
      <c r="D294" s="885"/>
      <c r="F294" s="1136" t="str">
        <f>IF(Menu!$C$7 = "V","","Floor level")</f>
        <v/>
      </c>
      <c r="G294" s="1136"/>
      <c r="H294" s="696" t="str">
        <f>IF([2]General!$D$1="V","","Level")</f>
        <v>Level</v>
      </c>
      <c r="I294" s="1134"/>
      <c r="J294" s="1135"/>
      <c r="K294" s="1135"/>
      <c r="L294" s="1135"/>
      <c r="M294" s="1135"/>
      <c r="N294" s="1135"/>
      <c r="O294" s="1135"/>
      <c r="P294" s="1135"/>
      <c r="Q294" s="1135"/>
      <c r="R294" s="1135"/>
      <c r="S294" s="502"/>
      <c r="T294" s="502"/>
      <c r="U294" s="503"/>
      <c r="V294" s="502"/>
      <c r="W294" s="504"/>
      <c r="X294" s="504"/>
      <c r="Y294" s="504"/>
      <c r="Z294" s="504"/>
      <c r="AA294" s="505"/>
      <c r="AB294" s="505"/>
      <c r="AC294" s="505"/>
    </row>
    <row r="295" spans="1:29" ht="15" customHeight="1">
      <c r="A295" s="457">
        <f t="shared" si="54"/>
        <v>1</v>
      </c>
      <c r="B295" s="971" t="str">
        <f t="shared" ref="B295" si="69">F295&amp;$H$195</f>
        <v>TMAI3</v>
      </c>
      <c r="C295" s="971" t="str">
        <f t="shared" ref="C295" si="70">F295&amp;$I$195</f>
        <v>TMAI6</v>
      </c>
      <c r="D295" s="885" t="str">
        <f t="shared" si="62"/>
        <v>TMAI-</v>
      </c>
      <c r="F295" s="1105" t="str">
        <f t="shared" ref="F295:F314" si="71">F211</f>
        <v>TMAI</v>
      </c>
      <c r="G295" s="1106"/>
      <c r="H295" s="688">
        <f>H24</f>
        <v>135.80000000000001</v>
      </c>
      <c r="I295" s="689">
        <f>IF(F295&lt;&gt;"",IF(H295&lt;=0,0,Menu!J9),"")</f>
        <v>5.6</v>
      </c>
      <c r="J295" s="623" t="str">
        <f>IF(M211="-","-",IFERROR(M211*P211,""))</f>
        <v/>
      </c>
      <c r="K295" s="623" t="str">
        <f>IF(N211="-","-",IFERROR(N211*Q211,""))</f>
        <v/>
      </c>
      <c r="L295" s="623" t="str">
        <f>IF(O211="-","-",IFERROR(O211*R211,""))</f>
        <v>-</v>
      </c>
      <c r="M295" s="698" t="str">
        <f>IF(M211="-","-",IFERROR(M211^2*J111,""))</f>
        <v/>
      </c>
      <c r="N295" s="700" t="str">
        <f>IF(N211="-","-",IFERROR(N211^2*J111,""))</f>
        <v/>
      </c>
      <c r="O295" s="700" t="str">
        <f>IF(O211="-","-",IFERROR(O211^2*J111,""))</f>
        <v>-</v>
      </c>
      <c r="P295" s="662" t="str">
        <f>IF(M211="-","-",IFERROR($J111*$H$202*M211*$J$376,""))</f>
        <v/>
      </c>
      <c r="Q295" s="662" t="str">
        <f>IF(N211="-","-",IFERROR($J111*$I$202*N211*$K$376,""))</f>
        <v/>
      </c>
      <c r="R295" s="662" t="str">
        <f>IF(O211="-","-",IFERROR($J111*$J$202*O211*$L$376,""))</f>
        <v>-</v>
      </c>
      <c r="S295" s="502"/>
      <c r="T295" s="502"/>
      <c r="U295" s="503"/>
      <c r="V295" s="502"/>
      <c r="W295" s="504"/>
      <c r="X295" s="504"/>
      <c r="Y295" s="504"/>
      <c r="Z295" s="504"/>
      <c r="AA295" s="505"/>
      <c r="AB295" s="505"/>
      <c r="AC295" s="505"/>
    </row>
    <row r="296" spans="1:29" ht="15" customHeight="1">
      <c r="A296" s="457">
        <f t="shared" si="54"/>
        <v>1</v>
      </c>
      <c r="B296" s="971" t="str">
        <f t="shared" ref="B296:B359" si="72">F296&amp;$H$195</f>
        <v>TTUM3</v>
      </c>
      <c r="C296" s="971" t="str">
        <f t="shared" ref="C296:C359" si="73">F296&amp;$I$195</f>
        <v>TTUM6</v>
      </c>
      <c r="D296" s="885" t="str">
        <f t="shared" si="62"/>
        <v>TTUM-</v>
      </c>
      <c r="F296" s="1105" t="str">
        <f t="shared" si="71"/>
        <v>TTUM</v>
      </c>
      <c r="G296" s="1106"/>
      <c r="H296" s="688">
        <f t="shared" ref="H296:H359" si="74">H25</f>
        <v>130.19999999999999</v>
      </c>
      <c r="I296" s="689">
        <f>IF(F296&lt;&gt;"",IF(H296&lt;=0,0,Menu!J10),"")</f>
        <v>3.4</v>
      </c>
      <c r="J296" s="623">
        <f t="shared" ref="J296:J359" si="75">IF(M212="-","-",IFERROR(M212*P212,""))</f>
        <v>0.33455152466664784</v>
      </c>
      <c r="K296" s="623">
        <f t="shared" ref="K296:K359" si="76">IF(N212="-","-",IFERROR(N212*Q212,""))</f>
        <v>0.56054984773186145</v>
      </c>
      <c r="L296" s="623" t="str">
        <f t="shared" ref="L296:L359" si="77">IF(O212="-","-",IFERROR(O212*R212,""))</f>
        <v>-</v>
      </c>
      <c r="M296" s="698">
        <f t="shared" ref="M296:M359" si="78">IF(M212="-","-",IFERROR(M212^2*J112,""))</f>
        <v>5.5960449536581192E-2</v>
      </c>
      <c r="N296" s="700">
        <f t="shared" ref="N296:N359" si="79">IF(N212="-","-",IFERROR(N212^2*J112,""))</f>
        <v>6.0391458426572807E-2</v>
      </c>
      <c r="O296" s="700" t="str">
        <f t="shared" ref="O296:O359" si="80">IF(O212="-","-",IFERROR(O212^2*J112,""))</f>
        <v>-</v>
      </c>
      <c r="P296" s="662">
        <f t="shared" ref="P296:P359" si="81">IF(M212="-","-",IFERROR($J112*$H$202*M212*$J$376,""))</f>
        <v>109.00816145971217</v>
      </c>
      <c r="Q296" s="662">
        <f t="shared" ref="Q296:Q359" si="82">IF(N212="-","-",IFERROR($J112*$I$202*N212*$K$376,""))</f>
        <v>-47.011215726335124</v>
      </c>
      <c r="R296" s="662" t="str">
        <f t="shared" ref="R296:R359" si="83">IF(O212="-","-",IFERROR($J112*$J$202*O212*$L$376,""))</f>
        <v>-</v>
      </c>
      <c r="S296" s="502"/>
      <c r="T296" s="502"/>
      <c r="U296" s="503"/>
      <c r="V296" s="502"/>
      <c r="W296" s="504"/>
      <c r="X296" s="504"/>
      <c r="Y296" s="504"/>
      <c r="Z296" s="504"/>
      <c r="AA296" s="505"/>
      <c r="AB296" s="505"/>
      <c r="AC296" s="505"/>
    </row>
    <row r="297" spans="1:29" ht="15" customHeight="1">
      <c r="A297" s="457">
        <f t="shared" si="54"/>
        <v>1</v>
      </c>
      <c r="B297" s="971" t="str">
        <f t="shared" si="72"/>
        <v>T383</v>
      </c>
      <c r="C297" s="971" t="str">
        <f t="shared" si="73"/>
        <v>T386</v>
      </c>
      <c r="D297" s="885" t="str">
        <f t="shared" si="62"/>
        <v>T38-</v>
      </c>
      <c r="F297" s="1105" t="str">
        <f t="shared" si="71"/>
        <v>T38</v>
      </c>
      <c r="G297" s="1106"/>
      <c r="H297" s="688">
        <f t="shared" si="74"/>
        <v>126.8</v>
      </c>
      <c r="I297" s="689">
        <f>IF(F297&lt;&gt;"",IF(H297&lt;=0,0,Menu!J11),"")</f>
        <v>3.4</v>
      </c>
      <c r="J297" s="623">
        <f t="shared" si="75"/>
        <v>0.24837791069609724</v>
      </c>
      <c r="K297" s="623">
        <f t="shared" si="76"/>
        <v>0.3867689460699924</v>
      </c>
      <c r="L297" s="623" t="str">
        <f t="shared" si="77"/>
        <v>-</v>
      </c>
      <c r="M297" s="698">
        <f t="shared" si="78"/>
        <v>5.37177755193552E-2</v>
      </c>
      <c r="N297" s="700">
        <f t="shared" si="79"/>
        <v>5.0527425916814799E-2</v>
      </c>
      <c r="O297" s="700" t="str">
        <f t="shared" si="80"/>
        <v>-</v>
      </c>
      <c r="P297" s="662">
        <f t="shared" si="81"/>
        <v>106.80151851518359</v>
      </c>
      <c r="Q297" s="662">
        <f t="shared" si="82"/>
        <v>-43.0008767404425</v>
      </c>
      <c r="R297" s="662" t="str">
        <f t="shared" si="83"/>
        <v>-</v>
      </c>
      <c r="S297" s="502"/>
      <c r="T297" s="502"/>
      <c r="U297" s="503"/>
      <c r="V297" s="502"/>
      <c r="W297" s="504"/>
      <c r="X297" s="504"/>
      <c r="Y297" s="504"/>
      <c r="Z297" s="504"/>
      <c r="AA297" s="505"/>
      <c r="AB297" s="505"/>
      <c r="AC297" s="505"/>
    </row>
    <row r="298" spans="1:29" ht="15" customHeight="1">
      <c r="A298" s="457">
        <f t="shared" si="54"/>
        <v>1</v>
      </c>
      <c r="B298" s="971" t="str">
        <f t="shared" si="72"/>
        <v>T373</v>
      </c>
      <c r="C298" s="971" t="str">
        <f t="shared" si="73"/>
        <v>T376</v>
      </c>
      <c r="D298" s="885" t="str">
        <f t="shared" si="62"/>
        <v>T37-</v>
      </c>
      <c r="F298" s="1105" t="str">
        <f t="shared" si="71"/>
        <v>T37</v>
      </c>
      <c r="G298" s="1106"/>
      <c r="H298" s="688">
        <f t="shared" si="74"/>
        <v>123.4</v>
      </c>
      <c r="I298" s="689">
        <f>IF(F298&lt;&gt;"",IF(H298&lt;=0,0,Menu!J12),"")</f>
        <v>3.4</v>
      </c>
      <c r="J298" s="623">
        <f t="shared" si="75"/>
        <v>0.24382569066221982</v>
      </c>
      <c r="K298" s="623">
        <f t="shared" si="76"/>
        <v>0.34859077404875144</v>
      </c>
      <c r="L298" s="623" t="str">
        <f t="shared" si="77"/>
        <v>-</v>
      </c>
      <c r="M298" s="698">
        <f t="shared" si="78"/>
        <v>5.1472666828627195E-2</v>
      </c>
      <c r="N298" s="700">
        <f t="shared" si="79"/>
        <v>4.1181641657557208E-2</v>
      </c>
      <c r="O298" s="700" t="str">
        <f t="shared" si="80"/>
        <v>-</v>
      </c>
      <c r="P298" s="662">
        <f t="shared" si="81"/>
        <v>104.54583906077659</v>
      </c>
      <c r="Q298" s="662">
        <f t="shared" si="82"/>
        <v>-38.820895665468129</v>
      </c>
      <c r="R298" s="662" t="str">
        <f t="shared" si="83"/>
        <v>-</v>
      </c>
      <c r="S298" s="502"/>
      <c r="T298" s="502"/>
      <c r="U298" s="503"/>
      <c r="V298" s="502"/>
      <c r="W298" s="504"/>
      <c r="X298" s="504"/>
      <c r="Y298" s="504"/>
      <c r="Z298" s="504"/>
      <c r="AA298" s="505"/>
      <c r="AB298" s="505"/>
      <c r="AC298" s="505"/>
    </row>
    <row r="299" spans="1:29" ht="15" customHeight="1">
      <c r="A299" s="457">
        <f t="shared" si="54"/>
        <v>1</v>
      </c>
      <c r="B299" s="971" t="str">
        <f t="shared" si="72"/>
        <v>T363</v>
      </c>
      <c r="C299" s="971" t="str">
        <f t="shared" si="73"/>
        <v>T366</v>
      </c>
      <c r="D299" s="885" t="str">
        <f t="shared" si="62"/>
        <v>T36-</v>
      </c>
      <c r="F299" s="1105" t="str">
        <f t="shared" si="71"/>
        <v>T36</v>
      </c>
      <c r="G299" s="1106"/>
      <c r="H299" s="688">
        <f t="shared" si="74"/>
        <v>120</v>
      </c>
      <c r="I299" s="689">
        <f>IF(F299&lt;&gt;"",IF(H299&lt;=0,0,Menu!J13),"")</f>
        <v>3.4</v>
      </c>
      <c r="J299" s="623">
        <f t="shared" si="75"/>
        <v>0.23907661635455427</v>
      </c>
      <c r="K299" s="623">
        <f t="shared" si="76"/>
        <v>0.30894279257729096</v>
      </c>
      <c r="L299" s="623" t="str">
        <f t="shared" si="77"/>
        <v>-</v>
      </c>
      <c r="M299" s="698">
        <f t="shared" si="78"/>
        <v>4.9212509716667199E-2</v>
      </c>
      <c r="N299" s="700">
        <f t="shared" si="79"/>
        <v>3.2457583676437203E-2</v>
      </c>
      <c r="O299" s="700" t="str">
        <f t="shared" si="80"/>
        <v>-</v>
      </c>
      <c r="P299" s="662">
        <f t="shared" si="81"/>
        <v>102.22477759319837</v>
      </c>
      <c r="Q299" s="662">
        <f t="shared" si="82"/>
        <v>-34.464486817848737</v>
      </c>
      <c r="R299" s="662" t="str">
        <f t="shared" si="83"/>
        <v>-</v>
      </c>
      <c r="S299" s="502"/>
      <c r="T299" s="502"/>
      <c r="U299" s="503"/>
      <c r="V299" s="502"/>
      <c r="W299" s="504"/>
      <c r="X299" s="504"/>
      <c r="Y299" s="504"/>
      <c r="Z299" s="504"/>
      <c r="AA299" s="505"/>
      <c r="AB299" s="505"/>
      <c r="AC299" s="505"/>
    </row>
    <row r="300" spans="1:29" ht="15" customHeight="1">
      <c r="A300" s="457">
        <f t="shared" si="54"/>
        <v>1</v>
      </c>
      <c r="B300" s="971" t="str">
        <f t="shared" si="72"/>
        <v>T353</v>
      </c>
      <c r="C300" s="971" t="str">
        <f t="shared" si="73"/>
        <v>T356</v>
      </c>
      <c r="D300" s="885" t="str">
        <f t="shared" si="62"/>
        <v>T35-</v>
      </c>
      <c r="F300" s="1105" t="str">
        <f t="shared" si="71"/>
        <v>T35</v>
      </c>
      <c r="G300" s="1106"/>
      <c r="H300" s="688">
        <f t="shared" si="74"/>
        <v>116.6</v>
      </c>
      <c r="I300" s="689">
        <f>IF(F300&lt;&gt;"",IF(H300&lt;=0,0,Menu!J14),"")</f>
        <v>3.4</v>
      </c>
      <c r="J300" s="623">
        <f t="shared" si="75"/>
        <v>0.23416799547959233</v>
      </c>
      <c r="K300" s="623">
        <f t="shared" si="76"/>
        <v>0.26783759560739068</v>
      </c>
      <c r="L300" s="623" t="str">
        <f t="shared" si="77"/>
        <v>-</v>
      </c>
      <c r="M300" s="698">
        <f t="shared" si="78"/>
        <v>4.6956964014725197E-2</v>
      </c>
      <c r="N300" s="700">
        <f t="shared" si="79"/>
        <v>2.44812661442932E-2</v>
      </c>
      <c r="O300" s="700" t="str">
        <f t="shared" si="80"/>
        <v>-</v>
      </c>
      <c r="P300" s="662">
        <f t="shared" si="81"/>
        <v>99.854679615741745</v>
      </c>
      <c r="Q300" s="662">
        <f t="shared" si="82"/>
        <v>-29.931650197584325</v>
      </c>
      <c r="R300" s="662" t="str">
        <f t="shared" si="83"/>
        <v>-</v>
      </c>
      <c r="S300" s="502"/>
      <c r="T300" s="502"/>
      <c r="U300" s="503"/>
      <c r="V300" s="502"/>
      <c r="W300" s="504"/>
      <c r="X300" s="504"/>
      <c r="Y300" s="504"/>
      <c r="Z300" s="504"/>
      <c r="AA300" s="505"/>
      <c r="AB300" s="505"/>
      <c r="AC300" s="505"/>
    </row>
    <row r="301" spans="1:29" ht="15" customHeight="1">
      <c r="A301" s="457">
        <f t="shared" si="54"/>
        <v>1</v>
      </c>
      <c r="B301" s="971" t="str">
        <f t="shared" si="72"/>
        <v>T343</v>
      </c>
      <c r="C301" s="971" t="str">
        <f t="shared" si="73"/>
        <v>T346</v>
      </c>
      <c r="D301" s="885" t="str">
        <f t="shared" si="62"/>
        <v>T34-</v>
      </c>
      <c r="F301" s="1105" t="str">
        <f t="shared" si="71"/>
        <v>T34</v>
      </c>
      <c r="G301" s="1106"/>
      <c r="H301" s="688">
        <f t="shared" si="74"/>
        <v>113.2</v>
      </c>
      <c r="I301" s="689">
        <f>IF(F301&lt;&gt;"",IF(H301&lt;=0,0,Menu!J15),"")</f>
        <v>3.4</v>
      </c>
      <c r="J301" s="623">
        <f t="shared" si="75"/>
        <v>0.22902230715885388</v>
      </c>
      <c r="K301" s="623">
        <f t="shared" si="76"/>
        <v>0.2254097719110536</v>
      </c>
      <c r="L301" s="623" t="str">
        <f t="shared" si="77"/>
        <v>-</v>
      </c>
      <c r="M301" s="698">
        <f t="shared" si="78"/>
        <v>4.4679317516885197E-2</v>
      </c>
      <c r="N301" s="700">
        <f t="shared" si="79"/>
        <v>1.74025189942612E-2</v>
      </c>
      <c r="O301" s="700" t="str">
        <f t="shared" si="80"/>
        <v>-</v>
      </c>
      <c r="P301" s="662">
        <f t="shared" si="81"/>
        <v>97.402854121821079</v>
      </c>
      <c r="Q301" s="662">
        <f t="shared" si="82"/>
        <v>-25.235957171801431</v>
      </c>
      <c r="R301" s="662" t="str">
        <f t="shared" si="83"/>
        <v>-</v>
      </c>
      <c r="S301" s="502"/>
      <c r="T301" s="502"/>
      <c r="U301" s="503"/>
      <c r="V301" s="502"/>
      <c r="W301" s="504"/>
      <c r="X301" s="504"/>
      <c r="Y301" s="504"/>
      <c r="Z301" s="504"/>
      <c r="AA301" s="505"/>
      <c r="AB301" s="505"/>
      <c r="AC301" s="505"/>
    </row>
    <row r="302" spans="1:29" ht="15" customHeight="1">
      <c r="A302" s="457">
        <f t="shared" si="54"/>
        <v>1</v>
      </c>
      <c r="B302" s="971" t="str">
        <f t="shared" si="72"/>
        <v>T333</v>
      </c>
      <c r="C302" s="971" t="str">
        <f t="shared" si="73"/>
        <v>T336</v>
      </c>
      <c r="D302" s="885" t="str">
        <f t="shared" si="62"/>
        <v>T33-</v>
      </c>
      <c r="F302" s="1105" t="str">
        <f t="shared" si="71"/>
        <v>T33</v>
      </c>
      <c r="G302" s="1106"/>
      <c r="H302" s="688">
        <f t="shared" si="74"/>
        <v>109.8</v>
      </c>
      <c r="I302" s="689">
        <f>IF(F302&lt;&gt;"",IF(H302&lt;=0,0,Menu!J16),"")</f>
        <v>3.4</v>
      </c>
      <c r="J302" s="623">
        <f t="shared" si="75"/>
        <v>0.22367689048990963</v>
      </c>
      <c r="K302" s="623">
        <f t="shared" si="76"/>
        <v>0.18197534965820503</v>
      </c>
      <c r="L302" s="623" t="str">
        <f t="shared" si="77"/>
        <v>-</v>
      </c>
      <c r="M302" s="698">
        <f t="shared" si="78"/>
        <v>4.2399839037330002E-2</v>
      </c>
      <c r="N302" s="700">
        <f t="shared" si="79"/>
        <v>1.1384538328268799E-2</v>
      </c>
      <c r="O302" s="700" t="str">
        <f t="shared" si="80"/>
        <v>-</v>
      </c>
      <c r="P302" s="662">
        <f t="shared" si="81"/>
        <v>94.885646614729225</v>
      </c>
      <c r="Q302" s="662">
        <f t="shared" si="82"/>
        <v>-20.411336158316402</v>
      </c>
      <c r="R302" s="662" t="str">
        <f t="shared" si="83"/>
        <v>-</v>
      </c>
      <c r="S302" s="502"/>
      <c r="T302" s="502"/>
      <c r="U302" s="503"/>
      <c r="V302" s="502"/>
      <c r="W302" s="504"/>
      <c r="X302" s="504"/>
      <c r="Y302" s="504"/>
      <c r="Z302" s="504"/>
      <c r="AA302" s="505"/>
      <c r="AB302" s="505"/>
      <c r="AC302" s="505"/>
    </row>
    <row r="303" spans="1:29" ht="15" customHeight="1">
      <c r="A303" s="457">
        <f t="shared" si="54"/>
        <v>1</v>
      </c>
      <c r="B303" s="971" t="str">
        <f t="shared" si="72"/>
        <v>T323</v>
      </c>
      <c r="C303" s="971" t="str">
        <f t="shared" si="73"/>
        <v>T326</v>
      </c>
      <c r="D303" s="885" t="str">
        <f t="shared" si="62"/>
        <v>T32-</v>
      </c>
      <c r="F303" s="1105" t="str">
        <f t="shared" si="71"/>
        <v>T32</v>
      </c>
      <c r="G303" s="1106"/>
      <c r="H303" s="688">
        <f t="shared" si="74"/>
        <v>106.4</v>
      </c>
      <c r="I303" s="689">
        <f>IF(F303&lt;&gt;"",IF(H303&lt;=0,0,Menu!J17),"")</f>
        <v>3.4</v>
      </c>
      <c r="J303" s="623">
        <f t="shared" si="75"/>
        <v>0.21809230552961437</v>
      </c>
      <c r="K303" s="623">
        <f t="shared" si="76"/>
        <v>0.13772816982903771</v>
      </c>
      <c r="L303" s="623" t="str">
        <f t="shared" si="77"/>
        <v>-</v>
      </c>
      <c r="M303" s="698">
        <f t="shared" si="78"/>
        <v>4.0108969808827194E-2</v>
      </c>
      <c r="N303" s="700">
        <f t="shared" si="79"/>
        <v>6.5465174566612001E-3</v>
      </c>
      <c r="O303" s="700" t="str">
        <f t="shared" si="80"/>
        <v>-</v>
      </c>
      <c r="P303" s="662">
        <f t="shared" si="81"/>
        <v>92.286711591173329</v>
      </c>
      <c r="Q303" s="662">
        <f t="shared" si="82"/>
        <v>-15.478144207819053</v>
      </c>
      <c r="R303" s="662" t="str">
        <f t="shared" si="83"/>
        <v>-</v>
      </c>
      <c r="S303" s="502"/>
      <c r="T303" s="502"/>
      <c r="U303" s="503"/>
      <c r="V303" s="502"/>
      <c r="W303" s="504"/>
      <c r="X303" s="504"/>
      <c r="Y303" s="504"/>
      <c r="Z303" s="504"/>
      <c r="AA303" s="505"/>
      <c r="AB303" s="505"/>
      <c r="AC303" s="505"/>
    </row>
    <row r="304" spans="1:29" ht="15" customHeight="1">
      <c r="A304" s="457">
        <f t="shared" si="54"/>
        <v>1</v>
      </c>
      <c r="B304" s="971" t="str">
        <f t="shared" si="72"/>
        <v>T313</v>
      </c>
      <c r="C304" s="971" t="str">
        <f t="shared" si="73"/>
        <v>T316</v>
      </c>
      <c r="D304" s="885" t="str">
        <f t="shared" si="62"/>
        <v>T31-</v>
      </c>
      <c r="F304" s="1105" t="str">
        <f t="shared" si="71"/>
        <v>T31</v>
      </c>
      <c r="G304" s="1106"/>
      <c r="H304" s="688">
        <f t="shared" si="74"/>
        <v>103</v>
      </c>
      <c r="I304" s="689">
        <f>IF(F304&lt;&gt;"",IF(H304&lt;=0,0,Menu!J18),"")</f>
        <v>3.4</v>
      </c>
      <c r="J304" s="623">
        <f t="shared" si="75"/>
        <v>0.21226754429874156</v>
      </c>
      <c r="K304" s="623">
        <f t="shared" si="76"/>
        <v>9.3102573289862323E-2</v>
      </c>
      <c r="L304" s="623" t="str">
        <f t="shared" si="77"/>
        <v>-</v>
      </c>
      <c r="M304" s="698">
        <f t="shared" si="78"/>
        <v>3.7812711584660798E-2</v>
      </c>
      <c r="N304" s="700">
        <f t="shared" si="79"/>
        <v>3.0034245561299999E-3</v>
      </c>
      <c r="O304" s="700" t="str">
        <f t="shared" si="80"/>
        <v>-</v>
      </c>
      <c r="P304" s="662">
        <f t="shared" si="81"/>
        <v>89.606049051153406</v>
      </c>
      <c r="Q304" s="662">
        <f t="shared" si="82"/>
        <v>-10.483881105252275</v>
      </c>
      <c r="R304" s="662" t="str">
        <f t="shared" si="83"/>
        <v>-</v>
      </c>
      <c r="S304" s="502"/>
      <c r="T304" s="502"/>
      <c r="U304" s="503"/>
      <c r="V304" s="502"/>
      <c r="W304" s="504"/>
      <c r="X304" s="504"/>
      <c r="Y304" s="504"/>
      <c r="Z304" s="504"/>
      <c r="AA304" s="505"/>
      <c r="AB304" s="505"/>
      <c r="AC304" s="505"/>
    </row>
    <row r="305" spans="1:29" ht="15" customHeight="1">
      <c r="A305" s="457">
        <f t="shared" si="54"/>
        <v>1</v>
      </c>
      <c r="B305" s="971" t="str">
        <f t="shared" si="72"/>
        <v>T303</v>
      </c>
      <c r="C305" s="971" t="str">
        <f t="shared" si="73"/>
        <v>T306</v>
      </c>
      <c r="D305" s="885" t="str">
        <f t="shared" si="62"/>
        <v>T30-</v>
      </c>
      <c r="F305" s="1105" t="str">
        <f t="shared" si="71"/>
        <v>T30</v>
      </c>
      <c r="G305" s="1106"/>
      <c r="H305" s="688">
        <f t="shared" si="74"/>
        <v>99.6</v>
      </c>
      <c r="I305" s="689">
        <f>IF(F305&lt;&gt;"",IF(H305&lt;=0,0,Menu!J19),"")</f>
        <v>3.4</v>
      </c>
      <c r="J305" s="623">
        <f t="shared" si="75"/>
        <v>0.20620170866076454</v>
      </c>
      <c r="K305" s="623">
        <f t="shared" si="76"/>
        <v>4.8590505161296427E-2</v>
      </c>
      <c r="L305" s="623" t="str">
        <f t="shared" si="77"/>
        <v>-</v>
      </c>
      <c r="M305" s="698">
        <f t="shared" si="78"/>
        <v>3.5517254852494802E-2</v>
      </c>
      <c r="N305" s="700">
        <f t="shared" si="79"/>
        <v>8.2145254842879995E-4</v>
      </c>
      <c r="O305" s="700" t="str">
        <f t="shared" si="80"/>
        <v>-</v>
      </c>
      <c r="P305" s="662">
        <f t="shared" si="81"/>
        <v>86.843658994669482</v>
      </c>
      <c r="Q305" s="662">
        <f t="shared" si="82"/>
        <v>-5.4828323191222257</v>
      </c>
      <c r="R305" s="662" t="str">
        <f t="shared" si="83"/>
        <v>-</v>
      </c>
      <c r="S305" s="502"/>
      <c r="T305" s="502"/>
      <c r="U305" s="503"/>
      <c r="V305" s="502"/>
      <c r="W305" s="504"/>
      <c r="X305" s="504"/>
      <c r="Y305" s="504"/>
      <c r="Z305" s="504"/>
      <c r="AA305" s="505"/>
      <c r="AB305" s="505"/>
      <c r="AC305" s="505"/>
    </row>
    <row r="306" spans="1:29" ht="15" customHeight="1">
      <c r="A306" s="457">
        <f t="shared" si="54"/>
        <v>1</v>
      </c>
      <c r="B306" s="971" t="str">
        <f t="shared" si="72"/>
        <v>T293</v>
      </c>
      <c r="C306" s="971" t="str">
        <f t="shared" si="73"/>
        <v>T296</v>
      </c>
      <c r="D306" s="885" t="str">
        <f t="shared" si="62"/>
        <v>T29-</v>
      </c>
      <c r="F306" s="1105" t="str">
        <f t="shared" si="71"/>
        <v>T29</v>
      </c>
      <c r="G306" s="1106"/>
      <c r="H306" s="688">
        <f t="shared" si="74"/>
        <v>96.2</v>
      </c>
      <c r="I306" s="689">
        <f>IF(F306&lt;&gt;"",IF(H306&lt;=0,0,Menu!J20),"")</f>
        <v>3.4</v>
      </c>
      <c r="J306" s="623">
        <f t="shared" si="75"/>
        <v>0.19989402117995833</v>
      </c>
      <c r="K306" s="623">
        <f t="shared" si="76"/>
        <v>4.6206894350243628E-3</v>
      </c>
      <c r="L306" s="623" t="str">
        <f t="shared" si="77"/>
        <v>-</v>
      </c>
      <c r="M306" s="698">
        <f t="shared" si="78"/>
        <v>3.3228978834373202E-2</v>
      </c>
      <c r="N306" s="700">
        <f t="shared" si="79"/>
        <v>7.4600409268000008E-6</v>
      </c>
      <c r="O306" s="700" t="str">
        <f t="shared" si="80"/>
        <v>-</v>
      </c>
      <c r="P306" s="662">
        <f t="shared" si="81"/>
        <v>83.999541421721531</v>
      </c>
      <c r="Q306" s="662">
        <f t="shared" si="82"/>
        <v>-0.52249763437179619</v>
      </c>
      <c r="R306" s="662" t="str">
        <f t="shared" si="83"/>
        <v>-</v>
      </c>
      <c r="S306" s="502"/>
      <c r="T306" s="502"/>
      <c r="U306" s="503"/>
      <c r="V306" s="502"/>
      <c r="W306" s="504"/>
      <c r="X306" s="504"/>
      <c r="Y306" s="504"/>
      <c r="Z306" s="504"/>
      <c r="AA306" s="505"/>
      <c r="AB306" s="505"/>
      <c r="AC306" s="505"/>
    </row>
    <row r="307" spans="1:29" ht="15" customHeight="1">
      <c r="A307" s="457">
        <f t="shared" ref="A307:A338" si="84">IF(F307="","",1)</f>
        <v>1</v>
      </c>
      <c r="B307" s="971" t="str">
        <f t="shared" si="72"/>
        <v>T283</v>
      </c>
      <c r="C307" s="971" t="str">
        <f t="shared" si="73"/>
        <v>T286</v>
      </c>
      <c r="D307" s="885" t="str">
        <f t="shared" si="62"/>
        <v>T28-</v>
      </c>
      <c r="F307" s="1105" t="str">
        <f t="shared" si="71"/>
        <v>T28</v>
      </c>
      <c r="G307" s="1106"/>
      <c r="H307" s="688">
        <f t="shared" si="74"/>
        <v>92.8</v>
      </c>
      <c r="I307" s="689">
        <f>IF(F307&lt;&gt;"",IF(H307&lt;=0,0,Menu!J21),"")</f>
        <v>3.4</v>
      </c>
      <c r="J307" s="623">
        <f t="shared" si="75"/>
        <v>0.1933438375664018</v>
      </c>
      <c r="K307" s="623">
        <f t="shared" si="76"/>
        <v>-3.8381065441802892E-2</v>
      </c>
      <c r="L307" s="623" t="str">
        <f t="shared" si="77"/>
        <v>-</v>
      </c>
      <c r="M307" s="698">
        <f t="shared" si="78"/>
        <v>3.0954451486719999E-2</v>
      </c>
      <c r="N307" s="700">
        <f t="shared" si="79"/>
        <v>5.1698247192519991E-4</v>
      </c>
      <c r="O307" s="700" t="str">
        <f t="shared" si="80"/>
        <v>-</v>
      </c>
      <c r="P307" s="662">
        <f t="shared" si="81"/>
        <v>81.073696332309552</v>
      </c>
      <c r="Q307" s="662">
        <f t="shared" si="82"/>
        <v>4.3496231640561209</v>
      </c>
      <c r="R307" s="662" t="str">
        <f t="shared" si="83"/>
        <v>-</v>
      </c>
      <c r="S307" s="502"/>
      <c r="T307" s="502"/>
      <c r="U307" s="503"/>
      <c r="V307" s="502"/>
      <c r="W307" s="504"/>
      <c r="X307" s="504"/>
      <c r="Y307" s="504"/>
      <c r="Z307" s="504"/>
      <c r="AA307" s="505"/>
      <c r="AB307" s="505"/>
      <c r="AC307" s="505"/>
    </row>
    <row r="308" spans="1:29" ht="15" customHeight="1">
      <c r="A308" s="457">
        <f t="shared" si="84"/>
        <v>1</v>
      </c>
      <c r="B308" s="971" t="str">
        <f t="shared" si="72"/>
        <v>T273</v>
      </c>
      <c r="C308" s="971" t="str">
        <f t="shared" si="73"/>
        <v>T276</v>
      </c>
      <c r="D308" s="885" t="str">
        <f t="shared" si="62"/>
        <v>T27-</v>
      </c>
      <c r="F308" s="1105" t="str">
        <f t="shared" si="71"/>
        <v>T27</v>
      </c>
      <c r="G308" s="1106"/>
      <c r="H308" s="688">
        <f t="shared" si="74"/>
        <v>89.4</v>
      </c>
      <c r="I308" s="689">
        <f>IF(F308&lt;&gt;"",IF(H308&lt;=0,0,Menu!J22),"")</f>
        <v>3.4</v>
      </c>
      <c r="J308" s="623">
        <f t="shared" si="75"/>
        <v>0.18658972103565846</v>
      </c>
      <c r="K308" s="623">
        <f t="shared" si="76"/>
        <v>-7.9872602219305644E-2</v>
      </c>
      <c r="L308" s="623" t="str">
        <f t="shared" si="77"/>
        <v>-</v>
      </c>
      <c r="M308" s="698">
        <f t="shared" si="78"/>
        <v>2.87124493638868E-2</v>
      </c>
      <c r="N308" s="700">
        <f t="shared" si="79"/>
        <v>2.2491715128148005E-3</v>
      </c>
      <c r="O308" s="700" t="str">
        <f t="shared" si="80"/>
        <v>-</v>
      </c>
      <c r="P308" s="662">
        <f t="shared" si="81"/>
        <v>78.082469229726357</v>
      </c>
      <c r="Q308" s="662">
        <f t="shared" si="82"/>
        <v>9.0724589240920981</v>
      </c>
      <c r="R308" s="662" t="str">
        <f t="shared" si="83"/>
        <v>-</v>
      </c>
      <c r="S308" s="502"/>
      <c r="T308" s="502"/>
      <c r="U308" s="503"/>
      <c r="V308" s="502"/>
      <c r="W308" s="504"/>
      <c r="X308" s="504"/>
      <c r="Y308" s="504"/>
      <c r="Z308" s="504"/>
      <c r="AA308" s="505"/>
      <c r="AB308" s="505"/>
      <c r="AC308" s="505"/>
    </row>
    <row r="309" spans="1:29" ht="15" customHeight="1">
      <c r="A309" s="457">
        <f t="shared" si="84"/>
        <v>1</v>
      </c>
      <c r="B309" s="971" t="str">
        <f t="shared" si="72"/>
        <v>T263</v>
      </c>
      <c r="C309" s="971" t="str">
        <f t="shared" si="73"/>
        <v>T266</v>
      </c>
      <c r="D309" s="885" t="str">
        <f t="shared" si="62"/>
        <v>T26-</v>
      </c>
      <c r="F309" s="1105" t="str">
        <f t="shared" si="71"/>
        <v>T26</v>
      </c>
      <c r="G309" s="1106"/>
      <c r="H309" s="688">
        <f t="shared" si="74"/>
        <v>86</v>
      </c>
      <c r="I309" s="689">
        <f>IF(F309&lt;&gt;"",IF(H309&lt;=0,0,Menu!J23),"")</f>
        <v>3.4</v>
      </c>
      <c r="J309" s="623">
        <f t="shared" si="75"/>
        <v>0.17963156506773281</v>
      </c>
      <c r="K309" s="623">
        <f t="shared" si="76"/>
        <v>-0.11943547014986165</v>
      </c>
      <c r="L309" s="623" t="str">
        <f t="shared" si="77"/>
        <v>-</v>
      </c>
      <c r="M309" s="698">
        <f t="shared" si="78"/>
        <v>2.6508498608520004E-2</v>
      </c>
      <c r="N309" s="700">
        <f t="shared" si="79"/>
        <v>5.0530685988672006E-3</v>
      </c>
      <c r="O309" s="700" t="str">
        <f t="shared" si="80"/>
        <v>-</v>
      </c>
      <c r="P309" s="662">
        <f t="shared" si="81"/>
        <v>75.025860113971945</v>
      </c>
      <c r="Q309" s="662">
        <f t="shared" si="82"/>
        <v>13.598509860793243</v>
      </c>
      <c r="R309" s="662" t="str">
        <f t="shared" si="83"/>
        <v>-</v>
      </c>
      <c r="S309" s="502"/>
      <c r="T309" s="502"/>
      <c r="U309" s="503"/>
      <c r="V309" s="502"/>
      <c r="W309" s="504"/>
      <c r="X309" s="504"/>
      <c r="Y309" s="504"/>
      <c r="Z309" s="504"/>
      <c r="AA309" s="505"/>
      <c r="AB309" s="505"/>
      <c r="AC309" s="505"/>
    </row>
    <row r="310" spans="1:29" ht="15" customHeight="1">
      <c r="A310" s="457">
        <f t="shared" si="84"/>
        <v>1</v>
      </c>
      <c r="B310" s="971" t="str">
        <f t="shared" si="72"/>
        <v>T253</v>
      </c>
      <c r="C310" s="971" t="str">
        <f t="shared" si="73"/>
        <v>T256</v>
      </c>
      <c r="D310" s="885" t="str">
        <f t="shared" si="62"/>
        <v>T25-</v>
      </c>
      <c r="F310" s="1105" t="str">
        <f t="shared" si="71"/>
        <v>T25</v>
      </c>
      <c r="G310" s="1106"/>
      <c r="H310" s="688">
        <f t="shared" si="74"/>
        <v>82.6</v>
      </c>
      <c r="I310" s="689">
        <f>IF(F310&lt;&gt;"",IF(H310&lt;=0,0,Menu!J24),"")</f>
        <v>3.4</v>
      </c>
      <c r="J310" s="623">
        <f t="shared" si="75"/>
        <v>0.1724302142559363</v>
      </c>
      <c r="K310" s="623">
        <f t="shared" si="76"/>
        <v>-0.15647658320999874</v>
      </c>
      <c r="L310" s="623" t="str">
        <f t="shared" si="77"/>
        <v>-</v>
      </c>
      <c r="M310" s="698">
        <f t="shared" si="78"/>
        <v>2.4337177510996802E-2</v>
      </c>
      <c r="N310" s="700">
        <f t="shared" si="79"/>
        <v>8.7162871575807988E-3</v>
      </c>
      <c r="O310" s="700" t="str">
        <f t="shared" si="80"/>
        <v>-</v>
      </c>
      <c r="P310" s="662">
        <f t="shared" si="81"/>
        <v>71.887523481753504</v>
      </c>
      <c r="Q310" s="662">
        <f t="shared" si="82"/>
        <v>17.859919138526852</v>
      </c>
      <c r="R310" s="662" t="str">
        <f t="shared" si="83"/>
        <v>-</v>
      </c>
      <c r="S310" s="502"/>
      <c r="T310" s="502"/>
      <c r="U310" s="503"/>
      <c r="V310" s="502"/>
      <c r="W310" s="504"/>
      <c r="X310" s="504"/>
      <c r="Y310" s="504"/>
      <c r="Z310" s="504"/>
      <c r="AA310" s="505"/>
      <c r="AB310" s="505"/>
      <c r="AC310" s="505"/>
    </row>
    <row r="311" spans="1:29" ht="15" customHeight="1">
      <c r="A311" s="457">
        <f t="shared" si="84"/>
        <v>1</v>
      </c>
      <c r="B311" s="971" t="str">
        <f t="shared" si="72"/>
        <v>T243</v>
      </c>
      <c r="C311" s="971" t="str">
        <f t="shared" si="73"/>
        <v>T246</v>
      </c>
      <c r="D311" s="885" t="str">
        <f t="shared" si="62"/>
        <v>T24-</v>
      </c>
      <c r="F311" s="1105" t="str">
        <f t="shared" si="71"/>
        <v>T24</v>
      </c>
      <c r="G311" s="1106"/>
      <c r="H311" s="688">
        <f t="shared" si="74"/>
        <v>79.2</v>
      </c>
      <c r="I311" s="689">
        <f>IF(F311&lt;&gt;"",IF(H311&lt;=0,0,Menu!J25),"")</f>
        <v>3.4</v>
      </c>
      <c r="J311" s="623">
        <f t="shared" si="75"/>
        <v>0.1651298539498329</v>
      </c>
      <c r="K311" s="623">
        <f t="shared" si="76"/>
        <v>-0.190705230782069</v>
      </c>
      <c r="L311" s="623" t="str">
        <f t="shared" si="77"/>
        <v>-</v>
      </c>
      <c r="M311" s="698">
        <f t="shared" si="78"/>
        <v>2.2226881787902799E-2</v>
      </c>
      <c r="N311" s="700">
        <f t="shared" si="79"/>
        <v>1.3013431784755202E-2</v>
      </c>
      <c r="O311" s="700" t="str">
        <f t="shared" si="80"/>
        <v>-</v>
      </c>
      <c r="P311" s="662">
        <f t="shared" si="81"/>
        <v>68.700150339656659</v>
      </c>
      <c r="Q311" s="662">
        <f t="shared" si="82"/>
        <v>21.822758339476579</v>
      </c>
      <c r="R311" s="662" t="str">
        <f t="shared" si="83"/>
        <v>-</v>
      </c>
      <c r="S311" s="502"/>
      <c r="T311" s="502"/>
      <c r="U311" s="503"/>
      <c r="V311" s="502"/>
      <c r="W311" s="504"/>
      <c r="X311" s="504"/>
      <c r="Y311" s="504"/>
      <c r="Z311" s="504"/>
      <c r="AA311" s="505"/>
      <c r="AB311" s="505"/>
      <c r="AC311" s="505"/>
    </row>
    <row r="312" spans="1:29" ht="15" customHeight="1">
      <c r="A312" s="457">
        <f t="shared" si="84"/>
        <v>1</v>
      </c>
      <c r="B312" s="971" t="str">
        <f t="shared" si="72"/>
        <v>T233</v>
      </c>
      <c r="C312" s="971" t="str">
        <f t="shared" si="73"/>
        <v>T236</v>
      </c>
      <c r="D312" s="885" t="str">
        <f t="shared" si="62"/>
        <v>T23-</v>
      </c>
      <c r="F312" s="1105" t="str">
        <f t="shared" si="71"/>
        <v>T23</v>
      </c>
      <c r="G312" s="1106"/>
      <c r="H312" s="688">
        <f t="shared" si="74"/>
        <v>75.8</v>
      </c>
      <c r="I312" s="689">
        <f>IF(F312&lt;&gt;"",IF(H312&lt;=0,0,Menu!J26),"")</f>
        <v>3.4</v>
      </c>
      <c r="J312" s="623">
        <f t="shared" si="75"/>
        <v>0.15782221265794746</v>
      </c>
      <c r="K312" s="623">
        <f t="shared" si="76"/>
        <v>-0.22159741232370506</v>
      </c>
      <c r="L312" s="623" t="str">
        <f t="shared" si="77"/>
        <v>-</v>
      </c>
      <c r="M312" s="698">
        <f t="shared" si="78"/>
        <v>2.0171950666067199E-2</v>
      </c>
      <c r="N312" s="700">
        <f t="shared" si="79"/>
        <v>1.76655492920628E-2</v>
      </c>
      <c r="O312" s="700" t="str">
        <f t="shared" si="80"/>
        <v>-</v>
      </c>
      <c r="P312" s="662">
        <f t="shared" si="81"/>
        <v>65.447395184388583</v>
      </c>
      <c r="Q312" s="662">
        <f t="shared" si="82"/>
        <v>25.425956311572993</v>
      </c>
      <c r="R312" s="662" t="str">
        <f t="shared" si="83"/>
        <v>-</v>
      </c>
      <c r="S312" s="502"/>
      <c r="T312" s="502"/>
      <c r="U312" s="503"/>
      <c r="V312" s="502"/>
      <c r="W312" s="504"/>
      <c r="X312" s="504"/>
      <c r="Y312" s="504"/>
      <c r="Z312" s="504"/>
      <c r="AA312" s="505"/>
      <c r="AB312" s="505"/>
      <c r="AC312" s="505"/>
    </row>
    <row r="313" spans="1:29" ht="15" customHeight="1">
      <c r="A313" s="457">
        <f t="shared" si="84"/>
        <v>1</v>
      </c>
      <c r="B313" s="971" t="str">
        <f t="shared" si="72"/>
        <v>T223</v>
      </c>
      <c r="C313" s="971" t="str">
        <f t="shared" si="73"/>
        <v>T226</v>
      </c>
      <c r="D313" s="885" t="str">
        <f t="shared" si="62"/>
        <v>T22-</v>
      </c>
      <c r="F313" s="1105" t="str">
        <f t="shared" si="71"/>
        <v>T22</v>
      </c>
      <c r="G313" s="1106"/>
      <c r="H313" s="688">
        <f t="shared" si="74"/>
        <v>72.400000000000006</v>
      </c>
      <c r="I313" s="689">
        <f>IF(F313&lt;&gt;"",IF(H313&lt;=0,0,Menu!J27),"")</f>
        <v>3.4</v>
      </c>
      <c r="J313" s="623">
        <f t="shared" si="75"/>
        <v>0.15032311259472791</v>
      </c>
      <c r="K313" s="623">
        <f t="shared" si="76"/>
        <v>-0.24893024412524339</v>
      </c>
      <c r="L313" s="623" t="str">
        <f t="shared" si="77"/>
        <v>-</v>
      </c>
      <c r="M313" s="698">
        <f t="shared" si="78"/>
        <v>1.81879597647568E-2</v>
      </c>
      <c r="N313" s="700">
        <f t="shared" si="79"/>
        <v>2.2417669597957202E-2</v>
      </c>
      <c r="O313" s="700" t="str">
        <f t="shared" si="80"/>
        <v>-</v>
      </c>
      <c r="P313" s="662">
        <f t="shared" si="81"/>
        <v>62.145603519242115</v>
      </c>
      <c r="Q313" s="662">
        <f t="shared" si="82"/>
        <v>28.64237032056301</v>
      </c>
      <c r="R313" s="662" t="str">
        <f t="shared" si="83"/>
        <v>-</v>
      </c>
      <c r="S313" s="502"/>
      <c r="T313" s="502"/>
      <c r="U313" s="503"/>
      <c r="V313" s="502"/>
      <c r="W313" s="504"/>
      <c r="X313" s="504"/>
      <c r="Y313" s="504"/>
      <c r="Z313" s="504"/>
      <c r="AA313" s="505"/>
      <c r="AB313" s="505"/>
      <c r="AC313" s="505"/>
    </row>
    <row r="314" spans="1:29" ht="15" customHeight="1">
      <c r="A314" s="457">
        <f t="shared" si="84"/>
        <v>1</v>
      </c>
      <c r="B314" s="971" t="str">
        <f t="shared" si="72"/>
        <v>T213</v>
      </c>
      <c r="C314" s="971" t="str">
        <f t="shared" si="73"/>
        <v>T216</v>
      </c>
      <c r="D314" s="885" t="str">
        <f t="shared" si="62"/>
        <v>T21-</v>
      </c>
      <c r="F314" s="1105" t="str">
        <f t="shared" si="71"/>
        <v>T21</v>
      </c>
      <c r="G314" s="1106"/>
      <c r="H314" s="688">
        <f t="shared" si="74"/>
        <v>69</v>
      </c>
      <c r="I314" s="689">
        <f>IF(F314&lt;&gt;"",IF(H314&lt;=0,0,Menu!J28),"")</f>
        <v>3.4</v>
      </c>
      <c r="J314" s="623">
        <f t="shared" si="75"/>
        <v>0.14267281712594101</v>
      </c>
      <c r="K314" s="623">
        <f t="shared" si="76"/>
        <v>-0.27224909772685024</v>
      </c>
      <c r="L314" s="623" t="str">
        <f t="shared" si="77"/>
        <v>-</v>
      </c>
      <c r="M314" s="698">
        <f t="shared" si="78"/>
        <v>1.6288536964436801E-2</v>
      </c>
      <c r="N314" s="700">
        <f t="shared" si="79"/>
        <v>2.6972533537479994E-2</v>
      </c>
      <c r="O314" s="700" t="str">
        <f t="shared" si="80"/>
        <v>-</v>
      </c>
      <c r="P314" s="662">
        <f t="shared" si="81"/>
        <v>58.811120847510033</v>
      </c>
      <c r="Q314" s="662">
        <f t="shared" si="82"/>
        <v>31.417714897940467</v>
      </c>
      <c r="R314" s="662" t="str">
        <f t="shared" si="83"/>
        <v>-</v>
      </c>
      <c r="S314" s="502"/>
      <c r="T314" s="502"/>
      <c r="U314" s="503"/>
      <c r="V314" s="502"/>
      <c r="W314" s="504"/>
      <c r="X314" s="504"/>
      <c r="Y314" s="504"/>
      <c r="Z314" s="504"/>
      <c r="AA314" s="505"/>
      <c r="AB314" s="505"/>
      <c r="AC314" s="505"/>
    </row>
    <row r="315" spans="1:29" ht="15" customHeight="1">
      <c r="A315" s="457">
        <f t="shared" si="84"/>
        <v>1</v>
      </c>
      <c r="B315" s="971" t="str">
        <f t="shared" si="72"/>
        <v>T203</v>
      </c>
      <c r="C315" s="971" t="str">
        <f t="shared" si="73"/>
        <v>T206</v>
      </c>
      <c r="D315" s="885" t="str">
        <f t="shared" si="62"/>
        <v>T20-</v>
      </c>
      <c r="F315" s="1105" t="str">
        <f t="shared" ref="F315:F334" si="85">F231</f>
        <v>T20</v>
      </c>
      <c r="G315" s="1106"/>
      <c r="H315" s="688">
        <f t="shared" si="74"/>
        <v>65.599999999999994</v>
      </c>
      <c r="I315" s="689">
        <f>IF(F315&lt;&gt;"",IF(H315&lt;=0,0,Menu!J29),"")</f>
        <v>3.4</v>
      </c>
      <c r="J315" s="623">
        <f t="shared" si="75"/>
        <v>0.1348327774285476</v>
      </c>
      <c r="K315" s="623">
        <f t="shared" si="76"/>
        <v>-0.29139920086959548</v>
      </c>
      <c r="L315" s="623" t="str">
        <f t="shared" si="77"/>
        <v>-</v>
      </c>
      <c r="M315" s="698">
        <f t="shared" si="78"/>
        <v>1.4468227841525199E-2</v>
      </c>
      <c r="N315" s="700">
        <f t="shared" si="79"/>
        <v>3.1091901702757194E-2</v>
      </c>
      <c r="O315" s="700" t="str">
        <f t="shared" si="80"/>
        <v>-</v>
      </c>
      <c r="P315" s="662">
        <f t="shared" si="81"/>
        <v>55.427601665899523</v>
      </c>
      <c r="Q315" s="662">
        <f t="shared" si="82"/>
        <v>33.731632993015566</v>
      </c>
      <c r="R315" s="662" t="str">
        <f t="shared" si="83"/>
        <v>-</v>
      </c>
      <c r="S315" s="502"/>
      <c r="T315" s="502"/>
      <c r="U315" s="503"/>
      <c r="V315" s="502"/>
      <c r="W315" s="504"/>
      <c r="X315" s="504"/>
      <c r="Y315" s="504"/>
      <c r="Z315" s="504"/>
      <c r="AA315" s="505"/>
      <c r="AB315" s="505"/>
      <c r="AC315" s="505"/>
    </row>
    <row r="316" spans="1:29" ht="15" customHeight="1">
      <c r="A316" s="457">
        <f t="shared" si="84"/>
        <v>1</v>
      </c>
      <c r="B316" s="971" t="str">
        <f t="shared" si="72"/>
        <v>T193</v>
      </c>
      <c r="C316" s="971" t="str">
        <f t="shared" si="73"/>
        <v>T196</v>
      </c>
      <c r="D316" s="885" t="str">
        <f t="shared" si="62"/>
        <v>T19-</v>
      </c>
      <c r="F316" s="1105" t="str">
        <f t="shared" si="85"/>
        <v>T19</v>
      </c>
      <c r="G316" s="1106"/>
      <c r="H316" s="688">
        <f t="shared" si="74"/>
        <v>62.2</v>
      </c>
      <c r="I316" s="689">
        <f>IF(F316&lt;&gt;"",IF(H316&lt;=0,0,Menu!J30),"")</f>
        <v>3.4</v>
      </c>
      <c r="J316" s="623">
        <f t="shared" si="75"/>
        <v>0.12688390584234691</v>
      </c>
      <c r="K316" s="623">
        <f t="shared" si="76"/>
        <v>-0.30611270766351195</v>
      </c>
      <c r="L316" s="623" t="str">
        <f t="shared" si="77"/>
        <v>-</v>
      </c>
      <c r="M316" s="698">
        <f t="shared" si="78"/>
        <v>1.2747735299278801E-2</v>
      </c>
      <c r="N316" s="700">
        <f t="shared" si="79"/>
        <v>3.4534769098133196E-2</v>
      </c>
      <c r="O316" s="700" t="str">
        <f t="shared" si="80"/>
        <v>-</v>
      </c>
      <c r="P316" s="662">
        <f t="shared" si="81"/>
        <v>52.027736980996231</v>
      </c>
      <c r="Q316" s="662">
        <f t="shared" si="82"/>
        <v>35.550196187971956</v>
      </c>
      <c r="R316" s="662" t="str">
        <f t="shared" si="83"/>
        <v>-</v>
      </c>
      <c r="S316" s="502"/>
      <c r="T316" s="502"/>
      <c r="U316" s="503"/>
      <c r="V316" s="502"/>
      <c r="W316" s="504"/>
      <c r="X316" s="504"/>
      <c r="Y316" s="504"/>
      <c r="Z316" s="504"/>
      <c r="AA316" s="505"/>
      <c r="AB316" s="505"/>
      <c r="AC316" s="505"/>
    </row>
    <row r="317" spans="1:29" ht="15" customHeight="1">
      <c r="A317" s="457">
        <f t="shared" si="84"/>
        <v>1</v>
      </c>
      <c r="B317" s="971" t="str">
        <f t="shared" si="72"/>
        <v>T183</v>
      </c>
      <c r="C317" s="971" t="str">
        <f t="shared" si="73"/>
        <v>T186</v>
      </c>
      <c r="D317" s="885" t="str">
        <f t="shared" si="62"/>
        <v>T18-</v>
      </c>
      <c r="F317" s="1105" t="str">
        <f t="shared" si="85"/>
        <v>T18</v>
      </c>
      <c r="G317" s="1106"/>
      <c r="H317" s="688">
        <f t="shared" si="74"/>
        <v>58.8</v>
      </c>
      <c r="I317" s="689">
        <f>IF(F317&lt;&gt;"",IF(H317&lt;=0,0,Menu!J31),"")</f>
        <v>3.4</v>
      </c>
      <c r="J317" s="623">
        <f t="shared" si="75"/>
        <v>0.11882831817400349</v>
      </c>
      <c r="K317" s="623">
        <f t="shared" si="76"/>
        <v>-0.31630236011449214</v>
      </c>
      <c r="L317" s="623" t="str">
        <f t="shared" si="77"/>
        <v>-</v>
      </c>
      <c r="M317" s="698">
        <f t="shared" si="78"/>
        <v>1.1128629607739202E-2</v>
      </c>
      <c r="N317" s="700">
        <f t="shared" si="79"/>
        <v>3.7126095910220799E-2</v>
      </c>
      <c r="O317" s="700" t="str">
        <f t="shared" si="80"/>
        <v>-</v>
      </c>
      <c r="P317" s="662">
        <f t="shared" si="81"/>
        <v>48.61152679280012</v>
      </c>
      <c r="Q317" s="662">
        <f t="shared" si="82"/>
        <v>36.859833115683081</v>
      </c>
      <c r="R317" s="662" t="str">
        <f t="shared" si="83"/>
        <v>-</v>
      </c>
      <c r="S317" s="502"/>
      <c r="T317" s="502"/>
      <c r="U317" s="503"/>
      <c r="V317" s="502"/>
      <c r="W317" s="504"/>
      <c r="X317" s="504"/>
      <c r="Y317" s="504"/>
      <c r="Z317" s="504"/>
      <c r="AA317" s="505"/>
      <c r="AB317" s="505"/>
      <c r="AC317" s="505"/>
    </row>
    <row r="318" spans="1:29" ht="15" customHeight="1">
      <c r="A318" s="457">
        <f t="shared" si="84"/>
        <v>1</v>
      </c>
      <c r="B318" s="971" t="str">
        <f t="shared" si="72"/>
        <v>T173</v>
      </c>
      <c r="C318" s="971" t="str">
        <f t="shared" si="73"/>
        <v>T176</v>
      </c>
      <c r="D318" s="885" t="str">
        <f t="shared" si="62"/>
        <v>T17-</v>
      </c>
      <c r="F318" s="1105" t="str">
        <f t="shared" si="85"/>
        <v>T17</v>
      </c>
      <c r="G318" s="1106"/>
      <c r="H318" s="688">
        <f t="shared" si="74"/>
        <v>55.4</v>
      </c>
      <c r="I318" s="689">
        <f>IF(F318&lt;&gt;"",IF(H318&lt;=0,0,Menu!J32),"")</f>
        <v>3.4</v>
      </c>
      <c r="J318" s="623">
        <f t="shared" si="75"/>
        <v>0.11066846020060345</v>
      </c>
      <c r="K318" s="623">
        <f t="shared" si="76"/>
        <v>-0.32194313221779713</v>
      </c>
      <c r="L318" s="623" t="str">
        <f t="shared" si="77"/>
        <v>-</v>
      </c>
      <c r="M318" s="698">
        <f t="shared" si="78"/>
        <v>9.612488586323199E-3</v>
      </c>
      <c r="N318" s="700">
        <f t="shared" si="79"/>
        <v>3.8742639847109198E-2</v>
      </c>
      <c r="O318" s="700" t="str">
        <f t="shared" si="80"/>
        <v>-</v>
      </c>
      <c r="P318" s="662">
        <f t="shared" si="81"/>
        <v>45.178971101311205</v>
      </c>
      <c r="Q318" s="662">
        <f t="shared" si="82"/>
        <v>37.653758092585676</v>
      </c>
      <c r="R318" s="662" t="str">
        <f t="shared" si="83"/>
        <v>-</v>
      </c>
      <c r="S318" s="502"/>
      <c r="T318" s="502"/>
      <c r="U318" s="503"/>
      <c r="V318" s="502"/>
      <c r="W318" s="504"/>
      <c r="X318" s="504"/>
      <c r="Y318" s="504"/>
      <c r="Z318" s="504"/>
      <c r="AA318" s="505"/>
      <c r="AB318" s="505"/>
      <c r="AC318" s="505"/>
    </row>
    <row r="319" spans="1:29" ht="15" customHeight="1">
      <c r="A319" s="457">
        <f t="shared" si="84"/>
        <v>1</v>
      </c>
      <c r="B319" s="971" t="str">
        <f t="shared" si="72"/>
        <v>T163</v>
      </c>
      <c r="C319" s="971" t="str">
        <f t="shared" si="73"/>
        <v>T166</v>
      </c>
      <c r="D319" s="885" t="str">
        <f t="shared" si="62"/>
        <v>T16-</v>
      </c>
      <c r="F319" s="1105" t="str">
        <f t="shared" si="85"/>
        <v>T16</v>
      </c>
      <c r="G319" s="1106"/>
      <c r="H319" s="688">
        <f t="shared" si="74"/>
        <v>52</v>
      </c>
      <c r="I319" s="689">
        <f>IF(F319&lt;&gt;"",IF(H319&lt;=0,0,Menu!J33),"")</f>
        <v>3.4</v>
      </c>
      <c r="J319" s="623">
        <f t="shared" si="75"/>
        <v>0.10248739667319801</v>
      </c>
      <c r="K319" s="623">
        <f t="shared" si="76"/>
        <v>-0.32295620390150387</v>
      </c>
      <c r="L319" s="623" t="str">
        <f t="shared" si="77"/>
        <v>-</v>
      </c>
      <c r="M319" s="698">
        <f t="shared" si="78"/>
        <v>8.2137516733299994E-3</v>
      </c>
      <c r="N319" s="700">
        <f t="shared" si="79"/>
        <v>3.9289142892524803E-2</v>
      </c>
      <c r="O319" s="700" t="str">
        <f t="shared" si="80"/>
        <v>-</v>
      </c>
      <c r="P319" s="662">
        <f t="shared" si="81"/>
        <v>41.762760913115095</v>
      </c>
      <c r="Q319" s="662">
        <f t="shared" si="82"/>
        <v>37.91839975155321</v>
      </c>
      <c r="R319" s="662" t="str">
        <f t="shared" si="83"/>
        <v>-</v>
      </c>
      <c r="S319" s="502"/>
      <c r="T319" s="502"/>
      <c r="U319" s="503"/>
      <c r="V319" s="502"/>
      <c r="W319" s="504"/>
      <c r="X319" s="504"/>
      <c r="Y319" s="504"/>
      <c r="Z319" s="504"/>
      <c r="AA319" s="505"/>
      <c r="AB319" s="505"/>
      <c r="AC319" s="505"/>
    </row>
    <row r="320" spans="1:29" ht="15" customHeight="1">
      <c r="A320" s="457">
        <f t="shared" si="84"/>
        <v>1</v>
      </c>
      <c r="B320" s="971" t="str">
        <f t="shared" si="72"/>
        <v>T153</v>
      </c>
      <c r="C320" s="971" t="str">
        <f t="shared" si="73"/>
        <v>T156</v>
      </c>
      <c r="D320" s="885" t="str">
        <f t="shared" si="62"/>
        <v>T15-</v>
      </c>
      <c r="F320" s="1105" t="str">
        <f t="shared" si="85"/>
        <v>T15</v>
      </c>
      <c r="G320" s="1106"/>
      <c r="H320" s="688">
        <f t="shared" si="74"/>
        <v>48.6</v>
      </c>
      <c r="I320" s="689">
        <f>IF(F320&lt;&gt;"",IF(H320&lt;=0,0,Menu!J34),"")</f>
        <v>3.4</v>
      </c>
      <c r="J320" s="623">
        <f t="shared" si="75"/>
        <v>9.4248639489604213E-2</v>
      </c>
      <c r="K320" s="623">
        <f t="shared" si="76"/>
        <v>-0.31949865255754606</v>
      </c>
      <c r="L320" s="623" t="str">
        <f t="shared" si="77"/>
        <v>-</v>
      </c>
      <c r="M320" s="698">
        <f t="shared" si="78"/>
        <v>6.9249361797072001E-3</v>
      </c>
      <c r="N320" s="700">
        <f t="shared" si="79"/>
        <v>3.8770572535349206E-2</v>
      </c>
      <c r="O320" s="700" t="str">
        <f t="shared" si="80"/>
        <v>-</v>
      </c>
      <c r="P320" s="662">
        <f t="shared" si="81"/>
        <v>38.346550724918991</v>
      </c>
      <c r="Q320" s="662">
        <f t="shared" si="82"/>
        <v>37.667329459712221</v>
      </c>
      <c r="R320" s="662" t="str">
        <f t="shared" si="83"/>
        <v>-</v>
      </c>
      <c r="S320" s="502"/>
      <c r="T320" s="502"/>
      <c r="U320" s="503"/>
      <c r="V320" s="502"/>
      <c r="W320" s="504"/>
      <c r="X320" s="504"/>
      <c r="Y320" s="504"/>
      <c r="Z320" s="504"/>
      <c r="AA320" s="505"/>
      <c r="AB320" s="505"/>
      <c r="AC320" s="505"/>
    </row>
    <row r="321" spans="1:29" ht="15" customHeight="1">
      <c r="A321" s="457">
        <f t="shared" si="84"/>
        <v>1</v>
      </c>
      <c r="B321" s="971" t="str">
        <f t="shared" si="72"/>
        <v>T143</v>
      </c>
      <c r="C321" s="971" t="str">
        <f t="shared" si="73"/>
        <v>T146</v>
      </c>
      <c r="D321" s="885" t="str">
        <f t="shared" si="62"/>
        <v>T14-</v>
      </c>
      <c r="F321" s="1105" t="str">
        <f t="shared" si="85"/>
        <v>T14</v>
      </c>
      <c r="G321" s="1106"/>
      <c r="H321" s="688">
        <f t="shared" si="74"/>
        <v>45.2</v>
      </c>
      <c r="I321" s="689">
        <f>IF(F321&lt;&gt;"",IF(H321&lt;=0,0,Menu!J35),"")</f>
        <v>3.4</v>
      </c>
      <c r="J321" s="623">
        <f t="shared" si="75"/>
        <v>8.6036600677787525E-2</v>
      </c>
      <c r="K321" s="623">
        <f t="shared" si="76"/>
        <v>-0.31167294531523237</v>
      </c>
      <c r="L321" s="623" t="str">
        <f t="shared" si="77"/>
        <v>-</v>
      </c>
      <c r="M321" s="698">
        <f t="shared" si="78"/>
        <v>5.756802481573199E-3</v>
      </c>
      <c r="N321" s="700">
        <f t="shared" si="79"/>
        <v>3.7221843377653205E-2</v>
      </c>
      <c r="O321" s="700" t="str">
        <f t="shared" si="80"/>
        <v>-</v>
      </c>
      <c r="P321" s="662">
        <f t="shared" si="81"/>
        <v>34.963031543308496</v>
      </c>
      <c r="Q321" s="662">
        <f t="shared" si="82"/>
        <v>36.907332900625974</v>
      </c>
      <c r="R321" s="662" t="str">
        <f t="shared" si="83"/>
        <v>-</v>
      </c>
      <c r="S321" s="502"/>
      <c r="T321" s="502"/>
      <c r="U321" s="503"/>
      <c r="V321" s="502"/>
      <c r="W321" s="504"/>
      <c r="X321" s="504"/>
      <c r="Y321" s="504"/>
      <c r="Z321" s="504"/>
      <c r="AA321" s="505"/>
      <c r="AB321" s="505"/>
      <c r="AC321" s="505"/>
    </row>
    <row r="322" spans="1:29" ht="15" customHeight="1">
      <c r="A322" s="457">
        <f t="shared" si="84"/>
        <v>1</v>
      </c>
      <c r="B322" s="971" t="str">
        <f t="shared" si="72"/>
        <v>T133</v>
      </c>
      <c r="C322" s="971" t="str">
        <f t="shared" si="73"/>
        <v>T136</v>
      </c>
      <c r="D322" s="885" t="str">
        <f t="shared" si="62"/>
        <v>T13-</v>
      </c>
      <c r="F322" s="1105" t="str">
        <f t="shared" si="85"/>
        <v>T13</v>
      </c>
      <c r="G322" s="1106"/>
      <c r="H322" s="688">
        <f t="shared" si="74"/>
        <v>41.8</v>
      </c>
      <c r="I322" s="689">
        <f>IF(F322&lt;&gt;"",IF(H322&lt;=0,0,Menu!J36),"")</f>
        <v>3.4</v>
      </c>
      <c r="J322" s="623">
        <f t="shared" si="75"/>
        <v>7.7856069255440849E-2</v>
      </c>
      <c r="K322" s="623">
        <f t="shared" si="76"/>
        <v>-0.29970007065404269</v>
      </c>
      <c r="L322" s="623" t="str">
        <f t="shared" si="77"/>
        <v>-</v>
      </c>
      <c r="M322" s="698">
        <f t="shared" si="78"/>
        <v>4.7062251375951996E-3</v>
      </c>
      <c r="N322" s="700">
        <f t="shared" si="79"/>
        <v>3.4746030813730004E-2</v>
      </c>
      <c r="O322" s="700" t="str">
        <f t="shared" si="80"/>
        <v>-</v>
      </c>
      <c r="P322" s="662">
        <f t="shared" si="81"/>
        <v>31.612203368283605</v>
      </c>
      <c r="Q322" s="662">
        <f t="shared" si="82"/>
        <v>35.65876712498428</v>
      </c>
      <c r="R322" s="662" t="str">
        <f t="shared" si="83"/>
        <v>-</v>
      </c>
      <c r="S322" s="502"/>
      <c r="T322" s="502"/>
      <c r="U322" s="503"/>
      <c r="V322" s="502"/>
      <c r="W322" s="504"/>
      <c r="X322" s="504"/>
      <c r="Y322" s="504"/>
      <c r="Z322" s="504"/>
      <c r="AA322" s="505"/>
      <c r="AB322" s="505"/>
      <c r="AC322" s="505"/>
    </row>
    <row r="323" spans="1:29" ht="15" customHeight="1">
      <c r="A323" s="457">
        <f t="shared" si="84"/>
        <v>1</v>
      </c>
      <c r="B323" s="971" t="str">
        <f t="shared" si="72"/>
        <v>T123</v>
      </c>
      <c r="C323" s="971" t="str">
        <f t="shared" si="73"/>
        <v>T126</v>
      </c>
      <c r="D323" s="885" t="str">
        <f t="shared" si="62"/>
        <v>T12-</v>
      </c>
      <c r="F323" s="1105" t="str">
        <f t="shared" si="85"/>
        <v>T12</v>
      </c>
      <c r="G323" s="1106"/>
      <c r="H323" s="688">
        <f t="shared" si="74"/>
        <v>38.4</v>
      </c>
      <c r="I323" s="689">
        <f>IF(F323&lt;&gt;"",IF(H323&lt;=0,0,Menu!J37),"")</f>
        <v>3.4</v>
      </c>
      <c r="J323" s="623">
        <f t="shared" si="75"/>
        <v>6.9806439422808703E-2</v>
      </c>
      <c r="K323" s="623">
        <f t="shared" si="76"/>
        <v>-0.28397446897510403</v>
      </c>
      <c r="L323" s="623" t="str">
        <f t="shared" si="77"/>
        <v>-</v>
      </c>
      <c r="M323" s="698">
        <f t="shared" si="78"/>
        <v>3.7744661516608004E-3</v>
      </c>
      <c r="N323" s="700">
        <f t="shared" si="79"/>
        <v>3.1518672915729996E-2</v>
      </c>
      <c r="O323" s="700" t="str">
        <f t="shared" si="80"/>
        <v>-</v>
      </c>
      <c r="P323" s="662">
        <f t="shared" si="81"/>
        <v>28.310411703137124</v>
      </c>
      <c r="Q323" s="662">
        <f t="shared" si="82"/>
        <v>33.962346234166752</v>
      </c>
      <c r="R323" s="662" t="str">
        <f t="shared" si="83"/>
        <v>-</v>
      </c>
      <c r="S323" s="502"/>
      <c r="T323" s="502"/>
      <c r="U323" s="503"/>
      <c r="V323" s="502"/>
      <c r="W323" s="504"/>
      <c r="X323" s="504"/>
      <c r="Y323" s="504"/>
      <c r="Z323" s="504"/>
      <c r="AA323" s="505"/>
      <c r="AB323" s="505"/>
      <c r="AC323" s="505"/>
    </row>
    <row r="324" spans="1:29" ht="15" customHeight="1">
      <c r="A324" s="457">
        <f t="shared" si="84"/>
        <v>1</v>
      </c>
      <c r="B324" s="971" t="str">
        <f t="shared" si="72"/>
        <v>T113</v>
      </c>
      <c r="C324" s="971" t="str">
        <f t="shared" si="73"/>
        <v>T116</v>
      </c>
      <c r="D324" s="885" t="str">
        <f t="shared" si="62"/>
        <v>T11-</v>
      </c>
      <c r="F324" s="1105" t="str">
        <f t="shared" si="85"/>
        <v>T11</v>
      </c>
      <c r="G324" s="1106"/>
      <c r="H324" s="688">
        <f t="shared" si="74"/>
        <v>35</v>
      </c>
      <c r="I324" s="689">
        <f>IF(F324&lt;&gt;"",IF(H324&lt;=0,0,Menu!J38),"")</f>
        <v>3.4</v>
      </c>
      <c r="J324" s="623">
        <f t="shared" si="75"/>
        <v>6.196113180201477E-2</v>
      </c>
      <c r="K324" s="623">
        <f t="shared" si="76"/>
        <v>-0.26472178204970498</v>
      </c>
      <c r="L324" s="623" t="str">
        <f t="shared" si="77"/>
        <v>-</v>
      </c>
      <c r="M324" s="698">
        <f t="shared" si="78"/>
        <v>2.9646710967699995E-3</v>
      </c>
      <c r="N324" s="700">
        <f t="shared" si="79"/>
        <v>2.76997447188288E-2</v>
      </c>
      <c r="O324" s="700" t="str">
        <f t="shared" si="80"/>
        <v>-</v>
      </c>
      <c r="P324" s="662">
        <f t="shared" si="81"/>
        <v>25.090347554454667</v>
      </c>
      <c r="Q324" s="662">
        <f t="shared" si="82"/>
        <v>31.838427278863218</v>
      </c>
      <c r="R324" s="662" t="str">
        <f t="shared" si="83"/>
        <v>-</v>
      </c>
      <c r="S324" s="502"/>
      <c r="T324" s="502"/>
      <c r="U324" s="503"/>
      <c r="V324" s="502"/>
      <c r="W324" s="504"/>
      <c r="X324" s="504"/>
      <c r="Y324" s="504"/>
      <c r="Z324" s="504"/>
      <c r="AA324" s="505"/>
      <c r="AB324" s="505"/>
      <c r="AC324" s="505"/>
    </row>
    <row r="325" spans="1:29" ht="15" customHeight="1">
      <c r="A325" s="457">
        <f t="shared" si="84"/>
        <v>1</v>
      </c>
      <c r="B325" s="971" t="str">
        <f t="shared" si="72"/>
        <v>T103</v>
      </c>
      <c r="C325" s="971" t="str">
        <f t="shared" si="73"/>
        <v>T106</v>
      </c>
      <c r="D325" s="885" t="str">
        <f t="shared" si="62"/>
        <v>T10-</v>
      </c>
      <c r="F325" s="1105" t="str">
        <f t="shared" si="85"/>
        <v>T10</v>
      </c>
      <c r="G325" s="1106"/>
      <c r="H325" s="688">
        <f t="shared" si="74"/>
        <v>31.6</v>
      </c>
      <c r="I325" s="689">
        <f>IF(F325&lt;&gt;"",IF(H325&lt;=0,0,Menu!J39),"")</f>
        <v>3.4</v>
      </c>
      <c r="J325" s="623">
        <f t="shared" si="75"/>
        <v>5.4219928578566334E-2</v>
      </c>
      <c r="K325" s="623">
        <f t="shared" si="76"/>
        <v>-0.24245323774521962</v>
      </c>
      <c r="L325" s="623" t="str">
        <f t="shared" si="77"/>
        <v>-</v>
      </c>
      <c r="M325" s="698">
        <f t="shared" si="78"/>
        <v>2.2660254929488003E-3</v>
      </c>
      <c r="N325" s="700">
        <f t="shared" si="79"/>
        <v>2.3525081154899197E-2</v>
      </c>
      <c r="O325" s="700" t="str">
        <f t="shared" si="80"/>
        <v>-</v>
      </c>
      <c r="P325" s="662">
        <f t="shared" si="81"/>
        <v>21.935665418943433</v>
      </c>
      <c r="Q325" s="662">
        <f t="shared" si="82"/>
        <v>29.341295727579826</v>
      </c>
      <c r="R325" s="662" t="str">
        <f t="shared" si="83"/>
        <v>-</v>
      </c>
      <c r="S325" s="502"/>
      <c r="T325" s="502"/>
      <c r="U325" s="503"/>
      <c r="V325" s="502"/>
      <c r="W325" s="504"/>
      <c r="X325" s="504"/>
      <c r="Y325" s="504"/>
      <c r="Z325" s="504"/>
      <c r="AA325" s="505"/>
      <c r="AB325" s="505"/>
      <c r="AC325" s="505"/>
    </row>
    <row r="326" spans="1:29" ht="15" customHeight="1">
      <c r="A326" s="457">
        <f t="shared" si="84"/>
        <v>1</v>
      </c>
      <c r="B326" s="971" t="str">
        <f t="shared" si="72"/>
        <v>T93</v>
      </c>
      <c r="C326" s="971" t="str">
        <f t="shared" si="73"/>
        <v>T96</v>
      </c>
      <c r="D326" s="885" t="str">
        <f t="shared" si="62"/>
        <v>T9-</v>
      </c>
      <c r="F326" s="1105" t="str">
        <f t="shared" si="85"/>
        <v>T9</v>
      </c>
      <c r="G326" s="1106"/>
      <c r="H326" s="688">
        <f t="shared" si="74"/>
        <v>28.2</v>
      </c>
      <c r="I326" s="689">
        <f>IF(F326&lt;&gt;"",IF(H326&lt;=0,0,Menu!J40),"")</f>
        <v>3.4</v>
      </c>
      <c r="J326" s="623">
        <f t="shared" si="75"/>
        <v>4.6672517793618466E-2</v>
      </c>
      <c r="K326" s="623">
        <f t="shared" si="76"/>
        <v>-0.21767959289552263</v>
      </c>
      <c r="L326" s="623" t="str">
        <f t="shared" si="77"/>
        <v>-</v>
      </c>
      <c r="M326" s="698">
        <f t="shared" si="78"/>
        <v>1.6785092085299998E-3</v>
      </c>
      <c r="N326" s="700">
        <f t="shared" si="79"/>
        <v>1.92260957384052E-2</v>
      </c>
      <c r="O326" s="700" t="str">
        <f t="shared" si="80"/>
        <v>-</v>
      </c>
      <c r="P326" s="662">
        <f t="shared" si="81"/>
        <v>18.879056303189017</v>
      </c>
      <c r="Q326" s="662">
        <f t="shared" si="82"/>
        <v>26.525237048822746</v>
      </c>
      <c r="R326" s="662" t="str">
        <f t="shared" si="83"/>
        <v>-</v>
      </c>
      <c r="S326" s="502"/>
      <c r="T326" s="502"/>
      <c r="U326" s="503"/>
      <c r="V326" s="502"/>
      <c r="W326" s="504"/>
      <c r="X326" s="504"/>
      <c r="Y326" s="504"/>
      <c r="Z326" s="504"/>
      <c r="AA326" s="505"/>
      <c r="AB326" s="505"/>
      <c r="AC326" s="505"/>
    </row>
    <row r="327" spans="1:29" ht="15" customHeight="1">
      <c r="A327" s="457">
        <f t="shared" si="84"/>
        <v>1</v>
      </c>
      <c r="B327" s="971" t="str">
        <f t="shared" si="72"/>
        <v>T83</v>
      </c>
      <c r="C327" s="971" t="str">
        <f t="shared" si="73"/>
        <v>T86</v>
      </c>
      <c r="D327" s="885" t="str">
        <f t="shared" si="62"/>
        <v>T8-</v>
      </c>
      <c r="F327" s="1105" t="str">
        <f t="shared" si="85"/>
        <v>T8</v>
      </c>
      <c r="G327" s="1106"/>
      <c r="H327" s="688">
        <f t="shared" si="74"/>
        <v>24.8</v>
      </c>
      <c r="I327" s="689">
        <f>IF(F327&lt;&gt;"",IF(H327&lt;=0,0,Menu!J41),"")</f>
        <v>3.4</v>
      </c>
      <c r="J327" s="623">
        <f t="shared" si="75"/>
        <v>3.9409746279505171E-2</v>
      </c>
      <c r="K327" s="623">
        <f t="shared" si="76"/>
        <v>-0.19096717826111992</v>
      </c>
      <c r="L327" s="623" t="str">
        <f t="shared" si="77"/>
        <v>-</v>
      </c>
      <c r="M327" s="698">
        <f t="shared" si="78"/>
        <v>1.1985589384191999E-3</v>
      </c>
      <c r="N327" s="700">
        <f t="shared" si="79"/>
        <v>1.5028209038131199E-2</v>
      </c>
      <c r="O327" s="700" t="str">
        <f t="shared" si="80"/>
        <v>-</v>
      </c>
      <c r="P327" s="662">
        <f t="shared" si="81"/>
        <v>15.953211213777042</v>
      </c>
      <c r="Q327" s="662">
        <f t="shared" si="82"/>
        <v>23.4513223946614</v>
      </c>
      <c r="R327" s="662" t="str">
        <f t="shared" si="83"/>
        <v>-</v>
      </c>
      <c r="S327" s="502"/>
      <c r="T327" s="502"/>
      <c r="U327" s="503"/>
      <c r="V327" s="502"/>
      <c r="W327" s="504"/>
      <c r="X327" s="504"/>
      <c r="Y327" s="504"/>
      <c r="Z327" s="504"/>
      <c r="AA327" s="505"/>
      <c r="AB327" s="505"/>
      <c r="AC327" s="505"/>
    </row>
    <row r="328" spans="1:29" ht="15" customHeight="1">
      <c r="A328" s="457">
        <f t="shared" si="84"/>
        <v>1</v>
      </c>
      <c r="B328" s="971" t="str">
        <f t="shared" si="72"/>
        <v>T73</v>
      </c>
      <c r="C328" s="971" t="str">
        <f t="shared" si="73"/>
        <v>T76</v>
      </c>
      <c r="D328" s="885" t="str">
        <f t="shared" si="62"/>
        <v>T7-</v>
      </c>
      <c r="F328" s="1105" t="str">
        <f t="shared" si="85"/>
        <v>T7</v>
      </c>
      <c r="G328" s="1106"/>
      <c r="H328" s="688">
        <f t="shared" si="74"/>
        <v>21.4</v>
      </c>
      <c r="I328" s="689">
        <f>IF(F328&lt;&gt;"",IF(H328&lt;=0,0,Menu!J42),"")</f>
        <v>3.4</v>
      </c>
      <c r="J328" s="623">
        <f t="shared" si="75"/>
        <v>3.2442737747067851E-2</v>
      </c>
      <c r="K328" s="623">
        <f t="shared" si="76"/>
        <v>-0.162991609458743</v>
      </c>
      <c r="L328" s="623" t="str">
        <f t="shared" si="77"/>
        <v>-</v>
      </c>
      <c r="M328" s="698">
        <f t="shared" si="78"/>
        <v>8.1536397733000007E-4</v>
      </c>
      <c r="N328" s="700">
        <f t="shared" si="79"/>
        <v>1.11436025352192E-2</v>
      </c>
      <c r="O328" s="700" t="str">
        <f t="shared" si="80"/>
        <v>-</v>
      </c>
      <c r="P328" s="662">
        <f>IF(M244="-","-",IFERROR($J144*$H$202*M244*$J$376,""))</f>
        <v>13.158130150707498</v>
      </c>
      <c r="Q328" s="662">
        <f t="shared" si="82"/>
        <v>20.194194284291758</v>
      </c>
      <c r="R328" s="662" t="str">
        <f t="shared" si="83"/>
        <v>-</v>
      </c>
      <c r="S328" s="502"/>
      <c r="T328" s="502"/>
      <c r="U328" s="503"/>
      <c r="V328" s="502"/>
      <c r="W328" s="504"/>
      <c r="X328" s="504"/>
      <c r="Y328" s="504"/>
      <c r="Z328" s="504"/>
      <c r="AA328" s="505"/>
      <c r="AB328" s="505"/>
      <c r="AC328" s="505"/>
    </row>
    <row r="329" spans="1:29" ht="15" customHeight="1">
      <c r="A329" s="457">
        <f t="shared" si="84"/>
        <v>1</v>
      </c>
      <c r="B329" s="971" t="str">
        <f t="shared" si="72"/>
        <v>T63</v>
      </c>
      <c r="C329" s="971" t="str">
        <f t="shared" si="73"/>
        <v>T66</v>
      </c>
      <c r="D329" s="885" t="str">
        <f t="shared" si="62"/>
        <v>T6-</v>
      </c>
      <c r="F329" s="1105" t="str">
        <f t="shared" si="85"/>
        <v>T6</v>
      </c>
      <c r="G329" s="1106"/>
      <c r="H329" s="688">
        <f t="shared" si="74"/>
        <v>18</v>
      </c>
      <c r="I329" s="689">
        <f>IF(F329&lt;&gt;"",IF(H329&lt;=0,0,Menu!J43),"")</f>
        <v>3.4</v>
      </c>
      <c r="J329" s="623">
        <f t="shared" si="75"/>
        <v>2.5899444318759079E-2</v>
      </c>
      <c r="K329" s="623">
        <f t="shared" si="76"/>
        <v>-0.13437128380058541</v>
      </c>
      <c r="L329" s="623" t="str">
        <f t="shared" si="77"/>
        <v>-</v>
      </c>
      <c r="M329" s="698">
        <f t="shared" si="78"/>
        <v>5.2183294549120005E-4</v>
      </c>
      <c r="N329" s="700">
        <f t="shared" si="79"/>
        <v>7.7323733130771994E-3</v>
      </c>
      <c r="O329" s="700" t="str">
        <f t="shared" si="80"/>
        <v>-</v>
      </c>
      <c r="P329" s="662">
        <f t="shared" si="81"/>
        <v>10.526504120565999</v>
      </c>
      <c r="Q329" s="662">
        <f t="shared" si="82"/>
        <v>16.82170955334653</v>
      </c>
      <c r="R329" s="662" t="str">
        <f t="shared" si="83"/>
        <v>-</v>
      </c>
      <c r="S329" s="502"/>
      <c r="T329" s="502"/>
      <c r="U329" s="503"/>
      <c r="V329" s="502"/>
      <c r="W329" s="504"/>
      <c r="X329" s="504"/>
      <c r="Y329" s="504"/>
      <c r="Z329" s="504"/>
      <c r="AA329" s="505"/>
      <c r="AB329" s="505"/>
      <c r="AC329" s="505"/>
    </row>
    <row r="330" spans="1:29" ht="15" customHeight="1">
      <c r="A330" s="457">
        <f t="shared" si="84"/>
        <v>1</v>
      </c>
      <c r="B330" s="971" t="str">
        <f t="shared" si="72"/>
        <v>T53</v>
      </c>
      <c r="C330" s="971" t="str">
        <f t="shared" si="73"/>
        <v>T56</v>
      </c>
      <c r="D330" s="885" t="str">
        <f t="shared" si="62"/>
        <v>T5-</v>
      </c>
      <c r="F330" s="1105" t="str">
        <f t="shared" si="85"/>
        <v>T5</v>
      </c>
      <c r="G330" s="1106"/>
      <c r="H330" s="688">
        <f t="shared" si="74"/>
        <v>14.6</v>
      </c>
      <c r="I330" s="689">
        <f>IF(F330&lt;&gt;"",IF(H330&lt;=0,0,Menu!J44),"")</f>
        <v>3.4</v>
      </c>
      <c r="J330" s="623">
        <f t="shared" si="75"/>
        <v>1.98406276671577E-2</v>
      </c>
      <c r="K330" s="623">
        <f t="shared" si="76"/>
        <v>-0.10599333645226149</v>
      </c>
      <c r="L330" s="623" t="str">
        <f t="shared" si="77"/>
        <v>-</v>
      </c>
      <c r="M330" s="698">
        <f t="shared" si="78"/>
        <v>3.0829760972999996E-4</v>
      </c>
      <c r="N330" s="700">
        <f t="shared" si="79"/>
        <v>4.9327617556799994E-3</v>
      </c>
      <c r="O330" s="700" t="str">
        <f t="shared" si="80"/>
        <v>-</v>
      </c>
      <c r="P330" s="662">
        <f t="shared" si="81"/>
        <v>8.09102412993815</v>
      </c>
      <c r="Q330" s="662">
        <f t="shared" si="82"/>
        <v>13.43565345527476</v>
      </c>
      <c r="R330" s="662" t="str">
        <f t="shared" si="83"/>
        <v>-</v>
      </c>
      <c r="S330" s="502"/>
      <c r="T330" s="502"/>
      <c r="U330" s="503"/>
      <c r="V330" s="502"/>
      <c r="W330" s="504"/>
      <c r="X330" s="504"/>
      <c r="Y330" s="504"/>
      <c r="Z330" s="504"/>
      <c r="AA330" s="505"/>
      <c r="AB330" s="505"/>
      <c r="AC330" s="505"/>
    </row>
    <row r="331" spans="1:29" ht="15" customHeight="1">
      <c r="A331" s="457">
        <f t="shared" si="84"/>
        <v>1</v>
      </c>
      <c r="B331" s="971" t="str">
        <f t="shared" si="72"/>
        <v>T43</v>
      </c>
      <c r="C331" s="971" t="str">
        <f t="shared" si="73"/>
        <v>T46</v>
      </c>
      <c r="D331" s="885" t="str">
        <f t="shared" si="62"/>
        <v>T4-</v>
      </c>
      <c r="F331" s="1105" t="str">
        <f t="shared" si="85"/>
        <v>T4</v>
      </c>
      <c r="G331" s="1106"/>
      <c r="H331" s="688">
        <f t="shared" si="74"/>
        <v>11.2</v>
      </c>
      <c r="I331" s="689">
        <f>IF(F331&lt;&gt;"",IF(H331&lt;=0,0,Menu!J45),"")</f>
        <v>3.4</v>
      </c>
      <c r="J331" s="623">
        <f t="shared" si="75"/>
        <v>1.4334415798066873E-2</v>
      </c>
      <c r="K331" s="623">
        <f t="shared" si="76"/>
        <v>-7.8629064811931604E-2</v>
      </c>
      <c r="L331" s="623" t="str">
        <f t="shared" si="77"/>
        <v>-</v>
      </c>
      <c r="M331" s="698">
        <f t="shared" si="78"/>
        <v>1.6306650432000003E-4</v>
      </c>
      <c r="N331" s="700">
        <f t="shared" si="79"/>
        <v>2.8008987258688E-3</v>
      </c>
      <c r="O331" s="700" t="str">
        <f t="shared" si="80"/>
        <v>-</v>
      </c>
      <c r="P331" s="662">
        <f t="shared" si="81"/>
        <v>5.8843811854095645</v>
      </c>
      <c r="Q331" s="662">
        <f t="shared" si="82"/>
        <v>10.12423987639896</v>
      </c>
      <c r="R331" s="662" t="str">
        <f t="shared" si="83"/>
        <v>-</v>
      </c>
      <c r="S331" s="502"/>
      <c r="T331" s="502"/>
      <c r="U331" s="503"/>
      <c r="V331" s="502"/>
      <c r="W331" s="504"/>
      <c r="X331" s="504"/>
      <c r="Y331" s="504"/>
      <c r="Z331" s="504"/>
      <c r="AA331" s="505"/>
      <c r="AB331" s="505"/>
      <c r="AC331" s="505"/>
    </row>
    <row r="332" spans="1:29" ht="15" customHeight="1">
      <c r="A332" s="457">
        <f t="shared" si="84"/>
        <v>1</v>
      </c>
      <c r="B332" s="971" t="str">
        <f t="shared" si="72"/>
        <v>T33</v>
      </c>
      <c r="C332" s="971" t="str">
        <f t="shared" si="73"/>
        <v>T36</v>
      </c>
      <c r="D332" s="885" t="str">
        <f t="shared" si="62"/>
        <v>T3-</v>
      </c>
      <c r="F332" s="1105" t="str">
        <f t="shared" si="85"/>
        <v>T3</v>
      </c>
      <c r="G332" s="1106"/>
      <c r="H332" s="688">
        <f t="shared" si="74"/>
        <v>7.8</v>
      </c>
      <c r="I332" s="689">
        <f>IF(F332&lt;&gt;"",IF(H332&lt;=0,0,Menu!J46),"")</f>
        <v>3.4</v>
      </c>
      <c r="J332" s="623">
        <f t="shared" si="75"/>
        <v>9.4559512740516882E-3</v>
      </c>
      <c r="K332" s="623">
        <f t="shared" si="76"/>
        <v>-5.3254405249427976E-2</v>
      </c>
      <c r="L332" s="623" t="str">
        <f t="shared" si="77"/>
        <v>-</v>
      </c>
      <c r="M332" s="698">
        <f t="shared" si="78"/>
        <v>7.3692927360000001E-5</v>
      </c>
      <c r="N332" s="700">
        <f t="shared" si="79"/>
        <v>1.3625822268863998E-3</v>
      </c>
      <c r="O332" s="700" t="str">
        <f t="shared" si="80"/>
        <v>-</v>
      </c>
      <c r="P332" s="662">
        <f t="shared" si="81"/>
        <v>3.9888995940328664</v>
      </c>
      <c r="Q332" s="662">
        <f t="shared" si="82"/>
        <v>7.120604528434467</v>
      </c>
      <c r="R332" s="662" t="str">
        <f t="shared" si="83"/>
        <v>-</v>
      </c>
      <c r="S332" s="502"/>
      <c r="T332" s="502"/>
      <c r="U332" s="503"/>
      <c r="V332" s="502"/>
      <c r="W332" s="504"/>
      <c r="X332" s="504"/>
      <c r="Y332" s="504"/>
      <c r="Z332" s="504"/>
      <c r="AA332" s="505"/>
      <c r="AB332" s="505"/>
      <c r="AC332" s="505"/>
    </row>
    <row r="333" spans="1:29" ht="15" customHeight="1">
      <c r="A333" s="457">
        <f t="shared" si="84"/>
        <v>1</v>
      </c>
      <c r="B333" s="971" t="str">
        <f t="shared" si="72"/>
        <v>T23</v>
      </c>
      <c r="C333" s="971" t="str">
        <f t="shared" si="73"/>
        <v>T26</v>
      </c>
      <c r="D333" s="885" t="str">
        <f t="shared" si="62"/>
        <v>T2-</v>
      </c>
      <c r="F333" s="1105" t="str">
        <f t="shared" si="85"/>
        <v>T2</v>
      </c>
      <c r="G333" s="1106"/>
      <c r="H333" s="688">
        <f t="shared" si="74"/>
        <v>4.4000000000000004</v>
      </c>
      <c r="I333" s="689">
        <f>IF(F333&lt;&gt;"",IF(H333&lt;=0,0,Menu!J47),"")</f>
        <v>4.4000000000000004</v>
      </c>
      <c r="J333" s="623">
        <f t="shared" si="75"/>
        <v>6.0894897231422891E-3</v>
      </c>
      <c r="K333" s="623">
        <f t="shared" si="76"/>
        <v>-3.5445692032042384E-2</v>
      </c>
      <c r="L333" s="623" t="str">
        <f t="shared" si="77"/>
        <v>-</v>
      </c>
      <c r="M333" s="698">
        <f t="shared" si="78"/>
        <v>1.7912581486559999E-4</v>
      </c>
      <c r="N333" s="700">
        <f t="shared" si="79"/>
        <v>3.6039711378764001E-3</v>
      </c>
      <c r="O333" s="700" t="str">
        <f t="shared" si="80"/>
        <v>-</v>
      </c>
      <c r="P333" s="662">
        <f t="shared" si="81"/>
        <v>16.862331789027742</v>
      </c>
      <c r="Q333" s="662">
        <f t="shared" si="82"/>
        <v>31.399627709812297</v>
      </c>
      <c r="R333" s="662" t="str">
        <f t="shared" si="83"/>
        <v>-</v>
      </c>
      <c r="S333" s="502"/>
      <c r="T333" s="502"/>
      <c r="U333" s="503"/>
      <c r="V333" s="502"/>
      <c r="W333" s="504"/>
      <c r="X333" s="504"/>
      <c r="Y333" s="504"/>
      <c r="Z333" s="504"/>
      <c r="AA333" s="505"/>
      <c r="AB333" s="505"/>
      <c r="AC333" s="505"/>
    </row>
    <row r="334" spans="1:29" ht="15" customHeight="1">
      <c r="A334" s="457">
        <f t="shared" si="84"/>
        <v>1</v>
      </c>
      <c r="B334" s="971" t="str">
        <f t="shared" si="72"/>
        <v>T13</v>
      </c>
      <c r="C334" s="971" t="str">
        <f t="shared" si="73"/>
        <v>T16</v>
      </c>
      <c r="D334" s="885" t="str">
        <f t="shared" si="62"/>
        <v>T1-</v>
      </c>
      <c r="F334" s="1105" t="str">
        <f t="shared" si="85"/>
        <v>T1</v>
      </c>
      <c r="G334" s="1106"/>
      <c r="H334" s="688">
        <f t="shared" si="74"/>
        <v>0</v>
      </c>
      <c r="I334" s="689">
        <f>IF(F334&lt;&gt;"",IF(H334&lt;=0,0,Menu!J48),"")</f>
        <v>0</v>
      </c>
      <c r="J334" s="623" t="str">
        <f t="shared" si="75"/>
        <v/>
      </c>
      <c r="K334" s="623" t="str">
        <f t="shared" si="76"/>
        <v/>
      </c>
      <c r="L334" s="623" t="str">
        <f t="shared" si="77"/>
        <v/>
      </c>
      <c r="M334" s="698" t="str">
        <f t="shared" si="78"/>
        <v/>
      </c>
      <c r="N334" s="700" t="str">
        <f t="shared" si="79"/>
        <v/>
      </c>
      <c r="O334" s="700" t="str">
        <f t="shared" si="80"/>
        <v/>
      </c>
      <c r="P334" s="662" t="str">
        <f t="shared" si="81"/>
        <v/>
      </c>
      <c r="Q334" s="662" t="str">
        <f t="shared" si="82"/>
        <v/>
      </c>
      <c r="R334" s="662" t="str">
        <f t="shared" si="83"/>
        <v/>
      </c>
      <c r="S334" s="502"/>
      <c r="T334" s="502"/>
      <c r="U334" s="503"/>
      <c r="V334" s="502"/>
      <c r="W334" s="504"/>
      <c r="X334" s="504"/>
      <c r="Y334" s="504"/>
      <c r="Z334" s="504"/>
      <c r="AA334" s="505"/>
      <c r="AB334" s="505"/>
      <c r="AC334" s="505"/>
    </row>
    <row r="335" spans="1:29" ht="15" customHeight="1">
      <c r="A335" s="457">
        <f t="shared" si="84"/>
        <v>1</v>
      </c>
      <c r="B335" s="971" t="str">
        <f t="shared" si="72"/>
        <v>B13</v>
      </c>
      <c r="C335" s="971" t="str">
        <f t="shared" si="73"/>
        <v>B16</v>
      </c>
      <c r="D335" s="885" t="str">
        <f t="shared" si="62"/>
        <v>B1-</v>
      </c>
      <c r="F335" s="1105" t="str">
        <f t="shared" ref="F335:F354" si="86">F251</f>
        <v>B1</v>
      </c>
      <c r="G335" s="1106"/>
      <c r="H335" s="688">
        <f t="shared" si="74"/>
        <v>-4.6500000000000004</v>
      </c>
      <c r="I335" s="689">
        <f>IF(F335&lt;&gt;"",IF(H335&lt;=0,0,Menu!J49),"")</f>
        <v>0</v>
      </c>
      <c r="J335" s="623" t="str">
        <f t="shared" si="75"/>
        <v/>
      </c>
      <c r="K335" s="623" t="str">
        <f t="shared" si="76"/>
        <v/>
      </c>
      <c r="L335" s="623" t="str">
        <f t="shared" si="77"/>
        <v/>
      </c>
      <c r="M335" s="698" t="str">
        <f t="shared" si="78"/>
        <v/>
      </c>
      <c r="N335" s="700" t="str">
        <f t="shared" si="79"/>
        <v/>
      </c>
      <c r="O335" s="700" t="str">
        <f t="shared" si="80"/>
        <v/>
      </c>
      <c r="P335" s="662" t="str">
        <f t="shared" si="81"/>
        <v/>
      </c>
      <c r="Q335" s="662" t="str">
        <f t="shared" si="82"/>
        <v/>
      </c>
      <c r="R335" s="662" t="str">
        <f t="shared" si="83"/>
        <v/>
      </c>
      <c r="S335" s="502"/>
      <c r="T335" s="502"/>
      <c r="U335" s="503"/>
      <c r="V335" s="502"/>
      <c r="W335" s="504"/>
      <c r="X335" s="504"/>
      <c r="Y335" s="504"/>
      <c r="Z335" s="504"/>
      <c r="AA335" s="505"/>
      <c r="AB335" s="505"/>
      <c r="AC335" s="505"/>
    </row>
    <row r="336" spans="1:29" ht="15" customHeight="1">
      <c r="A336" s="457">
        <f t="shared" si="84"/>
        <v>1</v>
      </c>
      <c r="B336" s="971" t="str">
        <f t="shared" si="72"/>
        <v>BASE3</v>
      </c>
      <c r="C336" s="971" t="str">
        <f t="shared" si="73"/>
        <v>BASE6</v>
      </c>
      <c r="D336" s="885" t="str">
        <f t="shared" si="62"/>
        <v>BASE-</v>
      </c>
      <c r="F336" s="1105" t="str">
        <f t="shared" si="86"/>
        <v>BASE</v>
      </c>
      <c r="G336" s="1106"/>
      <c r="H336" s="688">
        <f t="shared" si="74"/>
        <v>-7.65</v>
      </c>
      <c r="I336" s="689">
        <f>IF(F336&lt;&gt;"",IF(H336&lt;=0,0,Menu!J50),"")</f>
        <v>0</v>
      </c>
      <c r="J336" s="623" t="str">
        <f t="shared" si="75"/>
        <v/>
      </c>
      <c r="K336" s="623" t="str">
        <f t="shared" si="76"/>
        <v/>
      </c>
      <c r="L336" s="623" t="str">
        <f t="shared" si="77"/>
        <v/>
      </c>
      <c r="M336" s="698" t="str">
        <f t="shared" si="78"/>
        <v/>
      </c>
      <c r="N336" s="700" t="str">
        <f t="shared" si="79"/>
        <v/>
      </c>
      <c r="O336" s="700" t="str">
        <f t="shared" si="80"/>
        <v/>
      </c>
      <c r="P336" s="662" t="str">
        <f t="shared" si="81"/>
        <v/>
      </c>
      <c r="Q336" s="662" t="str">
        <f t="shared" si="82"/>
        <v/>
      </c>
      <c r="R336" s="662" t="str">
        <f t="shared" si="83"/>
        <v/>
      </c>
      <c r="S336" s="502"/>
      <c r="T336" s="502"/>
      <c r="U336" s="503"/>
      <c r="V336" s="502"/>
      <c r="W336" s="504"/>
      <c r="X336" s="504"/>
      <c r="Y336" s="504"/>
      <c r="Z336" s="504"/>
      <c r="AA336" s="505"/>
      <c r="AB336" s="505"/>
      <c r="AC336" s="505"/>
    </row>
    <row r="337" spans="1:29" ht="15" customHeight="1">
      <c r="A337" s="457" t="str">
        <f t="shared" si="84"/>
        <v/>
      </c>
      <c r="B337" s="971" t="str">
        <f t="shared" si="72"/>
        <v>3</v>
      </c>
      <c r="C337" s="971" t="str">
        <f t="shared" si="73"/>
        <v>6</v>
      </c>
      <c r="D337" s="885" t="str">
        <f t="shared" si="62"/>
        <v>-</v>
      </c>
      <c r="F337" s="1105" t="str">
        <f t="shared" si="86"/>
        <v/>
      </c>
      <c r="G337" s="1106"/>
      <c r="H337" s="688" t="str">
        <f t="shared" si="74"/>
        <v/>
      </c>
      <c r="I337" s="689" t="str">
        <f>IF(F337&lt;&gt;"",IF(H337&lt;=0,0,Menu!J51),"")</f>
        <v/>
      </c>
      <c r="J337" s="623" t="str">
        <f t="shared" si="75"/>
        <v/>
      </c>
      <c r="K337" s="623" t="str">
        <f t="shared" si="76"/>
        <v/>
      </c>
      <c r="L337" s="623" t="str">
        <f t="shared" si="77"/>
        <v/>
      </c>
      <c r="M337" s="698" t="str">
        <f t="shared" si="78"/>
        <v/>
      </c>
      <c r="N337" s="700" t="str">
        <f t="shared" si="79"/>
        <v/>
      </c>
      <c r="O337" s="700" t="str">
        <f t="shared" si="80"/>
        <v/>
      </c>
      <c r="P337" s="662" t="str">
        <f t="shared" si="81"/>
        <v/>
      </c>
      <c r="Q337" s="662" t="str">
        <f t="shared" si="82"/>
        <v/>
      </c>
      <c r="R337" s="662" t="str">
        <f t="shared" si="83"/>
        <v/>
      </c>
      <c r="S337" s="502"/>
      <c r="T337" s="502"/>
      <c r="U337" s="503"/>
      <c r="V337" s="502"/>
      <c r="W337" s="504"/>
      <c r="X337" s="504"/>
      <c r="Y337" s="504"/>
      <c r="Z337" s="504"/>
      <c r="AA337" s="505"/>
      <c r="AB337" s="505"/>
      <c r="AC337" s="505"/>
    </row>
    <row r="338" spans="1:29" ht="15" customHeight="1">
      <c r="A338" s="457" t="str">
        <f t="shared" si="84"/>
        <v/>
      </c>
      <c r="B338" s="971" t="str">
        <f t="shared" si="72"/>
        <v>3</v>
      </c>
      <c r="C338" s="971" t="str">
        <f t="shared" si="73"/>
        <v>6</v>
      </c>
      <c r="D338" s="885" t="str">
        <f t="shared" si="62"/>
        <v>-</v>
      </c>
      <c r="F338" s="1105" t="str">
        <f t="shared" si="86"/>
        <v/>
      </c>
      <c r="G338" s="1106"/>
      <c r="H338" s="688" t="str">
        <f t="shared" si="74"/>
        <v/>
      </c>
      <c r="I338" s="689" t="str">
        <f>IF(F338&lt;&gt;"",IF(H338&lt;=0,0,Menu!J52),"")</f>
        <v/>
      </c>
      <c r="J338" s="623" t="str">
        <f t="shared" si="75"/>
        <v/>
      </c>
      <c r="K338" s="623" t="str">
        <f t="shared" si="76"/>
        <v/>
      </c>
      <c r="L338" s="623" t="str">
        <f t="shared" si="77"/>
        <v/>
      </c>
      <c r="M338" s="698" t="str">
        <f t="shared" si="78"/>
        <v/>
      </c>
      <c r="N338" s="700" t="str">
        <f t="shared" si="79"/>
        <v/>
      </c>
      <c r="O338" s="700" t="str">
        <f t="shared" si="80"/>
        <v/>
      </c>
      <c r="P338" s="662" t="str">
        <f t="shared" si="81"/>
        <v/>
      </c>
      <c r="Q338" s="662" t="str">
        <f t="shared" si="82"/>
        <v/>
      </c>
      <c r="R338" s="662" t="str">
        <f t="shared" si="83"/>
        <v/>
      </c>
      <c r="S338" s="502"/>
      <c r="T338" s="502"/>
      <c r="U338" s="503"/>
      <c r="V338" s="502"/>
      <c r="W338" s="504"/>
      <c r="X338" s="504"/>
      <c r="Y338" s="504"/>
      <c r="Z338" s="504"/>
      <c r="AA338" s="505"/>
      <c r="AB338" s="505"/>
      <c r="AC338" s="505"/>
    </row>
    <row r="339" spans="1:29" ht="15" customHeight="1">
      <c r="A339" s="457" t="str">
        <f t="shared" ref="A339:A373" si="87">IF(F339="","",1)</f>
        <v/>
      </c>
      <c r="B339" s="971" t="str">
        <f t="shared" si="72"/>
        <v>3</v>
      </c>
      <c r="C339" s="971" t="str">
        <f t="shared" si="73"/>
        <v>6</v>
      </c>
      <c r="D339" s="885" t="str">
        <f t="shared" si="62"/>
        <v>-</v>
      </c>
      <c r="F339" s="1105" t="str">
        <f t="shared" si="86"/>
        <v/>
      </c>
      <c r="G339" s="1106"/>
      <c r="H339" s="688" t="str">
        <f t="shared" si="74"/>
        <v/>
      </c>
      <c r="I339" s="689" t="str">
        <f>IF(F339&lt;&gt;"",IF(H339&lt;=0,0,Menu!J53),"")</f>
        <v/>
      </c>
      <c r="J339" s="623" t="str">
        <f t="shared" si="75"/>
        <v/>
      </c>
      <c r="K339" s="623" t="str">
        <f t="shared" si="76"/>
        <v/>
      </c>
      <c r="L339" s="623" t="str">
        <f t="shared" si="77"/>
        <v/>
      </c>
      <c r="M339" s="698" t="str">
        <f t="shared" si="78"/>
        <v/>
      </c>
      <c r="N339" s="700" t="str">
        <f t="shared" si="79"/>
        <v/>
      </c>
      <c r="O339" s="700" t="str">
        <f t="shared" si="80"/>
        <v/>
      </c>
      <c r="P339" s="662" t="str">
        <f t="shared" si="81"/>
        <v/>
      </c>
      <c r="Q339" s="662" t="str">
        <f t="shared" si="82"/>
        <v/>
      </c>
      <c r="R339" s="662" t="str">
        <f t="shared" si="83"/>
        <v/>
      </c>
      <c r="S339" s="502"/>
      <c r="T339" s="502"/>
      <c r="U339" s="503"/>
      <c r="V339" s="502"/>
      <c r="W339" s="504"/>
      <c r="X339" s="504"/>
      <c r="Y339" s="504"/>
      <c r="Z339" s="504"/>
      <c r="AA339" s="505"/>
      <c r="AB339" s="505"/>
      <c r="AC339" s="505"/>
    </row>
    <row r="340" spans="1:29" ht="15" customHeight="1">
      <c r="A340" s="457" t="str">
        <f t="shared" si="87"/>
        <v/>
      </c>
      <c r="B340" s="971" t="str">
        <f t="shared" si="72"/>
        <v>3</v>
      </c>
      <c r="C340" s="971" t="str">
        <f t="shared" si="73"/>
        <v>6</v>
      </c>
      <c r="D340" s="885" t="str">
        <f t="shared" ref="D340:D373" si="88">F340&amp;$J$195</f>
        <v>-</v>
      </c>
      <c r="F340" s="1105" t="str">
        <f t="shared" si="86"/>
        <v/>
      </c>
      <c r="G340" s="1106"/>
      <c r="H340" s="688" t="str">
        <f t="shared" si="74"/>
        <v/>
      </c>
      <c r="I340" s="689" t="str">
        <f>IF(F340&lt;&gt;"",IF(H340&lt;=0,0,Menu!J54),"")</f>
        <v/>
      </c>
      <c r="J340" s="623" t="str">
        <f t="shared" si="75"/>
        <v/>
      </c>
      <c r="K340" s="623" t="str">
        <f t="shared" si="76"/>
        <v/>
      </c>
      <c r="L340" s="623" t="str">
        <f t="shared" si="77"/>
        <v/>
      </c>
      <c r="M340" s="698" t="str">
        <f t="shared" si="78"/>
        <v/>
      </c>
      <c r="N340" s="700" t="str">
        <f t="shared" si="79"/>
        <v/>
      </c>
      <c r="O340" s="700" t="str">
        <f t="shared" si="80"/>
        <v/>
      </c>
      <c r="P340" s="662" t="str">
        <f t="shared" si="81"/>
        <v/>
      </c>
      <c r="Q340" s="662" t="str">
        <f t="shared" si="82"/>
        <v/>
      </c>
      <c r="R340" s="662" t="str">
        <f t="shared" si="83"/>
        <v/>
      </c>
      <c r="S340" s="502"/>
      <c r="T340" s="502"/>
      <c r="U340" s="503"/>
      <c r="V340" s="502"/>
      <c r="W340" s="504"/>
      <c r="X340" s="504"/>
      <c r="Y340" s="504"/>
      <c r="Z340" s="504"/>
      <c r="AA340" s="505"/>
      <c r="AB340" s="505"/>
      <c r="AC340" s="505"/>
    </row>
    <row r="341" spans="1:29" ht="15" customHeight="1">
      <c r="A341" s="457" t="str">
        <f t="shared" si="87"/>
        <v/>
      </c>
      <c r="B341" s="971" t="str">
        <f t="shared" si="72"/>
        <v>3</v>
      </c>
      <c r="C341" s="971" t="str">
        <f t="shared" si="73"/>
        <v>6</v>
      </c>
      <c r="D341" s="885" t="str">
        <f t="shared" si="88"/>
        <v>-</v>
      </c>
      <c r="F341" s="1105" t="str">
        <f t="shared" si="86"/>
        <v/>
      </c>
      <c r="G341" s="1106"/>
      <c r="H341" s="688" t="str">
        <f t="shared" si="74"/>
        <v/>
      </c>
      <c r="I341" s="689" t="str">
        <f>IF(F341&lt;&gt;"",IF(H341&lt;=0,0,Menu!J55),"")</f>
        <v/>
      </c>
      <c r="J341" s="623" t="str">
        <f t="shared" si="75"/>
        <v/>
      </c>
      <c r="K341" s="623" t="str">
        <f t="shared" si="76"/>
        <v/>
      </c>
      <c r="L341" s="623" t="str">
        <f t="shared" si="77"/>
        <v/>
      </c>
      <c r="M341" s="698" t="str">
        <f t="shared" si="78"/>
        <v/>
      </c>
      <c r="N341" s="700" t="str">
        <f t="shared" si="79"/>
        <v/>
      </c>
      <c r="O341" s="700" t="str">
        <f t="shared" si="80"/>
        <v/>
      </c>
      <c r="P341" s="662" t="str">
        <f t="shared" si="81"/>
        <v/>
      </c>
      <c r="Q341" s="662" t="str">
        <f t="shared" si="82"/>
        <v/>
      </c>
      <c r="R341" s="662" t="str">
        <f t="shared" si="83"/>
        <v/>
      </c>
      <c r="S341" s="502"/>
      <c r="T341" s="502"/>
      <c r="U341" s="503"/>
      <c r="V341" s="502"/>
      <c r="W341" s="504"/>
      <c r="X341" s="504"/>
      <c r="Y341" s="504"/>
      <c r="Z341" s="504"/>
      <c r="AA341" s="505"/>
      <c r="AB341" s="505"/>
      <c r="AC341" s="505"/>
    </row>
    <row r="342" spans="1:29" ht="15" customHeight="1">
      <c r="A342" s="457" t="str">
        <f t="shared" si="87"/>
        <v/>
      </c>
      <c r="B342" s="971" t="str">
        <f t="shared" si="72"/>
        <v>3</v>
      </c>
      <c r="C342" s="971" t="str">
        <f t="shared" si="73"/>
        <v>6</v>
      </c>
      <c r="D342" s="885" t="str">
        <f t="shared" si="88"/>
        <v>-</v>
      </c>
      <c r="F342" s="1105" t="str">
        <f t="shared" si="86"/>
        <v/>
      </c>
      <c r="G342" s="1106"/>
      <c r="H342" s="688" t="str">
        <f t="shared" si="74"/>
        <v/>
      </c>
      <c r="I342" s="689" t="str">
        <f>IF(F342&lt;&gt;"",IF(H342&lt;=0,0,Menu!J56),"")</f>
        <v/>
      </c>
      <c r="J342" s="623" t="str">
        <f t="shared" si="75"/>
        <v/>
      </c>
      <c r="K342" s="623" t="str">
        <f t="shared" si="76"/>
        <v/>
      </c>
      <c r="L342" s="623" t="str">
        <f t="shared" si="77"/>
        <v/>
      </c>
      <c r="M342" s="698" t="str">
        <f t="shared" si="78"/>
        <v/>
      </c>
      <c r="N342" s="700" t="str">
        <f t="shared" si="79"/>
        <v/>
      </c>
      <c r="O342" s="700" t="str">
        <f t="shared" si="80"/>
        <v/>
      </c>
      <c r="P342" s="662" t="str">
        <f t="shared" si="81"/>
        <v/>
      </c>
      <c r="Q342" s="662" t="str">
        <f t="shared" si="82"/>
        <v/>
      </c>
      <c r="R342" s="662" t="str">
        <f t="shared" si="83"/>
        <v/>
      </c>
      <c r="S342" s="502"/>
      <c r="T342" s="502"/>
      <c r="U342" s="503"/>
      <c r="V342" s="502"/>
      <c r="W342" s="504"/>
      <c r="X342" s="504"/>
      <c r="Y342" s="504"/>
      <c r="Z342" s="504"/>
      <c r="AA342" s="505"/>
      <c r="AB342" s="505"/>
      <c r="AC342" s="505"/>
    </row>
    <row r="343" spans="1:29" ht="15" customHeight="1">
      <c r="A343" s="457" t="str">
        <f t="shared" si="87"/>
        <v/>
      </c>
      <c r="B343" s="971" t="str">
        <f t="shared" si="72"/>
        <v>3</v>
      </c>
      <c r="C343" s="971" t="str">
        <f t="shared" si="73"/>
        <v>6</v>
      </c>
      <c r="D343" s="885" t="str">
        <f t="shared" si="88"/>
        <v>-</v>
      </c>
      <c r="F343" s="1105" t="str">
        <f t="shared" si="86"/>
        <v/>
      </c>
      <c r="G343" s="1106"/>
      <c r="H343" s="688" t="str">
        <f t="shared" si="74"/>
        <v/>
      </c>
      <c r="I343" s="689" t="str">
        <f>IF(F343&lt;&gt;"",IF(H343&lt;=0,0,Menu!J57),"")</f>
        <v/>
      </c>
      <c r="J343" s="623" t="str">
        <f t="shared" si="75"/>
        <v/>
      </c>
      <c r="K343" s="623" t="str">
        <f t="shared" si="76"/>
        <v/>
      </c>
      <c r="L343" s="623" t="str">
        <f t="shared" si="77"/>
        <v/>
      </c>
      <c r="M343" s="698" t="str">
        <f t="shared" si="78"/>
        <v/>
      </c>
      <c r="N343" s="700" t="str">
        <f t="shared" si="79"/>
        <v/>
      </c>
      <c r="O343" s="700" t="str">
        <f t="shared" si="80"/>
        <v/>
      </c>
      <c r="P343" s="662" t="str">
        <f t="shared" si="81"/>
        <v/>
      </c>
      <c r="Q343" s="662" t="str">
        <f t="shared" si="82"/>
        <v/>
      </c>
      <c r="R343" s="662" t="str">
        <f t="shared" si="83"/>
        <v/>
      </c>
      <c r="S343" s="502"/>
      <c r="T343" s="502"/>
      <c r="U343" s="503"/>
      <c r="V343" s="502"/>
      <c r="W343" s="504"/>
      <c r="X343" s="504"/>
      <c r="Y343" s="504"/>
      <c r="Z343" s="504"/>
      <c r="AA343" s="505"/>
      <c r="AB343" s="505"/>
      <c r="AC343" s="505"/>
    </row>
    <row r="344" spans="1:29" ht="15" customHeight="1">
      <c r="A344" s="457" t="str">
        <f t="shared" si="87"/>
        <v/>
      </c>
      <c r="B344" s="971" t="str">
        <f t="shared" si="72"/>
        <v>3</v>
      </c>
      <c r="C344" s="971" t="str">
        <f t="shared" si="73"/>
        <v>6</v>
      </c>
      <c r="D344" s="885" t="str">
        <f t="shared" si="88"/>
        <v>-</v>
      </c>
      <c r="F344" s="1105" t="str">
        <f t="shared" si="86"/>
        <v/>
      </c>
      <c r="G344" s="1106"/>
      <c r="H344" s="688" t="str">
        <f t="shared" si="74"/>
        <v/>
      </c>
      <c r="I344" s="689" t="str">
        <f>IF(F344&lt;&gt;"",IF(H344&lt;=0,0,Menu!J58),"")</f>
        <v/>
      </c>
      <c r="J344" s="623" t="str">
        <f t="shared" si="75"/>
        <v/>
      </c>
      <c r="K344" s="623" t="str">
        <f t="shared" si="76"/>
        <v/>
      </c>
      <c r="L344" s="623" t="str">
        <f t="shared" si="77"/>
        <v/>
      </c>
      <c r="M344" s="698" t="str">
        <f t="shared" si="78"/>
        <v/>
      </c>
      <c r="N344" s="700" t="str">
        <f t="shared" si="79"/>
        <v/>
      </c>
      <c r="O344" s="700" t="str">
        <f t="shared" si="80"/>
        <v/>
      </c>
      <c r="P344" s="662" t="str">
        <f t="shared" si="81"/>
        <v/>
      </c>
      <c r="Q344" s="662" t="str">
        <f t="shared" si="82"/>
        <v/>
      </c>
      <c r="R344" s="662" t="str">
        <f t="shared" si="83"/>
        <v/>
      </c>
      <c r="S344" s="502"/>
      <c r="T344" s="502"/>
      <c r="U344" s="503"/>
      <c r="V344" s="502"/>
      <c r="W344" s="504"/>
      <c r="X344" s="504"/>
      <c r="Y344" s="504"/>
      <c r="Z344" s="504"/>
      <c r="AA344" s="505"/>
      <c r="AB344" s="505"/>
      <c r="AC344" s="505"/>
    </row>
    <row r="345" spans="1:29" ht="15" customHeight="1">
      <c r="A345" s="457" t="str">
        <f t="shared" si="87"/>
        <v/>
      </c>
      <c r="B345" s="971" t="str">
        <f t="shared" si="72"/>
        <v>3</v>
      </c>
      <c r="C345" s="971" t="str">
        <f t="shared" si="73"/>
        <v>6</v>
      </c>
      <c r="D345" s="885" t="str">
        <f t="shared" si="88"/>
        <v>-</v>
      </c>
      <c r="F345" s="1105" t="str">
        <f t="shared" si="86"/>
        <v/>
      </c>
      <c r="G345" s="1106"/>
      <c r="H345" s="688" t="str">
        <f t="shared" si="74"/>
        <v/>
      </c>
      <c r="I345" s="689" t="str">
        <f>IF(F345&lt;&gt;"",IF(H345&lt;=0,0,Menu!J59),"")</f>
        <v/>
      </c>
      <c r="J345" s="623" t="str">
        <f t="shared" si="75"/>
        <v/>
      </c>
      <c r="K345" s="623" t="str">
        <f t="shared" si="76"/>
        <v/>
      </c>
      <c r="L345" s="623" t="str">
        <f t="shared" si="77"/>
        <v/>
      </c>
      <c r="M345" s="698" t="str">
        <f t="shared" si="78"/>
        <v/>
      </c>
      <c r="N345" s="700" t="str">
        <f t="shared" si="79"/>
        <v/>
      </c>
      <c r="O345" s="700" t="str">
        <f t="shared" si="80"/>
        <v/>
      </c>
      <c r="P345" s="662" t="str">
        <f t="shared" si="81"/>
        <v/>
      </c>
      <c r="Q345" s="662" t="str">
        <f t="shared" si="82"/>
        <v/>
      </c>
      <c r="R345" s="662" t="str">
        <f t="shared" si="83"/>
        <v/>
      </c>
      <c r="S345" s="502"/>
      <c r="T345" s="502"/>
      <c r="U345" s="503"/>
      <c r="V345" s="502"/>
      <c r="W345" s="504"/>
      <c r="X345" s="504"/>
      <c r="Y345" s="504"/>
      <c r="Z345" s="504"/>
      <c r="AA345" s="505"/>
      <c r="AB345" s="505"/>
      <c r="AC345" s="505"/>
    </row>
    <row r="346" spans="1:29" ht="15" customHeight="1">
      <c r="A346" s="457" t="str">
        <f t="shared" si="87"/>
        <v/>
      </c>
      <c r="B346" s="971" t="str">
        <f t="shared" si="72"/>
        <v>3</v>
      </c>
      <c r="C346" s="971" t="str">
        <f t="shared" si="73"/>
        <v>6</v>
      </c>
      <c r="D346" s="885" t="str">
        <f t="shared" si="88"/>
        <v>-</v>
      </c>
      <c r="F346" s="1105" t="str">
        <f t="shared" si="86"/>
        <v/>
      </c>
      <c r="G346" s="1106"/>
      <c r="H346" s="688" t="str">
        <f t="shared" si="74"/>
        <v/>
      </c>
      <c r="I346" s="689" t="str">
        <f>IF(F346&lt;&gt;"",IF(H346&lt;=0,0,Menu!J60),"")</f>
        <v/>
      </c>
      <c r="J346" s="623" t="str">
        <f t="shared" si="75"/>
        <v/>
      </c>
      <c r="K346" s="623" t="str">
        <f t="shared" si="76"/>
        <v/>
      </c>
      <c r="L346" s="623" t="str">
        <f t="shared" si="77"/>
        <v/>
      </c>
      <c r="M346" s="698" t="str">
        <f t="shared" si="78"/>
        <v/>
      </c>
      <c r="N346" s="700" t="str">
        <f t="shared" si="79"/>
        <v/>
      </c>
      <c r="O346" s="700" t="str">
        <f t="shared" si="80"/>
        <v/>
      </c>
      <c r="P346" s="662" t="str">
        <f t="shared" si="81"/>
        <v/>
      </c>
      <c r="Q346" s="662" t="str">
        <f t="shared" si="82"/>
        <v/>
      </c>
      <c r="R346" s="662" t="str">
        <f t="shared" si="83"/>
        <v/>
      </c>
      <c r="S346" s="502"/>
      <c r="T346" s="502"/>
      <c r="U346" s="503"/>
      <c r="V346" s="502"/>
      <c r="W346" s="504"/>
      <c r="X346" s="504"/>
      <c r="Y346" s="504"/>
      <c r="Z346" s="504"/>
      <c r="AA346" s="505"/>
      <c r="AB346" s="505"/>
      <c r="AC346" s="505"/>
    </row>
    <row r="347" spans="1:29" ht="15" customHeight="1">
      <c r="A347" s="457" t="str">
        <f t="shared" si="87"/>
        <v/>
      </c>
      <c r="B347" s="971" t="str">
        <f t="shared" si="72"/>
        <v>3</v>
      </c>
      <c r="C347" s="971" t="str">
        <f t="shared" si="73"/>
        <v>6</v>
      </c>
      <c r="D347" s="885" t="str">
        <f t="shared" si="88"/>
        <v>-</v>
      </c>
      <c r="F347" s="1105" t="str">
        <f t="shared" si="86"/>
        <v/>
      </c>
      <c r="G347" s="1106"/>
      <c r="H347" s="688" t="str">
        <f t="shared" si="74"/>
        <v/>
      </c>
      <c r="I347" s="689" t="str">
        <f>IF(F347&lt;&gt;"",IF(H347&lt;=0,0,Menu!J61),"")</f>
        <v/>
      </c>
      <c r="J347" s="623" t="str">
        <f t="shared" si="75"/>
        <v/>
      </c>
      <c r="K347" s="623" t="str">
        <f t="shared" si="76"/>
        <v/>
      </c>
      <c r="L347" s="623" t="str">
        <f t="shared" si="77"/>
        <v/>
      </c>
      <c r="M347" s="698" t="str">
        <f t="shared" si="78"/>
        <v/>
      </c>
      <c r="N347" s="700" t="str">
        <f t="shared" si="79"/>
        <v/>
      </c>
      <c r="O347" s="700" t="str">
        <f t="shared" si="80"/>
        <v/>
      </c>
      <c r="P347" s="662" t="str">
        <f t="shared" si="81"/>
        <v/>
      </c>
      <c r="Q347" s="662" t="str">
        <f t="shared" si="82"/>
        <v/>
      </c>
      <c r="R347" s="662" t="str">
        <f t="shared" si="83"/>
        <v/>
      </c>
      <c r="S347" s="502"/>
      <c r="T347" s="502"/>
      <c r="U347" s="503"/>
      <c r="V347" s="502"/>
      <c r="W347" s="504"/>
      <c r="X347" s="504"/>
      <c r="Y347" s="504"/>
      <c r="Z347" s="504"/>
      <c r="AA347" s="505"/>
      <c r="AB347" s="505"/>
      <c r="AC347" s="505"/>
    </row>
    <row r="348" spans="1:29" ht="15" customHeight="1">
      <c r="A348" s="457" t="str">
        <f t="shared" si="87"/>
        <v/>
      </c>
      <c r="B348" s="971" t="str">
        <f t="shared" si="72"/>
        <v>3</v>
      </c>
      <c r="C348" s="971" t="str">
        <f t="shared" si="73"/>
        <v>6</v>
      </c>
      <c r="D348" s="885" t="str">
        <f t="shared" si="88"/>
        <v>-</v>
      </c>
      <c r="F348" s="1105" t="str">
        <f t="shared" si="86"/>
        <v/>
      </c>
      <c r="G348" s="1106"/>
      <c r="H348" s="688" t="str">
        <f t="shared" si="74"/>
        <v/>
      </c>
      <c r="I348" s="689" t="str">
        <f>IF(F348&lt;&gt;"",IF(H348&lt;=0,0,Menu!J62),"")</f>
        <v/>
      </c>
      <c r="J348" s="623" t="str">
        <f t="shared" si="75"/>
        <v/>
      </c>
      <c r="K348" s="623" t="str">
        <f t="shared" si="76"/>
        <v/>
      </c>
      <c r="L348" s="623" t="str">
        <f t="shared" si="77"/>
        <v/>
      </c>
      <c r="M348" s="698" t="str">
        <f t="shared" si="78"/>
        <v/>
      </c>
      <c r="N348" s="700" t="str">
        <f t="shared" si="79"/>
        <v/>
      </c>
      <c r="O348" s="700" t="str">
        <f t="shared" si="80"/>
        <v/>
      </c>
      <c r="P348" s="662" t="str">
        <f t="shared" si="81"/>
        <v/>
      </c>
      <c r="Q348" s="662" t="str">
        <f t="shared" si="82"/>
        <v/>
      </c>
      <c r="R348" s="662" t="str">
        <f t="shared" si="83"/>
        <v/>
      </c>
      <c r="S348" s="502"/>
      <c r="T348" s="502"/>
      <c r="U348" s="503"/>
      <c r="V348" s="502"/>
      <c r="W348" s="504"/>
      <c r="X348" s="504"/>
      <c r="Y348" s="504"/>
      <c r="Z348" s="504"/>
      <c r="AA348" s="505"/>
      <c r="AB348" s="505"/>
      <c r="AC348" s="505"/>
    </row>
    <row r="349" spans="1:29" ht="15" customHeight="1">
      <c r="A349" s="457" t="str">
        <f t="shared" si="87"/>
        <v/>
      </c>
      <c r="B349" s="971" t="str">
        <f t="shared" si="72"/>
        <v>3</v>
      </c>
      <c r="C349" s="971" t="str">
        <f t="shared" si="73"/>
        <v>6</v>
      </c>
      <c r="D349" s="885" t="str">
        <f t="shared" si="88"/>
        <v>-</v>
      </c>
      <c r="F349" s="1105" t="str">
        <f t="shared" si="86"/>
        <v/>
      </c>
      <c r="G349" s="1106"/>
      <c r="H349" s="688" t="str">
        <f t="shared" si="74"/>
        <v/>
      </c>
      <c r="I349" s="689" t="str">
        <f>IF(F349&lt;&gt;"",IF(H349&lt;=0,0,Menu!J63),"")</f>
        <v/>
      </c>
      <c r="J349" s="623" t="str">
        <f t="shared" si="75"/>
        <v/>
      </c>
      <c r="K349" s="623" t="str">
        <f t="shared" si="76"/>
        <v/>
      </c>
      <c r="L349" s="623" t="str">
        <f t="shared" si="77"/>
        <v/>
      </c>
      <c r="M349" s="698" t="str">
        <f t="shared" si="78"/>
        <v/>
      </c>
      <c r="N349" s="700" t="str">
        <f t="shared" si="79"/>
        <v/>
      </c>
      <c r="O349" s="700" t="str">
        <f t="shared" si="80"/>
        <v/>
      </c>
      <c r="P349" s="662" t="str">
        <f t="shared" si="81"/>
        <v/>
      </c>
      <c r="Q349" s="662" t="str">
        <f t="shared" si="82"/>
        <v/>
      </c>
      <c r="R349" s="662" t="str">
        <f t="shared" si="83"/>
        <v/>
      </c>
      <c r="S349" s="502"/>
      <c r="T349" s="502"/>
      <c r="U349" s="503"/>
      <c r="V349" s="502"/>
      <c r="W349" s="504"/>
      <c r="X349" s="504"/>
      <c r="Y349" s="504"/>
      <c r="Z349" s="504"/>
      <c r="AA349" s="505"/>
      <c r="AB349" s="505"/>
      <c r="AC349" s="505"/>
    </row>
    <row r="350" spans="1:29" ht="15" customHeight="1">
      <c r="A350" s="457" t="str">
        <f t="shared" si="87"/>
        <v/>
      </c>
      <c r="B350" s="971" t="str">
        <f t="shared" si="72"/>
        <v>3</v>
      </c>
      <c r="C350" s="971" t="str">
        <f t="shared" si="73"/>
        <v>6</v>
      </c>
      <c r="D350" s="885" t="str">
        <f t="shared" si="88"/>
        <v>-</v>
      </c>
      <c r="F350" s="1105" t="str">
        <f t="shared" si="86"/>
        <v/>
      </c>
      <c r="G350" s="1106"/>
      <c r="H350" s="688" t="str">
        <f t="shared" si="74"/>
        <v/>
      </c>
      <c r="I350" s="689" t="str">
        <f>IF(F350&lt;&gt;"",IF(H350&lt;=0,0,Menu!J64),"")</f>
        <v/>
      </c>
      <c r="J350" s="623" t="str">
        <f t="shared" si="75"/>
        <v/>
      </c>
      <c r="K350" s="623" t="str">
        <f t="shared" si="76"/>
        <v/>
      </c>
      <c r="L350" s="623" t="str">
        <f t="shared" si="77"/>
        <v/>
      </c>
      <c r="M350" s="698" t="str">
        <f t="shared" si="78"/>
        <v/>
      </c>
      <c r="N350" s="700" t="str">
        <f t="shared" si="79"/>
        <v/>
      </c>
      <c r="O350" s="700" t="str">
        <f t="shared" si="80"/>
        <v/>
      </c>
      <c r="P350" s="662" t="str">
        <f t="shared" si="81"/>
        <v/>
      </c>
      <c r="Q350" s="662" t="str">
        <f t="shared" si="82"/>
        <v/>
      </c>
      <c r="R350" s="662" t="str">
        <f t="shared" si="83"/>
        <v/>
      </c>
      <c r="S350" s="502"/>
      <c r="T350" s="502"/>
      <c r="U350" s="503"/>
      <c r="V350" s="502"/>
      <c r="W350" s="504"/>
      <c r="X350" s="504"/>
      <c r="Y350" s="504"/>
      <c r="Z350" s="504"/>
      <c r="AA350" s="505"/>
      <c r="AB350" s="505"/>
      <c r="AC350" s="505"/>
    </row>
    <row r="351" spans="1:29" ht="15" customHeight="1">
      <c r="A351" s="457" t="str">
        <f t="shared" si="87"/>
        <v/>
      </c>
      <c r="B351" s="971" t="str">
        <f t="shared" si="72"/>
        <v>3</v>
      </c>
      <c r="C351" s="971" t="str">
        <f t="shared" si="73"/>
        <v>6</v>
      </c>
      <c r="D351" s="885" t="str">
        <f t="shared" si="88"/>
        <v>-</v>
      </c>
      <c r="F351" s="1105" t="str">
        <f t="shared" si="86"/>
        <v/>
      </c>
      <c r="G351" s="1106"/>
      <c r="H351" s="688" t="str">
        <f t="shared" si="74"/>
        <v/>
      </c>
      <c r="I351" s="689" t="str">
        <f>IF(F351&lt;&gt;"",IF(H351&lt;=0,0,Menu!J65),"")</f>
        <v/>
      </c>
      <c r="J351" s="623" t="str">
        <f t="shared" si="75"/>
        <v/>
      </c>
      <c r="K351" s="623" t="str">
        <f t="shared" si="76"/>
        <v/>
      </c>
      <c r="L351" s="623" t="str">
        <f t="shared" si="77"/>
        <v/>
      </c>
      <c r="M351" s="698" t="str">
        <f t="shared" si="78"/>
        <v/>
      </c>
      <c r="N351" s="700" t="str">
        <f t="shared" si="79"/>
        <v/>
      </c>
      <c r="O351" s="700" t="str">
        <f t="shared" si="80"/>
        <v/>
      </c>
      <c r="P351" s="662" t="str">
        <f t="shared" si="81"/>
        <v/>
      </c>
      <c r="Q351" s="662" t="str">
        <f t="shared" si="82"/>
        <v/>
      </c>
      <c r="R351" s="662" t="str">
        <f t="shared" si="83"/>
        <v/>
      </c>
      <c r="S351" s="502"/>
      <c r="T351" s="502"/>
      <c r="U351" s="503"/>
      <c r="V351" s="502"/>
      <c r="W351" s="504"/>
      <c r="X351" s="504"/>
      <c r="Y351" s="504"/>
      <c r="Z351" s="504"/>
      <c r="AA351" s="505"/>
      <c r="AB351" s="505"/>
      <c r="AC351" s="505"/>
    </row>
    <row r="352" spans="1:29" ht="15" customHeight="1">
      <c r="A352" s="457" t="str">
        <f t="shared" si="87"/>
        <v/>
      </c>
      <c r="B352" s="971" t="str">
        <f t="shared" si="72"/>
        <v>3</v>
      </c>
      <c r="C352" s="971" t="str">
        <f t="shared" si="73"/>
        <v>6</v>
      </c>
      <c r="D352" s="885" t="str">
        <f t="shared" si="88"/>
        <v>-</v>
      </c>
      <c r="F352" s="1105" t="str">
        <f t="shared" si="86"/>
        <v/>
      </c>
      <c r="G352" s="1106"/>
      <c r="H352" s="688" t="str">
        <f t="shared" si="74"/>
        <v/>
      </c>
      <c r="I352" s="689" t="str">
        <f>IF(F352&lt;&gt;"",IF(H352&lt;=0,0,Menu!J66),"")</f>
        <v/>
      </c>
      <c r="J352" s="623" t="str">
        <f t="shared" si="75"/>
        <v/>
      </c>
      <c r="K352" s="623" t="str">
        <f t="shared" si="76"/>
        <v/>
      </c>
      <c r="L352" s="623" t="str">
        <f t="shared" si="77"/>
        <v/>
      </c>
      <c r="M352" s="698" t="str">
        <f t="shared" si="78"/>
        <v/>
      </c>
      <c r="N352" s="700" t="str">
        <f t="shared" si="79"/>
        <v/>
      </c>
      <c r="O352" s="700" t="str">
        <f t="shared" si="80"/>
        <v/>
      </c>
      <c r="P352" s="662" t="str">
        <f t="shared" si="81"/>
        <v/>
      </c>
      <c r="Q352" s="662" t="str">
        <f t="shared" si="82"/>
        <v/>
      </c>
      <c r="R352" s="662" t="str">
        <f t="shared" si="83"/>
        <v/>
      </c>
      <c r="S352" s="502"/>
      <c r="T352" s="502"/>
      <c r="U352" s="503"/>
      <c r="V352" s="502"/>
      <c r="W352" s="504"/>
      <c r="X352" s="504"/>
      <c r="Y352" s="504"/>
      <c r="Z352" s="504"/>
      <c r="AA352" s="505"/>
      <c r="AB352" s="505"/>
      <c r="AC352" s="505"/>
    </row>
    <row r="353" spans="1:29" ht="15" customHeight="1">
      <c r="A353" s="457" t="str">
        <f t="shared" si="87"/>
        <v/>
      </c>
      <c r="B353" s="971" t="str">
        <f t="shared" si="72"/>
        <v>3</v>
      </c>
      <c r="C353" s="971" t="str">
        <f t="shared" si="73"/>
        <v>6</v>
      </c>
      <c r="D353" s="885" t="str">
        <f t="shared" si="88"/>
        <v>-</v>
      </c>
      <c r="F353" s="1105" t="str">
        <f t="shared" si="86"/>
        <v/>
      </c>
      <c r="G353" s="1106"/>
      <c r="H353" s="688" t="str">
        <f t="shared" si="74"/>
        <v/>
      </c>
      <c r="I353" s="689" t="str">
        <f>IF(F353&lt;&gt;"",IF(H353&lt;=0,0,Menu!J67),"")</f>
        <v/>
      </c>
      <c r="J353" s="623" t="str">
        <f t="shared" si="75"/>
        <v/>
      </c>
      <c r="K353" s="623" t="str">
        <f t="shared" si="76"/>
        <v/>
      </c>
      <c r="L353" s="623" t="str">
        <f t="shared" si="77"/>
        <v/>
      </c>
      <c r="M353" s="698" t="str">
        <f t="shared" si="78"/>
        <v/>
      </c>
      <c r="N353" s="700" t="str">
        <f t="shared" si="79"/>
        <v/>
      </c>
      <c r="O353" s="700" t="str">
        <f t="shared" si="80"/>
        <v/>
      </c>
      <c r="P353" s="662" t="str">
        <f t="shared" si="81"/>
        <v/>
      </c>
      <c r="Q353" s="662" t="str">
        <f t="shared" si="82"/>
        <v/>
      </c>
      <c r="R353" s="662" t="str">
        <f t="shared" si="83"/>
        <v/>
      </c>
      <c r="S353" s="502"/>
      <c r="T353" s="502"/>
      <c r="U353" s="503"/>
      <c r="V353" s="502"/>
      <c r="W353" s="504"/>
      <c r="X353" s="504"/>
      <c r="Y353" s="504"/>
      <c r="Z353" s="504"/>
      <c r="AA353" s="505"/>
      <c r="AB353" s="505"/>
      <c r="AC353" s="505"/>
    </row>
    <row r="354" spans="1:29" ht="15" customHeight="1">
      <c r="A354" s="457" t="str">
        <f t="shared" si="87"/>
        <v/>
      </c>
      <c r="B354" s="971" t="str">
        <f t="shared" si="72"/>
        <v>3</v>
      </c>
      <c r="C354" s="971" t="str">
        <f t="shared" si="73"/>
        <v>6</v>
      </c>
      <c r="D354" s="885" t="str">
        <f t="shared" si="88"/>
        <v>-</v>
      </c>
      <c r="F354" s="1105" t="str">
        <f t="shared" si="86"/>
        <v/>
      </c>
      <c r="G354" s="1106"/>
      <c r="H354" s="688" t="str">
        <f t="shared" si="74"/>
        <v/>
      </c>
      <c r="I354" s="689" t="str">
        <f>IF(F354&lt;&gt;"",IF(H354&lt;=0,0,Menu!J68),"")</f>
        <v/>
      </c>
      <c r="J354" s="623" t="str">
        <f t="shared" si="75"/>
        <v/>
      </c>
      <c r="K354" s="623" t="str">
        <f t="shared" si="76"/>
        <v/>
      </c>
      <c r="L354" s="623" t="str">
        <f t="shared" si="77"/>
        <v/>
      </c>
      <c r="M354" s="698" t="str">
        <f t="shared" si="78"/>
        <v/>
      </c>
      <c r="N354" s="700" t="str">
        <f t="shared" si="79"/>
        <v/>
      </c>
      <c r="O354" s="700" t="str">
        <f t="shared" si="80"/>
        <v/>
      </c>
      <c r="P354" s="662" t="str">
        <f t="shared" si="81"/>
        <v/>
      </c>
      <c r="Q354" s="662" t="str">
        <f t="shared" si="82"/>
        <v/>
      </c>
      <c r="R354" s="662" t="str">
        <f t="shared" si="83"/>
        <v/>
      </c>
      <c r="S354" s="502"/>
      <c r="T354" s="502"/>
      <c r="U354" s="503"/>
      <c r="V354" s="502"/>
      <c r="W354" s="504"/>
      <c r="X354" s="504"/>
      <c r="Y354" s="504"/>
      <c r="Z354" s="504"/>
      <c r="AA354" s="505"/>
      <c r="AB354" s="505"/>
      <c r="AC354" s="505"/>
    </row>
    <row r="355" spans="1:29" ht="15" customHeight="1">
      <c r="A355" s="457" t="str">
        <f t="shared" si="87"/>
        <v/>
      </c>
      <c r="B355" s="971" t="str">
        <f t="shared" si="72"/>
        <v>3</v>
      </c>
      <c r="C355" s="971" t="str">
        <f t="shared" si="73"/>
        <v>6</v>
      </c>
      <c r="D355" s="885" t="str">
        <f t="shared" si="88"/>
        <v>-</v>
      </c>
      <c r="F355" s="1105" t="str">
        <f t="shared" ref="F355:F373" si="89">F271</f>
        <v/>
      </c>
      <c r="G355" s="1106"/>
      <c r="H355" s="688" t="str">
        <f t="shared" si="74"/>
        <v/>
      </c>
      <c r="I355" s="689" t="str">
        <f>IF(F355&lt;&gt;"",IF(H355&lt;=0,0,Menu!J69),"")</f>
        <v/>
      </c>
      <c r="J355" s="623" t="str">
        <f t="shared" si="75"/>
        <v/>
      </c>
      <c r="K355" s="623" t="str">
        <f t="shared" si="76"/>
        <v/>
      </c>
      <c r="L355" s="623" t="str">
        <f t="shared" si="77"/>
        <v/>
      </c>
      <c r="M355" s="698" t="str">
        <f t="shared" si="78"/>
        <v/>
      </c>
      <c r="N355" s="700" t="str">
        <f t="shared" si="79"/>
        <v/>
      </c>
      <c r="O355" s="700" t="str">
        <f t="shared" si="80"/>
        <v/>
      </c>
      <c r="P355" s="662" t="str">
        <f t="shared" si="81"/>
        <v/>
      </c>
      <c r="Q355" s="662" t="str">
        <f t="shared" si="82"/>
        <v/>
      </c>
      <c r="R355" s="662" t="str">
        <f t="shared" si="83"/>
        <v/>
      </c>
      <c r="S355" s="502"/>
      <c r="T355" s="502"/>
      <c r="U355" s="503"/>
      <c r="V355" s="502"/>
      <c r="W355" s="504"/>
      <c r="X355" s="504"/>
      <c r="Y355" s="504"/>
      <c r="Z355" s="504"/>
      <c r="AA355" s="505"/>
      <c r="AB355" s="505"/>
      <c r="AC355" s="505"/>
    </row>
    <row r="356" spans="1:29" ht="15" customHeight="1">
      <c r="A356" s="457" t="str">
        <f t="shared" si="87"/>
        <v/>
      </c>
      <c r="B356" s="971" t="str">
        <f t="shared" si="72"/>
        <v>3</v>
      </c>
      <c r="C356" s="971" t="str">
        <f t="shared" si="73"/>
        <v>6</v>
      </c>
      <c r="D356" s="885" t="str">
        <f t="shared" si="88"/>
        <v>-</v>
      </c>
      <c r="F356" s="1105" t="str">
        <f t="shared" si="89"/>
        <v/>
      </c>
      <c r="G356" s="1106"/>
      <c r="H356" s="688" t="str">
        <f t="shared" si="74"/>
        <v/>
      </c>
      <c r="I356" s="689" t="str">
        <f>IF(F356&lt;&gt;"",IF(H356&lt;=0,0,Menu!J70),"")</f>
        <v/>
      </c>
      <c r="J356" s="623" t="str">
        <f t="shared" si="75"/>
        <v/>
      </c>
      <c r="K356" s="623" t="str">
        <f t="shared" si="76"/>
        <v/>
      </c>
      <c r="L356" s="623" t="str">
        <f t="shared" si="77"/>
        <v/>
      </c>
      <c r="M356" s="698" t="str">
        <f t="shared" si="78"/>
        <v/>
      </c>
      <c r="N356" s="700" t="str">
        <f t="shared" si="79"/>
        <v/>
      </c>
      <c r="O356" s="700" t="str">
        <f t="shared" si="80"/>
        <v/>
      </c>
      <c r="P356" s="662" t="str">
        <f t="shared" si="81"/>
        <v/>
      </c>
      <c r="Q356" s="662" t="str">
        <f t="shared" si="82"/>
        <v/>
      </c>
      <c r="R356" s="662" t="str">
        <f t="shared" si="83"/>
        <v/>
      </c>
      <c r="S356" s="502"/>
      <c r="T356" s="502"/>
      <c r="U356" s="503"/>
      <c r="V356" s="502"/>
      <c r="W356" s="504"/>
      <c r="X356" s="504"/>
      <c r="Y356" s="504"/>
      <c r="Z356" s="504"/>
      <c r="AA356" s="505"/>
      <c r="AB356" s="505"/>
      <c r="AC356" s="505"/>
    </row>
    <row r="357" spans="1:29" ht="15" customHeight="1">
      <c r="A357" s="457" t="str">
        <f t="shared" si="87"/>
        <v/>
      </c>
      <c r="B357" s="971" t="str">
        <f t="shared" si="72"/>
        <v>3</v>
      </c>
      <c r="C357" s="971" t="str">
        <f t="shared" si="73"/>
        <v>6</v>
      </c>
      <c r="D357" s="885" t="str">
        <f t="shared" si="88"/>
        <v>-</v>
      </c>
      <c r="F357" s="1105" t="str">
        <f t="shared" si="89"/>
        <v/>
      </c>
      <c r="G357" s="1106"/>
      <c r="H357" s="688" t="str">
        <f t="shared" si="74"/>
        <v/>
      </c>
      <c r="I357" s="689" t="str">
        <f>IF(F357&lt;&gt;"",IF(H357&lt;=0,0,Menu!J71),"")</f>
        <v/>
      </c>
      <c r="J357" s="623" t="str">
        <f t="shared" si="75"/>
        <v/>
      </c>
      <c r="K357" s="623" t="str">
        <f t="shared" si="76"/>
        <v/>
      </c>
      <c r="L357" s="623" t="str">
        <f t="shared" si="77"/>
        <v/>
      </c>
      <c r="M357" s="698" t="str">
        <f t="shared" si="78"/>
        <v/>
      </c>
      <c r="N357" s="700" t="str">
        <f t="shared" si="79"/>
        <v/>
      </c>
      <c r="O357" s="700" t="str">
        <f t="shared" si="80"/>
        <v/>
      </c>
      <c r="P357" s="662" t="str">
        <f t="shared" si="81"/>
        <v/>
      </c>
      <c r="Q357" s="662" t="str">
        <f t="shared" si="82"/>
        <v/>
      </c>
      <c r="R357" s="662" t="str">
        <f t="shared" si="83"/>
        <v/>
      </c>
      <c r="S357" s="502"/>
      <c r="T357" s="502"/>
      <c r="U357" s="503"/>
      <c r="V357" s="502"/>
      <c r="W357" s="504"/>
      <c r="X357" s="504"/>
      <c r="Y357" s="504"/>
      <c r="Z357" s="504"/>
      <c r="AA357" s="505"/>
      <c r="AB357" s="505"/>
      <c r="AC357" s="505"/>
    </row>
    <row r="358" spans="1:29" ht="15" customHeight="1">
      <c r="A358" s="457" t="str">
        <f t="shared" si="87"/>
        <v/>
      </c>
      <c r="B358" s="971" t="str">
        <f t="shared" si="72"/>
        <v>3</v>
      </c>
      <c r="C358" s="971" t="str">
        <f t="shared" si="73"/>
        <v>6</v>
      </c>
      <c r="D358" s="885" t="str">
        <f t="shared" si="88"/>
        <v>-</v>
      </c>
      <c r="F358" s="1105" t="str">
        <f t="shared" si="89"/>
        <v/>
      </c>
      <c r="G358" s="1106"/>
      <c r="H358" s="688" t="str">
        <f t="shared" si="74"/>
        <v/>
      </c>
      <c r="I358" s="689" t="str">
        <f>IF(F358&lt;&gt;"",IF(H358&lt;=0,0,Menu!J72),"")</f>
        <v/>
      </c>
      <c r="J358" s="623" t="str">
        <f t="shared" si="75"/>
        <v/>
      </c>
      <c r="K358" s="623" t="str">
        <f t="shared" si="76"/>
        <v/>
      </c>
      <c r="L358" s="623" t="str">
        <f t="shared" si="77"/>
        <v/>
      </c>
      <c r="M358" s="698" t="str">
        <f t="shared" si="78"/>
        <v/>
      </c>
      <c r="N358" s="700" t="str">
        <f t="shared" si="79"/>
        <v/>
      </c>
      <c r="O358" s="700" t="str">
        <f t="shared" si="80"/>
        <v/>
      </c>
      <c r="P358" s="662" t="str">
        <f t="shared" si="81"/>
        <v/>
      </c>
      <c r="Q358" s="662" t="str">
        <f t="shared" si="82"/>
        <v/>
      </c>
      <c r="R358" s="662" t="str">
        <f t="shared" si="83"/>
        <v/>
      </c>
      <c r="S358" s="502"/>
      <c r="T358" s="502"/>
      <c r="U358" s="503"/>
      <c r="V358" s="502"/>
      <c r="W358" s="504"/>
      <c r="X358" s="504"/>
      <c r="Y358" s="504"/>
      <c r="Z358" s="504"/>
      <c r="AA358" s="505"/>
      <c r="AB358" s="505"/>
      <c r="AC358" s="505"/>
    </row>
    <row r="359" spans="1:29" ht="15" customHeight="1">
      <c r="A359" s="457" t="str">
        <f t="shared" si="87"/>
        <v/>
      </c>
      <c r="B359" s="971" t="str">
        <f t="shared" si="72"/>
        <v>3</v>
      </c>
      <c r="C359" s="971" t="str">
        <f t="shared" si="73"/>
        <v>6</v>
      </c>
      <c r="D359" s="885" t="str">
        <f t="shared" si="88"/>
        <v>-</v>
      </c>
      <c r="F359" s="1105" t="str">
        <f t="shared" si="89"/>
        <v/>
      </c>
      <c r="G359" s="1106"/>
      <c r="H359" s="688" t="str">
        <f t="shared" si="74"/>
        <v/>
      </c>
      <c r="I359" s="689" t="str">
        <f>IF(F359&lt;&gt;"",IF(H359&lt;=0,0,Menu!J73),"")</f>
        <v/>
      </c>
      <c r="J359" s="623" t="str">
        <f t="shared" si="75"/>
        <v/>
      </c>
      <c r="K359" s="623" t="str">
        <f t="shared" si="76"/>
        <v/>
      </c>
      <c r="L359" s="623" t="str">
        <f t="shared" si="77"/>
        <v/>
      </c>
      <c r="M359" s="698" t="str">
        <f t="shared" si="78"/>
        <v/>
      </c>
      <c r="N359" s="700" t="str">
        <f t="shared" si="79"/>
        <v/>
      </c>
      <c r="O359" s="700" t="str">
        <f t="shared" si="80"/>
        <v/>
      </c>
      <c r="P359" s="662" t="str">
        <f t="shared" si="81"/>
        <v/>
      </c>
      <c r="Q359" s="662" t="str">
        <f t="shared" si="82"/>
        <v/>
      </c>
      <c r="R359" s="662" t="str">
        <f t="shared" si="83"/>
        <v/>
      </c>
      <c r="S359" s="502"/>
      <c r="T359" s="502"/>
      <c r="U359" s="503"/>
      <c r="V359" s="502"/>
      <c r="W359" s="504"/>
      <c r="X359" s="504"/>
      <c r="Y359" s="504"/>
      <c r="Z359" s="504"/>
      <c r="AA359" s="505"/>
      <c r="AB359" s="505"/>
      <c r="AC359" s="505"/>
    </row>
    <row r="360" spans="1:29" ht="15" customHeight="1">
      <c r="A360" s="457" t="str">
        <f t="shared" si="87"/>
        <v/>
      </c>
      <c r="B360" s="971" t="str">
        <f t="shared" ref="B360:B373" si="90">F360&amp;$H$195</f>
        <v>3</v>
      </c>
      <c r="C360" s="971" t="str">
        <f t="shared" ref="C360:C373" si="91">F360&amp;$I$195</f>
        <v>6</v>
      </c>
      <c r="D360" s="885" t="str">
        <f t="shared" si="88"/>
        <v>-</v>
      </c>
      <c r="F360" s="1105" t="str">
        <f t="shared" si="89"/>
        <v/>
      </c>
      <c r="G360" s="1106"/>
      <c r="H360" s="688" t="str">
        <f t="shared" ref="H360:H373" si="92">H89</f>
        <v/>
      </c>
      <c r="I360" s="689" t="str">
        <f>IF(F360&lt;&gt;"",IF(H360&lt;=0,0,Menu!J74),"")</f>
        <v/>
      </c>
      <c r="J360" s="623" t="str">
        <f t="shared" ref="J360:J373" si="93">IF(M276="-","-",IFERROR(M276*P276,""))</f>
        <v/>
      </c>
      <c r="K360" s="623" t="str">
        <f t="shared" ref="K360:K373" si="94">IF(N276="-","-",IFERROR(N276*Q276,""))</f>
        <v/>
      </c>
      <c r="L360" s="623" t="str">
        <f t="shared" ref="L360:L373" si="95">IF(O276="-","-",IFERROR(O276*R276,""))</f>
        <v/>
      </c>
      <c r="M360" s="698" t="str">
        <f t="shared" ref="M360:M373" si="96">IF(M276="-","-",IFERROR(M276^2*J176,""))</f>
        <v/>
      </c>
      <c r="N360" s="700" t="str">
        <f t="shared" ref="N360:N373" si="97">IF(N276="-","-",IFERROR(N276^2*J176,""))</f>
        <v/>
      </c>
      <c r="O360" s="700" t="str">
        <f t="shared" ref="O360:O373" si="98">IF(O276="-","-",IFERROR(O276^2*J176,""))</f>
        <v/>
      </c>
      <c r="P360" s="662" t="str">
        <f t="shared" ref="P360:P373" si="99">IF(M276="-","-",IFERROR($J176*$H$202*M276*$J$376,""))</f>
        <v/>
      </c>
      <c r="Q360" s="662" t="str">
        <f t="shared" ref="Q360:Q373" si="100">IF(N276="-","-",IFERROR($J176*$I$202*N276*$K$376,""))</f>
        <v/>
      </c>
      <c r="R360" s="662" t="str">
        <f t="shared" ref="R360:R373" si="101">IF(O276="-","-",IFERROR($J176*$J$202*O276*$L$376,""))</f>
        <v/>
      </c>
      <c r="S360" s="502"/>
      <c r="T360" s="502"/>
      <c r="U360" s="503"/>
      <c r="V360" s="502"/>
      <c r="W360" s="504"/>
      <c r="X360" s="504"/>
      <c r="Y360" s="504"/>
      <c r="Z360" s="504"/>
      <c r="AA360" s="505"/>
      <c r="AB360" s="505"/>
      <c r="AC360" s="505"/>
    </row>
    <row r="361" spans="1:29" ht="15" customHeight="1">
      <c r="A361" s="457" t="str">
        <f t="shared" si="87"/>
        <v/>
      </c>
      <c r="B361" s="971" t="str">
        <f t="shared" si="90"/>
        <v>3</v>
      </c>
      <c r="C361" s="971" t="str">
        <f t="shared" si="91"/>
        <v>6</v>
      </c>
      <c r="D361" s="885" t="str">
        <f t="shared" si="88"/>
        <v>-</v>
      </c>
      <c r="F361" s="1105" t="str">
        <f t="shared" si="89"/>
        <v/>
      </c>
      <c r="G361" s="1106"/>
      <c r="H361" s="688" t="str">
        <f t="shared" si="92"/>
        <v/>
      </c>
      <c r="I361" s="689" t="str">
        <f>IF(F361&lt;&gt;"",IF(H361&lt;=0,0,Menu!J75),"")</f>
        <v/>
      </c>
      <c r="J361" s="623" t="str">
        <f t="shared" si="93"/>
        <v/>
      </c>
      <c r="K361" s="623" t="str">
        <f t="shared" si="94"/>
        <v/>
      </c>
      <c r="L361" s="623" t="str">
        <f t="shared" si="95"/>
        <v/>
      </c>
      <c r="M361" s="698" t="str">
        <f t="shared" si="96"/>
        <v/>
      </c>
      <c r="N361" s="700" t="str">
        <f t="shared" si="97"/>
        <v/>
      </c>
      <c r="O361" s="700" t="str">
        <f t="shared" si="98"/>
        <v/>
      </c>
      <c r="P361" s="662" t="str">
        <f t="shared" si="99"/>
        <v/>
      </c>
      <c r="Q361" s="662" t="str">
        <f t="shared" si="100"/>
        <v/>
      </c>
      <c r="R361" s="662" t="str">
        <f t="shared" si="101"/>
        <v/>
      </c>
      <c r="S361" s="502"/>
      <c r="T361" s="502"/>
      <c r="U361" s="503"/>
      <c r="V361" s="502"/>
      <c r="W361" s="504"/>
      <c r="X361" s="504"/>
      <c r="Y361" s="504"/>
      <c r="Z361" s="504"/>
      <c r="AA361" s="505"/>
      <c r="AB361" s="505"/>
      <c r="AC361" s="505"/>
    </row>
    <row r="362" spans="1:29" ht="15" customHeight="1">
      <c r="A362" s="457" t="str">
        <f t="shared" si="87"/>
        <v/>
      </c>
      <c r="B362" s="971" t="str">
        <f t="shared" si="90"/>
        <v>3</v>
      </c>
      <c r="C362" s="971" t="str">
        <f t="shared" si="91"/>
        <v>6</v>
      </c>
      <c r="D362" s="885" t="str">
        <f t="shared" si="88"/>
        <v>-</v>
      </c>
      <c r="F362" s="1105" t="str">
        <f t="shared" si="89"/>
        <v/>
      </c>
      <c r="G362" s="1106"/>
      <c r="H362" s="688" t="str">
        <f t="shared" si="92"/>
        <v/>
      </c>
      <c r="I362" s="689" t="str">
        <f>IF(F362&lt;&gt;"",IF(H362&lt;=0,0,Menu!J76),"")</f>
        <v/>
      </c>
      <c r="J362" s="623" t="str">
        <f t="shared" si="93"/>
        <v/>
      </c>
      <c r="K362" s="623" t="str">
        <f t="shared" si="94"/>
        <v/>
      </c>
      <c r="L362" s="623" t="str">
        <f t="shared" si="95"/>
        <v/>
      </c>
      <c r="M362" s="698" t="str">
        <f t="shared" si="96"/>
        <v/>
      </c>
      <c r="N362" s="700" t="str">
        <f t="shared" si="97"/>
        <v/>
      </c>
      <c r="O362" s="700" t="str">
        <f t="shared" si="98"/>
        <v/>
      </c>
      <c r="P362" s="662" t="str">
        <f t="shared" si="99"/>
        <v/>
      </c>
      <c r="Q362" s="662" t="str">
        <f t="shared" si="100"/>
        <v/>
      </c>
      <c r="R362" s="662" t="str">
        <f t="shared" si="101"/>
        <v/>
      </c>
      <c r="S362" s="502"/>
      <c r="T362" s="502"/>
      <c r="U362" s="503"/>
      <c r="V362" s="502"/>
      <c r="W362" s="504"/>
      <c r="X362" s="504"/>
      <c r="Y362" s="504"/>
      <c r="Z362" s="504"/>
      <c r="AA362" s="505"/>
      <c r="AB362" s="505"/>
      <c r="AC362" s="505"/>
    </row>
    <row r="363" spans="1:29" ht="15" customHeight="1">
      <c r="A363" s="457" t="str">
        <f t="shared" si="87"/>
        <v/>
      </c>
      <c r="B363" s="971" t="str">
        <f t="shared" si="90"/>
        <v>3</v>
      </c>
      <c r="C363" s="971" t="str">
        <f t="shared" si="91"/>
        <v>6</v>
      </c>
      <c r="D363" s="885" t="str">
        <f t="shared" si="88"/>
        <v>-</v>
      </c>
      <c r="F363" s="1105" t="str">
        <f t="shared" si="89"/>
        <v/>
      </c>
      <c r="G363" s="1106"/>
      <c r="H363" s="688" t="str">
        <f t="shared" si="92"/>
        <v/>
      </c>
      <c r="I363" s="689" t="str">
        <f>IF(F363&lt;&gt;"",IF(H363&lt;=0,0,Menu!J77),"")</f>
        <v/>
      </c>
      <c r="J363" s="623" t="str">
        <f t="shared" si="93"/>
        <v/>
      </c>
      <c r="K363" s="623" t="str">
        <f t="shared" si="94"/>
        <v/>
      </c>
      <c r="L363" s="623" t="str">
        <f t="shared" si="95"/>
        <v/>
      </c>
      <c r="M363" s="698" t="str">
        <f t="shared" si="96"/>
        <v/>
      </c>
      <c r="N363" s="700" t="str">
        <f t="shared" si="97"/>
        <v/>
      </c>
      <c r="O363" s="700" t="str">
        <f t="shared" si="98"/>
        <v/>
      </c>
      <c r="P363" s="662" t="str">
        <f t="shared" si="99"/>
        <v/>
      </c>
      <c r="Q363" s="662" t="str">
        <f t="shared" si="100"/>
        <v/>
      </c>
      <c r="R363" s="662" t="str">
        <f t="shared" si="101"/>
        <v/>
      </c>
      <c r="S363" s="502"/>
      <c r="T363" s="502"/>
      <c r="U363" s="503"/>
      <c r="V363" s="502"/>
      <c r="W363" s="504"/>
      <c r="X363" s="504"/>
      <c r="Y363" s="504"/>
      <c r="Z363" s="504"/>
      <c r="AA363" s="505"/>
      <c r="AB363" s="505"/>
      <c r="AC363" s="505"/>
    </row>
    <row r="364" spans="1:29" ht="15" customHeight="1">
      <c r="A364" s="457" t="str">
        <f t="shared" si="87"/>
        <v/>
      </c>
      <c r="B364" s="971" t="str">
        <f t="shared" si="90"/>
        <v>3</v>
      </c>
      <c r="C364" s="971" t="str">
        <f t="shared" si="91"/>
        <v>6</v>
      </c>
      <c r="D364" s="885" t="str">
        <f t="shared" si="88"/>
        <v>-</v>
      </c>
      <c r="F364" s="1105" t="str">
        <f t="shared" si="89"/>
        <v/>
      </c>
      <c r="G364" s="1106"/>
      <c r="H364" s="688" t="str">
        <f t="shared" si="92"/>
        <v/>
      </c>
      <c r="I364" s="689" t="str">
        <f>IF(F364&lt;&gt;"",IF(H364&lt;=0,0,Menu!J78),"")</f>
        <v/>
      </c>
      <c r="J364" s="623" t="str">
        <f t="shared" si="93"/>
        <v/>
      </c>
      <c r="K364" s="623" t="str">
        <f t="shared" si="94"/>
        <v/>
      </c>
      <c r="L364" s="623" t="str">
        <f t="shared" si="95"/>
        <v/>
      </c>
      <c r="M364" s="698" t="str">
        <f t="shared" si="96"/>
        <v/>
      </c>
      <c r="N364" s="700" t="str">
        <f t="shared" si="97"/>
        <v/>
      </c>
      <c r="O364" s="700" t="str">
        <f t="shared" si="98"/>
        <v/>
      </c>
      <c r="P364" s="662" t="str">
        <f t="shared" si="99"/>
        <v/>
      </c>
      <c r="Q364" s="662" t="str">
        <f t="shared" si="100"/>
        <v/>
      </c>
      <c r="R364" s="662" t="str">
        <f t="shared" si="101"/>
        <v/>
      </c>
      <c r="S364" s="502"/>
      <c r="T364" s="502"/>
      <c r="U364" s="503"/>
      <c r="V364" s="502"/>
      <c r="W364" s="504"/>
      <c r="X364" s="504"/>
      <c r="Y364" s="504"/>
      <c r="Z364" s="504"/>
      <c r="AA364" s="505"/>
      <c r="AB364" s="505"/>
      <c r="AC364" s="505"/>
    </row>
    <row r="365" spans="1:29" ht="15" customHeight="1">
      <c r="A365" s="457" t="str">
        <f t="shared" si="87"/>
        <v/>
      </c>
      <c r="B365" s="971" t="str">
        <f t="shared" si="90"/>
        <v>3</v>
      </c>
      <c r="C365" s="971" t="str">
        <f t="shared" si="91"/>
        <v>6</v>
      </c>
      <c r="D365" s="885" t="str">
        <f t="shared" si="88"/>
        <v>-</v>
      </c>
      <c r="F365" s="1105" t="str">
        <f t="shared" si="89"/>
        <v/>
      </c>
      <c r="G365" s="1106"/>
      <c r="H365" s="688" t="str">
        <f t="shared" si="92"/>
        <v/>
      </c>
      <c r="I365" s="689" t="str">
        <f>IF(F365&lt;&gt;"",IF(H365&lt;=0,0,Menu!J79),"")</f>
        <v/>
      </c>
      <c r="J365" s="623" t="str">
        <f t="shared" si="93"/>
        <v/>
      </c>
      <c r="K365" s="623" t="str">
        <f t="shared" si="94"/>
        <v/>
      </c>
      <c r="L365" s="623" t="str">
        <f t="shared" si="95"/>
        <v/>
      </c>
      <c r="M365" s="698" t="str">
        <f t="shared" si="96"/>
        <v/>
      </c>
      <c r="N365" s="700" t="str">
        <f t="shared" si="97"/>
        <v/>
      </c>
      <c r="O365" s="700" t="str">
        <f t="shared" si="98"/>
        <v/>
      </c>
      <c r="P365" s="662" t="str">
        <f t="shared" si="99"/>
        <v/>
      </c>
      <c r="Q365" s="662" t="str">
        <f t="shared" si="100"/>
        <v/>
      </c>
      <c r="R365" s="662" t="str">
        <f t="shared" si="101"/>
        <v/>
      </c>
      <c r="S365" s="502"/>
      <c r="T365" s="502"/>
      <c r="U365" s="503"/>
      <c r="V365" s="502"/>
      <c r="W365" s="504"/>
      <c r="X365" s="504"/>
      <c r="Y365" s="504"/>
      <c r="Z365" s="504"/>
      <c r="AA365" s="505"/>
      <c r="AB365" s="505"/>
      <c r="AC365" s="505"/>
    </row>
    <row r="366" spans="1:29" ht="15" customHeight="1">
      <c r="A366" s="457" t="str">
        <f t="shared" si="87"/>
        <v/>
      </c>
      <c r="B366" s="971" t="str">
        <f t="shared" si="90"/>
        <v>3</v>
      </c>
      <c r="C366" s="971" t="str">
        <f t="shared" si="91"/>
        <v>6</v>
      </c>
      <c r="D366" s="885" t="str">
        <f t="shared" si="88"/>
        <v>-</v>
      </c>
      <c r="F366" s="1105" t="str">
        <f t="shared" si="89"/>
        <v/>
      </c>
      <c r="G366" s="1106"/>
      <c r="H366" s="688" t="str">
        <f t="shared" si="92"/>
        <v/>
      </c>
      <c r="I366" s="689" t="str">
        <f>IF(F366&lt;&gt;"",IF(H366&lt;=0,0,Menu!J80),"")</f>
        <v/>
      </c>
      <c r="J366" s="623" t="str">
        <f t="shared" si="93"/>
        <v/>
      </c>
      <c r="K366" s="623" t="str">
        <f t="shared" si="94"/>
        <v/>
      </c>
      <c r="L366" s="623" t="str">
        <f t="shared" si="95"/>
        <v/>
      </c>
      <c r="M366" s="698" t="str">
        <f t="shared" si="96"/>
        <v/>
      </c>
      <c r="N366" s="700" t="str">
        <f t="shared" si="97"/>
        <v/>
      </c>
      <c r="O366" s="700" t="str">
        <f t="shared" si="98"/>
        <v/>
      </c>
      <c r="P366" s="662" t="str">
        <f t="shared" si="99"/>
        <v/>
      </c>
      <c r="Q366" s="662" t="str">
        <f t="shared" si="100"/>
        <v/>
      </c>
      <c r="R366" s="662" t="str">
        <f t="shared" si="101"/>
        <v/>
      </c>
      <c r="S366" s="502"/>
      <c r="T366" s="502"/>
      <c r="U366" s="503"/>
      <c r="V366" s="502"/>
      <c r="W366" s="504"/>
      <c r="X366" s="504"/>
      <c r="Y366" s="504"/>
      <c r="Z366" s="504"/>
      <c r="AA366" s="505"/>
      <c r="AB366" s="505"/>
      <c r="AC366" s="505"/>
    </row>
    <row r="367" spans="1:29" ht="15" customHeight="1">
      <c r="A367" s="457" t="str">
        <f t="shared" si="87"/>
        <v/>
      </c>
      <c r="B367" s="971" t="str">
        <f t="shared" si="90"/>
        <v>3</v>
      </c>
      <c r="C367" s="971" t="str">
        <f t="shared" si="91"/>
        <v>6</v>
      </c>
      <c r="D367" s="885" t="str">
        <f t="shared" si="88"/>
        <v>-</v>
      </c>
      <c r="F367" s="1105" t="str">
        <f t="shared" si="89"/>
        <v/>
      </c>
      <c r="G367" s="1106"/>
      <c r="H367" s="688" t="str">
        <f t="shared" si="92"/>
        <v/>
      </c>
      <c r="I367" s="689" t="str">
        <f>IF(F367&lt;&gt;"",IF(H367&lt;=0,0,Menu!J81),"")</f>
        <v/>
      </c>
      <c r="J367" s="623" t="str">
        <f t="shared" si="93"/>
        <v/>
      </c>
      <c r="K367" s="623" t="str">
        <f t="shared" si="94"/>
        <v/>
      </c>
      <c r="L367" s="623" t="str">
        <f t="shared" si="95"/>
        <v/>
      </c>
      <c r="M367" s="698" t="str">
        <f t="shared" si="96"/>
        <v/>
      </c>
      <c r="N367" s="700" t="str">
        <f t="shared" si="97"/>
        <v/>
      </c>
      <c r="O367" s="700" t="str">
        <f t="shared" si="98"/>
        <v/>
      </c>
      <c r="P367" s="662" t="str">
        <f t="shared" si="99"/>
        <v/>
      </c>
      <c r="Q367" s="662" t="str">
        <f t="shared" si="100"/>
        <v/>
      </c>
      <c r="R367" s="662" t="str">
        <f t="shared" si="101"/>
        <v/>
      </c>
      <c r="S367" s="502"/>
      <c r="T367" s="502"/>
      <c r="U367" s="503"/>
      <c r="V367" s="502"/>
      <c r="W367" s="504"/>
      <c r="X367" s="504"/>
      <c r="Y367" s="504"/>
      <c r="Z367" s="504"/>
      <c r="AA367" s="505"/>
      <c r="AB367" s="505"/>
      <c r="AC367" s="505"/>
    </row>
    <row r="368" spans="1:29" ht="15" customHeight="1">
      <c r="A368" s="457" t="str">
        <f t="shared" si="87"/>
        <v/>
      </c>
      <c r="B368" s="971" t="str">
        <f t="shared" si="90"/>
        <v>3</v>
      </c>
      <c r="C368" s="971" t="str">
        <f t="shared" si="91"/>
        <v>6</v>
      </c>
      <c r="D368" s="885" t="str">
        <f t="shared" si="88"/>
        <v>-</v>
      </c>
      <c r="F368" s="1105" t="str">
        <f t="shared" si="89"/>
        <v/>
      </c>
      <c r="G368" s="1106"/>
      <c r="H368" s="688" t="str">
        <f t="shared" si="92"/>
        <v/>
      </c>
      <c r="I368" s="689" t="str">
        <f>IF(F368&lt;&gt;"",IF(H368&lt;=0,0,Menu!J82),"")</f>
        <v/>
      </c>
      <c r="J368" s="623" t="str">
        <f t="shared" si="93"/>
        <v/>
      </c>
      <c r="K368" s="623" t="str">
        <f t="shared" si="94"/>
        <v/>
      </c>
      <c r="L368" s="623" t="str">
        <f t="shared" si="95"/>
        <v/>
      </c>
      <c r="M368" s="698" t="str">
        <f t="shared" si="96"/>
        <v/>
      </c>
      <c r="N368" s="700" t="str">
        <f t="shared" si="97"/>
        <v/>
      </c>
      <c r="O368" s="700" t="str">
        <f t="shared" si="98"/>
        <v/>
      </c>
      <c r="P368" s="662" t="str">
        <f t="shared" si="99"/>
        <v/>
      </c>
      <c r="Q368" s="662" t="str">
        <f t="shared" si="100"/>
        <v/>
      </c>
      <c r="R368" s="662" t="str">
        <f t="shared" si="101"/>
        <v/>
      </c>
      <c r="S368" s="502"/>
      <c r="T368" s="502"/>
      <c r="U368" s="503"/>
      <c r="V368" s="502"/>
      <c r="W368" s="504"/>
      <c r="X368" s="504"/>
      <c r="Y368" s="504"/>
      <c r="Z368" s="504"/>
      <c r="AA368" s="505"/>
      <c r="AB368" s="505"/>
      <c r="AC368" s="505"/>
    </row>
    <row r="369" spans="1:29" ht="15" customHeight="1">
      <c r="A369" s="457" t="str">
        <f t="shared" si="87"/>
        <v/>
      </c>
      <c r="B369" s="971" t="str">
        <f t="shared" si="90"/>
        <v>3</v>
      </c>
      <c r="C369" s="971" t="str">
        <f t="shared" si="91"/>
        <v>6</v>
      </c>
      <c r="D369" s="885" t="str">
        <f t="shared" si="88"/>
        <v>-</v>
      </c>
      <c r="F369" s="1105" t="str">
        <f t="shared" si="89"/>
        <v/>
      </c>
      <c r="G369" s="1106"/>
      <c r="H369" s="688" t="str">
        <f t="shared" si="92"/>
        <v/>
      </c>
      <c r="I369" s="689" t="str">
        <f>IF(F369&lt;&gt;"",IF(H369&lt;=0,0,Menu!J83),"")</f>
        <v/>
      </c>
      <c r="J369" s="623" t="str">
        <f t="shared" si="93"/>
        <v/>
      </c>
      <c r="K369" s="623" t="str">
        <f t="shared" si="94"/>
        <v/>
      </c>
      <c r="L369" s="623" t="str">
        <f t="shared" si="95"/>
        <v/>
      </c>
      <c r="M369" s="698" t="str">
        <f t="shared" si="96"/>
        <v/>
      </c>
      <c r="N369" s="700" t="str">
        <f t="shared" si="97"/>
        <v/>
      </c>
      <c r="O369" s="700" t="str">
        <f t="shared" si="98"/>
        <v/>
      </c>
      <c r="P369" s="662" t="str">
        <f t="shared" si="99"/>
        <v/>
      </c>
      <c r="Q369" s="662" t="str">
        <f t="shared" si="100"/>
        <v/>
      </c>
      <c r="R369" s="662" t="str">
        <f t="shared" si="101"/>
        <v/>
      </c>
      <c r="S369" s="502"/>
      <c r="T369" s="502"/>
      <c r="U369" s="503"/>
      <c r="V369" s="502"/>
      <c r="W369" s="504"/>
      <c r="X369" s="504"/>
      <c r="Y369" s="504"/>
      <c r="Z369" s="504"/>
      <c r="AA369" s="505"/>
      <c r="AB369" s="505"/>
      <c r="AC369" s="505"/>
    </row>
    <row r="370" spans="1:29" ht="15" customHeight="1">
      <c r="A370" s="457" t="str">
        <f t="shared" si="87"/>
        <v/>
      </c>
      <c r="B370" s="971" t="str">
        <f t="shared" si="90"/>
        <v>3</v>
      </c>
      <c r="C370" s="971" t="str">
        <f t="shared" si="91"/>
        <v>6</v>
      </c>
      <c r="D370" s="885" t="str">
        <f t="shared" si="88"/>
        <v>-</v>
      </c>
      <c r="F370" s="1105" t="str">
        <f t="shared" si="89"/>
        <v/>
      </c>
      <c r="G370" s="1106"/>
      <c r="H370" s="688" t="str">
        <f t="shared" si="92"/>
        <v/>
      </c>
      <c r="I370" s="689" t="str">
        <f>IF(F370&lt;&gt;"",IF(H370&lt;=0,0,Menu!J84),"")</f>
        <v/>
      </c>
      <c r="J370" s="623" t="str">
        <f t="shared" si="93"/>
        <v/>
      </c>
      <c r="K370" s="623" t="str">
        <f t="shared" si="94"/>
        <v/>
      </c>
      <c r="L370" s="623" t="str">
        <f t="shared" si="95"/>
        <v/>
      </c>
      <c r="M370" s="698" t="str">
        <f t="shared" si="96"/>
        <v/>
      </c>
      <c r="N370" s="700" t="str">
        <f t="shared" si="97"/>
        <v/>
      </c>
      <c r="O370" s="700" t="str">
        <f t="shared" si="98"/>
        <v/>
      </c>
      <c r="P370" s="662" t="str">
        <f t="shared" si="99"/>
        <v/>
      </c>
      <c r="Q370" s="662" t="str">
        <f t="shared" si="100"/>
        <v/>
      </c>
      <c r="R370" s="662" t="str">
        <f t="shared" si="101"/>
        <v/>
      </c>
      <c r="S370" s="502"/>
      <c r="T370" s="502"/>
      <c r="U370" s="503"/>
      <c r="V370" s="502"/>
      <c r="W370" s="504"/>
      <c r="X370" s="504"/>
      <c r="Y370" s="504"/>
      <c r="Z370" s="504"/>
      <c r="AA370" s="505"/>
      <c r="AB370" s="505"/>
      <c r="AC370" s="505"/>
    </row>
    <row r="371" spans="1:29" ht="15" customHeight="1">
      <c r="A371" s="457" t="str">
        <f t="shared" si="87"/>
        <v/>
      </c>
      <c r="B371" s="971" t="str">
        <f t="shared" si="90"/>
        <v>3</v>
      </c>
      <c r="C371" s="971" t="str">
        <f t="shared" si="91"/>
        <v>6</v>
      </c>
      <c r="D371" s="885" t="str">
        <f t="shared" si="88"/>
        <v>-</v>
      </c>
      <c r="F371" s="1105" t="str">
        <f t="shared" si="89"/>
        <v/>
      </c>
      <c r="G371" s="1106"/>
      <c r="H371" s="688" t="str">
        <f t="shared" si="92"/>
        <v/>
      </c>
      <c r="I371" s="689" t="str">
        <f>IF(F371&lt;&gt;"",IF(H371&lt;=0,0,Menu!J85),"")</f>
        <v/>
      </c>
      <c r="J371" s="623" t="str">
        <f t="shared" si="93"/>
        <v/>
      </c>
      <c r="K371" s="623" t="str">
        <f t="shared" si="94"/>
        <v/>
      </c>
      <c r="L371" s="623" t="str">
        <f t="shared" si="95"/>
        <v/>
      </c>
      <c r="M371" s="698" t="str">
        <f t="shared" si="96"/>
        <v/>
      </c>
      <c r="N371" s="700" t="str">
        <f t="shared" si="97"/>
        <v/>
      </c>
      <c r="O371" s="700" t="str">
        <f t="shared" si="98"/>
        <v/>
      </c>
      <c r="P371" s="662" t="str">
        <f t="shared" si="99"/>
        <v/>
      </c>
      <c r="Q371" s="662" t="str">
        <f t="shared" si="100"/>
        <v/>
      </c>
      <c r="R371" s="662" t="str">
        <f t="shared" si="101"/>
        <v/>
      </c>
      <c r="S371" s="502"/>
      <c r="T371" s="502"/>
      <c r="U371" s="503"/>
      <c r="V371" s="502"/>
      <c r="W371" s="504"/>
      <c r="X371" s="504"/>
      <c r="Y371" s="504"/>
      <c r="Z371" s="504"/>
      <c r="AA371" s="505"/>
      <c r="AB371" s="505"/>
      <c r="AC371" s="505"/>
    </row>
    <row r="372" spans="1:29" ht="15" customHeight="1">
      <c r="A372" s="457" t="str">
        <f t="shared" si="87"/>
        <v/>
      </c>
      <c r="B372" s="971" t="str">
        <f t="shared" si="90"/>
        <v>3</v>
      </c>
      <c r="C372" s="971" t="str">
        <f t="shared" si="91"/>
        <v>6</v>
      </c>
      <c r="D372" s="885" t="str">
        <f t="shared" si="88"/>
        <v>-</v>
      </c>
      <c r="F372" s="1105" t="str">
        <f t="shared" si="89"/>
        <v/>
      </c>
      <c r="G372" s="1106"/>
      <c r="H372" s="688" t="str">
        <f t="shared" si="92"/>
        <v/>
      </c>
      <c r="I372" s="689" t="str">
        <f>IF(F372&lt;&gt;"",IF(H372&lt;=0,0,Menu!J86),"")</f>
        <v/>
      </c>
      <c r="J372" s="623" t="str">
        <f t="shared" si="93"/>
        <v/>
      </c>
      <c r="K372" s="623" t="str">
        <f t="shared" si="94"/>
        <v/>
      </c>
      <c r="L372" s="623" t="str">
        <f t="shared" si="95"/>
        <v/>
      </c>
      <c r="M372" s="698" t="str">
        <f t="shared" si="96"/>
        <v/>
      </c>
      <c r="N372" s="700" t="str">
        <f t="shared" si="97"/>
        <v/>
      </c>
      <c r="O372" s="700" t="str">
        <f t="shared" si="98"/>
        <v/>
      </c>
      <c r="P372" s="662" t="str">
        <f t="shared" si="99"/>
        <v/>
      </c>
      <c r="Q372" s="662" t="str">
        <f t="shared" si="100"/>
        <v/>
      </c>
      <c r="R372" s="662" t="str">
        <f t="shared" si="101"/>
        <v/>
      </c>
      <c r="S372" s="502"/>
      <c r="T372" s="502"/>
      <c r="U372" s="503"/>
      <c r="V372" s="502"/>
      <c r="W372" s="504"/>
      <c r="X372" s="504"/>
      <c r="Y372" s="504"/>
      <c r="Z372" s="504"/>
      <c r="AA372" s="505"/>
      <c r="AB372" s="505"/>
      <c r="AC372" s="505"/>
    </row>
    <row r="373" spans="1:29" ht="15" customHeight="1">
      <c r="A373" s="457" t="str">
        <f t="shared" si="87"/>
        <v/>
      </c>
      <c r="B373" s="971" t="str">
        <f t="shared" si="90"/>
        <v>3</v>
      </c>
      <c r="C373" s="971" t="str">
        <f t="shared" si="91"/>
        <v>6</v>
      </c>
      <c r="D373" s="885" t="str">
        <f t="shared" si="88"/>
        <v>-</v>
      </c>
      <c r="F373" s="1105" t="str">
        <f t="shared" si="89"/>
        <v/>
      </c>
      <c r="G373" s="1106"/>
      <c r="H373" s="688" t="str">
        <f t="shared" si="92"/>
        <v/>
      </c>
      <c r="I373" s="689" t="str">
        <f>IF(F373&lt;&gt;"",IF(H373&lt;=0,0,Menu!J87),"")</f>
        <v/>
      </c>
      <c r="J373" s="623" t="str">
        <f t="shared" si="93"/>
        <v/>
      </c>
      <c r="K373" s="623" t="str">
        <f t="shared" si="94"/>
        <v/>
      </c>
      <c r="L373" s="623" t="str">
        <f t="shared" si="95"/>
        <v/>
      </c>
      <c r="M373" s="698" t="str">
        <f t="shared" si="96"/>
        <v/>
      </c>
      <c r="N373" s="700" t="str">
        <f t="shared" si="97"/>
        <v/>
      </c>
      <c r="O373" s="700" t="str">
        <f t="shared" si="98"/>
        <v/>
      </c>
      <c r="P373" s="662" t="str">
        <f t="shared" si="99"/>
        <v/>
      </c>
      <c r="Q373" s="662" t="str">
        <f t="shared" si="100"/>
        <v/>
      </c>
      <c r="R373" s="662" t="str">
        <f t="shared" si="101"/>
        <v/>
      </c>
      <c r="S373" s="502"/>
      <c r="T373" s="502"/>
      <c r="U373" s="503"/>
      <c r="V373" s="502"/>
      <c r="W373" s="504"/>
      <c r="X373" s="504"/>
      <c r="Y373" s="504"/>
      <c r="Z373" s="504"/>
      <c r="AA373" s="505"/>
      <c r="AB373" s="505"/>
      <c r="AC373" s="505"/>
    </row>
    <row r="374" spans="1:29" ht="15" customHeight="1">
      <c r="A374" s="457">
        <v>1</v>
      </c>
      <c r="B374" s="701"/>
      <c r="C374" s="701"/>
      <c r="D374" s="885"/>
      <c r="F374" s="516"/>
      <c r="G374" s="511"/>
      <c r="H374" s="511"/>
      <c r="I374" s="511"/>
      <c r="J374" s="697">
        <f t="shared" ref="J374:R374" si="102">SUM(J295:J373)</f>
        <v>5.1690724475774239</v>
      </c>
      <c r="K374" s="697">
        <f t="shared" si="102"/>
        <v>-3.0235976156844555</v>
      </c>
      <c r="L374" s="697">
        <f t="shared" si="102"/>
        <v>0</v>
      </c>
      <c r="M374" s="945">
        <f t="shared" si="102"/>
        <v>0.76595775087831219</v>
      </c>
      <c r="N374" s="697">
        <f t="shared" si="102"/>
        <v>0.78490697113787522</v>
      </c>
      <c r="O374" s="697">
        <f t="shared" si="102"/>
        <v>0</v>
      </c>
      <c r="P374" s="697">
        <f t="shared" si="102"/>
        <v>2145.2436033422555</v>
      </c>
      <c r="Q374" s="697">
        <f t="shared" si="102"/>
        <v>417.50744493044402</v>
      </c>
      <c r="R374" s="697">
        <f t="shared" si="102"/>
        <v>0</v>
      </c>
      <c r="S374" s="502"/>
      <c r="T374" s="502"/>
      <c r="U374" s="503"/>
      <c r="V374" s="502"/>
      <c r="W374" s="504"/>
      <c r="X374" s="504"/>
      <c r="Y374" s="504"/>
      <c r="Z374" s="504"/>
      <c r="AA374" s="505"/>
      <c r="AB374" s="505"/>
      <c r="AC374" s="505"/>
    </row>
    <row r="375" spans="1:29" ht="15" customHeight="1">
      <c r="A375" s="457">
        <v>1</v>
      </c>
      <c r="B375" s="701"/>
      <c r="C375" s="701"/>
      <c r="D375" s="885"/>
      <c r="F375" s="516"/>
      <c r="G375" s="520"/>
      <c r="H375" s="566"/>
      <c r="I375" s="566"/>
      <c r="J375" s="699" t="s">
        <v>1967</v>
      </c>
      <c r="K375" s="699" t="s">
        <v>1968</v>
      </c>
      <c r="L375" s="699" t="s">
        <v>1969</v>
      </c>
      <c r="M375" s="507"/>
      <c r="N375" s="507"/>
      <c r="O375" s="543"/>
      <c r="P375" s="543"/>
      <c r="Q375" s="506"/>
      <c r="R375" s="506"/>
      <c r="S375" s="502"/>
      <c r="T375" s="502"/>
      <c r="U375" s="503"/>
      <c r="V375" s="502"/>
      <c r="W375" s="504"/>
      <c r="X375" s="504"/>
      <c r="Y375" s="504"/>
      <c r="Z375" s="504"/>
      <c r="AA375" s="505"/>
      <c r="AB375" s="505"/>
      <c r="AC375" s="505"/>
    </row>
    <row r="376" spans="1:29" ht="15" customHeight="1">
      <c r="A376" s="457">
        <v>1</v>
      </c>
      <c r="B376" s="701"/>
      <c r="C376" s="701"/>
      <c r="D376" s="885"/>
      <c r="F376" s="516"/>
      <c r="G376" s="512"/>
      <c r="H376" s="506"/>
      <c r="I376" s="506"/>
      <c r="J376" s="623">
        <f>IF(J374&lt;&gt;0,J374/M374,"-")</f>
        <v>6.7485085719807998</v>
      </c>
      <c r="K376" s="700">
        <f>IF(K374&lt;&gt;0,K374/N374,"-")</f>
        <v>-3.8521732216254407</v>
      </c>
      <c r="L376" s="700" t="str">
        <f>IF(L374&lt;&gt;0,L374/O374,"-")</f>
        <v>-</v>
      </c>
      <c r="M376" s="507"/>
      <c r="N376" s="507"/>
      <c r="O376" s="543"/>
      <c r="P376" s="543"/>
      <c r="Q376" s="506"/>
      <c r="R376" s="506"/>
      <c r="S376" s="502"/>
      <c r="T376" s="502"/>
      <c r="U376" s="503"/>
      <c r="V376" s="502"/>
      <c r="W376" s="504"/>
      <c r="X376" s="504"/>
      <c r="Y376" s="504"/>
      <c r="Z376" s="504"/>
      <c r="AA376" s="505"/>
      <c r="AB376" s="505"/>
      <c r="AC376" s="505"/>
    </row>
    <row r="377" spans="1:29" ht="15" customHeight="1">
      <c r="A377" s="457">
        <v>1</v>
      </c>
      <c r="B377" s="701"/>
      <c r="C377" s="701"/>
      <c r="D377" s="885"/>
      <c r="F377" s="516"/>
      <c r="G377" s="553"/>
      <c r="H377" s="554"/>
      <c r="I377" s="456"/>
      <c r="J377" s="456"/>
      <c r="K377" s="555"/>
      <c r="L377" s="556"/>
      <c r="M377" s="557"/>
      <c r="N377" s="557"/>
      <c r="O377" s="557"/>
      <c r="P377" s="554"/>
      <c r="Q377" s="554"/>
      <c r="R377" s="558"/>
      <c r="S377" s="502"/>
      <c r="T377" s="502"/>
      <c r="U377" s="503"/>
      <c r="V377" s="502"/>
      <c r="W377" s="504"/>
      <c r="X377" s="504"/>
      <c r="Y377" s="504"/>
      <c r="Z377" s="504"/>
      <c r="AA377" s="505"/>
      <c r="AB377" s="505"/>
      <c r="AC377" s="505"/>
    </row>
    <row r="378" spans="1:29" ht="18.75" customHeight="1">
      <c r="A378" s="457">
        <v>1</v>
      </c>
      <c r="B378" s="701"/>
      <c r="C378" s="701"/>
      <c r="D378" s="885"/>
      <c r="F378" s="1119" t="s">
        <v>1</v>
      </c>
      <c r="G378" s="1121" t="s">
        <v>893</v>
      </c>
      <c r="H378" s="1122"/>
      <c r="I378" s="1122"/>
      <c r="J378" s="1122"/>
      <c r="K378" s="1122"/>
      <c r="L378" s="1123"/>
      <c r="M378" s="1124" t="s">
        <v>87</v>
      </c>
      <c r="N378" s="1125"/>
      <c r="O378" s="1126"/>
      <c r="P378" s="1107" t="s">
        <v>1970</v>
      </c>
      <c r="Q378" s="1107"/>
      <c r="R378" s="1107"/>
      <c r="S378" s="492"/>
      <c r="U378" s="493"/>
      <c r="V378" s="494"/>
      <c r="W378" s="495"/>
      <c r="X378" s="458"/>
      <c r="Y378" s="458"/>
      <c r="Z378" s="458"/>
    </row>
    <row r="379" spans="1:29" ht="15.75" customHeight="1">
      <c r="A379" s="457">
        <v>1</v>
      </c>
      <c r="B379" s="701"/>
      <c r="C379" s="701"/>
      <c r="D379" s="885"/>
      <c r="F379" s="1120"/>
      <c r="G379" s="705" t="str">
        <f>IF(Menu!$C$7 = "V","","Dynamic component to direction Y")</f>
        <v/>
      </c>
      <c r="H379" s="702"/>
      <c r="I379" s="703"/>
      <c r="J379" s="703"/>
      <c r="K379" s="703"/>
      <c r="L379" s="704"/>
      <c r="M379" s="1108" t="str">
        <f>IF(Menu!$C$7 = "V","","Relativity displacement")</f>
        <v/>
      </c>
      <c r="N379" s="1109"/>
      <c r="O379" s="1110"/>
      <c r="P379" s="1107"/>
      <c r="Q379" s="1107"/>
      <c r="R379" s="1107"/>
      <c r="U379" s="458"/>
      <c r="V379" s="458"/>
      <c r="W379" s="458"/>
      <c r="X379" s="458"/>
      <c r="Y379" s="458"/>
      <c r="Z379" s="458"/>
      <c r="AA379" s="458"/>
    </row>
    <row r="380" spans="1:29" ht="15" customHeight="1">
      <c r="A380" s="457">
        <v>1</v>
      </c>
      <c r="B380" s="701"/>
      <c r="C380" s="701"/>
      <c r="D380" s="885"/>
      <c r="F380" s="1168" t="s">
        <v>50</v>
      </c>
      <c r="G380" s="1168"/>
      <c r="H380" s="706" t="s">
        <v>5</v>
      </c>
      <c r="I380" s="1130" t="s">
        <v>1951</v>
      </c>
      <c r="J380" s="1130" t="s">
        <v>1952</v>
      </c>
      <c r="K380" s="1130" t="s">
        <v>1953</v>
      </c>
      <c r="L380" s="1131" t="s">
        <v>12</v>
      </c>
      <c r="M380" s="1132" t="s">
        <v>1954</v>
      </c>
      <c r="N380" s="1132" t="s">
        <v>1955</v>
      </c>
      <c r="O380" s="1132" t="s">
        <v>1956</v>
      </c>
      <c r="P380" s="707" t="s">
        <v>8</v>
      </c>
      <c r="Q380" s="707" t="s">
        <v>11</v>
      </c>
      <c r="R380" s="707" t="s">
        <v>86</v>
      </c>
      <c r="S380" s="1118" t="s">
        <v>69</v>
      </c>
      <c r="T380" s="1118"/>
      <c r="U380" s="1118" t="s">
        <v>70</v>
      </c>
      <c r="V380" s="1118"/>
      <c r="W380" s="1111" t="s">
        <v>71</v>
      </c>
      <c r="X380" s="1111"/>
      <c r="Y380" s="1111"/>
      <c r="Z380" s="1111"/>
      <c r="AA380" s="1111" t="s">
        <v>88</v>
      </c>
      <c r="AB380" s="1111"/>
      <c r="AC380" s="1111"/>
    </row>
    <row r="381" spans="1:29" ht="15" customHeight="1">
      <c r="A381" s="457">
        <v>1</v>
      </c>
      <c r="B381" s="701"/>
      <c r="C381" s="701"/>
      <c r="D381" s="885"/>
      <c r="F381" s="1167" t="str">
        <f>IF(Menu!$C$7 = "V","","Floor level")</f>
        <v/>
      </c>
      <c r="G381" s="1167"/>
      <c r="H381" s="708" t="str">
        <f>IF(Menu!$C$7 = "V","","Level")</f>
        <v/>
      </c>
      <c r="I381" s="1130"/>
      <c r="J381" s="1130"/>
      <c r="K381" s="1130"/>
      <c r="L381" s="1131"/>
      <c r="M381" s="1132"/>
      <c r="N381" s="1132"/>
      <c r="O381" s="1132"/>
      <c r="P381" s="696" t="str">
        <f>IF(Menu!$C$7 = "V","","Mode 1")</f>
        <v/>
      </c>
      <c r="Q381" s="696" t="str">
        <f>IF(Menu!$C$7 = "V","","Mode 2")</f>
        <v/>
      </c>
      <c r="R381" s="696" t="str">
        <f>IF(Menu!$C$7 = "V","","Mode 3")</f>
        <v/>
      </c>
      <c r="S381" s="496" t="s">
        <v>72</v>
      </c>
      <c r="T381" s="496" t="s">
        <v>73</v>
      </c>
      <c r="U381" s="496" t="s">
        <v>74</v>
      </c>
      <c r="V381" s="496" t="s">
        <v>75</v>
      </c>
      <c r="W381" s="496" t="s">
        <v>80</v>
      </c>
      <c r="X381" s="496" t="s">
        <v>81</v>
      </c>
      <c r="Y381" s="496" t="s">
        <v>82</v>
      </c>
      <c r="Z381" s="496" t="s">
        <v>83</v>
      </c>
      <c r="AA381" s="1111" t="s">
        <v>84</v>
      </c>
      <c r="AB381" s="1111"/>
      <c r="AC381" s="497" t="s">
        <v>85</v>
      </c>
    </row>
    <row r="382" spans="1:29" ht="15" customHeight="1">
      <c r="A382" s="457">
        <f t="shared" ref="A382:A413" si="103">IF(F382="","",1)</f>
        <v>1</v>
      </c>
      <c r="B382" s="701" t="str">
        <f>F382&amp;$M$195</f>
        <v>TMAI1</v>
      </c>
      <c r="C382" s="701" t="str">
        <f>F382&amp;$N$195</f>
        <v>TMAI5</v>
      </c>
      <c r="D382" s="885" t="str">
        <f>F382&amp;$O$195</f>
        <v>TMAI-</v>
      </c>
      <c r="F382" s="1127" t="str">
        <f>F24</f>
        <v>TMAI</v>
      </c>
      <c r="G382" s="1128"/>
      <c r="H382" s="688">
        <f>H24</f>
        <v>135.80000000000001</v>
      </c>
      <c r="I382" s="689">
        <f>M24</f>
        <v>70.844999999999999</v>
      </c>
      <c r="J382" s="689">
        <f>IF(AND(F382&lt;&gt;"",F382&lt;&gt;"BASE"),IF(H382&gt;=0,H382,""),"")</f>
        <v>135.80000000000001</v>
      </c>
      <c r="K382" s="690">
        <f>IF(AND(F382&lt;&gt;"",F382&lt;&gt;"BASE",H382&gt;=0),AC382,"")</f>
        <v>0.53954984687500007</v>
      </c>
      <c r="L382" s="691">
        <f>IF(J382&lt;&gt;"",IF($K$13="A",IF(0.356*(H382-$O$11)^(-0.07)&gt;0.318,0.318,0.356*(H382-$O$11)^(-0.07)),IF($K$13="B",IF(0.5979*(H382-$O$11)^(-0.0899)&gt;0.517,0.517,0.5979*(H382-$O$11)^(-0.0899)),IF(0.944*(H382-$O$11)^(-0.1399)&gt;0.754,0.754,0.944*(H382-$O$11)^(-0.1399)))),"")</f>
        <v>0.2523621031010454</v>
      </c>
      <c r="M382" s="700" t="str">
        <f>IFERROR(IF(J382="","",IF($M$196="-","-",INDEX(BD!$A$1:$K$2510,MATCH('2.Win Load'!B382,BD!$A$1:$A$2510,0),7))),"")</f>
        <v/>
      </c>
      <c r="N382" s="700" t="str">
        <f>IFERROR(IF($J382="","",IF($N$196="-","-",INDEX(BD!$A$1:$K$2510,MATCH('2.Win Load'!C382,BD!$A$1:$A$2510,0),7))),"")</f>
        <v/>
      </c>
      <c r="O382" s="700" t="str">
        <f>IFERROR(IF($J382="","",IF($O$196="-","-",INDEX(BD!$A$1:$K$2510,MATCH('2.Win Load'!D382,BD!$A$1:$A$2510,0),7))),"")</f>
        <v>-</v>
      </c>
      <c r="P382" s="692" t="str">
        <f>IF(M382="","",IF(M382="-","-",$Q24*$L382*IF($M$206=1,K382,IF($M$206=2,1,"-"))))</f>
        <v/>
      </c>
      <c r="Q382" s="692" t="str">
        <f>IF(N382="","",IF(N382="-","-",$Q24*$L382*IF($N$206=1,K382,IF($N$206=2,1,"-"))))</f>
        <v/>
      </c>
      <c r="R382" s="623" t="str">
        <f>IF(O382="","",IF(O382="-","-",$Q24*$L382*IF($O$206=1,K382,IF($O$206=2,1,"-"))))</f>
        <v>-</v>
      </c>
      <c r="S382" s="498">
        <f t="array" ref="S382">MAX(IF('Wind base'!$AE$5:$AE$11&lt;I382,'Wind base'!$AE$5:$AE$11,""))</f>
        <v>40</v>
      </c>
      <c r="T382" s="498">
        <f t="array" ref="T382">MIN(IF('Wind base'!$AE$5:$AE$11&gt;I382,'Wind base'!$AE$5:$AE$11,""))</f>
        <v>80</v>
      </c>
      <c r="U382" s="499">
        <f t="array" ref="U382">MAX(IF('Wind base'!$AF$4:$AL$4&lt;J382,'Wind base'!$AF$4:$AL$4,""),5)</f>
        <v>80</v>
      </c>
      <c r="V382" s="498">
        <f t="array" ref="V382">MIN(IF('Wind base'!$AF$4:$AL$4&gt;J382,'Wind base'!$AF$4:$AL$4,""))</f>
        <v>160</v>
      </c>
      <c r="W382" s="500">
        <f t="array" ref="W382">INDEX('Wind base'!$AF$5:$AL$11,MATCH($S382,'Wind base'!$AE$5:$AE$11,0),MATCH($U382,'Wind base'!$AF$4:$AL$4,0))</f>
        <v>0.63</v>
      </c>
      <c r="X382" s="500">
        <f t="array" ref="X382">INDEX('Wind base'!$AF$5:$AL$11,MATCH($S382,'Wind base'!$AE$5:$AE$11,0),MATCH($V382,'Wind base'!$AF$4:$AL$4,0))</f>
        <v>0.56999999999999995</v>
      </c>
      <c r="Y382" s="500">
        <f t="array" ref="Y382">INDEX('Wind base'!$AF$5:$AL$11,MATCH($T382,'Wind base'!$AE$5:$AE$11,0),MATCH($U382,'Wind base'!$AF$4:$AL$4,0))</f>
        <v>0.56000000000000005</v>
      </c>
      <c r="Z382" s="500">
        <f t="array" ref="Z382">INDEX('Wind base'!$AF$5:$AL$11,MATCH($T382,'Wind base'!$AE$5:$AE$11,0),MATCH($V382,'Wind base'!$AF$4:$AL$4,0))</f>
        <v>0.51</v>
      </c>
      <c r="AA382" s="501">
        <f t="shared" ref="AA382:AA413" si="104">Y382+(T382-I382)/(T382-S382)*(W382-Y382)</f>
        <v>0.57602125000000004</v>
      </c>
      <c r="AB382" s="501">
        <f t="shared" ref="AB382:AB413" si="105">Z382+(T382-I382)/(T382-S382)*(X382-Z382)</f>
        <v>0.52373250000000005</v>
      </c>
      <c r="AC382" s="501">
        <f t="shared" ref="AC382:AC413" si="106">IFERROR(AB382+(V382-J382)*(AA382-AB382)/(V382-U382),AA382)</f>
        <v>0.53954984687500007</v>
      </c>
    </row>
    <row r="383" spans="1:29" ht="15" customHeight="1">
      <c r="A383" s="457">
        <f t="shared" si="103"/>
        <v>1</v>
      </c>
      <c r="B383" s="701" t="str">
        <f t="shared" ref="B383:B446" si="107">F383&amp;$M$195</f>
        <v>TTUM1</v>
      </c>
      <c r="C383" s="701" t="str">
        <f t="shared" ref="C383:C446" si="108">F383&amp;$N$195</f>
        <v>TTUM5</v>
      </c>
      <c r="D383" s="885" t="str">
        <f t="shared" ref="D383:D415" si="109">F383&amp;$O$195</f>
        <v>TTUM-</v>
      </c>
      <c r="F383" s="1127" t="str">
        <f t="shared" ref="F383:F446" si="110">F25</f>
        <v>TTUM</v>
      </c>
      <c r="G383" s="1128"/>
      <c r="H383" s="688">
        <f t="shared" ref="H383:H446" si="111">H25</f>
        <v>130.19999999999999</v>
      </c>
      <c r="I383" s="689">
        <f t="shared" ref="I383:I446" si="112">M25</f>
        <v>70.844999999999999</v>
      </c>
      <c r="J383" s="689">
        <f t="shared" ref="J383:J415" si="113">IF(AND(F383&lt;&gt;"",F383&lt;&gt;"BASE"),IF(H383&gt;=0,H383,""),"")</f>
        <v>130.19999999999999</v>
      </c>
      <c r="K383" s="690">
        <f t="shared" ref="K383:K415" si="114">IF(AND(F383&lt;&gt;"",F383&lt;&gt;"BASE",H383&gt;=0),AC383,"")</f>
        <v>0.543210059375</v>
      </c>
      <c r="L383" s="691">
        <f t="shared" ref="L383:L446" si="115">IF(J383&lt;&gt;"",IF($K$13="A",IF(0.356*(H383-$O$11)^(-0.07)&gt;0.318,0.318,0.356*(H383-$O$11)^(-0.07)),IF($K$13="B",IF(0.5979*(H383-$O$11)^(-0.0899)&gt;0.517,0.517,0.5979*(H383-$O$11)^(-0.0899)),IF(0.944*(H383-$O$11)^(-0.1399)&gt;0.754,0.754,0.944*(H383-$O$11)^(-0.1399)))),"")</f>
        <v>0.2531040410508536</v>
      </c>
      <c r="M383" s="700">
        <f>IFERROR(IF(J383="","",IF($M$196="-","-",INDEX(BD!$A$1:$K$2510,MATCH('2.Win Load'!B383,BD!$A$1:$A$2510,0),7))),"")</f>
        <v>6.9579999999999998E-3</v>
      </c>
      <c r="N383" s="700">
        <f>IFERROR(IF($J383="","",IF($N$196="-","-",INDEX(BD!$A$1:$K$2510,MATCH('2.Win Load'!C383,BD!$A$1:$A$2510,0),7))),"")</f>
        <v>6.9699999999999996E-3</v>
      </c>
      <c r="O383" s="700" t="str">
        <f>IFERROR(IF($J383="","",IF($O$196="-","-",INDEX(BD!$A$1:$K$2510,MATCH('2.Win Load'!D383,BD!$A$1:$A$2510,0),7))),"")</f>
        <v>-</v>
      </c>
      <c r="P383" s="692">
        <f t="shared" ref="P383:P446" si="116">IF(M383="","",IF(M383="-","-",$Q25*$L383*IF($M$206=1,K383,IF($M$206=2,1,"-"))))</f>
        <v>113.84816568176501</v>
      </c>
      <c r="Q383" s="692">
        <f t="shared" ref="Q383:Q446" si="117">IF(N383="","",IF(N383="-","-",$Q25*$L383*IF($N$206=1,K383,IF($N$206=2,1,"-"))))</f>
        <v>209.58405264577581</v>
      </c>
      <c r="R383" s="960" t="str">
        <f t="shared" ref="R383:R446" si="118">IF(O383="","",IF(O383="-","-",$Q25*$L383*IF($O$206=1,K383,IF($O$206=2,1,"-"))))</f>
        <v>-</v>
      </c>
      <c r="S383" s="498">
        <f t="array" ref="S383">MAX(IF('Wind base'!$AE$5:$AE$11&lt;I383,'Wind base'!$AE$5:$AE$11,""))</f>
        <v>40</v>
      </c>
      <c r="T383" s="498">
        <f t="array" ref="T383">MIN(IF('Wind base'!$AE$5:$AE$11&gt;I383,'Wind base'!$AE$5:$AE$11,""))</f>
        <v>80</v>
      </c>
      <c r="U383" s="499">
        <f t="array" ref="U383">MAX(IF('Wind base'!$AF$4:$AL$4&lt;J383,'Wind base'!$AF$4:$AL$4,""),5)</f>
        <v>80</v>
      </c>
      <c r="V383" s="498">
        <f t="array" ref="V383">MIN(IF('Wind base'!$AF$4:$AL$4&gt;J383,'Wind base'!$AF$4:$AL$4,""))</f>
        <v>160</v>
      </c>
      <c r="W383" s="500">
        <f t="array" ref="W383">INDEX('Wind base'!$AF$5:$AL$11,MATCH($S383,'Wind base'!$AE$5:$AE$11,0),MATCH($U383,'Wind base'!$AF$4:$AL$4,0))</f>
        <v>0.63</v>
      </c>
      <c r="X383" s="500">
        <f t="array" ref="X383">INDEX('Wind base'!$AF$5:$AL$11,MATCH($S383,'Wind base'!$AE$5:$AE$11,0),MATCH($V383,'Wind base'!$AF$4:$AL$4,0))</f>
        <v>0.56999999999999995</v>
      </c>
      <c r="Y383" s="500">
        <f t="array" ref="Y383">INDEX('Wind base'!$AF$5:$AL$11,MATCH($T383,'Wind base'!$AE$5:$AE$11,0),MATCH($U383,'Wind base'!$AF$4:$AL$4,0))</f>
        <v>0.56000000000000005</v>
      </c>
      <c r="Z383" s="500">
        <f t="array" ref="Z383">INDEX('Wind base'!$AF$5:$AL$11,MATCH($T383,'Wind base'!$AE$5:$AE$11,0),MATCH($V383,'Wind base'!$AF$4:$AL$4,0))</f>
        <v>0.51</v>
      </c>
      <c r="AA383" s="501">
        <f t="shared" si="104"/>
        <v>0.57602125000000004</v>
      </c>
      <c r="AB383" s="501">
        <f t="shared" si="105"/>
        <v>0.52373250000000005</v>
      </c>
      <c r="AC383" s="501">
        <f t="shared" si="106"/>
        <v>0.543210059375</v>
      </c>
    </row>
    <row r="384" spans="1:29" ht="15" customHeight="1">
      <c r="A384" s="457">
        <f t="shared" si="103"/>
        <v>1</v>
      </c>
      <c r="B384" s="701" t="str">
        <f t="shared" si="107"/>
        <v>T381</v>
      </c>
      <c r="C384" s="701" t="str">
        <f t="shared" si="108"/>
        <v>T385</v>
      </c>
      <c r="D384" s="885" t="str">
        <f t="shared" si="109"/>
        <v>T38-</v>
      </c>
      <c r="F384" s="1127" t="str">
        <f t="shared" si="110"/>
        <v>T38</v>
      </c>
      <c r="G384" s="1128"/>
      <c r="H384" s="688">
        <f t="shared" si="111"/>
        <v>126.8</v>
      </c>
      <c r="I384" s="689">
        <f t="shared" si="112"/>
        <v>70.844999999999999</v>
      </c>
      <c r="J384" s="689">
        <f t="shared" si="113"/>
        <v>126.8</v>
      </c>
      <c r="K384" s="690">
        <f t="shared" si="114"/>
        <v>0.54543233125000001</v>
      </c>
      <c r="L384" s="691">
        <f t="shared" si="115"/>
        <v>0.25357128502418769</v>
      </c>
      <c r="M384" s="700">
        <f>IFERROR(IF(J384="","",IF($M$196="-","-",INDEX(BD!$A$1:$K$2510,MATCH('2.Win Load'!B384,BD!$A$1:$A$2510,0),7))),"")</f>
        <v>6.783E-3</v>
      </c>
      <c r="N384" s="700">
        <f>IFERROR(IF($J384="","",IF($N$196="-","-",INDEX(BD!$A$1:$K$2510,MATCH('2.Win Load'!C384,BD!$A$1:$A$2510,0),7))),"")</f>
        <v>6.3150000000000003E-3</v>
      </c>
      <c r="O384" s="700" t="str">
        <f>IFERROR(IF($J384="","",IF($O$196="-","-",INDEX(BD!$A$1:$K$2510,MATCH('2.Win Load'!D384,BD!$A$1:$A$2510,0),7))),"")</f>
        <v>-</v>
      </c>
      <c r="P384" s="692">
        <f t="shared" si="116"/>
        <v>86.230447841300602</v>
      </c>
      <c r="Q384" s="692">
        <f t="shared" si="117"/>
        <v>158.09559298342492</v>
      </c>
      <c r="R384" s="960" t="str">
        <f t="shared" si="118"/>
        <v>-</v>
      </c>
      <c r="S384" s="498">
        <f t="array" ref="S384">MAX(IF('Wind base'!$AE$5:$AE$11&lt;I384,'Wind base'!$AE$5:$AE$11,""))</f>
        <v>40</v>
      </c>
      <c r="T384" s="498">
        <f t="array" ref="T384">MIN(IF('Wind base'!$AE$5:$AE$11&gt;I384,'Wind base'!$AE$5:$AE$11,""))</f>
        <v>80</v>
      </c>
      <c r="U384" s="499">
        <f t="array" ref="U384">MAX(IF('Wind base'!$AF$4:$AL$4&lt;J384,'Wind base'!$AF$4:$AL$4,""),5)</f>
        <v>80</v>
      </c>
      <c r="V384" s="498">
        <f t="array" ref="V384">MIN(IF('Wind base'!$AF$4:$AL$4&gt;J384,'Wind base'!$AF$4:$AL$4,""))</f>
        <v>160</v>
      </c>
      <c r="W384" s="500">
        <f t="array" ref="W384">INDEX('Wind base'!$AF$5:$AL$11,MATCH($S384,'Wind base'!$AE$5:$AE$11,0),MATCH($U384,'Wind base'!$AF$4:$AL$4,0))</f>
        <v>0.63</v>
      </c>
      <c r="X384" s="500">
        <f t="array" ref="X384">INDEX('Wind base'!$AF$5:$AL$11,MATCH($S384,'Wind base'!$AE$5:$AE$11,0),MATCH($V384,'Wind base'!$AF$4:$AL$4,0))</f>
        <v>0.56999999999999995</v>
      </c>
      <c r="Y384" s="500">
        <f t="array" ref="Y384">INDEX('Wind base'!$AF$5:$AL$11,MATCH($T384,'Wind base'!$AE$5:$AE$11,0),MATCH($U384,'Wind base'!$AF$4:$AL$4,0))</f>
        <v>0.56000000000000005</v>
      </c>
      <c r="Z384" s="500">
        <f t="array" ref="Z384">INDEX('Wind base'!$AF$5:$AL$11,MATCH($T384,'Wind base'!$AE$5:$AE$11,0),MATCH($V384,'Wind base'!$AF$4:$AL$4,0))</f>
        <v>0.51</v>
      </c>
      <c r="AA384" s="501">
        <f t="shared" si="104"/>
        <v>0.57602125000000004</v>
      </c>
      <c r="AB384" s="501">
        <f t="shared" si="105"/>
        <v>0.52373250000000005</v>
      </c>
      <c r="AC384" s="501">
        <f t="shared" si="106"/>
        <v>0.54543233125000001</v>
      </c>
    </row>
    <row r="385" spans="1:29" ht="15" customHeight="1">
      <c r="A385" s="457">
        <f t="shared" si="103"/>
        <v>1</v>
      </c>
      <c r="B385" s="701" t="str">
        <f t="shared" si="107"/>
        <v>T371</v>
      </c>
      <c r="C385" s="701" t="str">
        <f t="shared" si="108"/>
        <v>T375</v>
      </c>
      <c r="D385" s="885" t="str">
        <f t="shared" si="109"/>
        <v>T37-</v>
      </c>
      <c r="F385" s="1127" t="str">
        <f t="shared" si="110"/>
        <v>T37</v>
      </c>
      <c r="G385" s="1128"/>
      <c r="H385" s="688">
        <f t="shared" si="111"/>
        <v>123.4</v>
      </c>
      <c r="I385" s="689">
        <f t="shared" si="112"/>
        <v>70.844999999999999</v>
      </c>
      <c r="J385" s="689">
        <f t="shared" si="113"/>
        <v>123.4</v>
      </c>
      <c r="K385" s="690">
        <f t="shared" si="114"/>
        <v>0.54765460312500003</v>
      </c>
      <c r="L385" s="691">
        <f t="shared" si="115"/>
        <v>0.25405207171470884</v>
      </c>
      <c r="M385" s="700">
        <f>IFERROR(IF(J385="","",IF($M$196="-","-",INDEX(BD!$A$1:$K$2510,MATCH('2.Win Load'!B385,BD!$A$1:$A$2510,0),7))),"")</f>
        <v>6.6049999999999998E-3</v>
      </c>
      <c r="N385" s="700">
        <f>IFERROR(IF($J385="","",IF($N$196="-","-",INDEX(BD!$A$1:$K$2510,MATCH('2.Win Load'!C385,BD!$A$1:$A$2510,0),7))),"")</f>
        <v>5.6420000000000003E-3</v>
      </c>
      <c r="O385" s="700" t="str">
        <f>IFERROR(IF($J385="","",IF($O$196="-","-",INDEX(BD!$A$1:$K$2510,MATCH('2.Win Load'!D385,BD!$A$1:$A$2510,0),7))),"")</f>
        <v>-</v>
      </c>
      <c r="P385" s="692">
        <f t="shared" si="116"/>
        <v>86.437571607677853</v>
      </c>
      <c r="Q385" s="692">
        <f t="shared" si="117"/>
        <v>157.83227441977479</v>
      </c>
      <c r="R385" s="960" t="str">
        <f t="shared" si="118"/>
        <v>-</v>
      </c>
      <c r="S385" s="498">
        <f t="array" ref="S385">MAX(IF('Wind base'!$AE$5:$AE$11&lt;I385,'Wind base'!$AE$5:$AE$11,""))</f>
        <v>40</v>
      </c>
      <c r="T385" s="498">
        <f t="array" ref="T385">MIN(IF('Wind base'!$AE$5:$AE$11&gt;I385,'Wind base'!$AE$5:$AE$11,""))</f>
        <v>80</v>
      </c>
      <c r="U385" s="499">
        <f t="array" ref="U385">MAX(IF('Wind base'!$AF$4:$AL$4&lt;J385,'Wind base'!$AF$4:$AL$4,""),5)</f>
        <v>80</v>
      </c>
      <c r="V385" s="498">
        <f t="array" ref="V385">MIN(IF('Wind base'!$AF$4:$AL$4&gt;J385,'Wind base'!$AF$4:$AL$4,""))</f>
        <v>160</v>
      </c>
      <c r="W385" s="500">
        <f t="array" ref="W385">INDEX('Wind base'!$AF$5:$AL$11,MATCH($S385,'Wind base'!$AE$5:$AE$11,0),MATCH($U385,'Wind base'!$AF$4:$AL$4,0))</f>
        <v>0.63</v>
      </c>
      <c r="X385" s="500">
        <f t="array" ref="X385">INDEX('Wind base'!$AF$5:$AL$11,MATCH($S385,'Wind base'!$AE$5:$AE$11,0),MATCH($V385,'Wind base'!$AF$4:$AL$4,0))</f>
        <v>0.56999999999999995</v>
      </c>
      <c r="Y385" s="500">
        <f t="array" ref="Y385">INDEX('Wind base'!$AF$5:$AL$11,MATCH($T385,'Wind base'!$AE$5:$AE$11,0),MATCH($U385,'Wind base'!$AF$4:$AL$4,0))</f>
        <v>0.56000000000000005</v>
      </c>
      <c r="Z385" s="500">
        <f t="array" ref="Z385">INDEX('Wind base'!$AF$5:$AL$11,MATCH($T385,'Wind base'!$AE$5:$AE$11,0),MATCH($V385,'Wind base'!$AF$4:$AL$4,0))</f>
        <v>0.51</v>
      </c>
      <c r="AA385" s="501">
        <f t="shared" si="104"/>
        <v>0.57602125000000004</v>
      </c>
      <c r="AB385" s="501">
        <f t="shared" si="105"/>
        <v>0.52373250000000005</v>
      </c>
      <c r="AC385" s="501">
        <f t="shared" si="106"/>
        <v>0.54765460312500003</v>
      </c>
    </row>
    <row r="386" spans="1:29" ht="15" customHeight="1">
      <c r="A386" s="457">
        <f t="shared" si="103"/>
        <v>1</v>
      </c>
      <c r="B386" s="701" t="str">
        <f t="shared" si="107"/>
        <v>T361</v>
      </c>
      <c r="C386" s="701" t="str">
        <f t="shared" si="108"/>
        <v>T365</v>
      </c>
      <c r="D386" s="885" t="str">
        <f t="shared" si="109"/>
        <v>T36-</v>
      </c>
      <c r="F386" s="1127" t="str">
        <f t="shared" si="110"/>
        <v>T36</v>
      </c>
      <c r="G386" s="1128"/>
      <c r="H386" s="688">
        <f t="shared" si="111"/>
        <v>120</v>
      </c>
      <c r="I386" s="689">
        <f t="shared" si="112"/>
        <v>70.844999999999999</v>
      </c>
      <c r="J386" s="689">
        <f t="shared" si="113"/>
        <v>120</v>
      </c>
      <c r="K386" s="690">
        <f t="shared" si="114"/>
        <v>0.54987687500000004</v>
      </c>
      <c r="L386" s="691">
        <f t="shared" si="115"/>
        <v>0.25454718168376572</v>
      </c>
      <c r="M386" s="700">
        <f>IFERROR(IF(J386="","",IF($M$196="-","-",INDEX(BD!$A$1:$K$2510,MATCH('2.Win Load'!B386,BD!$A$1:$A$2510,0),7))),"")</f>
        <v>6.424E-3</v>
      </c>
      <c r="N386" s="700">
        <f>IFERROR(IF($J386="","",IF($N$196="-","-",INDEX(BD!$A$1:$K$2510,MATCH('2.Win Load'!C386,BD!$A$1:$A$2510,0),7))),"")</f>
        <v>4.9480000000000001E-3</v>
      </c>
      <c r="O386" s="700" t="str">
        <f>IFERROR(IF($J386="","",IF($O$196="-","-",INDEX(BD!$A$1:$K$2510,MATCH('2.Win Load'!D386,BD!$A$1:$A$2510,0),7))),"")</f>
        <v>-</v>
      </c>
      <c r="P386" s="692">
        <f t="shared" si="116"/>
        <v>86.639748887369294</v>
      </c>
      <c r="Q386" s="692">
        <f t="shared" si="117"/>
        <v>157.56208858095604</v>
      </c>
      <c r="R386" s="960" t="str">
        <f t="shared" si="118"/>
        <v>-</v>
      </c>
      <c r="S386" s="498">
        <f t="array" ref="S386">MAX(IF('Wind base'!$AE$5:$AE$11&lt;I386,'Wind base'!$AE$5:$AE$11,""))</f>
        <v>40</v>
      </c>
      <c r="T386" s="498">
        <f t="array" ref="T386">MIN(IF('Wind base'!$AE$5:$AE$11&gt;I386,'Wind base'!$AE$5:$AE$11,""))</f>
        <v>80</v>
      </c>
      <c r="U386" s="499">
        <f t="array" ref="U386">MAX(IF('Wind base'!$AF$4:$AL$4&lt;J386,'Wind base'!$AF$4:$AL$4,""),5)</f>
        <v>80</v>
      </c>
      <c r="V386" s="498">
        <f t="array" ref="V386">MIN(IF('Wind base'!$AF$4:$AL$4&gt;J386,'Wind base'!$AF$4:$AL$4,""))</f>
        <v>160</v>
      </c>
      <c r="W386" s="500">
        <f t="array" ref="W386">INDEX('Wind base'!$AF$5:$AL$11,MATCH($S386,'Wind base'!$AE$5:$AE$11,0),MATCH($U386,'Wind base'!$AF$4:$AL$4,0))</f>
        <v>0.63</v>
      </c>
      <c r="X386" s="500">
        <f t="array" ref="X386">INDEX('Wind base'!$AF$5:$AL$11,MATCH($S386,'Wind base'!$AE$5:$AE$11,0),MATCH($V386,'Wind base'!$AF$4:$AL$4,0))</f>
        <v>0.56999999999999995</v>
      </c>
      <c r="Y386" s="500">
        <f t="array" ref="Y386">INDEX('Wind base'!$AF$5:$AL$11,MATCH($T386,'Wind base'!$AE$5:$AE$11,0),MATCH($U386,'Wind base'!$AF$4:$AL$4,0))</f>
        <v>0.56000000000000005</v>
      </c>
      <c r="Z386" s="500">
        <f t="array" ref="Z386">INDEX('Wind base'!$AF$5:$AL$11,MATCH($T386,'Wind base'!$AE$5:$AE$11,0),MATCH($V386,'Wind base'!$AF$4:$AL$4,0))</f>
        <v>0.51</v>
      </c>
      <c r="AA386" s="501">
        <f t="shared" si="104"/>
        <v>0.57602125000000004</v>
      </c>
      <c r="AB386" s="501">
        <f t="shared" si="105"/>
        <v>0.52373250000000005</v>
      </c>
      <c r="AC386" s="501">
        <f t="shared" si="106"/>
        <v>0.54987687500000004</v>
      </c>
    </row>
    <row r="387" spans="1:29" ht="15" customHeight="1">
      <c r="A387" s="457">
        <f t="shared" si="103"/>
        <v>1</v>
      </c>
      <c r="B387" s="701" t="str">
        <f t="shared" si="107"/>
        <v>T351</v>
      </c>
      <c r="C387" s="701" t="str">
        <f t="shared" si="108"/>
        <v>T355</v>
      </c>
      <c r="D387" s="885" t="str">
        <f t="shared" si="109"/>
        <v>T35-</v>
      </c>
      <c r="F387" s="1127" t="str">
        <f t="shared" si="110"/>
        <v>T35</v>
      </c>
      <c r="G387" s="1128"/>
      <c r="H387" s="688">
        <f t="shared" si="111"/>
        <v>116.6</v>
      </c>
      <c r="I387" s="689">
        <f t="shared" si="112"/>
        <v>70.844999999999999</v>
      </c>
      <c r="J387" s="689">
        <f t="shared" si="113"/>
        <v>116.6</v>
      </c>
      <c r="K387" s="690">
        <f t="shared" si="114"/>
        <v>0.55209914687500006</v>
      </c>
      <c r="L387" s="691">
        <f t="shared" si="115"/>
        <v>0.25505746413122871</v>
      </c>
      <c r="M387" s="700">
        <f>IFERROR(IF(J387="","",IF($M$196="-","-",INDEX(BD!$A$1:$K$2510,MATCH('2.Win Load'!B387,BD!$A$1:$A$2510,0),7))),"")</f>
        <v>6.241E-3</v>
      </c>
      <c r="N387" s="700">
        <f>IFERROR(IF($J387="","",IF($N$196="-","-",INDEX(BD!$A$1:$K$2510,MATCH('2.Win Load'!C387,BD!$A$1:$A$2510,0),7))),"")</f>
        <v>4.2339999999999999E-3</v>
      </c>
      <c r="O387" s="700" t="str">
        <f>IFERROR(IF($J387="","",IF($O$196="-","-",INDEX(BD!$A$1:$K$2510,MATCH('2.Win Load'!D387,BD!$A$1:$A$2510,0),7))),"")</f>
        <v>-</v>
      </c>
      <c r="P387" s="692">
        <f t="shared" si="116"/>
        <v>86.836723794657814</v>
      </c>
      <c r="Q387" s="692">
        <f t="shared" si="117"/>
        <v>157.28465491419857</v>
      </c>
      <c r="R387" s="960" t="str">
        <f t="shared" si="118"/>
        <v>-</v>
      </c>
      <c r="S387" s="498">
        <f t="array" ref="S387">MAX(IF('Wind base'!$AE$5:$AE$11&lt;I387,'Wind base'!$AE$5:$AE$11,""))</f>
        <v>40</v>
      </c>
      <c r="T387" s="498">
        <f t="array" ref="T387">MIN(IF('Wind base'!$AE$5:$AE$11&gt;I387,'Wind base'!$AE$5:$AE$11,""))</f>
        <v>80</v>
      </c>
      <c r="U387" s="499">
        <f t="array" ref="U387">MAX(IF('Wind base'!$AF$4:$AL$4&lt;J387,'Wind base'!$AF$4:$AL$4,""),5)</f>
        <v>80</v>
      </c>
      <c r="V387" s="498">
        <f t="array" ref="V387">MIN(IF('Wind base'!$AF$4:$AL$4&gt;J387,'Wind base'!$AF$4:$AL$4,""))</f>
        <v>160</v>
      </c>
      <c r="W387" s="500">
        <f t="array" ref="W387">INDEX('Wind base'!$AF$5:$AL$11,MATCH($S387,'Wind base'!$AE$5:$AE$11,0),MATCH($U387,'Wind base'!$AF$4:$AL$4,0))</f>
        <v>0.63</v>
      </c>
      <c r="X387" s="500">
        <f t="array" ref="X387">INDEX('Wind base'!$AF$5:$AL$11,MATCH($S387,'Wind base'!$AE$5:$AE$11,0),MATCH($V387,'Wind base'!$AF$4:$AL$4,0))</f>
        <v>0.56999999999999995</v>
      </c>
      <c r="Y387" s="500">
        <f t="array" ref="Y387">INDEX('Wind base'!$AF$5:$AL$11,MATCH($T387,'Wind base'!$AE$5:$AE$11,0),MATCH($U387,'Wind base'!$AF$4:$AL$4,0))</f>
        <v>0.56000000000000005</v>
      </c>
      <c r="Z387" s="500">
        <f t="array" ref="Z387">INDEX('Wind base'!$AF$5:$AL$11,MATCH($T387,'Wind base'!$AE$5:$AE$11,0),MATCH($V387,'Wind base'!$AF$4:$AL$4,0))</f>
        <v>0.51</v>
      </c>
      <c r="AA387" s="501">
        <f t="shared" si="104"/>
        <v>0.57602125000000004</v>
      </c>
      <c r="AB387" s="501">
        <f t="shared" si="105"/>
        <v>0.52373250000000005</v>
      </c>
      <c r="AC387" s="501">
        <f t="shared" si="106"/>
        <v>0.55209914687500006</v>
      </c>
    </row>
    <row r="388" spans="1:29" ht="15" customHeight="1">
      <c r="A388" s="457">
        <f t="shared" si="103"/>
        <v>1</v>
      </c>
      <c r="B388" s="701" t="str">
        <f t="shared" si="107"/>
        <v>T341</v>
      </c>
      <c r="C388" s="701" t="str">
        <f t="shared" si="108"/>
        <v>T345</v>
      </c>
      <c r="D388" s="885" t="str">
        <f t="shared" si="109"/>
        <v>T34-</v>
      </c>
      <c r="F388" s="1127" t="str">
        <f t="shared" si="110"/>
        <v>T34</v>
      </c>
      <c r="G388" s="1128"/>
      <c r="H388" s="688">
        <f t="shared" si="111"/>
        <v>113.2</v>
      </c>
      <c r="I388" s="689">
        <f t="shared" si="112"/>
        <v>70.844999999999999</v>
      </c>
      <c r="J388" s="689">
        <f t="shared" si="113"/>
        <v>113.2</v>
      </c>
      <c r="K388" s="690">
        <f t="shared" si="114"/>
        <v>0.55432141875000007</v>
      </c>
      <c r="L388" s="691">
        <f t="shared" si="115"/>
        <v>0.25558384513374699</v>
      </c>
      <c r="M388" s="700">
        <f>IFERROR(IF(J388="","",IF($M$196="-","-",INDEX(BD!$A$1:$K$2510,MATCH('2.Win Load'!B388,BD!$A$1:$A$2510,0),7))),"")</f>
        <v>6.0549999999999996E-3</v>
      </c>
      <c r="N388" s="700">
        <f>IFERROR(IF($J388="","",IF($N$196="-","-",INDEX(BD!$A$1:$K$2510,MATCH('2.Win Load'!C388,BD!$A$1:$A$2510,0),7))),"")</f>
        <v>3.5019999999999999E-3</v>
      </c>
      <c r="O388" s="700" t="str">
        <f>IFERROR(IF($J388="","",IF($O$196="-","-",INDEX(BD!$A$1:$K$2510,MATCH('2.Win Load'!D388,BD!$A$1:$A$2510,0),7))),"")</f>
        <v>-</v>
      </c>
      <c r="P388" s="692">
        <f t="shared" si="116"/>
        <v>87.028218817717814</v>
      </c>
      <c r="Q388" s="692">
        <f t="shared" si="117"/>
        <v>156.99955995560708</v>
      </c>
      <c r="R388" s="960" t="str">
        <f t="shared" si="118"/>
        <v>-</v>
      </c>
      <c r="S388" s="498">
        <f t="array" ref="S388">MAX(IF('Wind base'!$AE$5:$AE$11&lt;I388,'Wind base'!$AE$5:$AE$11,""))</f>
        <v>40</v>
      </c>
      <c r="T388" s="498">
        <f t="array" ref="T388">MIN(IF('Wind base'!$AE$5:$AE$11&gt;I388,'Wind base'!$AE$5:$AE$11,""))</f>
        <v>80</v>
      </c>
      <c r="U388" s="499">
        <f t="array" ref="U388">MAX(IF('Wind base'!$AF$4:$AL$4&lt;J388,'Wind base'!$AF$4:$AL$4,""),5)</f>
        <v>80</v>
      </c>
      <c r="V388" s="498">
        <f t="array" ref="V388">MIN(IF('Wind base'!$AF$4:$AL$4&gt;J388,'Wind base'!$AF$4:$AL$4,""))</f>
        <v>160</v>
      </c>
      <c r="W388" s="500">
        <f t="array" ref="W388">INDEX('Wind base'!$AF$5:$AL$11,MATCH($S388,'Wind base'!$AE$5:$AE$11,0),MATCH($U388,'Wind base'!$AF$4:$AL$4,0))</f>
        <v>0.63</v>
      </c>
      <c r="X388" s="500">
        <f t="array" ref="X388">INDEX('Wind base'!$AF$5:$AL$11,MATCH($S388,'Wind base'!$AE$5:$AE$11,0),MATCH($V388,'Wind base'!$AF$4:$AL$4,0))</f>
        <v>0.56999999999999995</v>
      </c>
      <c r="Y388" s="500">
        <f t="array" ref="Y388">INDEX('Wind base'!$AF$5:$AL$11,MATCH($T388,'Wind base'!$AE$5:$AE$11,0),MATCH($U388,'Wind base'!$AF$4:$AL$4,0))</f>
        <v>0.56000000000000005</v>
      </c>
      <c r="Z388" s="500">
        <f t="array" ref="Z388">INDEX('Wind base'!$AF$5:$AL$11,MATCH($T388,'Wind base'!$AE$5:$AE$11,0),MATCH($V388,'Wind base'!$AF$4:$AL$4,0))</f>
        <v>0.51</v>
      </c>
      <c r="AA388" s="501">
        <f t="shared" si="104"/>
        <v>0.57602125000000004</v>
      </c>
      <c r="AB388" s="501">
        <f t="shared" si="105"/>
        <v>0.52373250000000005</v>
      </c>
      <c r="AC388" s="501">
        <f t="shared" si="106"/>
        <v>0.55432141875000007</v>
      </c>
    </row>
    <row r="389" spans="1:29" ht="15" customHeight="1">
      <c r="A389" s="457">
        <f t="shared" si="103"/>
        <v>1</v>
      </c>
      <c r="B389" s="701" t="str">
        <f t="shared" si="107"/>
        <v>T331</v>
      </c>
      <c r="C389" s="701" t="str">
        <f t="shared" si="108"/>
        <v>T335</v>
      </c>
      <c r="D389" s="885" t="str">
        <f t="shared" si="109"/>
        <v>T33-</v>
      </c>
      <c r="F389" s="1127" t="str">
        <f t="shared" si="110"/>
        <v>T33</v>
      </c>
      <c r="G389" s="1128"/>
      <c r="H389" s="688">
        <f t="shared" si="111"/>
        <v>109.8</v>
      </c>
      <c r="I389" s="689">
        <f t="shared" si="112"/>
        <v>70.844999999999999</v>
      </c>
      <c r="J389" s="689">
        <f t="shared" si="113"/>
        <v>109.8</v>
      </c>
      <c r="K389" s="690">
        <f t="shared" si="114"/>
        <v>0.55654369062500009</v>
      </c>
      <c r="L389" s="691">
        <f t="shared" si="115"/>
        <v>0.256127337152255</v>
      </c>
      <c r="M389" s="700">
        <f>IFERROR(IF(J389="","",IF($M$196="-","-",INDEX(BD!$A$1:$K$2510,MATCH('2.Win Load'!B389,BD!$A$1:$A$2510,0),7))),"")</f>
        <v>5.8659999999999997E-3</v>
      </c>
      <c r="N389" s="700">
        <f>IFERROR(IF($J389="","",IF($N$196="-","-",INDEX(BD!$A$1:$K$2510,MATCH('2.Win Load'!C389,BD!$A$1:$A$2510,0),7))),"")</f>
        <v>2.7569999999999999E-3</v>
      </c>
      <c r="O389" s="700" t="str">
        <f>IFERROR(IF($J389="","",IF($O$196="-","-",INDEX(BD!$A$1:$K$2510,MATCH('2.Win Load'!D389,BD!$A$1:$A$2510,0),7))),"")</f>
        <v>-</v>
      </c>
      <c r="P389" s="692">
        <f t="shared" si="116"/>
        <v>87.213932265226561</v>
      </c>
      <c r="Q389" s="692">
        <f t="shared" si="117"/>
        <v>156.70635339929032</v>
      </c>
      <c r="R389" s="960" t="str">
        <f t="shared" si="118"/>
        <v>-</v>
      </c>
      <c r="S389" s="498">
        <f t="array" ref="S389">MAX(IF('Wind base'!$AE$5:$AE$11&lt;I389,'Wind base'!$AE$5:$AE$11,""))</f>
        <v>40</v>
      </c>
      <c r="T389" s="498">
        <f t="array" ref="T389">MIN(IF('Wind base'!$AE$5:$AE$11&gt;I389,'Wind base'!$AE$5:$AE$11,""))</f>
        <v>80</v>
      </c>
      <c r="U389" s="499">
        <f t="array" ref="U389">MAX(IF('Wind base'!$AF$4:$AL$4&lt;J389,'Wind base'!$AF$4:$AL$4,""),5)</f>
        <v>80</v>
      </c>
      <c r="V389" s="498">
        <f t="array" ref="V389">MIN(IF('Wind base'!$AF$4:$AL$4&gt;J389,'Wind base'!$AF$4:$AL$4,""))</f>
        <v>160</v>
      </c>
      <c r="W389" s="500">
        <f t="array" ref="W389">INDEX('Wind base'!$AF$5:$AL$11,MATCH($S389,'Wind base'!$AE$5:$AE$11,0),MATCH($U389,'Wind base'!$AF$4:$AL$4,0))</f>
        <v>0.63</v>
      </c>
      <c r="X389" s="500">
        <f t="array" ref="X389">INDEX('Wind base'!$AF$5:$AL$11,MATCH($S389,'Wind base'!$AE$5:$AE$11,0),MATCH($V389,'Wind base'!$AF$4:$AL$4,0))</f>
        <v>0.56999999999999995</v>
      </c>
      <c r="Y389" s="500">
        <f t="array" ref="Y389">INDEX('Wind base'!$AF$5:$AL$11,MATCH($T389,'Wind base'!$AE$5:$AE$11,0),MATCH($U389,'Wind base'!$AF$4:$AL$4,0))</f>
        <v>0.56000000000000005</v>
      </c>
      <c r="Z389" s="500">
        <f t="array" ref="Z389">INDEX('Wind base'!$AF$5:$AL$11,MATCH($T389,'Wind base'!$AE$5:$AE$11,0),MATCH($V389,'Wind base'!$AF$4:$AL$4,0))</f>
        <v>0.51</v>
      </c>
      <c r="AA389" s="501">
        <f t="shared" si="104"/>
        <v>0.57602125000000004</v>
      </c>
      <c r="AB389" s="501">
        <f t="shared" si="105"/>
        <v>0.52373250000000005</v>
      </c>
      <c r="AC389" s="501">
        <f t="shared" si="106"/>
        <v>0.55654369062500009</v>
      </c>
    </row>
    <row r="390" spans="1:29" ht="15" customHeight="1">
      <c r="A390" s="457">
        <f t="shared" si="103"/>
        <v>1</v>
      </c>
      <c r="B390" s="701" t="str">
        <f t="shared" si="107"/>
        <v>T321</v>
      </c>
      <c r="C390" s="701" t="str">
        <f t="shared" si="108"/>
        <v>T325</v>
      </c>
      <c r="D390" s="885" t="str">
        <f t="shared" si="109"/>
        <v>T32-</v>
      </c>
      <c r="F390" s="1127" t="str">
        <f t="shared" si="110"/>
        <v>T32</v>
      </c>
      <c r="G390" s="1128"/>
      <c r="H390" s="688">
        <f t="shared" si="111"/>
        <v>106.4</v>
      </c>
      <c r="I390" s="689">
        <f t="shared" si="112"/>
        <v>70.844999999999999</v>
      </c>
      <c r="J390" s="689">
        <f t="shared" si="113"/>
        <v>106.4</v>
      </c>
      <c r="K390" s="690">
        <f t="shared" si="114"/>
        <v>0.55876596249999999</v>
      </c>
      <c r="L390" s="691">
        <f t="shared" si="115"/>
        <v>0.25668905005020637</v>
      </c>
      <c r="M390" s="700">
        <f>IFERROR(IF(J390="","",IF($M$196="-","-",INDEX(BD!$A$1:$K$2510,MATCH('2.Win Load'!B390,BD!$A$1:$A$2510,0),7))),"")</f>
        <v>5.6740000000000002E-3</v>
      </c>
      <c r="N390" s="700">
        <f>IFERROR(IF($J390="","",IF($N$196="-","-",INDEX(BD!$A$1:$K$2510,MATCH('2.Win Load'!C390,BD!$A$1:$A$2510,0),7))),"")</f>
        <v>2.003E-3</v>
      </c>
      <c r="O390" s="700" t="str">
        <f>IFERROR(IF($J390="","",IF($O$196="-","-",INDEX(BD!$A$1:$K$2510,MATCH('2.Win Load'!D390,BD!$A$1:$A$2510,0),7))),"")</f>
        <v>-</v>
      </c>
      <c r="P390" s="692">
        <f t="shared" si="116"/>
        <v>87.39353532129438</v>
      </c>
      <c r="Q390" s="692">
        <f t="shared" si="117"/>
        <v>156.40454355931601</v>
      </c>
      <c r="R390" s="960" t="str">
        <f t="shared" si="118"/>
        <v>-</v>
      </c>
      <c r="S390" s="498">
        <f t="array" ref="S390">MAX(IF('Wind base'!$AE$5:$AE$11&lt;I390,'Wind base'!$AE$5:$AE$11,""))</f>
        <v>40</v>
      </c>
      <c r="T390" s="498">
        <f t="array" ref="T390">MIN(IF('Wind base'!$AE$5:$AE$11&gt;I390,'Wind base'!$AE$5:$AE$11,""))</f>
        <v>80</v>
      </c>
      <c r="U390" s="499">
        <f t="array" ref="U390">MAX(IF('Wind base'!$AF$4:$AL$4&lt;J390,'Wind base'!$AF$4:$AL$4,""),5)</f>
        <v>80</v>
      </c>
      <c r="V390" s="498">
        <f t="array" ref="V390">MIN(IF('Wind base'!$AF$4:$AL$4&gt;J390,'Wind base'!$AF$4:$AL$4,""))</f>
        <v>160</v>
      </c>
      <c r="W390" s="500">
        <f t="array" ref="W390">INDEX('Wind base'!$AF$5:$AL$11,MATCH($S390,'Wind base'!$AE$5:$AE$11,0),MATCH($U390,'Wind base'!$AF$4:$AL$4,0))</f>
        <v>0.63</v>
      </c>
      <c r="X390" s="500">
        <f t="array" ref="X390">INDEX('Wind base'!$AF$5:$AL$11,MATCH($S390,'Wind base'!$AE$5:$AE$11,0),MATCH($V390,'Wind base'!$AF$4:$AL$4,0))</f>
        <v>0.56999999999999995</v>
      </c>
      <c r="Y390" s="500">
        <f t="array" ref="Y390">INDEX('Wind base'!$AF$5:$AL$11,MATCH($T390,'Wind base'!$AE$5:$AE$11,0),MATCH($U390,'Wind base'!$AF$4:$AL$4,0))</f>
        <v>0.56000000000000005</v>
      </c>
      <c r="Z390" s="500">
        <f t="array" ref="Z390">INDEX('Wind base'!$AF$5:$AL$11,MATCH($T390,'Wind base'!$AE$5:$AE$11,0),MATCH($V390,'Wind base'!$AF$4:$AL$4,0))</f>
        <v>0.51</v>
      </c>
      <c r="AA390" s="501">
        <f t="shared" si="104"/>
        <v>0.57602125000000004</v>
      </c>
      <c r="AB390" s="501">
        <f t="shared" si="105"/>
        <v>0.52373250000000005</v>
      </c>
      <c r="AC390" s="501">
        <f t="shared" si="106"/>
        <v>0.55876596249999999</v>
      </c>
    </row>
    <row r="391" spans="1:29" ht="15" customHeight="1">
      <c r="A391" s="457">
        <f t="shared" si="103"/>
        <v>1</v>
      </c>
      <c r="B391" s="701" t="str">
        <f t="shared" si="107"/>
        <v>T311</v>
      </c>
      <c r="C391" s="701" t="str">
        <f t="shared" si="108"/>
        <v>T315</v>
      </c>
      <c r="D391" s="885" t="str">
        <f t="shared" si="109"/>
        <v>T31-</v>
      </c>
      <c r="F391" s="1127" t="str">
        <f t="shared" si="110"/>
        <v>T31</v>
      </c>
      <c r="G391" s="1128"/>
      <c r="H391" s="688">
        <f t="shared" si="111"/>
        <v>103</v>
      </c>
      <c r="I391" s="689">
        <f t="shared" si="112"/>
        <v>70.844999999999999</v>
      </c>
      <c r="J391" s="689">
        <f t="shared" si="113"/>
        <v>103</v>
      </c>
      <c r="K391" s="690">
        <f t="shared" si="114"/>
        <v>0.56098823437500001</v>
      </c>
      <c r="L391" s="691">
        <f t="shared" si="115"/>
        <v>0.25727020391925687</v>
      </c>
      <c r="M391" s="700">
        <f>IFERROR(IF(J391="","",IF($M$196="-","-",INDEX(BD!$A$1:$K$2510,MATCH('2.Win Load'!B391,BD!$A$1:$A$2510,0),7))),"")</f>
        <v>5.4790000000000004E-3</v>
      </c>
      <c r="N391" s="700">
        <f>IFERROR(IF($J391="","",IF($N$196="-","-",INDEX(BD!$A$1:$K$2510,MATCH('2.Win Load'!C391,BD!$A$1:$A$2510,0),7))),"")</f>
        <v>1.2470000000000001E-3</v>
      </c>
      <c r="O391" s="700" t="str">
        <f>IFERROR(IF($J391="","",IF($O$196="-","-",INDEX(BD!$A$1:$K$2510,MATCH('2.Win Load'!D391,BD!$A$1:$A$2510,0),7))),"")</f>
        <v>-</v>
      </c>
      <c r="P391" s="692">
        <f t="shared" si="116"/>
        <v>87.566668633953881</v>
      </c>
      <c r="Q391" s="692">
        <f t="shared" si="117"/>
        <v>156.09359210806332</v>
      </c>
      <c r="R391" s="960" t="str">
        <f t="shared" si="118"/>
        <v>-</v>
      </c>
      <c r="S391" s="498">
        <f t="array" ref="S391">MAX(IF('Wind base'!$AE$5:$AE$11&lt;I391,'Wind base'!$AE$5:$AE$11,""))</f>
        <v>40</v>
      </c>
      <c r="T391" s="498">
        <f t="array" ref="T391">MIN(IF('Wind base'!$AE$5:$AE$11&gt;I391,'Wind base'!$AE$5:$AE$11,""))</f>
        <v>80</v>
      </c>
      <c r="U391" s="499">
        <f t="array" ref="U391">MAX(IF('Wind base'!$AF$4:$AL$4&lt;J391,'Wind base'!$AF$4:$AL$4,""),5)</f>
        <v>80</v>
      </c>
      <c r="V391" s="498">
        <f t="array" ref="V391">MIN(IF('Wind base'!$AF$4:$AL$4&gt;J391,'Wind base'!$AF$4:$AL$4,""))</f>
        <v>160</v>
      </c>
      <c r="W391" s="500">
        <f t="array" ref="W391">INDEX('Wind base'!$AF$5:$AL$11,MATCH($S391,'Wind base'!$AE$5:$AE$11,0),MATCH($U391,'Wind base'!$AF$4:$AL$4,0))</f>
        <v>0.63</v>
      </c>
      <c r="X391" s="500">
        <f t="array" ref="X391">INDEX('Wind base'!$AF$5:$AL$11,MATCH($S391,'Wind base'!$AE$5:$AE$11,0),MATCH($V391,'Wind base'!$AF$4:$AL$4,0))</f>
        <v>0.56999999999999995</v>
      </c>
      <c r="Y391" s="500">
        <f t="array" ref="Y391">INDEX('Wind base'!$AF$5:$AL$11,MATCH($T391,'Wind base'!$AE$5:$AE$11,0),MATCH($U391,'Wind base'!$AF$4:$AL$4,0))</f>
        <v>0.56000000000000005</v>
      </c>
      <c r="Z391" s="500">
        <f t="array" ref="Z391">INDEX('Wind base'!$AF$5:$AL$11,MATCH($T391,'Wind base'!$AE$5:$AE$11,0),MATCH($V391,'Wind base'!$AF$4:$AL$4,0))</f>
        <v>0.51</v>
      </c>
      <c r="AA391" s="501">
        <f t="shared" si="104"/>
        <v>0.57602125000000004</v>
      </c>
      <c r="AB391" s="501">
        <f t="shared" si="105"/>
        <v>0.52373250000000005</v>
      </c>
      <c r="AC391" s="501">
        <f t="shared" si="106"/>
        <v>0.56098823437500001</v>
      </c>
    </row>
    <row r="392" spans="1:29" ht="15" customHeight="1">
      <c r="A392" s="457">
        <f t="shared" si="103"/>
        <v>1</v>
      </c>
      <c r="B392" s="701" t="str">
        <f t="shared" si="107"/>
        <v>T301</v>
      </c>
      <c r="C392" s="701" t="str">
        <f t="shared" si="108"/>
        <v>T305</v>
      </c>
      <c r="D392" s="885" t="str">
        <f t="shared" si="109"/>
        <v>T30-</v>
      </c>
      <c r="F392" s="1127" t="str">
        <f t="shared" si="110"/>
        <v>T30</v>
      </c>
      <c r="G392" s="1128"/>
      <c r="H392" s="688">
        <f t="shared" si="111"/>
        <v>99.6</v>
      </c>
      <c r="I392" s="689">
        <f t="shared" si="112"/>
        <v>70.844999999999999</v>
      </c>
      <c r="J392" s="689">
        <f t="shared" si="113"/>
        <v>99.6</v>
      </c>
      <c r="K392" s="690">
        <f t="shared" si="114"/>
        <v>0.56321050625000002</v>
      </c>
      <c r="L392" s="691">
        <f t="shared" si="115"/>
        <v>0.25787214407927439</v>
      </c>
      <c r="M392" s="700">
        <f>IFERROR(IF(J392="","",IF($M$196="-","-",INDEX(BD!$A$1:$K$2510,MATCH('2.Win Load'!B392,BD!$A$1:$A$2510,0),7))),"")</f>
        <v>5.2810000000000001E-3</v>
      </c>
      <c r="N392" s="700">
        <f>IFERROR(IF($J392="","",IF($N$196="-","-",INDEX(BD!$A$1:$K$2510,MATCH('2.Win Load'!C392,BD!$A$1:$A$2510,0),7))),"")</f>
        <v>4.95E-4</v>
      </c>
      <c r="O392" s="700" t="str">
        <f>IFERROR(IF($J392="","",IF($O$196="-","-",INDEX(BD!$A$1:$K$2510,MATCH('2.Win Load'!D392,BD!$A$1:$A$2510,0),7))),"")</f>
        <v>-</v>
      </c>
      <c r="P392" s="692">
        <f t="shared" si="116"/>
        <v>87.732938345192835</v>
      </c>
      <c r="Q392" s="692">
        <f t="shared" si="117"/>
        <v>155.77290794758292</v>
      </c>
      <c r="R392" s="960" t="str">
        <f t="shared" si="118"/>
        <v>-</v>
      </c>
      <c r="S392" s="498">
        <f t="array" ref="S392">MAX(IF('Wind base'!$AE$5:$AE$11&lt;I392,'Wind base'!$AE$5:$AE$11,""))</f>
        <v>40</v>
      </c>
      <c r="T392" s="498">
        <f t="array" ref="T392">MIN(IF('Wind base'!$AE$5:$AE$11&gt;I392,'Wind base'!$AE$5:$AE$11,""))</f>
        <v>80</v>
      </c>
      <c r="U392" s="499">
        <f t="array" ref="U392">MAX(IF('Wind base'!$AF$4:$AL$4&lt;J392,'Wind base'!$AF$4:$AL$4,""),5)</f>
        <v>80</v>
      </c>
      <c r="V392" s="498">
        <f t="array" ref="V392">MIN(IF('Wind base'!$AF$4:$AL$4&gt;J392,'Wind base'!$AF$4:$AL$4,""))</f>
        <v>160</v>
      </c>
      <c r="W392" s="500">
        <f t="array" ref="W392">INDEX('Wind base'!$AF$5:$AL$11,MATCH($S392,'Wind base'!$AE$5:$AE$11,0),MATCH($U392,'Wind base'!$AF$4:$AL$4,0))</f>
        <v>0.63</v>
      </c>
      <c r="X392" s="500">
        <f t="array" ref="X392">INDEX('Wind base'!$AF$5:$AL$11,MATCH($S392,'Wind base'!$AE$5:$AE$11,0),MATCH($V392,'Wind base'!$AF$4:$AL$4,0))</f>
        <v>0.56999999999999995</v>
      </c>
      <c r="Y392" s="500">
        <f t="array" ref="Y392">INDEX('Wind base'!$AF$5:$AL$11,MATCH($T392,'Wind base'!$AE$5:$AE$11,0),MATCH($U392,'Wind base'!$AF$4:$AL$4,0))</f>
        <v>0.56000000000000005</v>
      </c>
      <c r="Z392" s="500">
        <f t="array" ref="Z392">INDEX('Wind base'!$AF$5:$AL$11,MATCH($T392,'Wind base'!$AE$5:$AE$11,0),MATCH($V392,'Wind base'!$AF$4:$AL$4,0))</f>
        <v>0.51</v>
      </c>
      <c r="AA392" s="501">
        <f t="shared" si="104"/>
        <v>0.57602125000000004</v>
      </c>
      <c r="AB392" s="501">
        <f t="shared" si="105"/>
        <v>0.52373250000000005</v>
      </c>
      <c r="AC392" s="501">
        <f t="shared" si="106"/>
        <v>0.56321050625000002</v>
      </c>
    </row>
    <row r="393" spans="1:29" ht="15" customHeight="1">
      <c r="A393" s="457">
        <f t="shared" si="103"/>
        <v>1</v>
      </c>
      <c r="B393" s="701" t="str">
        <f t="shared" si="107"/>
        <v>T291</v>
      </c>
      <c r="C393" s="701" t="str">
        <f t="shared" si="108"/>
        <v>T295</v>
      </c>
      <c r="D393" s="885" t="str">
        <f t="shared" si="109"/>
        <v>T29-</v>
      </c>
      <c r="F393" s="1127" t="str">
        <f t="shared" si="110"/>
        <v>T29</v>
      </c>
      <c r="G393" s="1128"/>
      <c r="H393" s="688">
        <f t="shared" si="111"/>
        <v>96.2</v>
      </c>
      <c r="I393" s="689">
        <f t="shared" si="112"/>
        <v>70.844999999999999</v>
      </c>
      <c r="J393" s="689">
        <f t="shared" si="113"/>
        <v>96.2</v>
      </c>
      <c r="K393" s="690">
        <f t="shared" si="114"/>
        <v>0.56543277812500004</v>
      </c>
      <c r="L393" s="691">
        <f t="shared" si="115"/>
        <v>0.25849635870930354</v>
      </c>
      <c r="M393" s="700">
        <f>IFERROR(IF(J393="","",IF($M$196="-","-",INDEX(BD!$A$1:$K$2510,MATCH('2.Win Load'!B393,BD!$A$1:$A$2510,0),7))),"")</f>
        <v>5.0790000000000002E-3</v>
      </c>
      <c r="N393" s="700">
        <f>IFERROR(IF($J393="","",IF($N$196="-","-",INDEX(BD!$A$1:$K$2510,MATCH('2.Win Load'!C393,BD!$A$1:$A$2510,0),7))),"")</f>
        <v>-2.4499999999999999E-4</v>
      </c>
      <c r="O393" s="700" t="str">
        <f>IFERROR(IF($J393="","",IF($O$196="-","-",INDEX(BD!$A$1:$K$2510,MATCH('2.Win Load'!D393,BD!$A$1:$A$2510,0),7))),"")</f>
        <v>-</v>
      </c>
      <c r="P393" s="692">
        <f t="shared" si="116"/>
        <v>87.891911448548001</v>
      </c>
      <c r="Q393" s="692">
        <f t="shared" si="117"/>
        <v>155.4418400362311</v>
      </c>
      <c r="R393" s="960" t="str">
        <f t="shared" si="118"/>
        <v>-</v>
      </c>
      <c r="S393" s="498">
        <f t="array" ref="S393">MAX(IF('Wind base'!$AE$5:$AE$11&lt;I393,'Wind base'!$AE$5:$AE$11,""))</f>
        <v>40</v>
      </c>
      <c r="T393" s="498">
        <f t="array" ref="T393">MIN(IF('Wind base'!$AE$5:$AE$11&gt;I393,'Wind base'!$AE$5:$AE$11,""))</f>
        <v>80</v>
      </c>
      <c r="U393" s="499">
        <f t="array" ref="U393">MAX(IF('Wind base'!$AF$4:$AL$4&lt;J393,'Wind base'!$AF$4:$AL$4,""),5)</f>
        <v>80</v>
      </c>
      <c r="V393" s="498">
        <f t="array" ref="V393">MIN(IF('Wind base'!$AF$4:$AL$4&gt;J393,'Wind base'!$AF$4:$AL$4,""))</f>
        <v>160</v>
      </c>
      <c r="W393" s="500">
        <f t="array" ref="W393">INDEX('Wind base'!$AF$5:$AL$11,MATCH($S393,'Wind base'!$AE$5:$AE$11,0),MATCH($U393,'Wind base'!$AF$4:$AL$4,0))</f>
        <v>0.63</v>
      </c>
      <c r="X393" s="500">
        <f t="array" ref="X393">INDEX('Wind base'!$AF$5:$AL$11,MATCH($S393,'Wind base'!$AE$5:$AE$11,0),MATCH($V393,'Wind base'!$AF$4:$AL$4,0))</f>
        <v>0.56999999999999995</v>
      </c>
      <c r="Y393" s="500">
        <f t="array" ref="Y393">INDEX('Wind base'!$AF$5:$AL$11,MATCH($T393,'Wind base'!$AE$5:$AE$11,0),MATCH($U393,'Wind base'!$AF$4:$AL$4,0))</f>
        <v>0.56000000000000005</v>
      </c>
      <c r="Z393" s="500">
        <f t="array" ref="Z393">INDEX('Wind base'!$AF$5:$AL$11,MATCH($T393,'Wind base'!$AE$5:$AE$11,0),MATCH($V393,'Wind base'!$AF$4:$AL$4,0))</f>
        <v>0.51</v>
      </c>
      <c r="AA393" s="501">
        <f t="shared" si="104"/>
        <v>0.57602125000000004</v>
      </c>
      <c r="AB393" s="501">
        <f t="shared" si="105"/>
        <v>0.52373250000000005</v>
      </c>
      <c r="AC393" s="501">
        <f t="shared" si="106"/>
        <v>0.56543277812500004</v>
      </c>
    </row>
    <row r="394" spans="1:29" ht="15" customHeight="1">
      <c r="A394" s="457">
        <f t="shared" si="103"/>
        <v>1</v>
      </c>
      <c r="B394" s="701" t="str">
        <f t="shared" si="107"/>
        <v>T281</v>
      </c>
      <c r="C394" s="701" t="str">
        <f t="shared" si="108"/>
        <v>T285</v>
      </c>
      <c r="D394" s="885" t="str">
        <f t="shared" si="109"/>
        <v>T28-</v>
      </c>
      <c r="F394" s="1127" t="str">
        <f t="shared" si="110"/>
        <v>T28</v>
      </c>
      <c r="G394" s="1128"/>
      <c r="H394" s="688">
        <f t="shared" si="111"/>
        <v>92.8</v>
      </c>
      <c r="I394" s="689">
        <f t="shared" si="112"/>
        <v>70.844999999999999</v>
      </c>
      <c r="J394" s="689">
        <f t="shared" si="113"/>
        <v>92.8</v>
      </c>
      <c r="K394" s="690">
        <f t="shared" si="114"/>
        <v>0.56765505000000005</v>
      </c>
      <c r="L394" s="691">
        <f t="shared" si="115"/>
        <v>0.25914449968181702</v>
      </c>
      <c r="M394" s="700">
        <f>IFERROR(IF(J394="","",IF($M$196="-","-",INDEX(BD!$A$1:$K$2510,MATCH('2.Win Load'!B394,BD!$A$1:$A$2510,0),7))),"")</f>
        <v>4.8760000000000001E-3</v>
      </c>
      <c r="N394" s="700">
        <f>IFERROR(IF($J394="","",IF($N$196="-","-",INDEX(BD!$A$1:$K$2510,MATCH('2.Win Load'!C394,BD!$A$1:$A$2510,0),7))),"")</f>
        <v>-9.6599999999999995E-4</v>
      </c>
      <c r="O394" s="700" t="str">
        <f>IFERROR(IF($J394="","",IF($O$196="-","-",INDEX(BD!$A$1:$K$2510,MATCH('2.Win Load'!D394,BD!$A$1:$A$2510,0),7))),"")</f>
        <v>-</v>
      </c>
      <c r="P394" s="692">
        <f t="shared" si="116"/>
        <v>88.043110332081525</v>
      </c>
      <c r="Q394" s="692">
        <f t="shared" si="117"/>
        <v>155.09966894874188</v>
      </c>
      <c r="R394" s="960" t="str">
        <f t="shared" si="118"/>
        <v>-</v>
      </c>
      <c r="S394" s="498">
        <f t="array" ref="S394">MAX(IF('Wind base'!$AE$5:$AE$11&lt;I394,'Wind base'!$AE$5:$AE$11,""))</f>
        <v>40</v>
      </c>
      <c r="T394" s="498">
        <f t="array" ref="T394">MIN(IF('Wind base'!$AE$5:$AE$11&gt;I394,'Wind base'!$AE$5:$AE$11,""))</f>
        <v>80</v>
      </c>
      <c r="U394" s="499">
        <f t="array" ref="U394">MAX(IF('Wind base'!$AF$4:$AL$4&lt;J394,'Wind base'!$AF$4:$AL$4,""),5)</f>
        <v>80</v>
      </c>
      <c r="V394" s="498">
        <f t="array" ref="V394">MIN(IF('Wind base'!$AF$4:$AL$4&gt;J394,'Wind base'!$AF$4:$AL$4,""))</f>
        <v>160</v>
      </c>
      <c r="W394" s="500">
        <f t="array" ref="W394">INDEX('Wind base'!$AF$5:$AL$11,MATCH($S394,'Wind base'!$AE$5:$AE$11,0),MATCH($U394,'Wind base'!$AF$4:$AL$4,0))</f>
        <v>0.63</v>
      </c>
      <c r="X394" s="500">
        <f t="array" ref="X394">INDEX('Wind base'!$AF$5:$AL$11,MATCH($S394,'Wind base'!$AE$5:$AE$11,0),MATCH($V394,'Wind base'!$AF$4:$AL$4,0))</f>
        <v>0.56999999999999995</v>
      </c>
      <c r="Y394" s="500">
        <f t="array" ref="Y394">INDEX('Wind base'!$AF$5:$AL$11,MATCH($T394,'Wind base'!$AE$5:$AE$11,0),MATCH($U394,'Wind base'!$AF$4:$AL$4,0))</f>
        <v>0.56000000000000005</v>
      </c>
      <c r="Z394" s="500">
        <f t="array" ref="Z394">INDEX('Wind base'!$AF$5:$AL$11,MATCH($T394,'Wind base'!$AE$5:$AE$11,0),MATCH($V394,'Wind base'!$AF$4:$AL$4,0))</f>
        <v>0.51</v>
      </c>
      <c r="AA394" s="501">
        <f t="shared" si="104"/>
        <v>0.57602125000000004</v>
      </c>
      <c r="AB394" s="501">
        <f t="shared" si="105"/>
        <v>0.52373250000000005</v>
      </c>
      <c r="AC394" s="501">
        <f t="shared" si="106"/>
        <v>0.56765505000000005</v>
      </c>
    </row>
    <row r="395" spans="1:29" ht="15" customHeight="1">
      <c r="A395" s="457">
        <f t="shared" si="103"/>
        <v>1</v>
      </c>
      <c r="B395" s="701" t="str">
        <f t="shared" si="107"/>
        <v>T271</v>
      </c>
      <c r="C395" s="701" t="str">
        <f t="shared" si="108"/>
        <v>T275</v>
      </c>
      <c r="D395" s="885" t="str">
        <f t="shared" si="109"/>
        <v>T27-</v>
      </c>
      <c r="F395" s="1127" t="str">
        <f t="shared" si="110"/>
        <v>T27</v>
      </c>
      <c r="G395" s="1128"/>
      <c r="H395" s="688">
        <f t="shared" si="111"/>
        <v>89.4</v>
      </c>
      <c r="I395" s="689">
        <f t="shared" si="112"/>
        <v>70.844999999999999</v>
      </c>
      <c r="J395" s="689">
        <f t="shared" si="113"/>
        <v>89.4</v>
      </c>
      <c r="K395" s="690">
        <f t="shared" si="114"/>
        <v>0.56987732187500006</v>
      </c>
      <c r="L395" s="691">
        <f t="shared" si="115"/>
        <v>0.25981840732300954</v>
      </c>
      <c r="M395" s="700">
        <f>IFERROR(IF(J395="","",IF($M$196="-","-",INDEX(BD!$A$1:$K$2510,MATCH('2.Win Load'!B395,BD!$A$1:$A$2510,0),7))),"")</f>
        <v>4.6690000000000004E-3</v>
      </c>
      <c r="N395" s="700">
        <f>IFERROR(IF($J395="","",IF($N$196="-","-",INDEX(BD!$A$1:$K$2510,MATCH('2.Win Load'!C395,BD!$A$1:$A$2510,0),7))),"")</f>
        <v>-1.6590000000000001E-3</v>
      </c>
      <c r="O395" s="700" t="str">
        <f>IFERROR(IF($J395="","",IF($O$196="-","-",INDEX(BD!$A$1:$K$2510,MATCH('2.Win Load'!D395,BD!$A$1:$A$2510,0),7))),"")</f>
        <v>-</v>
      </c>
      <c r="P395" s="692">
        <f t="shared" si="116"/>
        <v>88.186006328087842</v>
      </c>
      <c r="Q395" s="692">
        <f t="shared" si="117"/>
        <v>154.74559689081826</v>
      </c>
      <c r="R395" s="960" t="str">
        <f t="shared" si="118"/>
        <v>-</v>
      </c>
      <c r="S395" s="498">
        <f t="array" ref="S395">MAX(IF('Wind base'!$AE$5:$AE$11&lt;I395,'Wind base'!$AE$5:$AE$11,""))</f>
        <v>40</v>
      </c>
      <c r="T395" s="498">
        <f t="array" ref="T395">MIN(IF('Wind base'!$AE$5:$AE$11&gt;I395,'Wind base'!$AE$5:$AE$11,""))</f>
        <v>80</v>
      </c>
      <c r="U395" s="499">
        <f t="array" ref="U395">MAX(IF('Wind base'!$AF$4:$AL$4&lt;J395,'Wind base'!$AF$4:$AL$4,""),5)</f>
        <v>80</v>
      </c>
      <c r="V395" s="498">
        <f t="array" ref="V395">MIN(IF('Wind base'!$AF$4:$AL$4&gt;J395,'Wind base'!$AF$4:$AL$4,""))</f>
        <v>160</v>
      </c>
      <c r="W395" s="500">
        <f t="array" ref="W395">INDEX('Wind base'!$AF$5:$AL$11,MATCH($S395,'Wind base'!$AE$5:$AE$11,0),MATCH($U395,'Wind base'!$AF$4:$AL$4,0))</f>
        <v>0.63</v>
      </c>
      <c r="X395" s="500">
        <f t="array" ref="X395">INDEX('Wind base'!$AF$5:$AL$11,MATCH($S395,'Wind base'!$AE$5:$AE$11,0),MATCH($V395,'Wind base'!$AF$4:$AL$4,0))</f>
        <v>0.56999999999999995</v>
      </c>
      <c r="Y395" s="500">
        <f t="array" ref="Y395">INDEX('Wind base'!$AF$5:$AL$11,MATCH($T395,'Wind base'!$AE$5:$AE$11,0),MATCH($U395,'Wind base'!$AF$4:$AL$4,0))</f>
        <v>0.56000000000000005</v>
      </c>
      <c r="Z395" s="500">
        <f t="array" ref="Z395">INDEX('Wind base'!$AF$5:$AL$11,MATCH($T395,'Wind base'!$AE$5:$AE$11,0),MATCH($V395,'Wind base'!$AF$4:$AL$4,0))</f>
        <v>0.51</v>
      </c>
      <c r="AA395" s="501">
        <f t="shared" si="104"/>
        <v>0.57602125000000004</v>
      </c>
      <c r="AB395" s="501">
        <f t="shared" si="105"/>
        <v>0.52373250000000005</v>
      </c>
      <c r="AC395" s="501">
        <f t="shared" si="106"/>
        <v>0.56987732187500006</v>
      </c>
    </row>
    <row r="396" spans="1:29" ht="15" customHeight="1">
      <c r="A396" s="457">
        <f t="shared" si="103"/>
        <v>1</v>
      </c>
      <c r="B396" s="701" t="str">
        <f t="shared" si="107"/>
        <v>T261</v>
      </c>
      <c r="C396" s="701" t="str">
        <f t="shared" si="108"/>
        <v>T265</v>
      </c>
      <c r="D396" s="885" t="str">
        <f t="shared" si="109"/>
        <v>T26-</v>
      </c>
      <c r="F396" s="1127" t="str">
        <f t="shared" si="110"/>
        <v>T26</v>
      </c>
      <c r="G396" s="1128"/>
      <c r="H396" s="688">
        <f t="shared" si="111"/>
        <v>86</v>
      </c>
      <c r="I396" s="689">
        <f t="shared" si="112"/>
        <v>70.844999999999999</v>
      </c>
      <c r="J396" s="689">
        <f t="shared" si="113"/>
        <v>86</v>
      </c>
      <c r="K396" s="690">
        <f t="shared" si="114"/>
        <v>0.57209959375000008</v>
      </c>
      <c r="L396" s="691">
        <f t="shared" si="115"/>
        <v>0.26052014001918827</v>
      </c>
      <c r="M396" s="700">
        <f>IFERROR(IF(J396="","",IF($M$196="-","-",INDEX(BD!$A$1:$K$2510,MATCH('2.Win Load'!B396,BD!$A$1:$A$2510,0),7))),"")</f>
        <v>4.4609999999999997E-3</v>
      </c>
      <c r="N396" s="700">
        <f>IFERROR(IF($J396="","",IF($N$196="-","-",INDEX(BD!$A$1:$K$2510,MATCH('2.Win Load'!C396,BD!$A$1:$A$2510,0),7))),"")</f>
        <v>-2.3189999999999999E-3</v>
      </c>
      <c r="O396" s="700" t="str">
        <f>IFERROR(IF($J396="","",IF($O$196="-","-",INDEX(BD!$A$1:$K$2510,MATCH('2.Win Load'!D396,BD!$A$1:$A$2510,0),7))),"")</f>
        <v>-</v>
      </c>
      <c r="P396" s="692">
        <f t="shared" si="116"/>
        <v>88.320012043277828</v>
      </c>
      <c r="Q396" s="692">
        <f t="shared" si="117"/>
        <v>154.3787358147863</v>
      </c>
      <c r="R396" s="960" t="str">
        <f t="shared" si="118"/>
        <v>-</v>
      </c>
      <c r="S396" s="498">
        <f t="array" ref="S396">MAX(IF('Wind base'!$AE$5:$AE$11&lt;I396,'Wind base'!$AE$5:$AE$11,""))</f>
        <v>40</v>
      </c>
      <c r="T396" s="498">
        <f t="array" ref="T396">MIN(IF('Wind base'!$AE$5:$AE$11&gt;I396,'Wind base'!$AE$5:$AE$11,""))</f>
        <v>80</v>
      </c>
      <c r="U396" s="499">
        <f t="array" ref="U396">MAX(IF('Wind base'!$AF$4:$AL$4&lt;J396,'Wind base'!$AF$4:$AL$4,""),5)</f>
        <v>80</v>
      </c>
      <c r="V396" s="498">
        <f t="array" ref="V396">MIN(IF('Wind base'!$AF$4:$AL$4&gt;J396,'Wind base'!$AF$4:$AL$4,""))</f>
        <v>160</v>
      </c>
      <c r="W396" s="500">
        <f t="array" ref="W396">INDEX('Wind base'!$AF$5:$AL$11,MATCH($S396,'Wind base'!$AE$5:$AE$11,0),MATCH($U396,'Wind base'!$AF$4:$AL$4,0))</f>
        <v>0.63</v>
      </c>
      <c r="X396" s="500">
        <f t="array" ref="X396">INDEX('Wind base'!$AF$5:$AL$11,MATCH($S396,'Wind base'!$AE$5:$AE$11,0),MATCH($V396,'Wind base'!$AF$4:$AL$4,0))</f>
        <v>0.56999999999999995</v>
      </c>
      <c r="Y396" s="500">
        <f t="array" ref="Y396">INDEX('Wind base'!$AF$5:$AL$11,MATCH($T396,'Wind base'!$AE$5:$AE$11,0),MATCH($U396,'Wind base'!$AF$4:$AL$4,0))</f>
        <v>0.56000000000000005</v>
      </c>
      <c r="Z396" s="500">
        <f t="array" ref="Z396">INDEX('Wind base'!$AF$5:$AL$11,MATCH($T396,'Wind base'!$AE$5:$AE$11,0),MATCH($V396,'Wind base'!$AF$4:$AL$4,0))</f>
        <v>0.51</v>
      </c>
      <c r="AA396" s="501">
        <f t="shared" si="104"/>
        <v>0.57602125000000004</v>
      </c>
      <c r="AB396" s="501">
        <f t="shared" si="105"/>
        <v>0.52373250000000005</v>
      </c>
      <c r="AC396" s="501">
        <f t="shared" si="106"/>
        <v>0.57209959375000008</v>
      </c>
    </row>
    <row r="397" spans="1:29" ht="15" customHeight="1">
      <c r="A397" s="457">
        <f t="shared" si="103"/>
        <v>1</v>
      </c>
      <c r="B397" s="701" t="str">
        <f t="shared" si="107"/>
        <v>T251</v>
      </c>
      <c r="C397" s="701" t="str">
        <f t="shared" si="108"/>
        <v>T255</v>
      </c>
      <c r="D397" s="885" t="str">
        <f t="shared" si="109"/>
        <v>T25-</v>
      </c>
      <c r="F397" s="1127" t="str">
        <f t="shared" si="110"/>
        <v>T25</v>
      </c>
      <c r="G397" s="1128"/>
      <c r="H397" s="688">
        <f t="shared" si="111"/>
        <v>82.6</v>
      </c>
      <c r="I397" s="689">
        <f t="shared" si="112"/>
        <v>70.844999999999999</v>
      </c>
      <c r="J397" s="689">
        <f t="shared" si="113"/>
        <v>82.6</v>
      </c>
      <c r="K397" s="690">
        <f t="shared" si="114"/>
        <v>0.57432186562499998</v>
      </c>
      <c r="L397" s="691">
        <f t="shared" si="115"/>
        <v>0.26125200985055774</v>
      </c>
      <c r="M397" s="700">
        <f>IFERROR(IF(J397="","",IF($M$196="-","-",INDEX(BD!$A$1:$K$2510,MATCH('2.Win Load'!B397,BD!$A$1:$A$2510,0),7))),"")</f>
        <v>4.2500000000000003E-3</v>
      </c>
      <c r="N397" s="700">
        <f>IFERROR(IF($J397="","",IF($N$196="-","-",INDEX(BD!$A$1:$K$2510,MATCH('2.Win Load'!C397,BD!$A$1:$A$2510,0),7))),"")</f>
        <v>-2.9359999999999998E-3</v>
      </c>
      <c r="O397" s="700" t="str">
        <f>IFERROR(IF($J397="","",IF($O$196="-","-",INDEX(BD!$A$1:$K$2510,MATCH('2.Win Load'!D397,BD!$A$1:$A$2510,0),7))),"")</f>
        <v>-</v>
      </c>
      <c r="P397" s="692">
        <f t="shared" si="116"/>
        <v>88.444472180474406</v>
      </c>
      <c r="Q397" s="692">
        <f t="shared" si="117"/>
        <v>153.99809318460407</v>
      </c>
      <c r="R397" s="960" t="str">
        <f t="shared" si="118"/>
        <v>-</v>
      </c>
      <c r="S397" s="498">
        <f t="array" ref="S397">MAX(IF('Wind base'!$AE$5:$AE$11&lt;I397,'Wind base'!$AE$5:$AE$11,""))</f>
        <v>40</v>
      </c>
      <c r="T397" s="498">
        <f t="array" ref="T397">MIN(IF('Wind base'!$AE$5:$AE$11&gt;I397,'Wind base'!$AE$5:$AE$11,""))</f>
        <v>80</v>
      </c>
      <c r="U397" s="499">
        <f t="array" ref="U397">MAX(IF('Wind base'!$AF$4:$AL$4&lt;J397,'Wind base'!$AF$4:$AL$4,""),5)</f>
        <v>80</v>
      </c>
      <c r="V397" s="498">
        <f t="array" ref="V397">MIN(IF('Wind base'!$AF$4:$AL$4&gt;J397,'Wind base'!$AF$4:$AL$4,""))</f>
        <v>160</v>
      </c>
      <c r="W397" s="500">
        <f t="array" ref="W397">INDEX('Wind base'!$AF$5:$AL$11,MATCH($S397,'Wind base'!$AE$5:$AE$11,0),MATCH($U397,'Wind base'!$AF$4:$AL$4,0))</f>
        <v>0.63</v>
      </c>
      <c r="X397" s="500">
        <f t="array" ref="X397">INDEX('Wind base'!$AF$5:$AL$11,MATCH($S397,'Wind base'!$AE$5:$AE$11,0),MATCH($V397,'Wind base'!$AF$4:$AL$4,0))</f>
        <v>0.56999999999999995</v>
      </c>
      <c r="Y397" s="500">
        <f t="array" ref="Y397">INDEX('Wind base'!$AF$5:$AL$11,MATCH($T397,'Wind base'!$AE$5:$AE$11,0),MATCH($U397,'Wind base'!$AF$4:$AL$4,0))</f>
        <v>0.56000000000000005</v>
      </c>
      <c r="Z397" s="500">
        <f t="array" ref="Z397">INDEX('Wind base'!$AF$5:$AL$11,MATCH($T397,'Wind base'!$AE$5:$AE$11,0),MATCH($V397,'Wind base'!$AF$4:$AL$4,0))</f>
        <v>0.51</v>
      </c>
      <c r="AA397" s="501">
        <f t="shared" si="104"/>
        <v>0.57602125000000004</v>
      </c>
      <c r="AB397" s="501">
        <f t="shared" si="105"/>
        <v>0.52373250000000005</v>
      </c>
      <c r="AC397" s="501">
        <f t="shared" si="106"/>
        <v>0.57432186562499998</v>
      </c>
    </row>
    <row r="398" spans="1:29" ht="15" customHeight="1">
      <c r="A398" s="457">
        <f t="shared" si="103"/>
        <v>1</v>
      </c>
      <c r="B398" s="701" t="str">
        <f t="shared" si="107"/>
        <v>T241</v>
      </c>
      <c r="C398" s="701" t="str">
        <f t="shared" si="108"/>
        <v>T245</v>
      </c>
      <c r="D398" s="885" t="str">
        <f t="shared" si="109"/>
        <v>T24-</v>
      </c>
      <c r="F398" s="1127" t="str">
        <f t="shared" si="110"/>
        <v>T24</v>
      </c>
      <c r="G398" s="1128"/>
      <c r="H398" s="688">
        <f t="shared" si="111"/>
        <v>79.2</v>
      </c>
      <c r="I398" s="689">
        <f t="shared" si="112"/>
        <v>70.844999999999999</v>
      </c>
      <c r="J398" s="689">
        <f t="shared" si="113"/>
        <v>79.2</v>
      </c>
      <c r="K398" s="690">
        <f t="shared" si="114"/>
        <v>0.576667025</v>
      </c>
      <c r="L398" s="691">
        <f t="shared" si="115"/>
        <v>0.26201662578317975</v>
      </c>
      <c r="M398" s="700">
        <f>IFERROR(IF(J398="","",IF($M$196="-","-",INDEX(BD!$A$1:$K$2510,MATCH('2.Win Load'!B398,BD!$A$1:$A$2510,0),7))),"")</f>
        <v>4.0390000000000001E-3</v>
      </c>
      <c r="N398" s="700">
        <f>IFERROR(IF($J398="","",IF($N$196="-","-",INDEX(BD!$A$1:$K$2510,MATCH('2.Win Load'!C398,BD!$A$1:$A$2510,0),7))),"")</f>
        <v>-3.5040000000000002E-3</v>
      </c>
      <c r="O398" s="700" t="str">
        <f>IFERROR(IF($J398="","",IF($O$196="-","-",INDEX(BD!$A$1:$K$2510,MATCH('2.Win Load'!D398,BD!$A$1:$A$2510,0),7))),"")</f>
        <v>-</v>
      </c>
      <c r="P398" s="692">
        <f t="shared" si="116"/>
        <v>88.577528313368404</v>
      </c>
      <c r="Q398" s="692">
        <f t="shared" si="117"/>
        <v>153.60255480772184</v>
      </c>
      <c r="R398" s="960" t="str">
        <f t="shared" si="118"/>
        <v>-</v>
      </c>
      <c r="S398" s="498">
        <f t="array" ref="S398">MAX(IF('Wind base'!$AE$5:$AE$11&lt;I398,'Wind base'!$AE$5:$AE$11,""))</f>
        <v>40</v>
      </c>
      <c r="T398" s="498">
        <f t="array" ref="T398">MIN(IF('Wind base'!$AE$5:$AE$11&gt;I398,'Wind base'!$AE$5:$AE$11,""))</f>
        <v>80</v>
      </c>
      <c r="U398" s="499">
        <f t="array" ref="U398">MAX(IF('Wind base'!$AF$4:$AL$4&lt;J398,'Wind base'!$AF$4:$AL$4,""),5)</f>
        <v>40</v>
      </c>
      <c r="V398" s="498">
        <f t="array" ref="V398">MIN(IF('Wind base'!$AF$4:$AL$4&gt;J398,'Wind base'!$AF$4:$AL$4,""))</f>
        <v>80</v>
      </c>
      <c r="W398" s="500">
        <f t="array" ref="W398">INDEX('Wind base'!$AF$5:$AL$11,MATCH($S398,'Wind base'!$AE$5:$AE$11,0),MATCH($U398,'Wind base'!$AF$4:$AL$4,0))</f>
        <v>0.67</v>
      </c>
      <c r="X398" s="500">
        <f t="array" ref="X398">INDEX('Wind base'!$AF$5:$AL$11,MATCH($S398,'Wind base'!$AE$5:$AE$11,0),MATCH($V398,'Wind base'!$AF$4:$AL$4,0))</f>
        <v>0.63</v>
      </c>
      <c r="Y398" s="500">
        <f t="array" ref="Y398">INDEX('Wind base'!$AF$5:$AL$11,MATCH($T398,'Wind base'!$AE$5:$AE$11,0),MATCH($U398,'Wind base'!$AF$4:$AL$4,0))</f>
        <v>0.59</v>
      </c>
      <c r="Z398" s="500">
        <f t="array" ref="Z398">INDEX('Wind base'!$AF$5:$AL$11,MATCH($T398,'Wind base'!$AE$5:$AE$11,0),MATCH($V398,'Wind base'!$AF$4:$AL$4,0))</f>
        <v>0.56000000000000005</v>
      </c>
      <c r="AA398" s="501">
        <f t="shared" si="104"/>
        <v>0.60831000000000002</v>
      </c>
      <c r="AB398" s="501">
        <f t="shared" si="105"/>
        <v>0.57602125000000004</v>
      </c>
      <c r="AC398" s="501">
        <f t="shared" si="106"/>
        <v>0.576667025</v>
      </c>
    </row>
    <row r="399" spans="1:29" ht="15" customHeight="1">
      <c r="A399" s="457">
        <f t="shared" si="103"/>
        <v>1</v>
      </c>
      <c r="B399" s="701" t="str">
        <f t="shared" si="107"/>
        <v>T231</v>
      </c>
      <c r="C399" s="701" t="str">
        <f t="shared" si="108"/>
        <v>T235</v>
      </c>
      <c r="D399" s="885" t="str">
        <f t="shared" si="109"/>
        <v>T23-</v>
      </c>
      <c r="F399" s="1127" t="str">
        <f t="shared" si="110"/>
        <v>T23</v>
      </c>
      <c r="G399" s="1128"/>
      <c r="H399" s="688">
        <f t="shared" si="111"/>
        <v>75.8</v>
      </c>
      <c r="I399" s="689">
        <f t="shared" si="112"/>
        <v>70.844999999999999</v>
      </c>
      <c r="J399" s="689">
        <f t="shared" si="113"/>
        <v>75.8</v>
      </c>
      <c r="K399" s="690">
        <f t="shared" si="114"/>
        <v>0.57941156874999999</v>
      </c>
      <c r="L399" s="691">
        <f t="shared" si="115"/>
        <v>0.2628169464225471</v>
      </c>
      <c r="M399" s="700">
        <f>IFERROR(IF(J399="","",IF($M$196="-","-",INDEX(BD!$A$1:$K$2510,MATCH('2.Win Load'!B399,BD!$A$1:$A$2510,0),7))),"")</f>
        <v>3.826E-3</v>
      </c>
      <c r="N399" s="700">
        <f>IFERROR(IF($J399="","",IF($N$196="-","-",INDEX(BD!$A$1:$K$2510,MATCH('2.Win Load'!C399,BD!$A$1:$A$2510,0),7))),"")</f>
        <v>-4.0179999999999999E-3</v>
      </c>
      <c r="O399" s="700" t="str">
        <f>IFERROR(IF($J399="","",IF($O$196="-","-",INDEX(BD!$A$1:$K$2510,MATCH('2.Win Load'!D399,BD!$A$1:$A$2510,0),7))),"")</f>
        <v>-</v>
      </c>
      <c r="P399" s="692">
        <f t="shared" si="116"/>
        <v>88.760558814070151</v>
      </c>
      <c r="Q399" s="692">
        <f t="shared" si="117"/>
        <v>153.19086397525464</v>
      </c>
      <c r="R399" s="960" t="str">
        <f t="shared" si="118"/>
        <v>-</v>
      </c>
      <c r="S399" s="498">
        <f t="array" ref="S399">MAX(IF('Wind base'!$AE$5:$AE$11&lt;I399,'Wind base'!$AE$5:$AE$11,""))</f>
        <v>40</v>
      </c>
      <c r="T399" s="498">
        <f t="array" ref="T399">MIN(IF('Wind base'!$AE$5:$AE$11&gt;I399,'Wind base'!$AE$5:$AE$11,""))</f>
        <v>80</v>
      </c>
      <c r="U399" s="499">
        <f t="array" ref="U399">MAX(IF('Wind base'!$AF$4:$AL$4&lt;J399,'Wind base'!$AF$4:$AL$4,""),5)</f>
        <v>40</v>
      </c>
      <c r="V399" s="498">
        <f t="array" ref="V399">MIN(IF('Wind base'!$AF$4:$AL$4&gt;J399,'Wind base'!$AF$4:$AL$4,""))</f>
        <v>80</v>
      </c>
      <c r="W399" s="500">
        <f t="array" ref="W399">INDEX('Wind base'!$AF$5:$AL$11,MATCH($S399,'Wind base'!$AE$5:$AE$11,0),MATCH($U399,'Wind base'!$AF$4:$AL$4,0))</f>
        <v>0.67</v>
      </c>
      <c r="X399" s="500">
        <f t="array" ref="X399">INDEX('Wind base'!$AF$5:$AL$11,MATCH($S399,'Wind base'!$AE$5:$AE$11,0),MATCH($V399,'Wind base'!$AF$4:$AL$4,0))</f>
        <v>0.63</v>
      </c>
      <c r="Y399" s="500">
        <f t="array" ref="Y399">INDEX('Wind base'!$AF$5:$AL$11,MATCH($T399,'Wind base'!$AE$5:$AE$11,0),MATCH($U399,'Wind base'!$AF$4:$AL$4,0))</f>
        <v>0.59</v>
      </c>
      <c r="Z399" s="500">
        <f t="array" ref="Z399">INDEX('Wind base'!$AF$5:$AL$11,MATCH($T399,'Wind base'!$AE$5:$AE$11,0),MATCH($V399,'Wind base'!$AF$4:$AL$4,0))</f>
        <v>0.56000000000000005</v>
      </c>
      <c r="AA399" s="501">
        <f t="shared" si="104"/>
        <v>0.60831000000000002</v>
      </c>
      <c r="AB399" s="501">
        <f t="shared" si="105"/>
        <v>0.57602125000000004</v>
      </c>
      <c r="AC399" s="501">
        <f t="shared" si="106"/>
        <v>0.57941156874999999</v>
      </c>
    </row>
    <row r="400" spans="1:29" ht="15" customHeight="1">
      <c r="A400" s="457">
        <f t="shared" si="103"/>
        <v>1</v>
      </c>
      <c r="B400" s="701" t="str">
        <f t="shared" si="107"/>
        <v>T221</v>
      </c>
      <c r="C400" s="701" t="str">
        <f t="shared" si="108"/>
        <v>T225</v>
      </c>
      <c r="D400" s="885" t="str">
        <f t="shared" si="109"/>
        <v>T22-</v>
      </c>
      <c r="F400" s="1127" t="str">
        <f t="shared" si="110"/>
        <v>T22</v>
      </c>
      <c r="G400" s="1128"/>
      <c r="H400" s="688">
        <f t="shared" si="111"/>
        <v>72.400000000000006</v>
      </c>
      <c r="I400" s="689">
        <f t="shared" si="112"/>
        <v>70.844999999999999</v>
      </c>
      <c r="J400" s="689">
        <f t="shared" si="113"/>
        <v>72.400000000000006</v>
      </c>
      <c r="K400" s="690">
        <f t="shared" si="114"/>
        <v>0.58215611249999999</v>
      </c>
      <c r="L400" s="691">
        <f t="shared" si="115"/>
        <v>0.26365634497910023</v>
      </c>
      <c r="M400" s="700">
        <f>IFERROR(IF(J400="","",IF($M$196="-","-",INDEX(BD!$A$1:$K$2510,MATCH('2.Win Load'!B400,BD!$A$1:$A$2510,0),7))),"")</f>
        <v>3.6120000000000002E-3</v>
      </c>
      <c r="N400" s="700">
        <f>IFERROR(IF($J400="","",IF($N$196="-","-",INDEX(BD!$A$1:$K$2510,MATCH('2.Win Load'!C400,BD!$A$1:$A$2510,0),7))),"")</f>
        <v>-4.47E-3</v>
      </c>
      <c r="O400" s="700" t="str">
        <f>IFERROR(IF($J400="","",IF($O$196="-","-",INDEX(BD!$A$1:$K$2510,MATCH('2.Win Load'!D400,BD!$A$1:$A$2510,0),7))),"")</f>
        <v>-</v>
      </c>
      <c r="P400" s="692">
        <f t="shared" si="116"/>
        <v>88.931096815573923</v>
      </c>
      <c r="Q400" s="692">
        <f t="shared" si="117"/>
        <v>152.76159591225442</v>
      </c>
      <c r="R400" s="960" t="str">
        <f t="shared" si="118"/>
        <v>-</v>
      </c>
      <c r="S400" s="498">
        <f t="array" ref="S400">MAX(IF('Wind base'!$AE$5:$AE$11&lt;I400,'Wind base'!$AE$5:$AE$11,""))</f>
        <v>40</v>
      </c>
      <c r="T400" s="498">
        <f t="array" ref="T400">MIN(IF('Wind base'!$AE$5:$AE$11&gt;I400,'Wind base'!$AE$5:$AE$11,""))</f>
        <v>80</v>
      </c>
      <c r="U400" s="499">
        <f t="array" ref="U400">MAX(IF('Wind base'!$AF$4:$AL$4&lt;J400,'Wind base'!$AF$4:$AL$4,""),5)</f>
        <v>40</v>
      </c>
      <c r="V400" s="498">
        <f t="array" ref="V400">MIN(IF('Wind base'!$AF$4:$AL$4&gt;J400,'Wind base'!$AF$4:$AL$4,""))</f>
        <v>80</v>
      </c>
      <c r="W400" s="500">
        <f t="array" ref="W400">INDEX('Wind base'!$AF$5:$AL$11,MATCH($S400,'Wind base'!$AE$5:$AE$11,0),MATCH($U400,'Wind base'!$AF$4:$AL$4,0))</f>
        <v>0.67</v>
      </c>
      <c r="X400" s="500">
        <f t="array" ref="X400">INDEX('Wind base'!$AF$5:$AL$11,MATCH($S400,'Wind base'!$AE$5:$AE$11,0),MATCH($V400,'Wind base'!$AF$4:$AL$4,0))</f>
        <v>0.63</v>
      </c>
      <c r="Y400" s="500">
        <f t="array" ref="Y400">INDEX('Wind base'!$AF$5:$AL$11,MATCH($T400,'Wind base'!$AE$5:$AE$11,0),MATCH($U400,'Wind base'!$AF$4:$AL$4,0))</f>
        <v>0.59</v>
      </c>
      <c r="Z400" s="500">
        <f t="array" ref="Z400">INDEX('Wind base'!$AF$5:$AL$11,MATCH($T400,'Wind base'!$AE$5:$AE$11,0),MATCH($V400,'Wind base'!$AF$4:$AL$4,0))</f>
        <v>0.56000000000000005</v>
      </c>
      <c r="AA400" s="501">
        <f t="shared" si="104"/>
        <v>0.60831000000000002</v>
      </c>
      <c r="AB400" s="501">
        <f t="shared" si="105"/>
        <v>0.57602125000000004</v>
      </c>
      <c r="AC400" s="501">
        <f t="shared" si="106"/>
        <v>0.58215611249999999</v>
      </c>
    </row>
    <row r="401" spans="1:29" ht="15" customHeight="1">
      <c r="A401" s="457">
        <f t="shared" si="103"/>
        <v>1</v>
      </c>
      <c r="B401" s="701" t="str">
        <f t="shared" si="107"/>
        <v>T211</v>
      </c>
      <c r="C401" s="701" t="str">
        <f t="shared" si="108"/>
        <v>T215</v>
      </c>
      <c r="D401" s="885" t="str">
        <f t="shared" si="109"/>
        <v>T21-</v>
      </c>
      <c r="F401" s="1127" t="str">
        <f t="shared" si="110"/>
        <v>T21</v>
      </c>
      <c r="G401" s="1128"/>
      <c r="H401" s="688">
        <f t="shared" si="111"/>
        <v>69</v>
      </c>
      <c r="I401" s="689">
        <f t="shared" si="112"/>
        <v>70.844999999999999</v>
      </c>
      <c r="J401" s="689">
        <f t="shared" si="113"/>
        <v>69</v>
      </c>
      <c r="K401" s="690">
        <f t="shared" si="114"/>
        <v>0.58490065624999998</v>
      </c>
      <c r="L401" s="691">
        <f t="shared" si="115"/>
        <v>0.26453868999276914</v>
      </c>
      <c r="M401" s="700">
        <f>IFERROR(IF(J401="","",IF($M$196="-","-",INDEX(BD!$A$1:$K$2510,MATCH('2.Win Load'!B401,BD!$A$1:$A$2510,0),7))),"")</f>
        <v>3.398E-3</v>
      </c>
      <c r="N401" s="700">
        <f>IFERROR(IF($J401="","",IF($N$196="-","-",INDEX(BD!$A$1:$K$2510,MATCH('2.Win Load'!C401,BD!$A$1:$A$2510,0),7))),"")</f>
        <v>-4.8570000000000002E-3</v>
      </c>
      <c r="O401" s="700" t="str">
        <f>IFERROR(IF($J401="","",IF($O$196="-","-",INDEX(BD!$A$1:$K$2510,MATCH('2.Win Load'!D401,BD!$A$1:$A$2510,0),7))),"")</f>
        <v>-</v>
      </c>
      <c r="P401" s="692">
        <f t="shared" si="116"/>
        <v>89.088047475363808</v>
      </c>
      <c r="Q401" s="692">
        <f t="shared" si="117"/>
        <v>152.31312620939431</v>
      </c>
      <c r="R401" s="960" t="str">
        <f t="shared" si="118"/>
        <v>-</v>
      </c>
      <c r="S401" s="498">
        <f t="array" ref="S401">MAX(IF('Wind base'!$AE$5:$AE$11&lt;I401,'Wind base'!$AE$5:$AE$11,""))</f>
        <v>40</v>
      </c>
      <c r="T401" s="498">
        <f t="array" ref="T401">MIN(IF('Wind base'!$AE$5:$AE$11&gt;I401,'Wind base'!$AE$5:$AE$11,""))</f>
        <v>80</v>
      </c>
      <c r="U401" s="499">
        <f t="array" ref="U401">MAX(IF('Wind base'!$AF$4:$AL$4&lt;J401,'Wind base'!$AF$4:$AL$4,""),5)</f>
        <v>40</v>
      </c>
      <c r="V401" s="498">
        <f t="array" ref="V401">MIN(IF('Wind base'!$AF$4:$AL$4&gt;J401,'Wind base'!$AF$4:$AL$4,""))</f>
        <v>80</v>
      </c>
      <c r="W401" s="500">
        <f t="array" ref="W401">INDEX('Wind base'!$AF$5:$AL$11,MATCH($S401,'Wind base'!$AE$5:$AE$11,0),MATCH($U401,'Wind base'!$AF$4:$AL$4,0))</f>
        <v>0.67</v>
      </c>
      <c r="X401" s="500">
        <f t="array" ref="X401">INDEX('Wind base'!$AF$5:$AL$11,MATCH($S401,'Wind base'!$AE$5:$AE$11,0),MATCH($V401,'Wind base'!$AF$4:$AL$4,0))</f>
        <v>0.63</v>
      </c>
      <c r="Y401" s="500">
        <f t="array" ref="Y401">INDEX('Wind base'!$AF$5:$AL$11,MATCH($T401,'Wind base'!$AE$5:$AE$11,0),MATCH($U401,'Wind base'!$AF$4:$AL$4,0))</f>
        <v>0.59</v>
      </c>
      <c r="Z401" s="500">
        <f t="array" ref="Z401">INDEX('Wind base'!$AF$5:$AL$11,MATCH($T401,'Wind base'!$AE$5:$AE$11,0),MATCH($V401,'Wind base'!$AF$4:$AL$4,0))</f>
        <v>0.56000000000000005</v>
      </c>
      <c r="AA401" s="501">
        <f t="shared" si="104"/>
        <v>0.60831000000000002</v>
      </c>
      <c r="AB401" s="501">
        <f t="shared" si="105"/>
        <v>0.57602125000000004</v>
      </c>
      <c r="AC401" s="501">
        <f t="shared" si="106"/>
        <v>0.58490065624999998</v>
      </c>
    </row>
    <row r="402" spans="1:29" ht="15" customHeight="1">
      <c r="A402" s="457">
        <f t="shared" si="103"/>
        <v>1</v>
      </c>
      <c r="B402" s="701" t="str">
        <f t="shared" si="107"/>
        <v>T201</v>
      </c>
      <c r="C402" s="701" t="str">
        <f t="shared" si="108"/>
        <v>T205</v>
      </c>
      <c r="D402" s="885" t="str">
        <f t="shared" si="109"/>
        <v>T20-</v>
      </c>
      <c r="F402" s="1127" t="str">
        <f t="shared" si="110"/>
        <v>T20</v>
      </c>
      <c r="G402" s="1128"/>
      <c r="H402" s="688">
        <f t="shared" si="111"/>
        <v>65.599999999999994</v>
      </c>
      <c r="I402" s="689">
        <f t="shared" si="112"/>
        <v>70.844999999999999</v>
      </c>
      <c r="J402" s="689">
        <f t="shared" si="113"/>
        <v>65.599999999999994</v>
      </c>
      <c r="K402" s="690">
        <f t="shared" si="114"/>
        <v>0.58764520000000009</v>
      </c>
      <c r="L402" s="691">
        <f t="shared" si="115"/>
        <v>0.26546844662419994</v>
      </c>
      <c r="M402" s="700">
        <f>IFERROR(IF(J402="","",IF($M$196="-","-",INDEX(BD!$A$1:$K$2510,MATCH('2.Win Load'!B402,BD!$A$1:$A$2510,0),7))),"")</f>
        <v>3.1840000000000002E-3</v>
      </c>
      <c r="N402" s="700">
        <f>IFERROR(IF($J402="","",IF($N$196="-","-",INDEX(BD!$A$1:$K$2510,MATCH('2.Win Load'!C402,BD!$A$1:$A$2510,0),7))),"")</f>
        <v>-5.1729999999999996E-3</v>
      </c>
      <c r="O402" s="700" t="str">
        <f>IFERROR(IF($J402="","",IF($O$196="-","-",INDEX(BD!$A$1:$K$2510,MATCH('2.Win Load'!D402,BD!$A$1:$A$2510,0),7))),"")</f>
        <v>-</v>
      </c>
      <c r="P402" s="692">
        <f t="shared" si="116"/>
        <v>89.230157663663178</v>
      </c>
      <c r="Q402" s="692">
        <f t="shared" si="117"/>
        <v>151.84359144542177</v>
      </c>
      <c r="R402" s="960" t="str">
        <f t="shared" si="118"/>
        <v>-</v>
      </c>
      <c r="S402" s="498">
        <f t="array" ref="S402">MAX(IF('Wind base'!$AE$5:$AE$11&lt;I402,'Wind base'!$AE$5:$AE$11,""))</f>
        <v>40</v>
      </c>
      <c r="T402" s="498">
        <f t="array" ref="T402">MIN(IF('Wind base'!$AE$5:$AE$11&gt;I402,'Wind base'!$AE$5:$AE$11,""))</f>
        <v>80</v>
      </c>
      <c r="U402" s="499">
        <f t="array" ref="U402">MAX(IF('Wind base'!$AF$4:$AL$4&lt;J402,'Wind base'!$AF$4:$AL$4,""),5)</f>
        <v>40</v>
      </c>
      <c r="V402" s="498">
        <f t="array" ref="V402">MIN(IF('Wind base'!$AF$4:$AL$4&gt;J402,'Wind base'!$AF$4:$AL$4,""))</f>
        <v>80</v>
      </c>
      <c r="W402" s="500">
        <f t="array" ref="W402">INDEX('Wind base'!$AF$5:$AL$11,MATCH($S402,'Wind base'!$AE$5:$AE$11,0),MATCH($U402,'Wind base'!$AF$4:$AL$4,0))</f>
        <v>0.67</v>
      </c>
      <c r="X402" s="500">
        <f t="array" ref="X402">INDEX('Wind base'!$AF$5:$AL$11,MATCH($S402,'Wind base'!$AE$5:$AE$11,0),MATCH($V402,'Wind base'!$AF$4:$AL$4,0))</f>
        <v>0.63</v>
      </c>
      <c r="Y402" s="500">
        <f t="array" ref="Y402">INDEX('Wind base'!$AF$5:$AL$11,MATCH($T402,'Wind base'!$AE$5:$AE$11,0),MATCH($U402,'Wind base'!$AF$4:$AL$4,0))</f>
        <v>0.59</v>
      </c>
      <c r="Z402" s="500">
        <f t="array" ref="Z402">INDEX('Wind base'!$AF$5:$AL$11,MATCH($T402,'Wind base'!$AE$5:$AE$11,0),MATCH($V402,'Wind base'!$AF$4:$AL$4,0))</f>
        <v>0.56000000000000005</v>
      </c>
      <c r="AA402" s="501">
        <f t="shared" si="104"/>
        <v>0.60831000000000002</v>
      </c>
      <c r="AB402" s="501">
        <f t="shared" si="105"/>
        <v>0.57602125000000004</v>
      </c>
      <c r="AC402" s="501">
        <f t="shared" si="106"/>
        <v>0.58764520000000009</v>
      </c>
    </row>
    <row r="403" spans="1:29" ht="15" customHeight="1">
      <c r="A403" s="457">
        <f t="shared" si="103"/>
        <v>1</v>
      </c>
      <c r="B403" s="701" t="str">
        <f t="shared" si="107"/>
        <v>T191</v>
      </c>
      <c r="C403" s="701" t="str">
        <f t="shared" si="108"/>
        <v>T195</v>
      </c>
      <c r="D403" s="885" t="str">
        <f t="shared" si="109"/>
        <v>T19-</v>
      </c>
      <c r="F403" s="1127" t="str">
        <f t="shared" si="110"/>
        <v>T19</v>
      </c>
      <c r="G403" s="1128"/>
      <c r="H403" s="688">
        <f t="shared" si="111"/>
        <v>62.2</v>
      </c>
      <c r="I403" s="689">
        <f t="shared" si="112"/>
        <v>70.844999999999999</v>
      </c>
      <c r="J403" s="689">
        <f t="shared" si="113"/>
        <v>62.2</v>
      </c>
      <c r="K403" s="690">
        <f t="shared" si="114"/>
        <v>0.59038974375000008</v>
      </c>
      <c r="L403" s="691">
        <f t="shared" si="115"/>
        <v>0.26645080511943431</v>
      </c>
      <c r="M403" s="700">
        <f>IFERROR(IF(J403="","",IF($M$196="-","-",INDEX(BD!$A$1:$K$2510,MATCH('2.Win Load'!B403,BD!$A$1:$A$2510,0),7))),"")</f>
        <v>2.9710000000000001E-3</v>
      </c>
      <c r="N403" s="700">
        <f>IFERROR(IF($J403="","",IF($N$196="-","-",INDEX(BD!$A$1:$K$2510,MATCH('2.Win Load'!C403,BD!$A$1:$A$2510,0),7))),"")</f>
        <v>-5.4169999999999999E-3</v>
      </c>
      <c r="O403" s="700" t="str">
        <f>IFERROR(IF($J403="","",IF($O$196="-","-",INDEX(BD!$A$1:$K$2510,MATCH('2.Win Load'!D403,BD!$A$1:$A$2510,0),7))),"")</f>
        <v>-</v>
      </c>
      <c r="P403" s="692">
        <f t="shared" si="116"/>
        <v>89.355983380803806</v>
      </c>
      <c r="Q403" s="692">
        <f t="shared" si="117"/>
        <v>151.35083955428857</v>
      </c>
      <c r="R403" s="960" t="str">
        <f t="shared" si="118"/>
        <v>-</v>
      </c>
      <c r="S403" s="498">
        <f t="array" ref="S403">MAX(IF('Wind base'!$AE$5:$AE$11&lt;I403,'Wind base'!$AE$5:$AE$11,""))</f>
        <v>40</v>
      </c>
      <c r="T403" s="498">
        <f t="array" ref="T403">MIN(IF('Wind base'!$AE$5:$AE$11&gt;I403,'Wind base'!$AE$5:$AE$11,""))</f>
        <v>80</v>
      </c>
      <c r="U403" s="499">
        <f t="array" ref="U403">MAX(IF('Wind base'!$AF$4:$AL$4&lt;J403,'Wind base'!$AF$4:$AL$4,""),5)</f>
        <v>40</v>
      </c>
      <c r="V403" s="498">
        <f t="array" ref="V403">MIN(IF('Wind base'!$AF$4:$AL$4&gt;J403,'Wind base'!$AF$4:$AL$4,""))</f>
        <v>80</v>
      </c>
      <c r="W403" s="500">
        <f t="array" ref="W403">INDEX('Wind base'!$AF$5:$AL$11,MATCH($S403,'Wind base'!$AE$5:$AE$11,0),MATCH($U403,'Wind base'!$AF$4:$AL$4,0))</f>
        <v>0.67</v>
      </c>
      <c r="X403" s="500">
        <f t="array" ref="X403">INDEX('Wind base'!$AF$5:$AL$11,MATCH($S403,'Wind base'!$AE$5:$AE$11,0),MATCH($V403,'Wind base'!$AF$4:$AL$4,0))</f>
        <v>0.63</v>
      </c>
      <c r="Y403" s="500">
        <f t="array" ref="Y403">INDEX('Wind base'!$AF$5:$AL$11,MATCH($T403,'Wind base'!$AE$5:$AE$11,0),MATCH($U403,'Wind base'!$AF$4:$AL$4,0))</f>
        <v>0.59</v>
      </c>
      <c r="Z403" s="500">
        <f t="array" ref="Z403">INDEX('Wind base'!$AF$5:$AL$11,MATCH($T403,'Wind base'!$AE$5:$AE$11,0),MATCH($V403,'Wind base'!$AF$4:$AL$4,0))</f>
        <v>0.56000000000000005</v>
      </c>
      <c r="AA403" s="501">
        <f t="shared" si="104"/>
        <v>0.60831000000000002</v>
      </c>
      <c r="AB403" s="501">
        <f t="shared" si="105"/>
        <v>0.57602125000000004</v>
      </c>
      <c r="AC403" s="501">
        <f t="shared" si="106"/>
        <v>0.59038974375000008</v>
      </c>
    </row>
    <row r="404" spans="1:29" ht="15" customHeight="1">
      <c r="A404" s="457">
        <f t="shared" si="103"/>
        <v>1</v>
      </c>
      <c r="B404" s="701" t="str">
        <f t="shared" si="107"/>
        <v>T181</v>
      </c>
      <c r="C404" s="701" t="str">
        <f t="shared" si="108"/>
        <v>T185</v>
      </c>
      <c r="D404" s="885" t="str">
        <f t="shared" si="109"/>
        <v>T18-</v>
      </c>
      <c r="F404" s="1127" t="str">
        <f t="shared" si="110"/>
        <v>T18</v>
      </c>
      <c r="G404" s="1128"/>
      <c r="H404" s="688">
        <f t="shared" si="111"/>
        <v>58.8</v>
      </c>
      <c r="I404" s="689">
        <f t="shared" si="112"/>
        <v>70.844999999999999</v>
      </c>
      <c r="J404" s="689">
        <f t="shared" si="113"/>
        <v>58.8</v>
      </c>
      <c r="K404" s="690">
        <f t="shared" si="114"/>
        <v>0.59313428750000008</v>
      </c>
      <c r="L404" s="691">
        <f t="shared" si="115"/>
        <v>0.26749184566554302</v>
      </c>
      <c r="M404" s="700">
        <f>IFERROR(IF(J404="","",IF($M$196="-","-",INDEX(BD!$A$1:$K$2510,MATCH('2.Win Load'!B404,BD!$A$1:$A$2510,0),7))),"")</f>
        <v>2.7599999999999999E-3</v>
      </c>
      <c r="N404" s="700">
        <f>IFERROR(IF($J404="","",IF($N$196="-","-",INDEX(BD!$A$1:$K$2510,MATCH('2.Win Load'!C404,BD!$A$1:$A$2510,0),7))),"")</f>
        <v>-5.5849999999999997E-3</v>
      </c>
      <c r="O404" s="700" t="str">
        <f>IFERROR(IF($J404="","",IF($O$196="-","-",INDEX(BD!$A$1:$K$2510,MATCH('2.Win Load'!D404,BD!$A$1:$A$2510,0),7))),"")</f>
        <v>-</v>
      </c>
      <c r="P404" s="692">
        <f t="shared" si="116"/>
        <v>89.463848262926646</v>
      </c>
      <c r="Q404" s="692">
        <f t="shared" si="117"/>
        <v>150.83236654553821</v>
      </c>
      <c r="R404" s="960" t="str">
        <f t="shared" si="118"/>
        <v>-</v>
      </c>
      <c r="S404" s="498">
        <f t="array" ref="S404">MAX(IF('Wind base'!$AE$5:$AE$11&lt;I404,'Wind base'!$AE$5:$AE$11,""))</f>
        <v>40</v>
      </c>
      <c r="T404" s="498">
        <f t="array" ref="T404">MIN(IF('Wind base'!$AE$5:$AE$11&gt;I404,'Wind base'!$AE$5:$AE$11,""))</f>
        <v>80</v>
      </c>
      <c r="U404" s="499">
        <f t="array" ref="U404">MAX(IF('Wind base'!$AF$4:$AL$4&lt;J404,'Wind base'!$AF$4:$AL$4,""),5)</f>
        <v>40</v>
      </c>
      <c r="V404" s="498">
        <f t="array" ref="V404">MIN(IF('Wind base'!$AF$4:$AL$4&gt;J404,'Wind base'!$AF$4:$AL$4,""))</f>
        <v>80</v>
      </c>
      <c r="W404" s="500">
        <f t="array" ref="W404">INDEX('Wind base'!$AF$5:$AL$11,MATCH($S404,'Wind base'!$AE$5:$AE$11,0),MATCH($U404,'Wind base'!$AF$4:$AL$4,0))</f>
        <v>0.67</v>
      </c>
      <c r="X404" s="500">
        <f t="array" ref="X404">INDEX('Wind base'!$AF$5:$AL$11,MATCH($S404,'Wind base'!$AE$5:$AE$11,0),MATCH($V404,'Wind base'!$AF$4:$AL$4,0))</f>
        <v>0.63</v>
      </c>
      <c r="Y404" s="500">
        <f t="array" ref="Y404">INDEX('Wind base'!$AF$5:$AL$11,MATCH($T404,'Wind base'!$AE$5:$AE$11,0),MATCH($U404,'Wind base'!$AF$4:$AL$4,0))</f>
        <v>0.59</v>
      </c>
      <c r="Z404" s="500">
        <f t="array" ref="Z404">INDEX('Wind base'!$AF$5:$AL$11,MATCH($T404,'Wind base'!$AE$5:$AE$11,0),MATCH($V404,'Wind base'!$AF$4:$AL$4,0))</f>
        <v>0.56000000000000005</v>
      </c>
      <c r="AA404" s="501">
        <f t="shared" si="104"/>
        <v>0.60831000000000002</v>
      </c>
      <c r="AB404" s="501">
        <f t="shared" si="105"/>
        <v>0.57602125000000004</v>
      </c>
      <c r="AC404" s="501">
        <f t="shared" si="106"/>
        <v>0.59313428750000008</v>
      </c>
    </row>
    <row r="405" spans="1:29" ht="15" customHeight="1">
      <c r="A405" s="457">
        <f t="shared" si="103"/>
        <v>1</v>
      </c>
      <c r="B405" s="701" t="str">
        <f t="shared" si="107"/>
        <v>T171</v>
      </c>
      <c r="C405" s="701" t="str">
        <f t="shared" si="108"/>
        <v>T175</v>
      </c>
      <c r="D405" s="885" t="str">
        <f t="shared" si="109"/>
        <v>T17-</v>
      </c>
      <c r="F405" s="1127" t="str">
        <f t="shared" si="110"/>
        <v>T17</v>
      </c>
      <c r="G405" s="1128"/>
      <c r="H405" s="688">
        <f t="shared" si="111"/>
        <v>55.4</v>
      </c>
      <c r="I405" s="689">
        <f t="shared" si="112"/>
        <v>70.844999999999999</v>
      </c>
      <c r="J405" s="689">
        <f t="shared" si="113"/>
        <v>55.4</v>
      </c>
      <c r="K405" s="690">
        <f t="shared" si="114"/>
        <v>0.59587883125000007</v>
      </c>
      <c r="L405" s="691">
        <f t="shared" si="115"/>
        <v>0.26859875271309047</v>
      </c>
      <c r="M405" s="700">
        <f>IFERROR(IF(J405="","",IF($M$196="-","-",INDEX(BD!$A$1:$K$2510,MATCH('2.Win Load'!B405,BD!$A$1:$A$2510,0),7))),"")</f>
        <v>2.5500000000000002E-3</v>
      </c>
      <c r="N405" s="700">
        <f>IFERROR(IF($J405="","",IF($N$196="-","-",INDEX(BD!$A$1:$K$2510,MATCH('2.Win Load'!C405,BD!$A$1:$A$2510,0),7))),"")</f>
        <v>-5.6759999999999996E-3</v>
      </c>
      <c r="O405" s="700" t="str">
        <f>IFERROR(IF($J405="","",IF($O$196="-","-",INDEX(BD!$A$1:$K$2510,MATCH('2.Win Load'!D405,BD!$A$1:$A$2510,0),7))),"")</f>
        <v>-</v>
      </c>
      <c r="P405" s="692">
        <f t="shared" si="116"/>
        <v>89.551790065823795</v>
      </c>
      <c r="Q405" s="692">
        <f t="shared" si="117"/>
        <v>150.28523479843585</v>
      </c>
      <c r="R405" s="960" t="str">
        <f t="shared" si="118"/>
        <v>-</v>
      </c>
      <c r="S405" s="498">
        <f t="array" ref="S405">MAX(IF('Wind base'!$AE$5:$AE$11&lt;I405,'Wind base'!$AE$5:$AE$11,""))</f>
        <v>40</v>
      </c>
      <c r="T405" s="498">
        <f t="array" ref="T405">MIN(IF('Wind base'!$AE$5:$AE$11&gt;I405,'Wind base'!$AE$5:$AE$11,""))</f>
        <v>80</v>
      </c>
      <c r="U405" s="499">
        <f t="array" ref="U405">MAX(IF('Wind base'!$AF$4:$AL$4&lt;J405,'Wind base'!$AF$4:$AL$4,""),5)</f>
        <v>40</v>
      </c>
      <c r="V405" s="498">
        <f t="array" ref="V405">MIN(IF('Wind base'!$AF$4:$AL$4&gt;J405,'Wind base'!$AF$4:$AL$4,""))</f>
        <v>80</v>
      </c>
      <c r="W405" s="500">
        <f t="array" ref="W405">INDEX('Wind base'!$AF$5:$AL$11,MATCH($S405,'Wind base'!$AE$5:$AE$11,0),MATCH($U405,'Wind base'!$AF$4:$AL$4,0))</f>
        <v>0.67</v>
      </c>
      <c r="X405" s="500">
        <f t="array" ref="X405">INDEX('Wind base'!$AF$5:$AL$11,MATCH($S405,'Wind base'!$AE$5:$AE$11,0),MATCH($V405,'Wind base'!$AF$4:$AL$4,0))</f>
        <v>0.63</v>
      </c>
      <c r="Y405" s="500">
        <f t="array" ref="Y405">INDEX('Wind base'!$AF$5:$AL$11,MATCH($T405,'Wind base'!$AE$5:$AE$11,0),MATCH($U405,'Wind base'!$AF$4:$AL$4,0))</f>
        <v>0.59</v>
      </c>
      <c r="Z405" s="500">
        <f t="array" ref="Z405">INDEX('Wind base'!$AF$5:$AL$11,MATCH($T405,'Wind base'!$AE$5:$AE$11,0),MATCH($V405,'Wind base'!$AF$4:$AL$4,0))</f>
        <v>0.56000000000000005</v>
      </c>
      <c r="AA405" s="501">
        <f t="shared" si="104"/>
        <v>0.60831000000000002</v>
      </c>
      <c r="AB405" s="501">
        <f t="shared" si="105"/>
        <v>0.57602125000000004</v>
      </c>
      <c r="AC405" s="501">
        <f t="shared" si="106"/>
        <v>0.59587883125000007</v>
      </c>
    </row>
    <row r="406" spans="1:29" ht="15" customHeight="1">
      <c r="A406" s="457">
        <f t="shared" si="103"/>
        <v>1</v>
      </c>
      <c r="B406" s="701" t="str">
        <f t="shared" si="107"/>
        <v>T161</v>
      </c>
      <c r="C406" s="701" t="str">
        <f t="shared" si="108"/>
        <v>T165</v>
      </c>
      <c r="D406" s="885" t="str">
        <f t="shared" si="109"/>
        <v>T16-</v>
      </c>
      <c r="F406" s="1127" t="str">
        <f t="shared" si="110"/>
        <v>T16</v>
      </c>
      <c r="G406" s="1128"/>
      <c r="H406" s="688">
        <f t="shared" si="111"/>
        <v>52</v>
      </c>
      <c r="I406" s="689">
        <f t="shared" si="112"/>
        <v>70.844999999999999</v>
      </c>
      <c r="J406" s="689">
        <f t="shared" si="113"/>
        <v>52</v>
      </c>
      <c r="K406" s="690">
        <f t="shared" si="114"/>
        <v>0.59862337500000007</v>
      </c>
      <c r="L406" s="691">
        <f t="shared" si="115"/>
        <v>0.26978009765980832</v>
      </c>
      <c r="M406" s="700">
        <f>IFERROR(IF(J406="","",IF($M$196="-","-",INDEX(BD!$A$1:$K$2510,MATCH('2.Win Load'!B406,BD!$A$1:$A$2510,0),7))),"")</f>
        <v>2.3419999999999999E-3</v>
      </c>
      <c r="N406" s="700">
        <f>IFERROR(IF($J406="","",IF($N$196="-","-",INDEX(BD!$A$1:$K$2510,MATCH('2.Win Load'!C406,BD!$A$1:$A$2510,0),7))),"")</f>
        <v>-5.6909999999999999E-3</v>
      </c>
      <c r="O406" s="700" t="str">
        <f>IFERROR(IF($J406="","",IF($O$196="-","-",INDEX(BD!$A$1:$K$2510,MATCH('2.Win Load'!D406,BD!$A$1:$A$2510,0),7))),"")</f>
        <v>-</v>
      </c>
      <c r="P406" s="692">
        <f t="shared" si="116"/>
        <v>89.617490667183574</v>
      </c>
      <c r="Q406" s="692">
        <f t="shared" si="117"/>
        <v>149.70596607121058</v>
      </c>
      <c r="R406" s="960" t="str">
        <f t="shared" si="118"/>
        <v>-</v>
      </c>
      <c r="S406" s="498">
        <f t="array" ref="S406">MAX(IF('Wind base'!$AE$5:$AE$11&lt;I406,'Wind base'!$AE$5:$AE$11,""))</f>
        <v>40</v>
      </c>
      <c r="T406" s="498">
        <f t="array" ref="T406">MIN(IF('Wind base'!$AE$5:$AE$11&gt;I406,'Wind base'!$AE$5:$AE$11,""))</f>
        <v>80</v>
      </c>
      <c r="U406" s="499">
        <f t="array" ref="U406">MAX(IF('Wind base'!$AF$4:$AL$4&lt;J406,'Wind base'!$AF$4:$AL$4,""),5)</f>
        <v>40</v>
      </c>
      <c r="V406" s="498">
        <f t="array" ref="V406">MIN(IF('Wind base'!$AF$4:$AL$4&gt;J406,'Wind base'!$AF$4:$AL$4,""))</f>
        <v>80</v>
      </c>
      <c r="W406" s="500">
        <f t="array" ref="W406">INDEX('Wind base'!$AF$5:$AL$11,MATCH($S406,'Wind base'!$AE$5:$AE$11,0),MATCH($U406,'Wind base'!$AF$4:$AL$4,0))</f>
        <v>0.67</v>
      </c>
      <c r="X406" s="500">
        <f t="array" ref="X406">INDEX('Wind base'!$AF$5:$AL$11,MATCH($S406,'Wind base'!$AE$5:$AE$11,0),MATCH($V406,'Wind base'!$AF$4:$AL$4,0))</f>
        <v>0.63</v>
      </c>
      <c r="Y406" s="500">
        <f t="array" ref="Y406">INDEX('Wind base'!$AF$5:$AL$11,MATCH($T406,'Wind base'!$AE$5:$AE$11,0),MATCH($U406,'Wind base'!$AF$4:$AL$4,0))</f>
        <v>0.59</v>
      </c>
      <c r="Z406" s="500">
        <f t="array" ref="Z406">INDEX('Wind base'!$AF$5:$AL$11,MATCH($T406,'Wind base'!$AE$5:$AE$11,0),MATCH($V406,'Wind base'!$AF$4:$AL$4,0))</f>
        <v>0.56000000000000005</v>
      </c>
      <c r="AA406" s="501">
        <f t="shared" si="104"/>
        <v>0.60831000000000002</v>
      </c>
      <c r="AB406" s="501">
        <f t="shared" si="105"/>
        <v>0.57602125000000004</v>
      </c>
      <c r="AC406" s="501">
        <f t="shared" si="106"/>
        <v>0.59862337500000007</v>
      </c>
    </row>
    <row r="407" spans="1:29" ht="15" customHeight="1">
      <c r="A407" s="457">
        <f t="shared" si="103"/>
        <v>1</v>
      </c>
      <c r="B407" s="701" t="str">
        <f t="shared" si="107"/>
        <v>T151</v>
      </c>
      <c r="C407" s="701" t="str">
        <f t="shared" si="108"/>
        <v>T155</v>
      </c>
      <c r="D407" s="885" t="str">
        <f t="shared" si="109"/>
        <v>T15-</v>
      </c>
      <c r="F407" s="1127" t="str">
        <f t="shared" si="110"/>
        <v>T15</v>
      </c>
      <c r="G407" s="1128"/>
      <c r="H407" s="688">
        <f t="shared" si="111"/>
        <v>48.6</v>
      </c>
      <c r="I407" s="689">
        <f t="shared" si="112"/>
        <v>70.844999999999999</v>
      </c>
      <c r="J407" s="689">
        <f t="shared" si="113"/>
        <v>48.6</v>
      </c>
      <c r="K407" s="690">
        <f t="shared" si="114"/>
        <v>0.60136791875000006</v>
      </c>
      <c r="L407" s="691">
        <f t="shared" si="115"/>
        <v>0.27104621776329074</v>
      </c>
      <c r="M407" s="700">
        <f>IFERROR(IF(J407="","",IF($M$196="-","-",INDEX(BD!$A$1:$K$2510,MATCH('2.Win Load'!B407,BD!$A$1:$A$2510,0),7))),"")</f>
        <v>2.137E-3</v>
      </c>
      <c r="N407" s="700">
        <f>IFERROR(IF($J407="","",IF($N$196="-","-",INDEX(BD!$A$1:$K$2510,MATCH('2.Win Load'!C407,BD!$A$1:$A$2510,0),7))),"")</f>
        <v>-5.6299999999999996E-3</v>
      </c>
      <c r="O407" s="700" t="str">
        <f>IFERROR(IF($J407="","",IF($O$196="-","-",INDEX(BD!$A$1:$K$2510,MATCH('2.Win Load'!D407,BD!$A$1:$A$2510,0),7))),"")</f>
        <v>-</v>
      </c>
      <c r="P407" s="692">
        <f t="shared" si="116"/>
        <v>89.658183062430666</v>
      </c>
      <c r="Q407" s="692">
        <f t="shared" si="117"/>
        <v>149.09039918323819</v>
      </c>
      <c r="R407" s="960" t="str">
        <f t="shared" si="118"/>
        <v>-</v>
      </c>
      <c r="S407" s="498">
        <f t="array" ref="S407">MAX(IF('Wind base'!$AE$5:$AE$11&lt;I407,'Wind base'!$AE$5:$AE$11,""))</f>
        <v>40</v>
      </c>
      <c r="T407" s="498">
        <f t="array" ref="T407">MIN(IF('Wind base'!$AE$5:$AE$11&gt;I407,'Wind base'!$AE$5:$AE$11,""))</f>
        <v>80</v>
      </c>
      <c r="U407" s="499">
        <f t="array" ref="U407">MAX(IF('Wind base'!$AF$4:$AL$4&lt;J407,'Wind base'!$AF$4:$AL$4,""),5)</f>
        <v>40</v>
      </c>
      <c r="V407" s="498">
        <f t="array" ref="V407">MIN(IF('Wind base'!$AF$4:$AL$4&gt;J407,'Wind base'!$AF$4:$AL$4,""))</f>
        <v>80</v>
      </c>
      <c r="W407" s="500">
        <f t="array" ref="W407">INDEX('Wind base'!$AF$5:$AL$11,MATCH($S407,'Wind base'!$AE$5:$AE$11,0),MATCH($U407,'Wind base'!$AF$4:$AL$4,0))</f>
        <v>0.67</v>
      </c>
      <c r="X407" s="500">
        <f t="array" ref="X407">INDEX('Wind base'!$AF$5:$AL$11,MATCH($S407,'Wind base'!$AE$5:$AE$11,0),MATCH($V407,'Wind base'!$AF$4:$AL$4,0))</f>
        <v>0.63</v>
      </c>
      <c r="Y407" s="500">
        <f t="array" ref="Y407">INDEX('Wind base'!$AF$5:$AL$11,MATCH($T407,'Wind base'!$AE$5:$AE$11,0),MATCH($U407,'Wind base'!$AF$4:$AL$4,0))</f>
        <v>0.59</v>
      </c>
      <c r="Z407" s="500">
        <f t="array" ref="Z407">INDEX('Wind base'!$AF$5:$AL$11,MATCH($T407,'Wind base'!$AE$5:$AE$11,0),MATCH($V407,'Wind base'!$AF$4:$AL$4,0))</f>
        <v>0.56000000000000005</v>
      </c>
      <c r="AA407" s="501">
        <f t="shared" si="104"/>
        <v>0.60831000000000002</v>
      </c>
      <c r="AB407" s="501">
        <f t="shared" si="105"/>
        <v>0.57602125000000004</v>
      </c>
      <c r="AC407" s="501">
        <f t="shared" si="106"/>
        <v>0.60136791875000006</v>
      </c>
    </row>
    <row r="408" spans="1:29" ht="15" customHeight="1">
      <c r="A408" s="457">
        <f t="shared" si="103"/>
        <v>1</v>
      </c>
      <c r="B408" s="701" t="str">
        <f t="shared" si="107"/>
        <v>T141</v>
      </c>
      <c r="C408" s="701" t="str">
        <f t="shared" si="108"/>
        <v>T145</v>
      </c>
      <c r="D408" s="885" t="str">
        <f t="shared" si="109"/>
        <v>T14-</v>
      </c>
      <c r="F408" s="1127" t="str">
        <f t="shared" si="110"/>
        <v>T14</v>
      </c>
      <c r="G408" s="1128"/>
      <c r="H408" s="688">
        <f t="shared" si="111"/>
        <v>45.2</v>
      </c>
      <c r="I408" s="689">
        <f t="shared" si="112"/>
        <v>70.844999999999999</v>
      </c>
      <c r="J408" s="689">
        <f t="shared" si="113"/>
        <v>45.2</v>
      </c>
      <c r="K408" s="690">
        <f t="shared" si="114"/>
        <v>0.60411246250000006</v>
      </c>
      <c r="L408" s="691">
        <f t="shared" si="115"/>
        <v>0.27240973334083035</v>
      </c>
      <c r="M408" s="700">
        <f>IFERROR(IF(J408="","",IF($M$196="-","-",INDEX(BD!$A$1:$K$2510,MATCH('2.Win Load'!B408,BD!$A$1:$A$2510,0),7))),"")</f>
        <v>1.936E-3</v>
      </c>
      <c r="N408" s="700">
        <f>IFERROR(IF($J408="","",IF($N$196="-","-",INDEX(BD!$A$1:$K$2510,MATCH('2.Win Load'!C408,BD!$A$1:$A$2510,0),7))),"")</f>
        <v>-5.496E-3</v>
      </c>
      <c r="O408" s="700" t="str">
        <f>IFERROR(IF($J408="","",IF($O$196="-","-",INDEX(BD!$A$1:$K$2510,MATCH('2.Win Load'!D408,BD!$A$1:$A$2510,0),7))),"")</f>
        <v>-</v>
      </c>
      <c r="P408" s="692">
        <f t="shared" si="116"/>
        <v>89.670525590581107</v>
      </c>
      <c r="Q408" s="692">
        <f t="shared" si="117"/>
        <v>148.43349733176726</v>
      </c>
      <c r="R408" s="960" t="str">
        <f t="shared" si="118"/>
        <v>-</v>
      </c>
      <c r="S408" s="498">
        <f t="array" ref="S408">MAX(IF('Wind base'!$AE$5:$AE$11&lt;I408,'Wind base'!$AE$5:$AE$11,""))</f>
        <v>40</v>
      </c>
      <c r="T408" s="498">
        <f t="array" ref="T408">MIN(IF('Wind base'!$AE$5:$AE$11&gt;I408,'Wind base'!$AE$5:$AE$11,""))</f>
        <v>80</v>
      </c>
      <c r="U408" s="499">
        <f t="array" ref="U408">MAX(IF('Wind base'!$AF$4:$AL$4&lt;J408,'Wind base'!$AF$4:$AL$4,""),5)</f>
        <v>40</v>
      </c>
      <c r="V408" s="498">
        <f t="array" ref="V408">MIN(IF('Wind base'!$AF$4:$AL$4&gt;J408,'Wind base'!$AF$4:$AL$4,""))</f>
        <v>80</v>
      </c>
      <c r="W408" s="500">
        <f t="array" ref="W408">INDEX('Wind base'!$AF$5:$AL$11,MATCH($S408,'Wind base'!$AE$5:$AE$11,0),MATCH($U408,'Wind base'!$AF$4:$AL$4,0))</f>
        <v>0.67</v>
      </c>
      <c r="X408" s="500">
        <f t="array" ref="X408">INDEX('Wind base'!$AF$5:$AL$11,MATCH($S408,'Wind base'!$AE$5:$AE$11,0),MATCH($V408,'Wind base'!$AF$4:$AL$4,0))</f>
        <v>0.63</v>
      </c>
      <c r="Y408" s="500">
        <f t="array" ref="Y408">INDEX('Wind base'!$AF$5:$AL$11,MATCH($T408,'Wind base'!$AE$5:$AE$11,0),MATCH($U408,'Wind base'!$AF$4:$AL$4,0))</f>
        <v>0.59</v>
      </c>
      <c r="Z408" s="500">
        <f t="array" ref="Z408">INDEX('Wind base'!$AF$5:$AL$11,MATCH($T408,'Wind base'!$AE$5:$AE$11,0),MATCH($V408,'Wind base'!$AF$4:$AL$4,0))</f>
        <v>0.56000000000000005</v>
      </c>
      <c r="AA408" s="501">
        <f t="shared" si="104"/>
        <v>0.60831000000000002</v>
      </c>
      <c r="AB408" s="501">
        <f t="shared" si="105"/>
        <v>0.57602125000000004</v>
      </c>
      <c r="AC408" s="501">
        <f t="shared" si="106"/>
        <v>0.60411246250000006</v>
      </c>
    </row>
    <row r="409" spans="1:29" ht="15" customHeight="1">
      <c r="A409" s="457">
        <f t="shared" si="103"/>
        <v>1</v>
      </c>
      <c r="B409" s="701" t="str">
        <f t="shared" si="107"/>
        <v>T131</v>
      </c>
      <c r="C409" s="701" t="str">
        <f t="shared" si="108"/>
        <v>T135</v>
      </c>
      <c r="D409" s="885" t="str">
        <f t="shared" si="109"/>
        <v>T13-</v>
      </c>
      <c r="F409" s="1127" t="str">
        <f t="shared" si="110"/>
        <v>T13</v>
      </c>
      <c r="G409" s="1128"/>
      <c r="H409" s="688">
        <f t="shared" si="111"/>
        <v>41.8</v>
      </c>
      <c r="I409" s="689">
        <f t="shared" si="112"/>
        <v>70.844999999999999</v>
      </c>
      <c r="J409" s="689">
        <f t="shared" si="113"/>
        <v>41.8</v>
      </c>
      <c r="K409" s="690">
        <f t="shared" si="114"/>
        <v>0.60685700625000005</v>
      </c>
      <c r="L409" s="691">
        <f t="shared" si="115"/>
        <v>0.27388626839678909</v>
      </c>
      <c r="M409" s="700">
        <f>IFERROR(IF(J409="","",IF($M$196="-","-",INDEX(BD!$A$1:$K$2510,MATCH('2.Win Load'!B409,BD!$A$1:$A$2510,0),7))),"")</f>
        <v>1.7390000000000001E-3</v>
      </c>
      <c r="N409" s="700">
        <f>IFERROR(IF($J409="","",IF($N$196="-","-",INDEX(BD!$A$1:$K$2510,MATCH('2.Win Load'!C409,BD!$A$1:$A$2510,0),7))),"")</f>
        <v>-5.2919999999999998E-3</v>
      </c>
      <c r="O409" s="700" t="str">
        <f>IFERROR(IF($J409="","",IF($O$196="-","-",INDEX(BD!$A$1:$K$2510,MATCH('2.Win Load'!D409,BD!$A$1:$A$2510,0),7))),"")</f>
        <v>-</v>
      </c>
      <c r="P409" s="692">
        <f t="shared" si="116"/>
        <v>89.650428404156429</v>
      </c>
      <c r="Q409" s="692">
        <f t="shared" si="117"/>
        <v>147.72908194327437</v>
      </c>
      <c r="R409" s="960" t="str">
        <f t="shared" si="118"/>
        <v>-</v>
      </c>
      <c r="S409" s="498">
        <f t="array" ref="S409">MAX(IF('Wind base'!$AE$5:$AE$11&lt;I409,'Wind base'!$AE$5:$AE$11,""))</f>
        <v>40</v>
      </c>
      <c r="T409" s="498">
        <f t="array" ref="T409">MIN(IF('Wind base'!$AE$5:$AE$11&gt;I409,'Wind base'!$AE$5:$AE$11,""))</f>
        <v>80</v>
      </c>
      <c r="U409" s="499">
        <f t="array" ref="U409">MAX(IF('Wind base'!$AF$4:$AL$4&lt;J409,'Wind base'!$AF$4:$AL$4,""),5)</f>
        <v>40</v>
      </c>
      <c r="V409" s="498">
        <f t="array" ref="V409">MIN(IF('Wind base'!$AF$4:$AL$4&gt;J409,'Wind base'!$AF$4:$AL$4,""))</f>
        <v>80</v>
      </c>
      <c r="W409" s="500">
        <f t="array" ref="W409">INDEX('Wind base'!$AF$5:$AL$11,MATCH($S409,'Wind base'!$AE$5:$AE$11,0),MATCH($U409,'Wind base'!$AF$4:$AL$4,0))</f>
        <v>0.67</v>
      </c>
      <c r="X409" s="500">
        <f t="array" ref="X409">INDEX('Wind base'!$AF$5:$AL$11,MATCH($S409,'Wind base'!$AE$5:$AE$11,0),MATCH($V409,'Wind base'!$AF$4:$AL$4,0))</f>
        <v>0.63</v>
      </c>
      <c r="Y409" s="500">
        <f t="array" ref="Y409">INDEX('Wind base'!$AF$5:$AL$11,MATCH($T409,'Wind base'!$AE$5:$AE$11,0),MATCH($U409,'Wind base'!$AF$4:$AL$4,0))</f>
        <v>0.59</v>
      </c>
      <c r="Z409" s="500">
        <f t="array" ref="Z409">INDEX('Wind base'!$AF$5:$AL$11,MATCH($T409,'Wind base'!$AE$5:$AE$11,0),MATCH($V409,'Wind base'!$AF$4:$AL$4,0))</f>
        <v>0.56000000000000005</v>
      </c>
      <c r="AA409" s="501">
        <f t="shared" si="104"/>
        <v>0.60831000000000002</v>
      </c>
      <c r="AB409" s="501">
        <f t="shared" si="105"/>
        <v>0.57602125000000004</v>
      </c>
      <c r="AC409" s="501">
        <f t="shared" si="106"/>
        <v>0.60685700625000005</v>
      </c>
    </row>
    <row r="410" spans="1:29" ht="15" customHeight="1">
      <c r="A410" s="457">
        <f t="shared" si="103"/>
        <v>1</v>
      </c>
      <c r="B410" s="701" t="str">
        <f t="shared" si="107"/>
        <v>T121</v>
      </c>
      <c r="C410" s="701" t="str">
        <f t="shared" si="108"/>
        <v>T125</v>
      </c>
      <c r="D410" s="885" t="str">
        <f t="shared" si="109"/>
        <v>T12-</v>
      </c>
      <c r="F410" s="1127" t="str">
        <f t="shared" si="110"/>
        <v>T12</v>
      </c>
      <c r="G410" s="1128"/>
      <c r="H410" s="688">
        <f t="shared" si="111"/>
        <v>38.4</v>
      </c>
      <c r="I410" s="689">
        <f t="shared" si="112"/>
        <v>70.844999999999999</v>
      </c>
      <c r="J410" s="689">
        <f t="shared" si="113"/>
        <v>38.4</v>
      </c>
      <c r="K410" s="690">
        <f t="shared" si="114"/>
        <v>0.61009310000000005</v>
      </c>
      <c r="L410" s="691">
        <f t="shared" si="115"/>
        <v>0.27549547858534507</v>
      </c>
      <c r="M410" s="700">
        <f>IFERROR(IF(J410="","",IF($M$196="-","-",INDEX(BD!$A$1:$K$2510,MATCH('2.Win Load'!B410,BD!$A$1:$A$2510,0),7))),"")</f>
        <v>1.547E-3</v>
      </c>
      <c r="N410" s="700">
        <f>IFERROR(IF($J410="","",IF($N$196="-","-",INDEX(BD!$A$1:$K$2510,MATCH('2.Win Load'!C410,BD!$A$1:$A$2510,0),7))),"")</f>
        <v>-5.0229999999999997E-3</v>
      </c>
      <c r="O410" s="700" t="str">
        <f>IFERROR(IF($J410="","",IF($O$196="-","-",INDEX(BD!$A$1:$K$2510,MATCH('2.Win Load'!D410,BD!$A$1:$A$2510,0),7))),"")</f>
        <v>-</v>
      </c>
      <c r="P410" s="692">
        <f t="shared" si="116"/>
        <v>89.66505134363959</v>
      </c>
      <c r="Q410" s="692">
        <f t="shared" si="117"/>
        <v>146.96945653645253</v>
      </c>
      <c r="R410" s="960" t="str">
        <f t="shared" si="118"/>
        <v>-</v>
      </c>
      <c r="S410" s="498">
        <f t="array" ref="S410">MAX(IF('Wind base'!$AE$5:$AE$11&lt;I410,'Wind base'!$AE$5:$AE$11,""))</f>
        <v>40</v>
      </c>
      <c r="T410" s="498">
        <f t="array" ref="T410">MIN(IF('Wind base'!$AE$5:$AE$11&gt;I410,'Wind base'!$AE$5:$AE$11,""))</f>
        <v>80</v>
      </c>
      <c r="U410" s="499">
        <f t="array" ref="U410">MAX(IF('Wind base'!$AF$4:$AL$4&lt;J410,'Wind base'!$AF$4:$AL$4,""),5)</f>
        <v>20</v>
      </c>
      <c r="V410" s="498">
        <f t="array" ref="V410">MIN(IF('Wind base'!$AF$4:$AL$4&gt;J410,'Wind base'!$AF$4:$AL$4,""))</f>
        <v>40</v>
      </c>
      <c r="W410" s="500">
        <f t="array" ref="W410">INDEX('Wind base'!$AF$5:$AL$11,MATCH($S410,'Wind base'!$AE$5:$AE$11,0),MATCH($U410,'Wind base'!$AF$4:$AL$4,0))</f>
        <v>0.7</v>
      </c>
      <c r="X410" s="500">
        <f t="array" ref="X410">INDEX('Wind base'!$AF$5:$AL$11,MATCH($S410,'Wind base'!$AE$5:$AE$11,0),MATCH($V410,'Wind base'!$AF$4:$AL$4,0))</f>
        <v>0.67</v>
      </c>
      <c r="Y410" s="500">
        <f t="array" ref="Y410">INDEX('Wind base'!$AF$5:$AL$11,MATCH($T410,'Wind base'!$AE$5:$AE$11,0),MATCH($U410,'Wind base'!$AF$4:$AL$4,0))</f>
        <v>0.61</v>
      </c>
      <c r="Z410" s="500">
        <f t="array" ref="Z410">INDEX('Wind base'!$AF$5:$AL$11,MATCH($T410,'Wind base'!$AE$5:$AE$11,0),MATCH($V410,'Wind base'!$AF$4:$AL$4,0))</f>
        <v>0.59</v>
      </c>
      <c r="AA410" s="501">
        <f t="shared" si="104"/>
        <v>0.63059874999999999</v>
      </c>
      <c r="AB410" s="501">
        <f t="shared" si="105"/>
        <v>0.60831000000000002</v>
      </c>
      <c r="AC410" s="501">
        <f t="shared" si="106"/>
        <v>0.61009310000000005</v>
      </c>
    </row>
    <row r="411" spans="1:29" ht="15" customHeight="1">
      <c r="A411" s="457">
        <f t="shared" si="103"/>
        <v>1</v>
      </c>
      <c r="B411" s="701" t="str">
        <f t="shared" si="107"/>
        <v>T111</v>
      </c>
      <c r="C411" s="701" t="str">
        <f t="shared" si="108"/>
        <v>T115</v>
      </c>
      <c r="D411" s="885" t="str">
        <f t="shared" si="109"/>
        <v>T11-</v>
      </c>
      <c r="F411" s="1127" t="str">
        <f t="shared" si="110"/>
        <v>T11</v>
      </c>
      <c r="G411" s="1128"/>
      <c r="H411" s="688">
        <f t="shared" si="111"/>
        <v>35</v>
      </c>
      <c r="I411" s="689">
        <f t="shared" si="112"/>
        <v>70.844999999999999</v>
      </c>
      <c r="J411" s="689">
        <f t="shared" si="113"/>
        <v>35</v>
      </c>
      <c r="K411" s="690">
        <f t="shared" si="114"/>
        <v>0.61388218750000001</v>
      </c>
      <c r="L411" s="691">
        <f t="shared" si="115"/>
        <v>0.27726255795831445</v>
      </c>
      <c r="M411" s="700">
        <f>IFERROR(IF(J411="","",IF($M$196="-","-",INDEX(BD!$A$1:$K$2510,MATCH('2.Win Load'!B411,BD!$A$1:$A$2510,0),7))),"")</f>
        <v>1.361E-3</v>
      </c>
      <c r="N411" s="700">
        <f>IFERROR(IF($J411="","",IF($N$196="-","-",INDEX(BD!$A$1:$K$2510,MATCH('2.Win Load'!C411,BD!$A$1:$A$2510,0),7))),"")</f>
        <v>-4.6940000000000003E-3</v>
      </c>
      <c r="O411" s="700" t="str">
        <f>IFERROR(IF($J411="","",IF($O$196="-","-",INDEX(BD!$A$1:$K$2510,MATCH('2.Win Load'!D411,BD!$A$1:$A$2510,0),7))),"")</f>
        <v>-</v>
      </c>
      <c r="P411" s="692">
        <f t="shared" si="116"/>
        <v>89.715726903499032</v>
      </c>
      <c r="Q411" s="692">
        <f t="shared" si="117"/>
        <v>146.14486090378543</v>
      </c>
      <c r="R411" s="960" t="str">
        <f t="shared" si="118"/>
        <v>-</v>
      </c>
      <c r="S411" s="498">
        <f t="array" ref="S411">MAX(IF('Wind base'!$AE$5:$AE$11&lt;I411,'Wind base'!$AE$5:$AE$11,""))</f>
        <v>40</v>
      </c>
      <c r="T411" s="498">
        <f t="array" ref="T411">MIN(IF('Wind base'!$AE$5:$AE$11&gt;I411,'Wind base'!$AE$5:$AE$11,""))</f>
        <v>80</v>
      </c>
      <c r="U411" s="499">
        <f t="array" ref="U411">MAX(IF('Wind base'!$AF$4:$AL$4&lt;J411,'Wind base'!$AF$4:$AL$4,""),5)</f>
        <v>20</v>
      </c>
      <c r="V411" s="498">
        <f t="array" ref="V411">MIN(IF('Wind base'!$AF$4:$AL$4&gt;J411,'Wind base'!$AF$4:$AL$4,""))</f>
        <v>40</v>
      </c>
      <c r="W411" s="500">
        <f t="array" ref="W411">INDEX('Wind base'!$AF$5:$AL$11,MATCH($S411,'Wind base'!$AE$5:$AE$11,0),MATCH($U411,'Wind base'!$AF$4:$AL$4,0))</f>
        <v>0.7</v>
      </c>
      <c r="X411" s="500">
        <f t="array" ref="X411">INDEX('Wind base'!$AF$5:$AL$11,MATCH($S411,'Wind base'!$AE$5:$AE$11,0),MATCH($V411,'Wind base'!$AF$4:$AL$4,0))</f>
        <v>0.67</v>
      </c>
      <c r="Y411" s="500">
        <f t="array" ref="Y411">INDEX('Wind base'!$AF$5:$AL$11,MATCH($T411,'Wind base'!$AE$5:$AE$11,0),MATCH($U411,'Wind base'!$AF$4:$AL$4,0))</f>
        <v>0.61</v>
      </c>
      <c r="Z411" s="500">
        <f t="array" ref="Z411">INDEX('Wind base'!$AF$5:$AL$11,MATCH($T411,'Wind base'!$AE$5:$AE$11,0),MATCH($V411,'Wind base'!$AF$4:$AL$4,0))</f>
        <v>0.59</v>
      </c>
      <c r="AA411" s="501">
        <f t="shared" si="104"/>
        <v>0.63059874999999999</v>
      </c>
      <c r="AB411" s="501">
        <f t="shared" si="105"/>
        <v>0.60831000000000002</v>
      </c>
      <c r="AC411" s="501">
        <f t="shared" si="106"/>
        <v>0.61388218750000001</v>
      </c>
    </row>
    <row r="412" spans="1:29" ht="15" customHeight="1">
      <c r="A412" s="457">
        <f t="shared" si="103"/>
        <v>1</v>
      </c>
      <c r="B412" s="701" t="str">
        <f t="shared" si="107"/>
        <v>T101</v>
      </c>
      <c r="C412" s="701" t="str">
        <f t="shared" si="108"/>
        <v>T105</v>
      </c>
      <c r="D412" s="885" t="str">
        <f t="shared" si="109"/>
        <v>T10-</v>
      </c>
      <c r="F412" s="1127" t="str">
        <f t="shared" si="110"/>
        <v>T10</v>
      </c>
      <c r="G412" s="1128"/>
      <c r="H412" s="688">
        <f t="shared" si="111"/>
        <v>31.6</v>
      </c>
      <c r="I412" s="689">
        <f t="shared" si="112"/>
        <v>70.844999999999999</v>
      </c>
      <c r="J412" s="689">
        <f t="shared" si="113"/>
        <v>31.6</v>
      </c>
      <c r="K412" s="690">
        <f t="shared" si="114"/>
        <v>0.61767127499999996</v>
      </c>
      <c r="L412" s="691">
        <f t="shared" si="115"/>
        <v>0.27922051871967063</v>
      </c>
      <c r="M412" s="700">
        <f>IFERROR(IF(J412="","",IF($M$196="-","-",INDEX(BD!$A$1:$K$2510,MATCH('2.Win Load'!B412,BD!$A$1:$A$2510,0),7))),"")</f>
        <v>1.181E-3</v>
      </c>
      <c r="N412" s="700">
        <f>IFERROR(IF($J412="","",IF($N$196="-","-",INDEX(BD!$A$1:$K$2510,MATCH('2.Win Load'!C412,BD!$A$1:$A$2510,0),7))),"")</f>
        <v>-4.3109999999999997E-3</v>
      </c>
      <c r="O412" s="700" t="str">
        <f>IFERROR(IF($J412="","",IF($O$196="-","-",INDEX(BD!$A$1:$K$2510,MATCH('2.Win Load'!D412,BD!$A$1:$A$2510,0),7))),"")</f>
        <v>-</v>
      </c>
      <c r="P412" s="692">
        <f t="shared" si="116"/>
        <v>89.712215417950389</v>
      </c>
      <c r="Q412" s="692">
        <f t="shared" si="117"/>
        <v>145.24265422242664</v>
      </c>
      <c r="R412" s="960" t="str">
        <f t="shared" si="118"/>
        <v>-</v>
      </c>
      <c r="S412" s="498">
        <f t="array" ref="S412">MAX(IF('Wind base'!$AE$5:$AE$11&lt;I412,'Wind base'!$AE$5:$AE$11,""))</f>
        <v>40</v>
      </c>
      <c r="T412" s="498">
        <f t="array" ref="T412">MIN(IF('Wind base'!$AE$5:$AE$11&gt;I412,'Wind base'!$AE$5:$AE$11,""))</f>
        <v>80</v>
      </c>
      <c r="U412" s="499">
        <f t="array" ref="U412">MAX(IF('Wind base'!$AF$4:$AL$4&lt;J412,'Wind base'!$AF$4:$AL$4,""),5)</f>
        <v>20</v>
      </c>
      <c r="V412" s="498">
        <f t="array" ref="V412">MIN(IF('Wind base'!$AF$4:$AL$4&gt;J412,'Wind base'!$AF$4:$AL$4,""))</f>
        <v>40</v>
      </c>
      <c r="W412" s="500">
        <f t="array" ref="W412">INDEX('Wind base'!$AF$5:$AL$11,MATCH($S412,'Wind base'!$AE$5:$AE$11,0),MATCH($U412,'Wind base'!$AF$4:$AL$4,0))</f>
        <v>0.7</v>
      </c>
      <c r="X412" s="500">
        <f t="array" ref="X412">INDEX('Wind base'!$AF$5:$AL$11,MATCH($S412,'Wind base'!$AE$5:$AE$11,0),MATCH($V412,'Wind base'!$AF$4:$AL$4,0))</f>
        <v>0.67</v>
      </c>
      <c r="Y412" s="500">
        <f t="array" ref="Y412">INDEX('Wind base'!$AF$5:$AL$11,MATCH($T412,'Wind base'!$AE$5:$AE$11,0),MATCH($U412,'Wind base'!$AF$4:$AL$4,0))</f>
        <v>0.61</v>
      </c>
      <c r="Z412" s="500">
        <f t="array" ref="Z412">INDEX('Wind base'!$AF$5:$AL$11,MATCH($T412,'Wind base'!$AE$5:$AE$11,0),MATCH($V412,'Wind base'!$AF$4:$AL$4,0))</f>
        <v>0.59</v>
      </c>
      <c r="AA412" s="501">
        <f t="shared" si="104"/>
        <v>0.63059874999999999</v>
      </c>
      <c r="AB412" s="501">
        <f t="shared" si="105"/>
        <v>0.60831000000000002</v>
      </c>
      <c r="AC412" s="501">
        <f t="shared" si="106"/>
        <v>0.61767127499999996</v>
      </c>
    </row>
    <row r="413" spans="1:29" ht="15" customHeight="1">
      <c r="A413" s="457">
        <f t="shared" si="103"/>
        <v>1</v>
      </c>
      <c r="B413" s="701" t="str">
        <f t="shared" si="107"/>
        <v>T91</v>
      </c>
      <c r="C413" s="701" t="str">
        <f t="shared" si="108"/>
        <v>T95</v>
      </c>
      <c r="D413" s="885" t="str">
        <f t="shared" si="109"/>
        <v>T9-</v>
      </c>
      <c r="F413" s="1127" t="str">
        <f t="shared" si="110"/>
        <v>T9</v>
      </c>
      <c r="G413" s="1128"/>
      <c r="H413" s="688">
        <f t="shared" si="111"/>
        <v>28.2</v>
      </c>
      <c r="I413" s="689">
        <f t="shared" si="112"/>
        <v>70.844999999999999</v>
      </c>
      <c r="J413" s="689">
        <f t="shared" si="113"/>
        <v>28.2</v>
      </c>
      <c r="K413" s="690">
        <f t="shared" si="114"/>
        <v>0.62146036250000003</v>
      </c>
      <c r="L413" s="691">
        <f t="shared" si="115"/>
        <v>0.28141377274660173</v>
      </c>
      <c r="M413" s="700">
        <f>IFERROR(IF(J413="","",IF($M$196="-","-",INDEX(BD!$A$1:$K$2510,MATCH('2.Win Load'!B413,BD!$A$1:$A$2510,0),7))),"")</f>
        <v>1.0089999999999999E-3</v>
      </c>
      <c r="N413" s="700">
        <f>IFERROR(IF($J413="","",IF($N$196="-","-",INDEX(BD!$A$1:$K$2510,MATCH('2.Win Load'!C413,BD!$A$1:$A$2510,0),7))),"")</f>
        <v>-3.8839999999999999E-3</v>
      </c>
      <c r="O413" s="700" t="str">
        <f>IFERROR(IF($J413="","",IF($O$196="-","-",INDEX(BD!$A$1:$K$2510,MATCH('2.Win Load'!D413,BD!$A$1:$A$2510,0),7))),"")</f>
        <v>-</v>
      </c>
      <c r="P413" s="692">
        <f t="shared" si="116"/>
        <v>89.643200605259352</v>
      </c>
      <c r="Q413" s="692">
        <f t="shared" si="117"/>
        <v>144.24604691543678</v>
      </c>
      <c r="R413" s="960" t="str">
        <f t="shared" si="118"/>
        <v>-</v>
      </c>
      <c r="S413" s="498">
        <f t="array" ref="S413">MAX(IF('Wind base'!$AE$5:$AE$11&lt;I413,'Wind base'!$AE$5:$AE$11,""))</f>
        <v>40</v>
      </c>
      <c r="T413" s="498">
        <f t="array" ref="T413">MIN(IF('Wind base'!$AE$5:$AE$11&gt;I413,'Wind base'!$AE$5:$AE$11,""))</f>
        <v>80</v>
      </c>
      <c r="U413" s="499">
        <f t="array" ref="U413">MAX(IF('Wind base'!$AF$4:$AL$4&lt;J413,'Wind base'!$AF$4:$AL$4,""),5)</f>
        <v>20</v>
      </c>
      <c r="V413" s="498">
        <f t="array" ref="V413">MIN(IF('Wind base'!$AF$4:$AL$4&gt;J413,'Wind base'!$AF$4:$AL$4,""))</f>
        <v>40</v>
      </c>
      <c r="W413" s="500">
        <f t="array" ref="W413">INDEX('Wind base'!$AF$5:$AL$11,MATCH($S413,'Wind base'!$AE$5:$AE$11,0),MATCH($U413,'Wind base'!$AF$4:$AL$4,0))</f>
        <v>0.7</v>
      </c>
      <c r="X413" s="500">
        <f t="array" ref="X413">INDEX('Wind base'!$AF$5:$AL$11,MATCH($S413,'Wind base'!$AE$5:$AE$11,0),MATCH($V413,'Wind base'!$AF$4:$AL$4,0))</f>
        <v>0.67</v>
      </c>
      <c r="Y413" s="500">
        <f t="array" ref="Y413">INDEX('Wind base'!$AF$5:$AL$11,MATCH($T413,'Wind base'!$AE$5:$AE$11,0),MATCH($U413,'Wind base'!$AF$4:$AL$4,0))</f>
        <v>0.61</v>
      </c>
      <c r="Z413" s="500">
        <f t="array" ref="Z413">INDEX('Wind base'!$AF$5:$AL$11,MATCH($T413,'Wind base'!$AE$5:$AE$11,0),MATCH($V413,'Wind base'!$AF$4:$AL$4,0))</f>
        <v>0.59</v>
      </c>
      <c r="AA413" s="501">
        <f t="shared" si="104"/>
        <v>0.63059874999999999</v>
      </c>
      <c r="AB413" s="501">
        <f t="shared" si="105"/>
        <v>0.60831000000000002</v>
      </c>
      <c r="AC413" s="501">
        <f t="shared" si="106"/>
        <v>0.62146036250000003</v>
      </c>
    </row>
    <row r="414" spans="1:29" ht="15" customHeight="1">
      <c r="A414" s="457">
        <f t="shared" ref="A414:A445" si="119">IF(F414="","",1)</f>
        <v>1</v>
      </c>
      <c r="B414" s="701" t="str">
        <f t="shared" si="107"/>
        <v>T81</v>
      </c>
      <c r="C414" s="701" t="str">
        <f t="shared" si="108"/>
        <v>T85</v>
      </c>
      <c r="D414" s="885" t="str">
        <f t="shared" si="109"/>
        <v>T8-</v>
      </c>
      <c r="F414" s="1127" t="str">
        <f t="shared" si="110"/>
        <v>T8</v>
      </c>
      <c r="G414" s="1128"/>
      <c r="H414" s="688">
        <f t="shared" si="111"/>
        <v>24.8</v>
      </c>
      <c r="I414" s="689">
        <f t="shared" si="112"/>
        <v>70.844999999999999</v>
      </c>
      <c r="J414" s="689">
        <f t="shared" si="113"/>
        <v>24.8</v>
      </c>
      <c r="K414" s="690">
        <f t="shared" si="114"/>
        <v>0.62524944999999998</v>
      </c>
      <c r="L414" s="691">
        <f t="shared" si="115"/>
        <v>0.28390401899364226</v>
      </c>
      <c r="M414" s="700">
        <f>IFERROR(IF(J414="","",IF($M$196="-","-",INDEX(BD!$A$1:$K$2510,MATCH('2.Win Load'!B414,BD!$A$1:$A$2510,0),7))),"")</f>
        <v>8.4599999999999996E-4</v>
      </c>
      <c r="N414" s="700">
        <f>IFERROR(IF($J414="","",IF($N$196="-","-",INDEX(BD!$A$1:$K$2510,MATCH('2.Win Load'!C414,BD!$A$1:$A$2510,0),7))),"")</f>
        <v>-3.4220000000000001E-3</v>
      </c>
      <c r="O414" s="700" t="str">
        <f>IFERROR(IF($J414="","",IF($O$196="-","-",INDEX(BD!$A$1:$K$2510,MATCH('2.Win Load'!D414,BD!$A$1:$A$2510,0),7))),"")</f>
        <v>-</v>
      </c>
      <c r="P414" s="692">
        <f t="shared" si="116"/>
        <v>89.493231350196865</v>
      </c>
      <c r="Q414" s="692">
        <f t="shared" si="117"/>
        <v>143.13204329919341</v>
      </c>
      <c r="R414" s="960" t="str">
        <f t="shared" si="118"/>
        <v>-</v>
      </c>
      <c r="S414" s="498">
        <f t="array" ref="S414">MAX(IF('Wind base'!$AE$5:$AE$11&lt;I414,'Wind base'!$AE$5:$AE$11,""))</f>
        <v>40</v>
      </c>
      <c r="T414" s="498">
        <f t="array" ref="T414">MIN(IF('Wind base'!$AE$5:$AE$11&gt;I414,'Wind base'!$AE$5:$AE$11,""))</f>
        <v>80</v>
      </c>
      <c r="U414" s="499">
        <f t="array" ref="U414">MAX(IF('Wind base'!$AF$4:$AL$4&lt;J414,'Wind base'!$AF$4:$AL$4,""),5)</f>
        <v>20</v>
      </c>
      <c r="V414" s="498">
        <f t="array" ref="V414">MIN(IF('Wind base'!$AF$4:$AL$4&gt;J414,'Wind base'!$AF$4:$AL$4,""))</f>
        <v>40</v>
      </c>
      <c r="W414" s="500">
        <f t="array" ref="W414">INDEX('Wind base'!$AF$5:$AL$11,MATCH($S414,'Wind base'!$AE$5:$AE$11,0),MATCH($U414,'Wind base'!$AF$4:$AL$4,0))</f>
        <v>0.7</v>
      </c>
      <c r="X414" s="500">
        <f t="array" ref="X414">INDEX('Wind base'!$AF$5:$AL$11,MATCH($S414,'Wind base'!$AE$5:$AE$11,0),MATCH($V414,'Wind base'!$AF$4:$AL$4,0))</f>
        <v>0.67</v>
      </c>
      <c r="Y414" s="500">
        <f t="array" ref="Y414">INDEX('Wind base'!$AF$5:$AL$11,MATCH($T414,'Wind base'!$AE$5:$AE$11,0),MATCH($U414,'Wind base'!$AF$4:$AL$4,0))</f>
        <v>0.61</v>
      </c>
      <c r="Z414" s="500">
        <f t="array" ref="Z414">INDEX('Wind base'!$AF$5:$AL$11,MATCH($T414,'Wind base'!$AE$5:$AE$11,0),MATCH($V414,'Wind base'!$AF$4:$AL$4,0))</f>
        <v>0.59</v>
      </c>
      <c r="AA414" s="501">
        <f t="shared" ref="AA414:AA445" si="120">Y414+(T414-I414)/(T414-S414)*(W414-Y414)</f>
        <v>0.63059874999999999</v>
      </c>
      <c r="AB414" s="501">
        <f t="shared" ref="AB414:AB445" si="121">Z414+(T414-I414)/(T414-S414)*(X414-Z414)</f>
        <v>0.60831000000000002</v>
      </c>
      <c r="AC414" s="501">
        <f t="shared" ref="AC414:AC445" si="122">IFERROR(AB414+(V414-J414)*(AA414-AB414)/(V414-U414),AA414)</f>
        <v>0.62524944999999998</v>
      </c>
    </row>
    <row r="415" spans="1:29" ht="15" customHeight="1">
      <c r="A415" s="457">
        <f t="shared" si="119"/>
        <v>1</v>
      </c>
      <c r="B415" s="701" t="str">
        <f t="shared" si="107"/>
        <v>T71</v>
      </c>
      <c r="C415" s="701" t="str">
        <f t="shared" si="108"/>
        <v>T75</v>
      </c>
      <c r="D415" s="885" t="str">
        <f t="shared" si="109"/>
        <v>T7-</v>
      </c>
      <c r="F415" s="1127" t="str">
        <f t="shared" si="110"/>
        <v>T7</v>
      </c>
      <c r="G415" s="1128"/>
      <c r="H415" s="688">
        <f t="shared" si="111"/>
        <v>21.4</v>
      </c>
      <c r="I415" s="689">
        <f t="shared" si="112"/>
        <v>70.844999999999999</v>
      </c>
      <c r="J415" s="689">
        <f t="shared" si="113"/>
        <v>21.4</v>
      </c>
      <c r="K415" s="690">
        <f t="shared" si="114"/>
        <v>0.62903853749999994</v>
      </c>
      <c r="L415" s="691">
        <f t="shared" si="115"/>
        <v>0.28678047599745321</v>
      </c>
      <c r="M415" s="700">
        <f>IFERROR(IF(J415="","",IF($M$196="-","-",INDEX(BD!$A$1:$K$2510,MATCH('2.Win Load'!B415,BD!$A$1:$A$2510,0),7))),"")</f>
        <v>6.9099999999999999E-4</v>
      </c>
      <c r="N415" s="700">
        <f>IFERROR(IF($J415="","",IF($N$196="-","-",INDEX(BD!$A$1:$K$2510,MATCH('2.Win Load'!C415,BD!$A$1:$A$2510,0),7))),"")</f>
        <v>-2.934E-3</v>
      </c>
      <c r="O415" s="700" t="str">
        <f>IFERROR(IF($J415="","",IF($O$196="-","-",INDEX(BD!$A$1:$K$2510,MATCH('2.Win Load'!D415,BD!$A$1:$A$2510,0),7))),"")</f>
        <v>-</v>
      </c>
      <c r="P415" s="692">
        <f t="shared" si="116"/>
        <v>89.240387669099547</v>
      </c>
      <c r="Q415" s="692">
        <f t="shared" si="117"/>
        <v>141.86791801940998</v>
      </c>
      <c r="R415" s="960" t="str">
        <f t="shared" si="118"/>
        <v>-</v>
      </c>
      <c r="S415" s="498">
        <f t="array" ref="S415">MAX(IF('Wind base'!$AE$5:$AE$11&lt;I415,'Wind base'!$AE$5:$AE$11,""))</f>
        <v>40</v>
      </c>
      <c r="T415" s="498">
        <f t="array" ref="T415">MIN(IF('Wind base'!$AE$5:$AE$11&gt;I415,'Wind base'!$AE$5:$AE$11,""))</f>
        <v>80</v>
      </c>
      <c r="U415" s="499">
        <f t="array" ref="U415">MAX(IF('Wind base'!$AF$4:$AL$4&lt;J415,'Wind base'!$AF$4:$AL$4,""),5)</f>
        <v>20</v>
      </c>
      <c r="V415" s="498">
        <f t="array" ref="V415">MIN(IF('Wind base'!$AF$4:$AL$4&gt;J415,'Wind base'!$AF$4:$AL$4,""))</f>
        <v>40</v>
      </c>
      <c r="W415" s="500">
        <f t="array" ref="W415">INDEX('Wind base'!$AF$5:$AL$11,MATCH($S415,'Wind base'!$AE$5:$AE$11,0),MATCH($U415,'Wind base'!$AF$4:$AL$4,0))</f>
        <v>0.7</v>
      </c>
      <c r="X415" s="500">
        <f t="array" ref="X415">INDEX('Wind base'!$AF$5:$AL$11,MATCH($S415,'Wind base'!$AE$5:$AE$11,0),MATCH($V415,'Wind base'!$AF$4:$AL$4,0))</f>
        <v>0.67</v>
      </c>
      <c r="Y415" s="500">
        <f t="array" ref="Y415">INDEX('Wind base'!$AF$5:$AL$11,MATCH($T415,'Wind base'!$AE$5:$AE$11,0),MATCH($U415,'Wind base'!$AF$4:$AL$4,0))</f>
        <v>0.61</v>
      </c>
      <c r="Z415" s="500">
        <f t="array" ref="Z415">INDEX('Wind base'!$AF$5:$AL$11,MATCH($T415,'Wind base'!$AE$5:$AE$11,0),MATCH($V415,'Wind base'!$AF$4:$AL$4,0))</f>
        <v>0.59</v>
      </c>
      <c r="AA415" s="501">
        <f t="shared" si="120"/>
        <v>0.63059874999999999</v>
      </c>
      <c r="AB415" s="501">
        <f t="shared" si="121"/>
        <v>0.60831000000000002</v>
      </c>
      <c r="AC415" s="501">
        <f t="shared" si="122"/>
        <v>0.62903853749999994</v>
      </c>
    </row>
    <row r="416" spans="1:29" ht="15" customHeight="1">
      <c r="A416" s="457">
        <f t="shared" si="119"/>
        <v>1</v>
      </c>
      <c r="B416" s="701" t="str">
        <f t="shared" si="107"/>
        <v>T61</v>
      </c>
      <c r="C416" s="701" t="str">
        <f t="shared" si="108"/>
        <v>T65</v>
      </c>
      <c r="D416" s="885" t="str">
        <f t="shared" ref="D416:D460" si="123">F416&amp;$J$195</f>
        <v>T6-</v>
      </c>
      <c r="F416" s="1127" t="str">
        <f t="shared" si="110"/>
        <v>T6</v>
      </c>
      <c r="G416" s="1128"/>
      <c r="H416" s="688">
        <f t="shared" si="111"/>
        <v>18</v>
      </c>
      <c r="I416" s="689">
        <f t="shared" si="112"/>
        <v>70.844999999999999</v>
      </c>
      <c r="J416" s="689">
        <f t="shared" ref="J416:J446" si="124">IF(AND(F416&lt;&gt;"",F416&lt;&gt;"BASE"),IF(H416&gt;0,H416,""),"")</f>
        <v>18</v>
      </c>
      <c r="K416" s="690">
        <f t="shared" ref="K416:K445" si="125">IF(AND(F416&lt;&gt;"",F416&lt;&gt;"BASE",H416&gt;0),AC416,"")</f>
        <v>0.63459874999999999</v>
      </c>
      <c r="L416" s="691">
        <f t="shared" si="115"/>
        <v>0.29017896276236688</v>
      </c>
      <c r="M416" s="700">
        <f>IFERROR(IF(J416="","",IF($M$196="-","-",INDEX(BD!$A$1:$K$2510,MATCH('2.Win Load'!B416,BD!$A$1:$A$2510,0),7))),"")</f>
        <v>5.4799999999999998E-4</v>
      </c>
      <c r="N416" s="700">
        <f>IFERROR(IF($J416="","",IF($N$196="-","-",INDEX(BD!$A$1:$K$2510,MATCH('2.Win Load'!C416,BD!$A$1:$A$2510,0),7))),"")</f>
        <v>-2.4320000000000001E-3</v>
      </c>
      <c r="O416" s="700" t="str">
        <f>IFERROR(IF($J416="","",IF($O$196="-","-",INDEX(BD!$A$1:$K$2510,MATCH('2.Win Load'!D416,BD!$A$1:$A$2510,0),7))),"")</f>
        <v>-</v>
      </c>
      <c r="P416" s="692">
        <f t="shared" si="116"/>
        <v>89.100681537477556</v>
      </c>
      <c r="Q416" s="692">
        <f t="shared" si="117"/>
        <v>140.40475424428044</v>
      </c>
      <c r="R416" s="960" t="str">
        <f t="shared" si="118"/>
        <v>-</v>
      </c>
      <c r="S416" s="498">
        <f t="array" ref="S416">MAX(IF('Wind base'!$AE$5:$AE$11&lt;I416,'Wind base'!$AE$5:$AE$11,""))</f>
        <v>40</v>
      </c>
      <c r="T416" s="498">
        <f t="array" ref="T416">MIN(IF('Wind base'!$AE$5:$AE$11&gt;I416,'Wind base'!$AE$5:$AE$11,""))</f>
        <v>80</v>
      </c>
      <c r="U416" s="499">
        <f t="array" ref="U416">MAX(IF('Wind base'!$AF$4:$AL$4&lt;J416,'Wind base'!$AF$4:$AL$4,""),5)</f>
        <v>10</v>
      </c>
      <c r="V416" s="498">
        <f t="array" ref="V416">MIN(IF('Wind base'!$AF$4:$AL$4&gt;J416,'Wind base'!$AF$4:$AL$4,""))</f>
        <v>20</v>
      </c>
      <c r="W416" s="500">
        <f t="array" ref="W416">INDEX('Wind base'!$AF$5:$AL$11,MATCH($S416,'Wind base'!$AE$5:$AE$11,0),MATCH($U416,'Wind base'!$AF$4:$AL$4,0))</f>
        <v>0.72</v>
      </c>
      <c r="X416" s="500">
        <f t="array" ref="X416">INDEX('Wind base'!$AF$5:$AL$11,MATCH($S416,'Wind base'!$AE$5:$AE$11,0),MATCH($V416,'Wind base'!$AF$4:$AL$4,0))</f>
        <v>0.7</v>
      </c>
      <c r="Y416" s="500">
        <f t="array" ref="Y416">INDEX('Wind base'!$AF$5:$AL$11,MATCH($T416,'Wind base'!$AE$5:$AE$11,0),MATCH($U416,'Wind base'!$AF$4:$AL$4,0))</f>
        <v>0.63</v>
      </c>
      <c r="Z416" s="500">
        <f t="array" ref="Z416">INDEX('Wind base'!$AF$5:$AL$11,MATCH($T416,'Wind base'!$AE$5:$AE$11,0),MATCH($V416,'Wind base'!$AF$4:$AL$4,0))</f>
        <v>0.61</v>
      </c>
      <c r="AA416" s="501">
        <f t="shared" si="120"/>
        <v>0.65059875</v>
      </c>
      <c r="AB416" s="501">
        <f t="shared" si="121"/>
        <v>0.63059874999999999</v>
      </c>
      <c r="AC416" s="501">
        <f t="shared" si="122"/>
        <v>0.63459874999999999</v>
      </c>
    </row>
    <row r="417" spans="1:29" ht="15" customHeight="1">
      <c r="A417" s="457">
        <f t="shared" si="119"/>
        <v>1</v>
      </c>
      <c r="B417" s="701" t="str">
        <f t="shared" si="107"/>
        <v>T51</v>
      </c>
      <c r="C417" s="701" t="str">
        <f t="shared" si="108"/>
        <v>T55</v>
      </c>
      <c r="D417" s="885" t="str">
        <f t="shared" si="123"/>
        <v>T5-</v>
      </c>
      <c r="F417" s="1127" t="str">
        <f t="shared" si="110"/>
        <v>T5</v>
      </c>
      <c r="G417" s="1128"/>
      <c r="H417" s="688">
        <f t="shared" si="111"/>
        <v>14.6</v>
      </c>
      <c r="I417" s="689">
        <f t="shared" si="112"/>
        <v>70.844999999999999</v>
      </c>
      <c r="J417" s="689">
        <f t="shared" si="124"/>
        <v>14.6</v>
      </c>
      <c r="K417" s="690">
        <f t="shared" si="125"/>
        <v>0.64139875000000002</v>
      </c>
      <c r="L417" s="691">
        <f t="shared" si="115"/>
        <v>0.29432090733657923</v>
      </c>
      <c r="M417" s="700">
        <f>IFERROR(IF(J417="","",IF($M$196="-","-",INDEX(BD!$A$1:$K$2510,MATCH('2.Win Load'!B417,BD!$A$1:$A$2510,0),7))),"")</f>
        <v>4.1599999999999997E-4</v>
      </c>
      <c r="N417" s="700">
        <f>IFERROR(IF($J417="","",IF($N$196="-","-",INDEX(BD!$A$1:$K$2510,MATCH('2.Win Load'!C417,BD!$A$1:$A$2510,0),7))),"")</f>
        <v>-1.931E-3</v>
      </c>
      <c r="O417" s="700" t="str">
        <f>IFERROR(IF($J417="","",IF($O$196="-","-",INDEX(BD!$A$1:$K$2510,MATCH('2.Win Load'!D417,BD!$A$1:$A$2510,0),7))),"")</f>
        <v>-</v>
      </c>
      <c r="P417" s="692">
        <f t="shared" si="116"/>
        <v>88.939228115370156</v>
      </c>
      <c r="Q417" s="692">
        <f t="shared" si="117"/>
        <v>138.66448619578719</v>
      </c>
      <c r="R417" s="960" t="str">
        <f t="shared" si="118"/>
        <v>-</v>
      </c>
      <c r="S417" s="498">
        <f t="array" ref="S417">MAX(IF('Wind base'!$AE$5:$AE$11&lt;I417,'Wind base'!$AE$5:$AE$11,""))</f>
        <v>40</v>
      </c>
      <c r="T417" s="498">
        <f t="array" ref="T417">MIN(IF('Wind base'!$AE$5:$AE$11&gt;I417,'Wind base'!$AE$5:$AE$11,""))</f>
        <v>80</v>
      </c>
      <c r="U417" s="499">
        <f t="array" ref="U417">MAX(IF('Wind base'!$AF$4:$AL$4&lt;J417,'Wind base'!$AF$4:$AL$4,""),5)</f>
        <v>10</v>
      </c>
      <c r="V417" s="498">
        <f t="array" ref="V417">MIN(IF('Wind base'!$AF$4:$AL$4&gt;J417,'Wind base'!$AF$4:$AL$4,""))</f>
        <v>20</v>
      </c>
      <c r="W417" s="500">
        <f t="array" ref="W417">INDEX('Wind base'!$AF$5:$AL$11,MATCH($S417,'Wind base'!$AE$5:$AE$11,0),MATCH($U417,'Wind base'!$AF$4:$AL$4,0))</f>
        <v>0.72</v>
      </c>
      <c r="X417" s="500">
        <f t="array" ref="X417">INDEX('Wind base'!$AF$5:$AL$11,MATCH($S417,'Wind base'!$AE$5:$AE$11,0),MATCH($V417,'Wind base'!$AF$4:$AL$4,0))</f>
        <v>0.7</v>
      </c>
      <c r="Y417" s="500">
        <f t="array" ref="Y417">INDEX('Wind base'!$AF$5:$AL$11,MATCH($T417,'Wind base'!$AE$5:$AE$11,0),MATCH($U417,'Wind base'!$AF$4:$AL$4,0))</f>
        <v>0.63</v>
      </c>
      <c r="Z417" s="500">
        <f t="array" ref="Z417">INDEX('Wind base'!$AF$5:$AL$11,MATCH($T417,'Wind base'!$AE$5:$AE$11,0),MATCH($V417,'Wind base'!$AF$4:$AL$4,0))</f>
        <v>0.61</v>
      </c>
      <c r="AA417" s="501">
        <f t="shared" si="120"/>
        <v>0.65059875</v>
      </c>
      <c r="AB417" s="501">
        <f t="shared" si="121"/>
        <v>0.63059874999999999</v>
      </c>
      <c r="AC417" s="501">
        <f t="shared" si="122"/>
        <v>0.64139875000000002</v>
      </c>
    </row>
    <row r="418" spans="1:29" ht="15" customHeight="1">
      <c r="A418" s="457">
        <f t="shared" si="119"/>
        <v>1</v>
      </c>
      <c r="B418" s="701" t="str">
        <f t="shared" si="107"/>
        <v>T41</v>
      </c>
      <c r="C418" s="701" t="str">
        <f t="shared" si="108"/>
        <v>T45</v>
      </c>
      <c r="D418" s="885" t="str">
        <f t="shared" si="123"/>
        <v>T4-</v>
      </c>
      <c r="F418" s="1127" t="str">
        <f t="shared" si="110"/>
        <v>T4</v>
      </c>
      <c r="G418" s="1128"/>
      <c r="H418" s="688">
        <f t="shared" si="111"/>
        <v>11.2</v>
      </c>
      <c r="I418" s="689">
        <f t="shared" si="112"/>
        <v>70.844999999999999</v>
      </c>
      <c r="J418" s="689">
        <f t="shared" si="124"/>
        <v>11.2</v>
      </c>
      <c r="K418" s="690">
        <f t="shared" si="125"/>
        <v>0.64819875000000005</v>
      </c>
      <c r="L418" s="691">
        <f t="shared" si="115"/>
        <v>0.29960382063371022</v>
      </c>
      <c r="M418" s="700">
        <f>IFERROR(IF(J418="","",IF($M$196="-","-",INDEX(BD!$A$1:$K$2510,MATCH('2.Win Load'!B418,BD!$A$1:$A$2510,0),7))),"")</f>
        <v>2.9799999999999998E-4</v>
      </c>
      <c r="N418" s="700">
        <f>IFERROR(IF($J418="","",IF($N$196="-","-",INDEX(BD!$A$1:$K$2510,MATCH('2.Win Load'!C418,BD!$A$1:$A$2510,0),7))),"")</f>
        <v>-1.444E-3</v>
      </c>
      <c r="O418" s="700" t="str">
        <f>IFERROR(IF($J418="","",IF($O$196="-","-",INDEX(BD!$A$1:$K$2510,MATCH('2.Win Load'!D418,BD!$A$1:$A$2510,0),7))),"")</f>
        <v>-</v>
      </c>
      <c r="P418" s="692">
        <f t="shared" si="116"/>
        <v>88.48595661252061</v>
      </c>
      <c r="Q418" s="692">
        <f t="shared" si="117"/>
        <v>136.51053262987719</v>
      </c>
      <c r="R418" s="960" t="str">
        <f t="shared" si="118"/>
        <v>-</v>
      </c>
      <c r="S418" s="498">
        <f t="array" ref="S418">MAX(IF('Wind base'!$AE$5:$AE$11&lt;I418,'Wind base'!$AE$5:$AE$11,""))</f>
        <v>40</v>
      </c>
      <c r="T418" s="498">
        <f t="array" ref="T418">MIN(IF('Wind base'!$AE$5:$AE$11&gt;I418,'Wind base'!$AE$5:$AE$11,""))</f>
        <v>80</v>
      </c>
      <c r="U418" s="499">
        <f t="array" ref="U418">MAX(IF('Wind base'!$AF$4:$AL$4&lt;J418,'Wind base'!$AF$4:$AL$4,""),5)</f>
        <v>10</v>
      </c>
      <c r="V418" s="498">
        <f t="array" ref="V418">MIN(IF('Wind base'!$AF$4:$AL$4&gt;J418,'Wind base'!$AF$4:$AL$4,""))</f>
        <v>20</v>
      </c>
      <c r="W418" s="500">
        <f t="array" ref="W418">INDEX('Wind base'!$AF$5:$AL$11,MATCH($S418,'Wind base'!$AE$5:$AE$11,0),MATCH($U418,'Wind base'!$AF$4:$AL$4,0))</f>
        <v>0.72</v>
      </c>
      <c r="X418" s="500">
        <f t="array" ref="X418">INDEX('Wind base'!$AF$5:$AL$11,MATCH($S418,'Wind base'!$AE$5:$AE$11,0),MATCH($V418,'Wind base'!$AF$4:$AL$4,0))</f>
        <v>0.7</v>
      </c>
      <c r="Y418" s="500">
        <f t="array" ref="Y418">INDEX('Wind base'!$AF$5:$AL$11,MATCH($T418,'Wind base'!$AE$5:$AE$11,0),MATCH($U418,'Wind base'!$AF$4:$AL$4,0))</f>
        <v>0.63</v>
      </c>
      <c r="Z418" s="500">
        <f t="array" ref="Z418">INDEX('Wind base'!$AF$5:$AL$11,MATCH($T418,'Wind base'!$AE$5:$AE$11,0),MATCH($V418,'Wind base'!$AF$4:$AL$4,0))</f>
        <v>0.61</v>
      </c>
      <c r="AA418" s="501">
        <f t="shared" si="120"/>
        <v>0.65059875</v>
      </c>
      <c r="AB418" s="501">
        <f t="shared" si="121"/>
        <v>0.63059874999999999</v>
      </c>
      <c r="AC418" s="501">
        <f t="shared" si="122"/>
        <v>0.64819875000000005</v>
      </c>
    </row>
    <row r="419" spans="1:29" ht="15" customHeight="1">
      <c r="A419" s="457">
        <f t="shared" si="119"/>
        <v>1</v>
      </c>
      <c r="B419" s="701" t="str">
        <f t="shared" si="107"/>
        <v>T31</v>
      </c>
      <c r="C419" s="701" t="str">
        <f t="shared" si="108"/>
        <v>T35</v>
      </c>
      <c r="D419" s="885" t="str">
        <f t="shared" si="123"/>
        <v>T3-</v>
      </c>
      <c r="F419" s="1127" t="str">
        <f t="shared" si="110"/>
        <v>T3</v>
      </c>
      <c r="G419" s="1128"/>
      <c r="H419" s="688">
        <f t="shared" si="111"/>
        <v>7.8</v>
      </c>
      <c r="I419" s="689">
        <f t="shared" si="112"/>
        <v>70.844999999999999</v>
      </c>
      <c r="J419" s="689">
        <f t="shared" si="124"/>
        <v>7.8</v>
      </c>
      <c r="K419" s="690">
        <f t="shared" si="125"/>
        <v>0.65059875</v>
      </c>
      <c r="L419" s="691">
        <f t="shared" si="115"/>
        <v>0.3068541100674162</v>
      </c>
      <c r="M419" s="700">
        <f>IFERROR(IF(J419="","",IF($M$196="-","-",INDEX(BD!$A$1:$K$2510,MATCH('2.Win Load'!B419,BD!$A$1:$A$2510,0),7))),"")</f>
        <v>1.9599999999999999E-4</v>
      </c>
      <c r="N419" s="700">
        <f>IFERROR(IF($J419="","",IF($N$196="-","-",INDEX(BD!$A$1:$K$2510,MATCH('2.Win Load'!C419,BD!$A$1:$A$2510,0),7))),"")</f>
        <v>-9.8799999999999995E-4</v>
      </c>
      <c r="O419" s="700" t="str">
        <f>IFERROR(IF($J419="","",IF($O$196="-","-",INDEX(BD!$A$1:$K$2510,MATCH('2.Win Load'!D419,BD!$A$1:$A$2510,0),7))),"")</f>
        <v>-</v>
      </c>
      <c r="P419" s="692">
        <f t="shared" si="116"/>
        <v>86.964286875761161</v>
      </c>
      <c r="Q419" s="692">
        <f t="shared" si="117"/>
        <v>133.66808171051844</v>
      </c>
      <c r="R419" s="960" t="str">
        <f t="shared" si="118"/>
        <v>-</v>
      </c>
      <c r="S419" s="498">
        <f t="array" ref="S419">MAX(IF('Wind base'!$AE$5:$AE$11&lt;I419,'Wind base'!$AE$5:$AE$11,""))</f>
        <v>40</v>
      </c>
      <c r="T419" s="498">
        <f t="array" ref="T419">MIN(IF('Wind base'!$AE$5:$AE$11&gt;I419,'Wind base'!$AE$5:$AE$11,""))</f>
        <v>80</v>
      </c>
      <c r="U419" s="499">
        <f t="array" ref="U419">MAX(IF('Wind base'!$AF$4:$AL$4&lt;J419,'Wind base'!$AF$4:$AL$4,""),5)</f>
        <v>5</v>
      </c>
      <c r="V419" s="498">
        <f t="array" ref="V419">MIN(IF('Wind base'!$AF$4:$AL$4&gt;J419,'Wind base'!$AF$4:$AL$4,""))</f>
        <v>10</v>
      </c>
      <c r="W419" s="500">
        <f t="array" ref="W419">INDEX('Wind base'!$AF$5:$AL$11,MATCH($S419,'Wind base'!$AE$5:$AE$11,0),MATCH($U419,'Wind base'!$AF$4:$AL$4,0))</f>
        <v>0.72</v>
      </c>
      <c r="X419" s="500">
        <f t="array" ref="X419">INDEX('Wind base'!$AF$5:$AL$11,MATCH($S419,'Wind base'!$AE$5:$AE$11,0),MATCH($V419,'Wind base'!$AF$4:$AL$4,0))</f>
        <v>0.72</v>
      </c>
      <c r="Y419" s="500">
        <f t="array" ref="Y419">INDEX('Wind base'!$AF$5:$AL$11,MATCH($T419,'Wind base'!$AE$5:$AE$11,0),MATCH($U419,'Wind base'!$AF$4:$AL$4,0))</f>
        <v>0.63</v>
      </c>
      <c r="Z419" s="500">
        <f t="array" ref="Z419">INDEX('Wind base'!$AF$5:$AL$11,MATCH($T419,'Wind base'!$AE$5:$AE$11,0),MATCH($V419,'Wind base'!$AF$4:$AL$4,0))</f>
        <v>0.63</v>
      </c>
      <c r="AA419" s="501">
        <f t="shared" si="120"/>
        <v>0.65059875</v>
      </c>
      <c r="AB419" s="501">
        <f t="shared" si="121"/>
        <v>0.65059875</v>
      </c>
      <c r="AC419" s="501">
        <f t="shared" si="122"/>
        <v>0.65059875</v>
      </c>
    </row>
    <row r="420" spans="1:29" ht="15" customHeight="1">
      <c r="A420" s="457">
        <f t="shared" si="119"/>
        <v>1</v>
      </c>
      <c r="B420" s="701" t="str">
        <f t="shared" si="107"/>
        <v>T21</v>
      </c>
      <c r="C420" s="701" t="str">
        <f t="shared" si="108"/>
        <v>T25</v>
      </c>
      <c r="D420" s="885" t="str">
        <f t="shared" si="123"/>
        <v>T2-</v>
      </c>
      <c r="F420" s="1127" t="str">
        <f t="shared" si="110"/>
        <v>T2</v>
      </c>
      <c r="G420" s="1128"/>
      <c r="H420" s="688">
        <f t="shared" si="111"/>
        <v>4.4000000000000004</v>
      </c>
      <c r="I420" s="689">
        <f t="shared" si="112"/>
        <v>70.844999999999999</v>
      </c>
      <c r="J420" s="689">
        <f t="shared" si="124"/>
        <v>4.4000000000000004</v>
      </c>
      <c r="K420" s="690">
        <f t="shared" si="125"/>
        <v>0.65059875</v>
      </c>
      <c r="L420" s="691">
        <f t="shared" si="115"/>
        <v>0.318</v>
      </c>
      <c r="M420" s="700">
        <f>IFERROR(IF(J420="","",IF($M$196="-","-",INDEX(BD!$A$1:$K$2510,MATCH('2.Win Load'!B420,BD!$A$1:$A$2510,0),7))),"")</f>
        <v>1.1E-4</v>
      </c>
      <c r="N420" s="700">
        <f>IFERROR(IF($J420="","",IF($N$196="-","-",INDEX(BD!$A$1:$K$2510,MATCH('2.Win Load'!C420,BD!$A$1:$A$2510,0),7))),"")</f>
        <v>-5.8299999999999997E-4</v>
      </c>
      <c r="O420" s="700" t="str">
        <f>IFERROR(IF($J420="","",IF($O$196="-","-",INDEX(BD!$A$1:$K$2510,MATCH('2.Win Load'!D420,BD!$A$1:$A$2510,0),7))),"")</f>
        <v>-</v>
      </c>
      <c r="P420" s="692">
        <f t="shared" si="116"/>
        <v>96.502354443250084</v>
      </c>
      <c r="Q420" s="692">
        <f t="shared" si="117"/>
        <v>148.32852728851705</v>
      </c>
      <c r="R420" s="960" t="str">
        <f t="shared" si="118"/>
        <v>-</v>
      </c>
      <c r="S420" s="498">
        <f t="array" ref="S420">MAX(IF('Wind base'!$AE$5:$AE$11&lt;I420,'Wind base'!$AE$5:$AE$11,""))</f>
        <v>40</v>
      </c>
      <c r="T420" s="498">
        <f t="array" ref="T420">MIN(IF('Wind base'!$AE$5:$AE$11&gt;I420,'Wind base'!$AE$5:$AE$11,""))</f>
        <v>80</v>
      </c>
      <c r="U420" s="499">
        <f t="array" ref="U420">MAX(IF('Wind base'!$AF$4:$AL$4&lt;J420,'Wind base'!$AF$4:$AL$4,""),5)</f>
        <v>5</v>
      </c>
      <c r="V420" s="498">
        <f t="array" ref="V420">MIN(IF('Wind base'!$AF$4:$AL$4&gt;J420,'Wind base'!$AF$4:$AL$4,""))</f>
        <v>5</v>
      </c>
      <c r="W420" s="500">
        <f t="array" ref="W420">INDEX('Wind base'!$AF$5:$AL$11,MATCH($S420,'Wind base'!$AE$5:$AE$11,0),MATCH($U420,'Wind base'!$AF$4:$AL$4,0))</f>
        <v>0.72</v>
      </c>
      <c r="X420" s="500">
        <f t="array" ref="X420">INDEX('Wind base'!$AF$5:$AL$11,MATCH($S420,'Wind base'!$AE$5:$AE$11,0),MATCH($V420,'Wind base'!$AF$4:$AL$4,0))</f>
        <v>0.72</v>
      </c>
      <c r="Y420" s="500">
        <f t="array" ref="Y420">INDEX('Wind base'!$AF$5:$AL$11,MATCH($T420,'Wind base'!$AE$5:$AE$11,0),MATCH($U420,'Wind base'!$AF$4:$AL$4,0))</f>
        <v>0.63</v>
      </c>
      <c r="Z420" s="500">
        <f t="array" ref="Z420">INDEX('Wind base'!$AF$5:$AL$11,MATCH($T420,'Wind base'!$AE$5:$AE$11,0),MATCH($V420,'Wind base'!$AF$4:$AL$4,0))</f>
        <v>0.63</v>
      </c>
      <c r="AA420" s="501">
        <f t="shared" si="120"/>
        <v>0.65059875</v>
      </c>
      <c r="AB420" s="501">
        <f t="shared" si="121"/>
        <v>0.65059875</v>
      </c>
      <c r="AC420" s="501">
        <f t="shared" si="122"/>
        <v>0.65059875</v>
      </c>
    </row>
    <row r="421" spans="1:29" ht="15" customHeight="1">
      <c r="A421" s="457">
        <f t="shared" si="119"/>
        <v>1</v>
      </c>
      <c r="B421" s="701" t="str">
        <f t="shared" si="107"/>
        <v>T11</v>
      </c>
      <c r="C421" s="701" t="str">
        <f t="shared" si="108"/>
        <v>T15</v>
      </c>
      <c r="D421" s="885" t="str">
        <f t="shared" si="123"/>
        <v>T1-</v>
      </c>
      <c r="F421" s="1127" t="str">
        <f t="shared" si="110"/>
        <v>T1</v>
      </c>
      <c r="G421" s="1128"/>
      <c r="H421" s="688">
        <f t="shared" si="111"/>
        <v>0</v>
      </c>
      <c r="I421" s="689">
        <f t="shared" si="112"/>
        <v>70.844999999999999</v>
      </c>
      <c r="J421" s="689" t="str">
        <f t="shared" si="124"/>
        <v/>
      </c>
      <c r="K421" s="690" t="str">
        <f t="shared" si="125"/>
        <v/>
      </c>
      <c r="L421" s="691" t="str">
        <f t="shared" si="115"/>
        <v/>
      </c>
      <c r="M421" s="700" t="str">
        <f>IFERROR(IF(J421="","",IF($M$196="-","-",INDEX(BD!$A$1:$K$2510,MATCH('2.Win Load'!B421,BD!$A$1:$A$2510,0),7))),"")</f>
        <v/>
      </c>
      <c r="N421" s="700" t="str">
        <f>IFERROR(IF($J421="","",IF($N$196="-","-",INDEX(BD!$A$1:$K$2510,MATCH('2.Win Load'!C421,BD!$A$1:$A$2510,0),7))),"")</f>
        <v/>
      </c>
      <c r="O421" s="700" t="str">
        <f>IFERROR(IF($J421="","",IF($O$196="-","-",INDEX(BD!$A$1:$K$2510,MATCH('2.Win Load'!D421,BD!$A$1:$A$2510,0),7))),"")</f>
        <v/>
      </c>
      <c r="P421" s="692" t="str">
        <f t="shared" si="116"/>
        <v/>
      </c>
      <c r="Q421" s="692" t="str">
        <f t="shared" si="117"/>
        <v/>
      </c>
      <c r="R421" s="960" t="str">
        <f t="shared" si="118"/>
        <v/>
      </c>
      <c r="S421" s="498">
        <f t="array" ref="S421">MAX(IF('Wind base'!$AE$5:$AE$11&lt;I421,'Wind base'!$AE$5:$AE$11,""))</f>
        <v>40</v>
      </c>
      <c r="T421" s="498">
        <f t="array" ref="T421">MIN(IF('Wind base'!$AE$5:$AE$11&gt;I421,'Wind base'!$AE$5:$AE$11,""))</f>
        <v>80</v>
      </c>
      <c r="U421" s="499">
        <f t="array" ref="U421">MAX(IF('Wind base'!$AF$4:$AL$4&lt;J421,'Wind base'!$AF$4:$AL$4,""),5)</f>
        <v>350</v>
      </c>
      <c r="V421" s="498">
        <f t="array" ref="V421">MIN(IF('Wind base'!$AF$4:$AL$4&gt;J421,'Wind base'!$AF$4:$AL$4,""))</f>
        <v>0</v>
      </c>
      <c r="W421" s="500">
        <f t="array" ref="W421">INDEX('Wind base'!$AF$5:$AL$11,MATCH($S421,'Wind base'!$AE$5:$AE$11,0),MATCH($U421,'Wind base'!$AF$4:$AL$4,0))</f>
        <v>0.48</v>
      </c>
      <c r="X421" s="500" t="e">
        <f t="array" ref="X421">INDEX('Wind base'!$AF$5:$AL$11,MATCH($S421,'Wind base'!$AE$5:$AE$11,0),MATCH($V421,'Wind base'!$AF$4:$AL$4,0))</f>
        <v>#N/A</v>
      </c>
      <c r="Y421" s="500">
        <f t="array" ref="Y421">INDEX('Wind base'!$AF$5:$AL$11,MATCH($T421,'Wind base'!$AE$5:$AE$11,0),MATCH($U421,'Wind base'!$AF$4:$AL$4,0))</f>
        <v>0.44</v>
      </c>
      <c r="Z421" s="500" t="e">
        <f t="array" ref="Z421">INDEX('Wind base'!$AF$5:$AL$11,MATCH($T421,'Wind base'!$AE$5:$AE$11,0),MATCH($V421,'Wind base'!$AF$4:$AL$4,0))</f>
        <v>#N/A</v>
      </c>
      <c r="AA421" s="501">
        <f t="shared" si="120"/>
        <v>0.44915499999999997</v>
      </c>
      <c r="AB421" s="501" t="e">
        <f t="shared" si="121"/>
        <v>#N/A</v>
      </c>
      <c r="AC421" s="501">
        <f t="shared" si="122"/>
        <v>0.44915499999999997</v>
      </c>
    </row>
    <row r="422" spans="1:29" ht="15" customHeight="1">
      <c r="A422" s="457">
        <f t="shared" si="119"/>
        <v>1</v>
      </c>
      <c r="B422" s="701" t="str">
        <f t="shared" si="107"/>
        <v>B11</v>
      </c>
      <c r="C422" s="701" t="str">
        <f t="shared" si="108"/>
        <v>B15</v>
      </c>
      <c r="D422" s="885" t="str">
        <f t="shared" si="123"/>
        <v>B1-</v>
      </c>
      <c r="F422" s="1127" t="str">
        <f t="shared" si="110"/>
        <v>B1</v>
      </c>
      <c r="G422" s="1128"/>
      <c r="H422" s="688">
        <f t="shared" si="111"/>
        <v>-4.6500000000000004</v>
      </c>
      <c r="I422" s="689" t="str">
        <f t="shared" si="112"/>
        <v/>
      </c>
      <c r="J422" s="689" t="str">
        <f t="shared" si="124"/>
        <v/>
      </c>
      <c r="K422" s="690" t="str">
        <f t="shared" si="125"/>
        <v/>
      </c>
      <c r="L422" s="691" t="str">
        <f t="shared" si="115"/>
        <v/>
      </c>
      <c r="M422" s="700" t="str">
        <f>IFERROR(IF(J422="","",IF($M$196="-","-",INDEX(BD!$A$1:$K$2510,MATCH('2.Win Load'!B422,BD!$A$1:$A$2510,0),7))),"")</f>
        <v/>
      </c>
      <c r="N422" s="700" t="str">
        <f>IFERROR(IF($J422="","",IF($N$196="-","-",INDEX(BD!$A$1:$K$2510,MATCH('2.Win Load'!C422,BD!$A$1:$A$2510,0),7))),"")</f>
        <v/>
      </c>
      <c r="O422" s="700" t="str">
        <f>IFERROR(IF($J422="","",IF($O$196="-","-",INDEX(BD!$A$1:$K$2510,MATCH('2.Win Load'!D422,BD!$A$1:$A$2510,0),7))),"")</f>
        <v/>
      </c>
      <c r="P422" s="692" t="str">
        <f t="shared" si="116"/>
        <v/>
      </c>
      <c r="Q422" s="692" t="str">
        <f t="shared" si="117"/>
        <v/>
      </c>
      <c r="R422" s="960" t="str">
        <f t="shared" si="118"/>
        <v/>
      </c>
      <c r="S422" s="498">
        <f t="array" ref="S422">MAX(IF('Wind base'!$AE$5:$AE$11&lt;I422,'Wind base'!$AE$5:$AE$11,""))</f>
        <v>160</v>
      </c>
      <c r="T422" s="498">
        <f t="array" ref="T422">MIN(IF('Wind base'!$AE$5:$AE$11&gt;I422,'Wind base'!$AE$5:$AE$11,""))</f>
        <v>0</v>
      </c>
      <c r="U422" s="499">
        <f t="array" ref="U422">MAX(IF('Wind base'!$AF$4:$AL$4&lt;J422,'Wind base'!$AF$4:$AL$4,""),5)</f>
        <v>350</v>
      </c>
      <c r="V422" s="498">
        <f t="array" ref="V422">MIN(IF('Wind base'!$AF$4:$AL$4&gt;J422,'Wind base'!$AF$4:$AL$4,""))</f>
        <v>0</v>
      </c>
      <c r="W422" s="500">
        <f t="array" ref="W422">INDEX('Wind base'!$AF$5:$AL$11,MATCH($S422,'Wind base'!$AE$5:$AE$11,0),MATCH($U422,'Wind base'!$AF$4:$AL$4,0))</f>
        <v>0.38</v>
      </c>
      <c r="X422" s="500" t="e">
        <f t="array" ref="X422">INDEX('Wind base'!$AF$5:$AL$11,MATCH($S422,'Wind base'!$AE$5:$AE$11,0),MATCH($V422,'Wind base'!$AF$4:$AL$4,0))</f>
        <v>#N/A</v>
      </c>
      <c r="Y422" s="500" t="e">
        <f t="array" ref="Y422">INDEX('Wind base'!$AF$5:$AL$11,MATCH($T422,'Wind base'!$AE$5:$AE$11,0),MATCH($U422,'Wind base'!$AF$4:$AL$4,0))</f>
        <v>#N/A</v>
      </c>
      <c r="Z422" s="500" t="e">
        <f t="array" ref="Z422">INDEX('Wind base'!$AF$5:$AL$11,MATCH($T422,'Wind base'!$AE$5:$AE$11,0),MATCH($V422,'Wind base'!$AF$4:$AL$4,0))</f>
        <v>#N/A</v>
      </c>
      <c r="AA422" s="501" t="e">
        <f t="shared" si="120"/>
        <v>#N/A</v>
      </c>
      <c r="AB422" s="501" t="e">
        <f t="shared" si="121"/>
        <v>#N/A</v>
      </c>
      <c r="AC422" s="501" t="e">
        <f t="shared" si="122"/>
        <v>#N/A</v>
      </c>
    </row>
    <row r="423" spans="1:29" ht="15" customHeight="1">
      <c r="A423" s="457">
        <f t="shared" si="119"/>
        <v>1</v>
      </c>
      <c r="B423" s="701" t="str">
        <f t="shared" si="107"/>
        <v>BASE1</v>
      </c>
      <c r="C423" s="701" t="str">
        <f t="shared" si="108"/>
        <v>BASE5</v>
      </c>
      <c r="D423" s="885" t="str">
        <f t="shared" si="123"/>
        <v>BASE-</v>
      </c>
      <c r="F423" s="1127" t="str">
        <f t="shared" si="110"/>
        <v>BASE</v>
      </c>
      <c r="G423" s="1128"/>
      <c r="H423" s="688">
        <f t="shared" si="111"/>
        <v>-7.65</v>
      </c>
      <c r="I423" s="689" t="str">
        <f t="shared" si="112"/>
        <v/>
      </c>
      <c r="J423" s="689" t="str">
        <f t="shared" si="124"/>
        <v/>
      </c>
      <c r="K423" s="690" t="str">
        <f t="shared" si="125"/>
        <v/>
      </c>
      <c r="L423" s="691" t="str">
        <f t="shared" si="115"/>
        <v/>
      </c>
      <c r="M423" s="700" t="str">
        <f>IFERROR(IF(J423="","",IF($M$196="-","-",INDEX(BD!$A$1:$K$2510,MATCH('2.Win Load'!B423,BD!$A$1:$A$2510,0),7))),"")</f>
        <v/>
      </c>
      <c r="N423" s="700" t="str">
        <f>IFERROR(IF($J423="","",IF($N$196="-","-",INDEX(BD!$A$1:$K$2510,MATCH('2.Win Load'!C423,BD!$A$1:$A$2510,0),7))),"")</f>
        <v/>
      </c>
      <c r="O423" s="700" t="str">
        <f>IFERROR(IF($J423="","",IF($O$196="-","-",INDEX(BD!$A$1:$K$2510,MATCH('2.Win Load'!D423,BD!$A$1:$A$2510,0),7))),"")</f>
        <v/>
      </c>
      <c r="P423" s="692" t="str">
        <f t="shared" si="116"/>
        <v/>
      </c>
      <c r="Q423" s="692" t="str">
        <f t="shared" si="117"/>
        <v/>
      </c>
      <c r="R423" s="960" t="str">
        <f t="shared" si="118"/>
        <v/>
      </c>
      <c r="S423" s="498">
        <f t="array" ref="S423">MAX(IF('Wind base'!$AE$5:$AE$11&lt;I423,'Wind base'!$AE$5:$AE$11,""))</f>
        <v>160</v>
      </c>
      <c r="T423" s="498">
        <f t="array" ref="T423">MIN(IF('Wind base'!$AE$5:$AE$11&gt;I423,'Wind base'!$AE$5:$AE$11,""))</f>
        <v>0</v>
      </c>
      <c r="U423" s="499">
        <f t="array" ref="U423">MAX(IF('Wind base'!$AF$4:$AL$4&lt;J423,'Wind base'!$AF$4:$AL$4,""),5)</f>
        <v>350</v>
      </c>
      <c r="V423" s="498">
        <f t="array" ref="V423">MIN(IF('Wind base'!$AF$4:$AL$4&gt;J423,'Wind base'!$AF$4:$AL$4,""))</f>
        <v>0</v>
      </c>
      <c r="W423" s="500">
        <f t="array" ref="W423">INDEX('Wind base'!$AF$5:$AL$11,MATCH($S423,'Wind base'!$AE$5:$AE$11,0),MATCH($U423,'Wind base'!$AF$4:$AL$4,0))</f>
        <v>0.38</v>
      </c>
      <c r="X423" s="500" t="e">
        <f t="array" ref="X423">INDEX('Wind base'!$AF$5:$AL$11,MATCH($S423,'Wind base'!$AE$5:$AE$11,0),MATCH($V423,'Wind base'!$AF$4:$AL$4,0))</f>
        <v>#N/A</v>
      </c>
      <c r="Y423" s="500" t="e">
        <f t="array" ref="Y423">INDEX('Wind base'!$AF$5:$AL$11,MATCH($T423,'Wind base'!$AE$5:$AE$11,0),MATCH($U423,'Wind base'!$AF$4:$AL$4,0))</f>
        <v>#N/A</v>
      </c>
      <c r="Z423" s="500" t="e">
        <f t="array" ref="Z423">INDEX('Wind base'!$AF$5:$AL$11,MATCH($T423,'Wind base'!$AE$5:$AE$11,0),MATCH($V423,'Wind base'!$AF$4:$AL$4,0))</f>
        <v>#N/A</v>
      </c>
      <c r="AA423" s="501" t="e">
        <f t="shared" si="120"/>
        <v>#N/A</v>
      </c>
      <c r="AB423" s="501" t="e">
        <f t="shared" si="121"/>
        <v>#N/A</v>
      </c>
      <c r="AC423" s="501" t="e">
        <f t="shared" si="122"/>
        <v>#N/A</v>
      </c>
    </row>
    <row r="424" spans="1:29" ht="15" customHeight="1">
      <c r="A424" s="457" t="str">
        <f t="shared" si="119"/>
        <v/>
      </c>
      <c r="B424" s="701" t="str">
        <f t="shared" si="107"/>
        <v>1</v>
      </c>
      <c r="C424" s="701" t="str">
        <f t="shared" si="108"/>
        <v>5</v>
      </c>
      <c r="D424" s="885" t="str">
        <f t="shared" si="123"/>
        <v>-</v>
      </c>
      <c r="F424" s="1127" t="str">
        <f t="shared" si="110"/>
        <v/>
      </c>
      <c r="G424" s="1128"/>
      <c r="H424" s="688" t="str">
        <f t="shared" si="111"/>
        <v/>
      </c>
      <c r="I424" s="689" t="str">
        <f t="shared" si="112"/>
        <v/>
      </c>
      <c r="J424" s="689" t="str">
        <f t="shared" si="124"/>
        <v/>
      </c>
      <c r="K424" s="690" t="str">
        <f t="shared" si="125"/>
        <v/>
      </c>
      <c r="L424" s="691" t="str">
        <f t="shared" si="115"/>
        <v/>
      </c>
      <c r="M424" s="700" t="str">
        <f>IFERROR(IF(J424="","",IF($M$196="-","-",INDEX(BD!$A$1:$K$2510,MATCH('2.Win Load'!B424,BD!$A$1:$A$2510,0),7))),"")</f>
        <v/>
      </c>
      <c r="N424" s="700" t="str">
        <f>IFERROR(IF($J424="","",IF($N$196="-","-",INDEX(BD!$A$1:$K$2510,MATCH('2.Win Load'!C424,BD!$A$1:$A$2510,0),7))),"")</f>
        <v/>
      </c>
      <c r="O424" s="700" t="str">
        <f>IFERROR(IF($J424="","",IF($O$196="-","-",INDEX(BD!$A$1:$K$2510,MATCH('2.Win Load'!D424,BD!$A$1:$A$2510,0),7))),"")</f>
        <v/>
      </c>
      <c r="P424" s="692" t="str">
        <f t="shared" si="116"/>
        <v/>
      </c>
      <c r="Q424" s="692" t="str">
        <f t="shared" si="117"/>
        <v/>
      </c>
      <c r="R424" s="960" t="str">
        <f t="shared" si="118"/>
        <v/>
      </c>
      <c r="S424" s="498">
        <f t="array" ref="S424">MAX(IF('Wind base'!$AE$5:$AE$11&lt;I424,'Wind base'!$AE$5:$AE$11,""))</f>
        <v>160</v>
      </c>
      <c r="T424" s="498">
        <f t="array" ref="T424">MIN(IF('Wind base'!$AE$5:$AE$11&gt;I424,'Wind base'!$AE$5:$AE$11,""))</f>
        <v>0</v>
      </c>
      <c r="U424" s="499">
        <f t="array" ref="U424">MAX(IF('Wind base'!$AF$4:$AL$4&lt;J424,'Wind base'!$AF$4:$AL$4,""),5)</f>
        <v>350</v>
      </c>
      <c r="V424" s="498">
        <f t="array" ref="V424">MIN(IF('Wind base'!$AF$4:$AL$4&gt;J424,'Wind base'!$AF$4:$AL$4,""))</f>
        <v>0</v>
      </c>
      <c r="W424" s="500">
        <f t="array" ref="W424">INDEX('Wind base'!$AF$5:$AL$11,MATCH($S424,'Wind base'!$AE$5:$AE$11,0),MATCH($U424,'Wind base'!$AF$4:$AL$4,0))</f>
        <v>0.38</v>
      </c>
      <c r="X424" s="500" t="e">
        <f t="array" ref="X424">INDEX('Wind base'!$AF$5:$AL$11,MATCH($S424,'Wind base'!$AE$5:$AE$11,0),MATCH($V424,'Wind base'!$AF$4:$AL$4,0))</f>
        <v>#N/A</v>
      </c>
      <c r="Y424" s="500" t="e">
        <f t="array" ref="Y424">INDEX('Wind base'!$AF$5:$AL$11,MATCH($T424,'Wind base'!$AE$5:$AE$11,0),MATCH($U424,'Wind base'!$AF$4:$AL$4,0))</f>
        <v>#N/A</v>
      </c>
      <c r="Z424" s="500" t="e">
        <f t="array" ref="Z424">INDEX('Wind base'!$AF$5:$AL$11,MATCH($T424,'Wind base'!$AE$5:$AE$11,0),MATCH($V424,'Wind base'!$AF$4:$AL$4,0))</f>
        <v>#N/A</v>
      </c>
      <c r="AA424" s="501" t="e">
        <f t="shared" si="120"/>
        <v>#N/A</v>
      </c>
      <c r="AB424" s="501" t="e">
        <f t="shared" si="121"/>
        <v>#N/A</v>
      </c>
      <c r="AC424" s="501" t="e">
        <f t="shared" si="122"/>
        <v>#N/A</v>
      </c>
    </row>
    <row r="425" spans="1:29" ht="15" customHeight="1">
      <c r="A425" s="457" t="str">
        <f t="shared" si="119"/>
        <v/>
      </c>
      <c r="B425" s="701" t="str">
        <f t="shared" si="107"/>
        <v>1</v>
      </c>
      <c r="C425" s="701" t="str">
        <f t="shared" si="108"/>
        <v>5</v>
      </c>
      <c r="D425" s="885" t="str">
        <f t="shared" si="123"/>
        <v>-</v>
      </c>
      <c r="F425" s="1127" t="str">
        <f t="shared" si="110"/>
        <v/>
      </c>
      <c r="G425" s="1128"/>
      <c r="H425" s="688" t="str">
        <f t="shared" si="111"/>
        <v/>
      </c>
      <c r="I425" s="689" t="str">
        <f t="shared" si="112"/>
        <v/>
      </c>
      <c r="J425" s="689" t="str">
        <f t="shared" si="124"/>
        <v/>
      </c>
      <c r="K425" s="690" t="str">
        <f t="shared" si="125"/>
        <v/>
      </c>
      <c r="L425" s="691" t="str">
        <f t="shared" si="115"/>
        <v/>
      </c>
      <c r="M425" s="700" t="str">
        <f>IFERROR(IF(J425="","",IF($M$196="-","-",INDEX(BD!$A$1:$K$2510,MATCH('2.Win Load'!B425,BD!$A$1:$A$2510,0),7))),"")</f>
        <v/>
      </c>
      <c r="N425" s="700" t="str">
        <f>IFERROR(IF($J425="","",IF($N$196="-","-",INDEX(BD!$A$1:$K$2510,MATCH('2.Win Load'!C425,BD!$A$1:$A$2510,0),7))),"")</f>
        <v/>
      </c>
      <c r="O425" s="700" t="str">
        <f>IFERROR(IF($J425="","",IF($O$196="-","-",INDEX(BD!$A$1:$K$2510,MATCH('2.Win Load'!D425,BD!$A$1:$A$2510,0),7))),"")</f>
        <v/>
      </c>
      <c r="P425" s="692" t="str">
        <f t="shared" si="116"/>
        <v/>
      </c>
      <c r="Q425" s="692" t="str">
        <f t="shared" si="117"/>
        <v/>
      </c>
      <c r="R425" s="960" t="str">
        <f t="shared" si="118"/>
        <v/>
      </c>
      <c r="S425" s="498">
        <f t="array" ref="S425">MAX(IF('Wind base'!$AE$5:$AE$11&lt;I425,'Wind base'!$AE$5:$AE$11,""))</f>
        <v>160</v>
      </c>
      <c r="T425" s="498">
        <f t="array" ref="T425">MIN(IF('Wind base'!$AE$5:$AE$11&gt;I425,'Wind base'!$AE$5:$AE$11,""))</f>
        <v>0</v>
      </c>
      <c r="U425" s="499">
        <f t="array" ref="U425">MAX(IF('Wind base'!$AF$4:$AL$4&lt;J425,'Wind base'!$AF$4:$AL$4,""),5)</f>
        <v>350</v>
      </c>
      <c r="V425" s="498">
        <f t="array" ref="V425">MIN(IF('Wind base'!$AF$4:$AL$4&gt;J425,'Wind base'!$AF$4:$AL$4,""))</f>
        <v>0</v>
      </c>
      <c r="W425" s="500">
        <f t="array" ref="W425">INDEX('Wind base'!$AF$5:$AL$11,MATCH($S425,'Wind base'!$AE$5:$AE$11,0),MATCH($U425,'Wind base'!$AF$4:$AL$4,0))</f>
        <v>0.38</v>
      </c>
      <c r="X425" s="500" t="e">
        <f t="array" ref="X425">INDEX('Wind base'!$AF$5:$AL$11,MATCH($S425,'Wind base'!$AE$5:$AE$11,0),MATCH($V425,'Wind base'!$AF$4:$AL$4,0))</f>
        <v>#N/A</v>
      </c>
      <c r="Y425" s="500" t="e">
        <f t="array" ref="Y425">INDEX('Wind base'!$AF$5:$AL$11,MATCH($T425,'Wind base'!$AE$5:$AE$11,0),MATCH($U425,'Wind base'!$AF$4:$AL$4,0))</f>
        <v>#N/A</v>
      </c>
      <c r="Z425" s="500" t="e">
        <f t="array" ref="Z425">INDEX('Wind base'!$AF$5:$AL$11,MATCH($T425,'Wind base'!$AE$5:$AE$11,0),MATCH($V425,'Wind base'!$AF$4:$AL$4,0))</f>
        <v>#N/A</v>
      </c>
      <c r="AA425" s="501" t="e">
        <f t="shared" si="120"/>
        <v>#N/A</v>
      </c>
      <c r="AB425" s="501" t="e">
        <f t="shared" si="121"/>
        <v>#N/A</v>
      </c>
      <c r="AC425" s="501" t="e">
        <f t="shared" si="122"/>
        <v>#N/A</v>
      </c>
    </row>
    <row r="426" spans="1:29" ht="15" customHeight="1">
      <c r="A426" s="457" t="str">
        <f t="shared" si="119"/>
        <v/>
      </c>
      <c r="B426" s="701" t="str">
        <f t="shared" si="107"/>
        <v>1</v>
      </c>
      <c r="C426" s="701" t="str">
        <f t="shared" si="108"/>
        <v>5</v>
      </c>
      <c r="D426" s="885" t="str">
        <f t="shared" si="123"/>
        <v>-</v>
      </c>
      <c r="F426" s="1127" t="str">
        <f t="shared" si="110"/>
        <v/>
      </c>
      <c r="G426" s="1128"/>
      <c r="H426" s="688" t="str">
        <f t="shared" si="111"/>
        <v/>
      </c>
      <c r="I426" s="689" t="str">
        <f t="shared" si="112"/>
        <v/>
      </c>
      <c r="J426" s="689" t="str">
        <f t="shared" si="124"/>
        <v/>
      </c>
      <c r="K426" s="690" t="str">
        <f t="shared" si="125"/>
        <v/>
      </c>
      <c r="L426" s="691" t="str">
        <f t="shared" si="115"/>
        <v/>
      </c>
      <c r="M426" s="700" t="str">
        <f>IFERROR(IF(J426="","",IF($M$196="-","-",INDEX(BD!$A$1:$K$2510,MATCH('2.Win Load'!B426,BD!$A$1:$A$2510,0),7))),"")</f>
        <v/>
      </c>
      <c r="N426" s="700" t="str">
        <f>IFERROR(IF($J426="","",IF($N$196="-","-",INDEX(BD!$A$1:$K$2510,MATCH('2.Win Load'!C426,BD!$A$1:$A$2510,0),7))),"")</f>
        <v/>
      </c>
      <c r="O426" s="700" t="str">
        <f>IFERROR(IF($J426="","",IF($O$196="-","-",INDEX(BD!$A$1:$K$2510,MATCH('2.Win Load'!D426,BD!$A$1:$A$2510,0),7))),"")</f>
        <v/>
      </c>
      <c r="P426" s="692" t="str">
        <f t="shared" si="116"/>
        <v/>
      </c>
      <c r="Q426" s="692" t="str">
        <f t="shared" si="117"/>
        <v/>
      </c>
      <c r="R426" s="960" t="str">
        <f t="shared" si="118"/>
        <v/>
      </c>
      <c r="S426" s="498">
        <f t="array" ref="S426">MAX(IF('Wind base'!$AE$5:$AE$11&lt;I426,'Wind base'!$AE$5:$AE$11,""))</f>
        <v>160</v>
      </c>
      <c r="T426" s="498">
        <f t="array" ref="T426">MIN(IF('Wind base'!$AE$5:$AE$11&gt;I426,'Wind base'!$AE$5:$AE$11,""))</f>
        <v>0</v>
      </c>
      <c r="U426" s="499">
        <f t="array" ref="U426">MAX(IF('Wind base'!$AF$4:$AL$4&lt;J426,'Wind base'!$AF$4:$AL$4,""),5)</f>
        <v>350</v>
      </c>
      <c r="V426" s="498">
        <f t="array" ref="V426">MIN(IF('Wind base'!$AF$4:$AL$4&gt;J426,'Wind base'!$AF$4:$AL$4,""))</f>
        <v>0</v>
      </c>
      <c r="W426" s="500">
        <f t="array" ref="W426">INDEX('Wind base'!$AF$5:$AL$11,MATCH($S426,'Wind base'!$AE$5:$AE$11,0),MATCH($U426,'Wind base'!$AF$4:$AL$4,0))</f>
        <v>0.38</v>
      </c>
      <c r="X426" s="500" t="e">
        <f t="array" ref="X426">INDEX('Wind base'!$AF$5:$AL$11,MATCH($S426,'Wind base'!$AE$5:$AE$11,0),MATCH($V426,'Wind base'!$AF$4:$AL$4,0))</f>
        <v>#N/A</v>
      </c>
      <c r="Y426" s="500" t="e">
        <f t="array" ref="Y426">INDEX('Wind base'!$AF$5:$AL$11,MATCH($T426,'Wind base'!$AE$5:$AE$11,0),MATCH($U426,'Wind base'!$AF$4:$AL$4,0))</f>
        <v>#N/A</v>
      </c>
      <c r="Z426" s="500" t="e">
        <f t="array" ref="Z426">INDEX('Wind base'!$AF$5:$AL$11,MATCH($T426,'Wind base'!$AE$5:$AE$11,0),MATCH($V426,'Wind base'!$AF$4:$AL$4,0))</f>
        <v>#N/A</v>
      </c>
      <c r="AA426" s="501" t="e">
        <f t="shared" si="120"/>
        <v>#N/A</v>
      </c>
      <c r="AB426" s="501" t="e">
        <f t="shared" si="121"/>
        <v>#N/A</v>
      </c>
      <c r="AC426" s="501" t="e">
        <f t="shared" si="122"/>
        <v>#N/A</v>
      </c>
    </row>
    <row r="427" spans="1:29" ht="15" customHeight="1">
      <c r="A427" s="457" t="str">
        <f t="shared" si="119"/>
        <v/>
      </c>
      <c r="B427" s="701" t="str">
        <f t="shared" si="107"/>
        <v>1</v>
      </c>
      <c r="C427" s="701" t="str">
        <f t="shared" si="108"/>
        <v>5</v>
      </c>
      <c r="D427" s="885" t="str">
        <f t="shared" si="123"/>
        <v>-</v>
      </c>
      <c r="F427" s="1127" t="str">
        <f t="shared" si="110"/>
        <v/>
      </c>
      <c r="G427" s="1128"/>
      <c r="H427" s="688" t="str">
        <f t="shared" si="111"/>
        <v/>
      </c>
      <c r="I427" s="689" t="str">
        <f t="shared" si="112"/>
        <v/>
      </c>
      <c r="J427" s="689" t="str">
        <f t="shared" si="124"/>
        <v/>
      </c>
      <c r="K427" s="690" t="str">
        <f t="shared" si="125"/>
        <v/>
      </c>
      <c r="L427" s="691" t="str">
        <f t="shared" si="115"/>
        <v/>
      </c>
      <c r="M427" s="700" t="str">
        <f>IFERROR(IF(J427="","",IF($M$196="-","-",INDEX(BD!$A$1:$K$2510,MATCH('2.Win Load'!B427,BD!$A$1:$A$2510,0),7))),"")</f>
        <v/>
      </c>
      <c r="N427" s="700" t="str">
        <f>IFERROR(IF($J427="","",IF($N$196="-","-",INDEX(BD!$A$1:$K$2510,MATCH('2.Win Load'!C427,BD!$A$1:$A$2510,0),7))),"")</f>
        <v/>
      </c>
      <c r="O427" s="700" t="str">
        <f>IFERROR(IF($J427="","",IF($O$196="-","-",INDEX(BD!$A$1:$K$2510,MATCH('2.Win Load'!D427,BD!$A$1:$A$2510,0),7))),"")</f>
        <v/>
      </c>
      <c r="P427" s="692" t="str">
        <f t="shared" si="116"/>
        <v/>
      </c>
      <c r="Q427" s="692" t="str">
        <f t="shared" si="117"/>
        <v/>
      </c>
      <c r="R427" s="960" t="str">
        <f t="shared" si="118"/>
        <v/>
      </c>
      <c r="S427" s="498">
        <f t="array" ref="S427">MAX(IF('Wind base'!$AE$5:$AE$11&lt;I427,'Wind base'!$AE$5:$AE$11,""))</f>
        <v>160</v>
      </c>
      <c r="T427" s="498">
        <f t="array" ref="T427">MIN(IF('Wind base'!$AE$5:$AE$11&gt;I427,'Wind base'!$AE$5:$AE$11,""))</f>
        <v>0</v>
      </c>
      <c r="U427" s="499">
        <f t="array" ref="U427">MAX(IF('Wind base'!$AF$4:$AL$4&lt;J427,'Wind base'!$AF$4:$AL$4,""),5)</f>
        <v>350</v>
      </c>
      <c r="V427" s="498">
        <f t="array" ref="V427">MIN(IF('Wind base'!$AF$4:$AL$4&gt;J427,'Wind base'!$AF$4:$AL$4,""))</f>
        <v>0</v>
      </c>
      <c r="W427" s="500">
        <f t="array" ref="W427">INDEX('Wind base'!$AF$5:$AL$11,MATCH($S427,'Wind base'!$AE$5:$AE$11,0),MATCH($U427,'Wind base'!$AF$4:$AL$4,0))</f>
        <v>0.38</v>
      </c>
      <c r="X427" s="500" t="e">
        <f t="array" ref="X427">INDEX('Wind base'!$AF$5:$AL$11,MATCH($S427,'Wind base'!$AE$5:$AE$11,0),MATCH($V427,'Wind base'!$AF$4:$AL$4,0))</f>
        <v>#N/A</v>
      </c>
      <c r="Y427" s="500" t="e">
        <f t="array" ref="Y427">INDEX('Wind base'!$AF$5:$AL$11,MATCH($T427,'Wind base'!$AE$5:$AE$11,0),MATCH($U427,'Wind base'!$AF$4:$AL$4,0))</f>
        <v>#N/A</v>
      </c>
      <c r="Z427" s="500" t="e">
        <f t="array" ref="Z427">INDEX('Wind base'!$AF$5:$AL$11,MATCH($T427,'Wind base'!$AE$5:$AE$11,0),MATCH($V427,'Wind base'!$AF$4:$AL$4,0))</f>
        <v>#N/A</v>
      </c>
      <c r="AA427" s="501" t="e">
        <f t="shared" si="120"/>
        <v>#N/A</v>
      </c>
      <c r="AB427" s="501" t="e">
        <f t="shared" si="121"/>
        <v>#N/A</v>
      </c>
      <c r="AC427" s="501" t="e">
        <f t="shared" si="122"/>
        <v>#N/A</v>
      </c>
    </row>
    <row r="428" spans="1:29" ht="15" customHeight="1">
      <c r="A428" s="457" t="str">
        <f t="shared" si="119"/>
        <v/>
      </c>
      <c r="B428" s="701" t="str">
        <f t="shared" si="107"/>
        <v>1</v>
      </c>
      <c r="C428" s="701" t="str">
        <f t="shared" si="108"/>
        <v>5</v>
      </c>
      <c r="D428" s="885" t="str">
        <f t="shared" si="123"/>
        <v>-</v>
      </c>
      <c r="F428" s="1127" t="str">
        <f t="shared" si="110"/>
        <v/>
      </c>
      <c r="G428" s="1128"/>
      <c r="H428" s="688" t="str">
        <f t="shared" si="111"/>
        <v/>
      </c>
      <c r="I428" s="689" t="str">
        <f t="shared" si="112"/>
        <v/>
      </c>
      <c r="J428" s="689" t="str">
        <f t="shared" si="124"/>
        <v/>
      </c>
      <c r="K428" s="690" t="str">
        <f t="shared" si="125"/>
        <v/>
      </c>
      <c r="L428" s="691" t="str">
        <f t="shared" si="115"/>
        <v/>
      </c>
      <c r="M428" s="700" t="str">
        <f>IFERROR(IF(J428="","",IF($M$196="-","-",INDEX(BD!$A$1:$K$2510,MATCH('2.Win Load'!B428,BD!$A$1:$A$2510,0),7))),"")</f>
        <v/>
      </c>
      <c r="N428" s="700" t="str">
        <f>IFERROR(IF($J428="","",IF($N$196="-","-",INDEX(BD!$A$1:$K$2510,MATCH('2.Win Load'!C428,BD!$A$1:$A$2510,0),7))),"")</f>
        <v/>
      </c>
      <c r="O428" s="700" t="str">
        <f>IFERROR(IF($J428="","",IF($O$196="-","-",INDEX(BD!$A$1:$K$2510,MATCH('2.Win Load'!D428,BD!$A$1:$A$2510,0),7))),"")</f>
        <v/>
      </c>
      <c r="P428" s="692" t="str">
        <f t="shared" si="116"/>
        <v/>
      </c>
      <c r="Q428" s="692" t="str">
        <f t="shared" si="117"/>
        <v/>
      </c>
      <c r="R428" s="960" t="str">
        <f t="shared" si="118"/>
        <v/>
      </c>
      <c r="S428" s="498">
        <f t="array" ref="S428">MAX(IF('Wind base'!$AE$5:$AE$11&lt;I428,'Wind base'!$AE$5:$AE$11,""))</f>
        <v>160</v>
      </c>
      <c r="T428" s="498">
        <f t="array" ref="T428">MIN(IF('Wind base'!$AE$5:$AE$11&gt;I428,'Wind base'!$AE$5:$AE$11,""))</f>
        <v>0</v>
      </c>
      <c r="U428" s="499">
        <f t="array" ref="U428">MAX(IF('Wind base'!$AF$4:$AL$4&lt;J428,'Wind base'!$AF$4:$AL$4,""),5)</f>
        <v>350</v>
      </c>
      <c r="V428" s="498">
        <f t="array" ref="V428">MIN(IF('Wind base'!$AF$4:$AL$4&gt;J428,'Wind base'!$AF$4:$AL$4,""))</f>
        <v>0</v>
      </c>
      <c r="W428" s="500">
        <f t="array" ref="W428">INDEX('Wind base'!$AF$5:$AL$11,MATCH($S428,'Wind base'!$AE$5:$AE$11,0),MATCH($U428,'Wind base'!$AF$4:$AL$4,0))</f>
        <v>0.38</v>
      </c>
      <c r="X428" s="500" t="e">
        <f t="array" ref="X428">INDEX('Wind base'!$AF$5:$AL$11,MATCH($S428,'Wind base'!$AE$5:$AE$11,0),MATCH($V428,'Wind base'!$AF$4:$AL$4,0))</f>
        <v>#N/A</v>
      </c>
      <c r="Y428" s="500" t="e">
        <f t="array" ref="Y428">INDEX('Wind base'!$AF$5:$AL$11,MATCH($T428,'Wind base'!$AE$5:$AE$11,0),MATCH($U428,'Wind base'!$AF$4:$AL$4,0))</f>
        <v>#N/A</v>
      </c>
      <c r="Z428" s="500" t="e">
        <f t="array" ref="Z428">INDEX('Wind base'!$AF$5:$AL$11,MATCH($T428,'Wind base'!$AE$5:$AE$11,0),MATCH($V428,'Wind base'!$AF$4:$AL$4,0))</f>
        <v>#N/A</v>
      </c>
      <c r="AA428" s="501" t="e">
        <f t="shared" si="120"/>
        <v>#N/A</v>
      </c>
      <c r="AB428" s="501" t="e">
        <f t="shared" si="121"/>
        <v>#N/A</v>
      </c>
      <c r="AC428" s="501" t="e">
        <f t="shared" si="122"/>
        <v>#N/A</v>
      </c>
    </row>
    <row r="429" spans="1:29" ht="15" customHeight="1">
      <c r="A429" s="457" t="str">
        <f t="shared" si="119"/>
        <v/>
      </c>
      <c r="B429" s="701" t="str">
        <f t="shared" si="107"/>
        <v>1</v>
      </c>
      <c r="C429" s="701" t="str">
        <f t="shared" si="108"/>
        <v>5</v>
      </c>
      <c r="D429" s="885" t="str">
        <f t="shared" si="123"/>
        <v>-</v>
      </c>
      <c r="F429" s="1127" t="str">
        <f t="shared" si="110"/>
        <v/>
      </c>
      <c r="G429" s="1128"/>
      <c r="H429" s="688" t="str">
        <f t="shared" si="111"/>
        <v/>
      </c>
      <c r="I429" s="689" t="str">
        <f t="shared" si="112"/>
        <v/>
      </c>
      <c r="J429" s="689" t="str">
        <f t="shared" si="124"/>
        <v/>
      </c>
      <c r="K429" s="690" t="str">
        <f t="shared" si="125"/>
        <v/>
      </c>
      <c r="L429" s="691" t="str">
        <f t="shared" si="115"/>
        <v/>
      </c>
      <c r="M429" s="700" t="str">
        <f>IFERROR(IF(J429="","",IF($M$196="-","-",INDEX(BD!$A$1:$K$2510,MATCH('2.Win Load'!B429,BD!$A$1:$A$2510,0),7))),"")</f>
        <v/>
      </c>
      <c r="N429" s="700" t="str">
        <f>IFERROR(IF($J429="","",IF($N$196="-","-",INDEX(BD!$A$1:$K$2510,MATCH('2.Win Load'!C429,BD!$A$1:$A$2510,0),7))),"")</f>
        <v/>
      </c>
      <c r="O429" s="700" t="str">
        <f>IFERROR(IF($J429="","",IF($O$196="-","-",INDEX(BD!$A$1:$K$2510,MATCH('2.Win Load'!D429,BD!$A$1:$A$2510,0),7))),"")</f>
        <v/>
      </c>
      <c r="P429" s="692" t="str">
        <f t="shared" si="116"/>
        <v/>
      </c>
      <c r="Q429" s="692" t="str">
        <f t="shared" si="117"/>
        <v/>
      </c>
      <c r="R429" s="960" t="str">
        <f t="shared" si="118"/>
        <v/>
      </c>
      <c r="S429" s="498">
        <f t="array" ref="S429">MAX(IF('Wind base'!$AE$5:$AE$11&lt;I429,'Wind base'!$AE$5:$AE$11,""))</f>
        <v>160</v>
      </c>
      <c r="T429" s="498">
        <f t="array" ref="T429">MIN(IF('Wind base'!$AE$5:$AE$11&gt;I429,'Wind base'!$AE$5:$AE$11,""))</f>
        <v>0</v>
      </c>
      <c r="U429" s="499">
        <f t="array" ref="U429">MAX(IF('Wind base'!$AF$4:$AL$4&lt;J429,'Wind base'!$AF$4:$AL$4,""),5)</f>
        <v>350</v>
      </c>
      <c r="V429" s="498">
        <f t="array" ref="V429">MIN(IF('Wind base'!$AF$4:$AL$4&gt;J429,'Wind base'!$AF$4:$AL$4,""))</f>
        <v>0</v>
      </c>
      <c r="W429" s="500">
        <f t="array" ref="W429">INDEX('Wind base'!$AF$5:$AL$11,MATCH($S429,'Wind base'!$AE$5:$AE$11,0),MATCH($U429,'Wind base'!$AF$4:$AL$4,0))</f>
        <v>0.38</v>
      </c>
      <c r="X429" s="500" t="e">
        <f t="array" ref="X429">INDEX('Wind base'!$AF$5:$AL$11,MATCH($S429,'Wind base'!$AE$5:$AE$11,0),MATCH($V429,'Wind base'!$AF$4:$AL$4,0))</f>
        <v>#N/A</v>
      </c>
      <c r="Y429" s="500" t="e">
        <f t="array" ref="Y429">INDEX('Wind base'!$AF$5:$AL$11,MATCH($T429,'Wind base'!$AE$5:$AE$11,0),MATCH($U429,'Wind base'!$AF$4:$AL$4,0))</f>
        <v>#N/A</v>
      </c>
      <c r="Z429" s="500" t="e">
        <f t="array" ref="Z429">INDEX('Wind base'!$AF$5:$AL$11,MATCH($T429,'Wind base'!$AE$5:$AE$11,0),MATCH($V429,'Wind base'!$AF$4:$AL$4,0))</f>
        <v>#N/A</v>
      </c>
      <c r="AA429" s="501" t="e">
        <f t="shared" si="120"/>
        <v>#N/A</v>
      </c>
      <c r="AB429" s="501" t="e">
        <f t="shared" si="121"/>
        <v>#N/A</v>
      </c>
      <c r="AC429" s="501" t="e">
        <f t="shared" si="122"/>
        <v>#N/A</v>
      </c>
    </row>
    <row r="430" spans="1:29" ht="15" customHeight="1">
      <c r="A430" s="457" t="str">
        <f t="shared" si="119"/>
        <v/>
      </c>
      <c r="B430" s="701" t="str">
        <f t="shared" si="107"/>
        <v>1</v>
      </c>
      <c r="C430" s="701" t="str">
        <f t="shared" si="108"/>
        <v>5</v>
      </c>
      <c r="D430" s="885" t="str">
        <f t="shared" si="123"/>
        <v>-</v>
      </c>
      <c r="F430" s="1127" t="str">
        <f t="shared" si="110"/>
        <v/>
      </c>
      <c r="G430" s="1128"/>
      <c r="H430" s="688" t="str">
        <f t="shared" si="111"/>
        <v/>
      </c>
      <c r="I430" s="689" t="str">
        <f t="shared" si="112"/>
        <v/>
      </c>
      <c r="J430" s="689" t="str">
        <f t="shared" si="124"/>
        <v/>
      </c>
      <c r="K430" s="690" t="str">
        <f t="shared" si="125"/>
        <v/>
      </c>
      <c r="L430" s="691" t="str">
        <f t="shared" si="115"/>
        <v/>
      </c>
      <c r="M430" s="700" t="str">
        <f>IFERROR(IF(J430="","",IF($M$196="-","-",INDEX(BD!$A$1:$K$2510,MATCH('2.Win Load'!B430,BD!$A$1:$A$2510,0),7))),"")</f>
        <v/>
      </c>
      <c r="N430" s="700" t="str">
        <f>IFERROR(IF($J430="","",IF($N$196="-","-",INDEX(BD!$A$1:$K$2510,MATCH('2.Win Load'!C430,BD!$A$1:$A$2510,0),7))),"")</f>
        <v/>
      </c>
      <c r="O430" s="700" t="str">
        <f>IFERROR(IF($J430="","",IF($O$196="-","-",INDEX(BD!$A$1:$K$2510,MATCH('2.Win Load'!D430,BD!$A$1:$A$2510,0),7))),"")</f>
        <v/>
      </c>
      <c r="P430" s="692" t="str">
        <f t="shared" si="116"/>
        <v/>
      </c>
      <c r="Q430" s="692" t="str">
        <f t="shared" si="117"/>
        <v/>
      </c>
      <c r="R430" s="960" t="str">
        <f t="shared" si="118"/>
        <v/>
      </c>
      <c r="S430" s="498">
        <f t="array" ref="S430">MAX(IF('Wind base'!$AE$5:$AE$11&lt;I430,'Wind base'!$AE$5:$AE$11,""))</f>
        <v>160</v>
      </c>
      <c r="T430" s="498">
        <f t="array" ref="T430">MIN(IF('Wind base'!$AE$5:$AE$11&gt;I430,'Wind base'!$AE$5:$AE$11,""))</f>
        <v>0</v>
      </c>
      <c r="U430" s="499">
        <f t="array" ref="U430">MAX(IF('Wind base'!$AF$4:$AL$4&lt;J430,'Wind base'!$AF$4:$AL$4,""),5)</f>
        <v>350</v>
      </c>
      <c r="V430" s="498">
        <f t="array" ref="V430">MIN(IF('Wind base'!$AF$4:$AL$4&gt;J430,'Wind base'!$AF$4:$AL$4,""))</f>
        <v>0</v>
      </c>
      <c r="W430" s="500">
        <f t="array" ref="W430">INDEX('Wind base'!$AF$5:$AL$11,MATCH($S430,'Wind base'!$AE$5:$AE$11,0),MATCH($U430,'Wind base'!$AF$4:$AL$4,0))</f>
        <v>0.38</v>
      </c>
      <c r="X430" s="500" t="e">
        <f t="array" ref="X430">INDEX('Wind base'!$AF$5:$AL$11,MATCH($S430,'Wind base'!$AE$5:$AE$11,0),MATCH($V430,'Wind base'!$AF$4:$AL$4,0))</f>
        <v>#N/A</v>
      </c>
      <c r="Y430" s="500" t="e">
        <f t="array" ref="Y430">INDEX('Wind base'!$AF$5:$AL$11,MATCH($T430,'Wind base'!$AE$5:$AE$11,0),MATCH($U430,'Wind base'!$AF$4:$AL$4,0))</f>
        <v>#N/A</v>
      </c>
      <c r="Z430" s="500" t="e">
        <f t="array" ref="Z430">INDEX('Wind base'!$AF$5:$AL$11,MATCH($T430,'Wind base'!$AE$5:$AE$11,0),MATCH($V430,'Wind base'!$AF$4:$AL$4,0))</f>
        <v>#N/A</v>
      </c>
      <c r="AA430" s="501" t="e">
        <f t="shared" si="120"/>
        <v>#N/A</v>
      </c>
      <c r="AB430" s="501" t="e">
        <f t="shared" si="121"/>
        <v>#N/A</v>
      </c>
      <c r="AC430" s="501" t="e">
        <f t="shared" si="122"/>
        <v>#N/A</v>
      </c>
    </row>
    <row r="431" spans="1:29" ht="15" customHeight="1">
      <c r="A431" s="457" t="str">
        <f t="shared" si="119"/>
        <v/>
      </c>
      <c r="B431" s="701" t="str">
        <f t="shared" si="107"/>
        <v>1</v>
      </c>
      <c r="C431" s="701" t="str">
        <f t="shared" si="108"/>
        <v>5</v>
      </c>
      <c r="D431" s="885" t="str">
        <f t="shared" si="123"/>
        <v>-</v>
      </c>
      <c r="F431" s="1127" t="str">
        <f t="shared" si="110"/>
        <v/>
      </c>
      <c r="G431" s="1128"/>
      <c r="H431" s="688" t="str">
        <f t="shared" si="111"/>
        <v/>
      </c>
      <c r="I431" s="689" t="str">
        <f t="shared" si="112"/>
        <v/>
      </c>
      <c r="J431" s="689" t="str">
        <f t="shared" si="124"/>
        <v/>
      </c>
      <c r="K431" s="690" t="str">
        <f t="shared" si="125"/>
        <v/>
      </c>
      <c r="L431" s="691" t="str">
        <f t="shared" si="115"/>
        <v/>
      </c>
      <c r="M431" s="700" t="str">
        <f>IFERROR(IF(J431="","",IF($M$196="-","-",INDEX(BD!$A$1:$K$2510,MATCH('2.Win Load'!B431,BD!$A$1:$A$2510,0),7))),"")</f>
        <v/>
      </c>
      <c r="N431" s="700" t="str">
        <f>IFERROR(IF($J431="","",IF($N$196="-","-",INDEX(BD!$A$1:$K$2510,MATCH('2.Win Load'!C431,BD!$A$1:$A$2510,0),7))),"")</f>
        <v/>
      </c>
      <c r="O431" s="700" t="str">
        <f>IFERROR(IF($J431="","",IF($O$196="-","-",INDEX(BD!$A$1:$K$2510,MATCH('2.Win Load'!D431,BD!$A$1:$A$2510,0),7))),"")</f>
        <v/>
      </c>
      <c r="P431" s="692" t="str">
        <f t="shared" si="116"/>
        <v/>
      </c>
      <c r="Q431" s="692" t="str">
        <f t="shared" si="117"/>
        <v/>
      </c>
      <c r="R431" s="960" t="str">
        <f t="shared" si="118"/>
        <v/>
      </c>
      <c r="S431" s="498">
        <f t="array" ref="S431">MAX(IF('Wind base'!$AE$5:$AE$11&lt;I431,'Wind base'!$AE$5:$AE$11,""))</f>
        <v>160</v>
      </c>
      <c r="T431" s="498">
        <f t="array" ref="T431">MIN(IF('Wind base'!$AE$5:$AE$11&gt;I431,'Wind base'!$AE$5:$AE$11,""))</f>
        <v>0</v>
      </c>
      <c r="U431" s="499">
        <f t="array" ref="U431">MAX(IF('Wind base'!$AF$4:$AL$4&lt;J431,'Wind base'!$AF$4:$AL$4,""),5)</f>
        <v>350</v>
      </c>
      <c r="V431" s="498">
        <f t="array" ref="V431">MIN(IF('Wind base'!$AF$4:$AL$4&gt;J431,'Wind base'!$AF$4:$AL$4,""))</f>
        <v>0</v>
      </c>
      <c r="W431" s="500">
        <f t="array" ref="W431">INDEX('Wind base'!$AF$5:$AL$11,MATCH($S431,'Wind base'!$AE$5:$AE$11,0),MATCH($U431,'Wind base'!$AF$4:$AL$4,0))</f>
        <v>0.38</v>
      </c>
      <c r="X431" s="500" t="e">
        <f t="array" ref="X431">INDEX('Wind base'!$AF$5:$AL$11,MATCH($S431,'Wind base'!$AE$5:$AE$11,0),MATCH($V431,'Wind base'!$AF$4:$AL$4,0))</f>
        <v>#N/A</v>
      </c>
      <c r="Y431" s="500" t="e">
        <f t="array" ref="Y431">INDEX('Wind base'!$AF$5:$AL$11,MATCH($T431,'Wind base'!$AE$5:$AE$11,0),MATCH($U431,'Wind base'!$AF$4:$AL$4,0))</f>
        <v>#N/A</v>
      </c>
      <c r="Z431" s="500" t="e">
        <f t="array" ref="Z431">INDEX('Wind base'!$AF$5:$AL$11,MATCH($T431,'Wind base'!$AE$5:$AE$11,0),MATCH($V431,'Wind base'!$AF$4:$AL$4,0))</f>
        <v>#N/A</v>
      </c>
      <c r="AA431" s="501" t="e">
        <f t="shared" si="120"/>
        <v>#N/A</v>
      </c>
      <c r="AB431" s="501" t="e">
        <f t="shared" si="121"/>
        <v>#N/A</v>
      </c>
      <c r="AC431" s="501" t="e">
        <f t="shared" si="122"/>
        <v>#N/A</v>
      </c>
    </row>
    <row r="432" spans="1:29" ht="15" customHeight="1">
      <c r="A432" s="457" t="str">
        <f t="shared" si="119"/>
        <v/>
      </c>
      <c r="B432" s="701" t="str">
        <f t="shared" si="107"/>
        <v>1</v>
      </c>
      <c r="C432" s="701" t="str">
        <f t="shared" si="108"/>
        <v>5</v>
      </c>
      <c r="D432" s="885" t="str">
        <f t="shared" si="123"/>
        <v>-</v>
      </c>
      <c r="F432" s="1127" t="str">
        <f t="shared" si="110"/>
        <v/>
      </c>
      <c r="G432" s="1128"/>
      <c r="H432" s="688" t="str">
        <f t="shared" si="111"/>
        <v/>
      </c>
      <c r="I432" s="689" t="str">
        <f t="shared" si="112"/>
        <v/>
      </c>
      <c r="J432" s="689" t="str">
        <f t="shared" si="124"/>
        <v/>
      </c>
      <c r="K432" s="690" t="str">
        <f t="shared" si="125"/>
        <v/>
      </c>
      <c r="L432" s="691" t="str">
        <f t="shared" si="115"/>
        <v/>
      </c>
      <c r="M432" s="700" t="str">
        <f>IFERROR(IF(J432="","",IF($M$196="-","-",INDEX(BD!$A$1:$K$2510,MATCH('2.Win Load'!B432,BD!$A$1:$A$2510,0),7))),"")</f>
        <v/>
      </c>
      <c r="N432" s="700" t="str">
        <f>IFERROR(IF($J432="","",IF($N$196="-","-",INDEX(BD!$A$1:$K$2510,MATCH('2.Win Load'!C432,BD!$A$1:$A$2510,0),7))),"")</f>
        <v/>
      </c>
      <c r="O432" s="700" t="str">
        <f>IFERROR(IF($J432="","",IF($O$196="-","-",INDEX(BD!$A$1:$K$2510,MATCH('2.Win Load'!D432,BD!$A$1:$A$2510,0),7))),"")</f>
        <v/>
      </c>
      <c r="P432" s="692" t="str">
        <f t="shared" si="116"/>
        <v/>
      </c>
      <c r="Q432" s="692" t="str">
        <f t="shared" si="117"/>
        <v/>
      </c>
      <c r="R432" s="960" t="str">
        <f t="shared" si="118"/>
        <v/>
      </c>
      <c r="S432" s="498">
        <f t="array" ref="S432">MAX(IF('Wind base'!$AE$5:$AE$11&lt;I432,'Wind base'!$AE$5:$AE$11,""))</f>
        <v>160</v>
      </c>
      <c r="T432" s="498">
        <f t="array" ref="T432">MIN(IF('Wind base'!$AE$5:$AE$11&gt;I432,'Wind base'!$AE$5:$AE$11,""))</f>
        <v>0</v>
      </c>
      <c r="U432" s="499">
        <f t="array" ref="U432">MAX(IF('Wind base'!$AF$4:$AL$4&lt;J432,'Wind base'!$AF$4:$AL$4,""),5)</f>
        <v>350</v>
      </c>
      <c r="V432" s="498">
        <f t="array" ref="V432">MIN(IF('Wind base'!$AF$4:$AL$4&gt;J432,'Wind base'!$AF$4:$AL$4,""))</f>
        <v>0</v>
      </c>
      <c r="W432" s="500">
        <f t="array" ref="W432">INDEX('Wind base'!$AF$5:$AL$11,MATCH($S432,'Wind base'!$AE$5:$AE$11,0),MATCH($U432,'Wind base'!$AF$4:$AL$4,0))</f>
        <v>0.38</v>
      </c>
      <c r="X432" s="500" t="e">
        <f t="array" ref="X432">INDEX('Wind base'!$AF$5:$AL$11,MATCH($S432,'Wind base'!$AE$5:$AE$11,0),MATCH($V432,'Wind base'!$AF$4:$AL$4,0))</f>
        <v>#N/A</v>
      </c>
      <c r="Y432" s="500" t="e">
        <f t="array" ref="Y432">INDEX('Wind base'!$AF$5:$AL$11,MATCH($T432,'Wind base'!$AE$5:$AE$11,0),MATCH($U432,'Wind base'!$AF$4:$AL$4,0))</f>
        <v>#N/A</v>
      </c>
      <c r="Z432" s="500" t="e">
        <f t="array" ref="Z432">INDEX('Wind base'!$AF$5:$AL$11,MATCH($T432,'Wind base'!$AE$5:$AE$11,0),MATCH($V432,'Wind base'!$AF$4:$AL$4,0))</f>
        <v>#N/A</v>
      </c>
      <c r="AA432" s="501" t="e">
        <f t="shared" si="120"/>
        <v>#N/A</v>
      </c>
      <c r="AB432" s="501" t="e">
        <f t="shared" si="121"/>
        <v>#N/A</v>
      </c>
      <c r="AC432" s="501" t="e">
        <f t="shared" si="122"/>
        <v>#N/A</v>
      </c>
    </row>
    <row r="433" spans="1:29" ht="15" customHeight="1">
      <c r="A433" s="457" t="str">
        <f t="shared" si="119"/>
        <v/>
      </c>
      <c r="B433" s="701" t="str">
        <f t="shared" si="107"/>
        <v>1</v>
      </c>
      <c r="C433" s="701" t="str">
        <f t="shared" si="108"/>
        <v>5</v>
      </c>
      <c r="D433" s="885" t="str">
        <f t="shared" si="123"/>
        <v>-</v>
      </c>
      <c r="F433" s="1127" t="str">
        <f t="shared" si="110"/>
        <v/>
      </c>
      <c r="G433" s="1128"/>
      <c r="H433" s="688" t="str">
        <f t="shared" si="111"/>
        <v/>
      </c>
      <c r="I433" s="689" t="str">
        <f t="shared" si="112"/>
        <v/>
      </c>
      <c r="J433" s="689" t="str">
        <f t="shared" si="124"/>
        <v/>
      </c>
      <c r="K433" s="690" t="str">
        <f t="shared" si="125"/>
        <v/>
      </c>
      <c r="L433" s="691" t="str">
        <f t="shared" si="115"/>
        <v/>
      </c>
      <c r="M433" s="700" t="str">
        <f>IFERROR(IF(J433="","",IF($M$196="-","-",INDEX(BD!$A$1:$K$2510,MATCH('2.Win Load'!B433,BD!$A$1:$A$2510,0),7))),"")</f>
        <v/>
      </c>
      <c r="N433" s="700" t="str">
        <f>IFERROR(IF($J433="","",IF($N$196="-","-",INDEX(BD!$A$1:$K$2510,MATCH('2.Win Load'!C433,BD!$A$1:$A$2510,0),7))),"")</f>
        <v/>
      </c>
      <c r="O433" s="700" t="str">
        <f>IFERROR(IF($J433="","",IF($O$196="-","-",INDEX(BD!$A$1:$K$2510,MATCH('2.Win Load'!D433,BD!$A$1:$A$2510,0),7))),"")</f>
        <v/>
      </c>
      <c r="P433" s="692" t="str">
        <f t="shared" si="116"/>
        <v/>
      </c>
      <c r="Q433" s="692" t="str">
        <f t="shared" si="117"/>
        <v/>
      </c>
      <c r="R433" s="960" t="str">
        <f t="shared" si="118"/>
        <v/>
      </c>
      <c r="S433" s="498">
        <f t="array" ref="S433">MAX(IF('Wind base'!$AE$5:$AE$11&lt;I433,'Wind base'!$AE$5:$AE$11,""))</f>
        <v>160</v>
      </c>
      <c r="T433" s="498">
        <f t="array" ref="T433">MIN(IF('Wind base'!$AE$5:$AE$11&gt;I433,'Wind base'!$AE$5:$AE$11,""))</f>
        <v>0</v>
      </c>
      <c r="U433" s="499">
        <f t="array" ref="U433">MAX(IF('Wind base'!$AF$4:$AL$4&lt;J433,'Wind base'!$AF$4:$AL$4,""),5)</f>
        <v>350</v>
      </c>
      <c r="V433" s="498">
        <f t="array" ref="V433">MIN(IF('Wind base'!$AF$4:$AL$4&gt;J433,'Wind base'!$AF$4:$AL$4,""))</f>
        <v>0</v>
      </c>
      <c r="W433" s="500">
        <f t="array" ref="W433">INDEX('Wind base'!$AF$5:$AL$11,MATCH($S433,'Wind base'!$AE$5:$AE$11,0),MATCH($U433,'Wind base'!$AF$4:$AL$4,0))</f>
        <v>0.38</v>
      </c>
      <c r="X433" s="500" t="e">
        <f t="array" ref="X433">INDEX('Wind base'!$AF$5:$AL$11,MATCH($S433,'Wind base'!$AE$5:$AE$11,0),MATCH($V433,'Wind base'!$AF$4:$AL$4,0))</f>
        <v>#N/A</v>
      </c>
      <c r="Y433" s="500" t="e">
        <f t="array" ref="Y433">INDEX('Wind base'!$AF$5:$AL$11,MATCH($T433,'Wind base'!$AE$5:$AE$11,0),MATCH($U433,'Wind base'!$AF$4:$AL$4,0))</f>
        <v>#N/A</v>
      </c>
      <c r="Z433" s="500" t="e">
        <f t="array" ref="Z433">INDEX('Wind base'!$AF$5:$AL$11,MATCH($T433,'Wind base'!$AE$5:$AE$11,0),MATCH($V433,'Wind base'!$AF$4:$AL$4,0))</f>
        <v>#N/A</v>
      </c>
      <c r="AA433" s="501" t="e">
        <f t="shared" si="120"/>
        <v>#N/A</v>
      </c>
      <c r="AB433" s="501" t="e">
        <f t="shared" si="121"/>
        <v>#N/A</v>
      </c>
      <c r="AC433" s="501" t="e">
        <f t="shared" si="122"/>
        <v>#N/A</v>
      </c>
    </row>
    <row r="434" spans="1:29" ht="15" customHeight="1">
      <c r="A434" s="457" t="str">
        <f t="shared" si="119"/>
        <v/>
      </c>
      <c r="B434" s="701" t="str">
        <f t="shared" si="107"/>
        <v>1</v>
      </c>
      <c r="C434" s="701" t="str">
        <f t="shared" si="108"/>
        <v>5</v>
      </c>
      <c r="D434" s="885" t="str">
        <f t="shared" si="123"/>
        <v>-</v>
      </c>
      <c r="F434" s="1127" t="str">
        <f t="shared" si="110"/>
        <v/>
      </c>
      <c r="G434" s="1128"/>
      <c r="H434" s="688" t="str">
        <f t="shared" si="111"/>
        <v/>
      </c>
      <c r="I434" s="689" t="str">
        <f t="shared" si="112"/>
        <v/>
      </c>
      <c r="J434" s="689" t="str">
        <f t="shared" si="124"/>
        <v/>
      </c>
      <c r="K434" s="690" t="str">
        <f t="shared" si="125"/>
        <v/>
      </c>
      <c r="L434" s="691" t="str">
        <f t="shared" si="115"/>
        <v/>
      </c>
      <c r="M434" s="700" t="str">
        <f>IFERROR(IF(J434="","",IF($M$196="-","-",INDEX(BD!$A$1:$K$2510,MATCH('2.Win Load'!B434,BD!$A$1:$A$2510,0),7))),"")</f>
        <v/>
      </c>
      <c r="N434" s="700" t="str">
        <f>IFERROR(IF($J434="","",IF($N$196="-","-",INDEX(BD!$A$1:$K$2510,MATCH('2.Win Load'!C434,BD!$A$1:$A$2510,0),7))),"")</f>
        <v/>
      </c>
      <c r="O434" s="700" t="str">
        <f>IFERROR(IF($J434="","",IF($O$196="-","-",INDEX(BD!$A$1:$K$2510,MATCH('2.Win Load'!D434,BD!$A$1:$A$2510,0),7))),"")</f>
        <v/>
      </c>
      <c r="P434" s="692" t="str">
        <f t="shared" si="116"/>
        <v/>
      </c>
      <c r="Q434" s="692" t="str">
        <f t="shared" si="117"/>
        <v/>
      </c>
      <c r="R434" s="960" t="str">
        <f t="shared" si="118"/>
        <v/>
      </c>
      <c r="S434" s="498">
        <f t="array" ref="S434">MAX(IF('Wind base'!$AE$5:$AE$11&lt;I434,'Wind base'!$AE$5:$AE$11,""))</f>
        <v>160</v>
      </c>
      <c r="T434" s="498">
        <f t="array" ref="T434">MIN(IF('Wind base'!$AE$5:$AE$11&gt;I434,'Wind base'!$AE$5:$AE$11,""))</f>
        <v>0</v>
      </c>
      <c r="U434" s="499">
        <f t="array" ref="U434">MAX(IF('Wind base'!$AF$4:$AL$4&lt;J434,'Wind base'!$AF$4:$AL$4,""),5)</f>
        <v>350</v>
      </c>
      <c r="V434" s="498">
        <f t="array" ref="V434">MIN(IF('Wind base'!$AF$4:$AL$4&gt;J434,'Wind base'!$AF$4:$AL$4,""))</f>
        <v>0</v>
      </c>
      <c r="W434" s="500">
        <f t="array" ref="W434">INDEX('Wind base'!$AF$5:$AL$11,MATCH($S434,'Wind base'!$AE$5:$AE$11,0),MATCH($U434,'Wind base'!$AF$4:$AL$4,0))</f>
        <v>0.38</v>
      </c>
      <c r="X434" s="500" t="e">
        <f t="array" ref="X434">INDEX('Wind base'!$AF$5:$AL$11,MATCH($S434,'Wind base'!$AE$5:$AE$11,0),MATCH($V434,'Wind base'!$AF$4:$AL$4,0))</f>
        <v>#N/A</v>
      </c>
      <c r="Y434" s="500" t="e">
        <f t="array" ref="Y434">INDEX('Wind base'!$AF$5:$AL$11,MATCH($T434,'Wind base'!$AE$5:$AE$11,0),MATCH($U434,'Wind base'!$AF$4:$AL$4,0))</f>
        <v>#N/A</v>
      </c>
      <c r="Z434" s="500" t="e">
        <f t="array" ref="Z434">INDEX('Wind base'!$AF$5:$AL$11,MATCH($T434,'Wind base'!$AE$5:$AE$11,0),MATCH($V434,'Wind base'!$AF$4:$AL$4,0))</f>
        <v>#N/A</v>
      </c>
      <c r="AA434" s="501" t="e">
        <f t="shared" si="120"/>
        <v>#N/A</v>
      </c>
      <c r="AB434" s="501" t="e">
        <f t="shared" si="121"/>
        <v>#N/A</v>
      </c>
      <c r="AC434" s="501" t="e">
        <f t="shared" si="122"/>
        <v>#N/A</v>
      </c>
    </row>
    <row r="435" spans="1:29" ht="15" customHeight="1">
      <c r="A435" s="457" t="str">
        <f t="shared" si="119"/>
        <v/>
      </c>
      <c r="B435" s="701" t="str">
        <f t="shared" si="107"/>
        <v>1</v>
      </c>
      <c r="C435" s="701" t="str">
        <f t="shared" si="108"/>
        <v>5</v>
      </c>
      <c r="D435" s="885" t="str">
        <f t="shared" si="123"/>
        <v>-</v>
      </c>
      <c r="F435" s="1127" t="str">
        <f t="shared" si="110"/>
        <v/>
      </c>
      <c r="G435" s="1128"/>
      <c r="H435" s="688" t="str">
        <f t="shared" si="111"/>
        <v/>
      </c>
      <c r="I435" s="689" t="str">
        <f t="shared" si="112"/>
        <v/>
      </c>
      <c r="J435" s="689" t="str">
        <f t="shared" si="124"/>
        <v/>
      </c>
      <c r="K435" s="690" t="str">
        <f t="shared" si="125"/>
        <v/>
      </c>
      <c r="L435" s="691" t="str">
        <f t="shared" si="115"/>
        <v/>
      </c>
      <c r="M435" s="700" t="str">
        <f>IFERROR(IF(J435="","",IF($M$196="-","-",INDEX(BD!$A$1:$K$2510,MATCH('2.Win Load'!B435,BD!$A$1:$A$2510,0),7))),"")</f>
        <v/>
      </c>
      <c r="N435" s="700" t="str">
        <f>IFERROR(IF($J435="","",IF($N$196="-","-",INDEX(BD!$A$1:$K$2510,MATCH('2.Win Load'!C435,BD!$A$1:$A$2510,0),7))),"")</f>
        <v/>
      </c>
      <c r="O435" s="700" t="str">
        <f>IFERROR(IF($J435="","",IF($O$196="-","-",INDEX(BD!$A$1:$K$2510,MATCH('2.Win Load'!D435,BD!$A$1:$A$2510,0),7))),"")</f>
        <v/>
      </c>
      <c r="P435" s="692" t="str">
        <f t="shared" si="116"/>
        <v/>
      </c>
      <c r="Q435" s="692" t="str">
        <f t="shared" si="117"/>
        <v/>
      </c>
      <c r="R435" s="960" t="str">
        <f t="shared" si="118"/>
        <v/>
      </c>
      <c r="S435" s="498">
        <f t="array" ref="S435">MAX(IF('Wind base'!$AE$5:$AE$11&lt;I435,'Wind base'!$AE$5:$AE$11,""))</f>
        <v>160</v>
      </c>
      <c r="T435" s="498">
        <f t="array" ref="T435">MIN(IF('Wind base'!$AE$5:$AE$11&gt;I435,'Wind base'!$AE$5:$AE$11,""))</f>
        <v>0</v>
      </c>
      <c r="U435" s="499">
        <f t="array" ref="U435">MAX(IF('Wind base'!$AF$4:$AL$4&lt;J435,'Wind base'!$AF$4:$AL$4,""),5)</f>
        <v>350</v>
      </c>
      <c r="V435" s="498">
        <f t="array" ref="V435">MIN(IF('Wind base'!$AF$4:$AL$4&gt;J435,'Wind base'!$AF$4:$AL$4,""))</f>
        <v>0</v>
      </c>
      <c r="W435" s="500">
        <f t="array" ref="W435">INDEX('Wind base'!$AF$5:$AL$11,MATCH($S435,'Wind base'!$AE$5:$AE$11,0),MATCH($U435,'Wind base'!$AF$4:$AL$4,0))</f>
        <v>0.38</v>
      </c>
      <c r="X435" s="500" t="e">
        <f t="array" ref="X435">INDEX('Wind base'!$AF$5:$AL$11,MATCH($S435,'Wind base'!$AE$5:$AE$11,0),MATCH($V435,'Wind base'!$AF$4:$AL$4,0))</f>
        <v>#N/A</v>
      </c>
      <c r="Y435" s="500" t="e">
        <f t="array" ref="Y435">INDEX('Wind base'!$AF$5:$AL$11,MATCH($T435,'Wind base'!$AE$5:$AE$11,0),MATCH($U435,'Wind base'!$AF$4:$AL$4,0))</f>
        <v>#N/A</v>
      </c>
      <c r="Z435" s="500" t="e">
        <f t="array" ref="Z435">INDEX('Wind base'!$AF$5:$AL$11,MATCH($T435,'Wind base'!$AE$5:$AE$11,0),MATCH($V435,'Wind base'!$AF$4:$AL$4,0))</f>
        <v>#N/A</v>
      </c>
      <c r="AA435" s="501" t="e">
        <f t="shared" si="120"/>
        <v>#N/A</v>
      </c>
      <c r="AB435" s="501" t="e">
        <f t="shared" si="121"/>
        <v>#N/A</v>
      </c>
      <c r="AC435" s="501" t="e">
        <f t="shared" si="122"/>
        <v>#N/A</v>
      </c>
    </row>
    <row r="436" spans="1:29" ht="15" customHeight="1">
      <c r="A436" s="457" t="str">
        <f t="shared" si="119"/>
        <v/>
      </c>
      <c r="B436" s="701" t="str">
        <f t="shared" si="107"/>
        <v>1</v>
      </c>
      <c r="C436" s="701" t="str">
        <f t="shared" si="108"/>
        <v>5</v>
      </c>
      <c r="D436" s="885" t="str">
        <f t="shared" si="123"/>
        <v>-</v>
      </c>
      <c r="F436" s="1127" t="str">
        <f t="shared" si="110"/>
        <v/>
      </c>
      <c r="G436" s="1128"/>
      <c r="H436" s="688" t="str">
        <f t="shared" si="111"/>
        <v/>
      </c>
      <c r="I436" s="689" t="str">
        <f t="shared" si="112"/>
        <v/>
      </c>
      <c r="J436" s="689" t="str">
        <f t="shared" si="124"/>
        <v/>
      </c>
      <c r="K436" s="690" t="str">
        <f t="shared" si="125"/>
        <v/>
      </c>
      <c r="L436" s="691" t="str">
        <f t="shared" si="115"/>
        <v/>
      </c>
      <c r="M436" s="700" t="str">
        <f>IFERROR(IF(J436="","",IF($M$196="-","-",INDEX(BD!$A$1:$K$2510,MATCH('2.Win Load'!B436,BD!$A$1:$A$2510,0),7))),"")</f>
        <v/>
      </c>
      <c r="N436" s="700" t="str">
        <f>IFERROR(IF($J436="","",IF($N$196="-","-",INDEX(BD!$A$1:$K$2510,MATCH('2.Win Load'!C436,BD!$A$1:$A$2510,0),7))),"")</f>
        <v/>
      </c>
      <c r="O436" s="700" t="str">
        <f>IFERROR(IF($J436="","",IF($O$196="-","-",INDEX(BD!$A$1:$K$2510,MATCH('2.Win Load'!D436,BD!$A$1:$A$2510,0),7))),"")</f>
        <v/>
      </c>
      <c r="P436" s="692" t="str">
        <f t="shared" si="116"/>
        <v/>
      </c>
      <c r="Q436" s="692" t="str">
        <f t="shared" si="117"/>
        <v/>
      </c>
      <c r="R436" s="960" t="str">
        <f t="shared" si="118"/>
        <v/>
      </c>
      <c r="S436" s="498">
        <f t="array" ref="S436">MAX(IF('Wind base'!$AE$5:$AE$11&lt;I436,'Wind base'!$AE$5:$AE$11,""))</f>
        <v>160</v>
      </c>
      <c r="T436" s="498">
        <f t="array" ref="T436">MIN(IF('Wind base'!$AE$5:$AE$11&gt;I436,'Wind base'!$AE$5:$AE$11,""))</f>
        <v>0</v>
      </c>
      <c r="U436" s="499">
        <f t="array" ref="U436">MAX(IF('Wind base'!$AF$4:$AL$4&lt;J436,'Wind base'!$AF$4:$AL$4,""),5)</f>
        <v>350</v>
      </c>
      <c r="V436" s="498">
        <f t="array" ref="V436">MIN(IF('Wind base'!$AF$4:$AL$4&gt;J436,'Wind base'!$AF$4:$AL$4,""))</f>
        <v>0</v>
      </c>
      <c r="W436" s="500">
        <f t="array" ref="W436">INDEX('Wind base'!$AF$5:$AL$11,MATCH($S436,'Wind base'!$AE$5:$AE$11,0),MATCH($U436,'Wind base'!$AF$4:$AL$4,0))</f>
        <v>0.38</v>
      </c>
      <c r="X436" s="500" t="e">
        <f t="array" ref="X436">INDEX('Wind base'!$AF$5:$AL$11,MATCH($S436,'Wind base'!$AE$5:$AE$11,0),MATCH($V436,'Wind base'!$AF$4:$AL$4,0))</f>
        <v>#N/A</v>
      </c>
      <c r="Y436" s="500" t="e">
        <f t="array" ref="Y436">INDEX('Wind base'!$AF$5:$AL$11,MATCH($T436,'Wind base'!$AE$5:$AE$11,0),MATCH($U436,'Wind base'!$AF$4:$AL$4,0))</f>
        <v>#N/A</v>
      </c>
      <c r="Z436" s="500" t="e">
        <f t="array" ref="Z436">INDEX('Wind base'!$AF$5:$AL$11,MATCH($T436,'Wind base'!$AE$5:$AE$11,0),MATCH($V436,'Wind base'!$AF$4:$AL$4,0))</f>
        <v>#N/A</v>
      </c>
      <c r="AA436" s="501" t="e">
        <f t="shared" si="120"/>
        <v>#N/A</v>
      </c>
      <c r="AB436" s="501" t="e">
        <f t="shared" si="121"/>
        <v>#N/A</v>
      </c>
      <c r="AC436" s="501" t="e">
        <f t="shared" si="122"/>
        <v>#N/A</v>
      </c>
    </row>
    <row r="437" spans="1:29" ht="15" customHeight="1">
      <c r="A437" s="457" t="str">
        <f t="shared" si="119"/>
        <v/>
      </c>
      <c r="B437" s="701" t="str">
        <f t="shared" si="107"/>
        <v>1</v>
      </c>
      <c r="C437" s="701" t="str">
        <f t="shared" si="108"/>
        <v>5</v>
      </c>
      <c r="D437" s="885" t="str">
        <f t="shared" si="123"/>
        <v>-</v>
      </c>
      <c r="F437" s="1127" t="str">
        <f t="shared" si="110"/>
        <v/>
      </c>
      <c r="G437" s="1128"/>
      <c r="H437" s="688" t="str">
        <f t="shared" si="111"/>
        <v/>
      </c>
      <c r="I437" s="689" t="str">
        <f t="shared" si="112"/>
        <v/>
      </c>
      <c r="J437" s="689" t="str">
        <f t="shared" si="124"/>
        <v/>
      </c>
      <c r="K437" s="690" t="str">
        <f t="shared" si="125"/>
        <v/>
      </c>
      <c r="L437" s="691" t="str">
        <f t="shared" si="115"/>
        <v/>
      </c>
      <c r="M437" s="700" t="str">
        <f>IFERROR(IF(J437="","",IF($M$196="-","-",INDEX(BD!$A$1:$K$2510,MATCH('2.Win Load'!B437,BD!$A$1:$A$2510,0),7))),"")</f>
        <v/>
      </c>
      <c r="N437" s="700" t="str">
        <f>IFERROR(IF($J437="","",IF($N$196="-","-",INDEX(BD!$A$1:$K$2510,MATCH('2.Win Load'!C437,BD!$A$1:$A$2510,0),7))),"")</f>
        <v/>
      </c>
      <c r="O437" s="700" t="str">
        <f>IFERROR(IF($J437="","",IF($O$196="-","-",INDEX(BD!$A$1:$K$2510,MATCH('2.Win Load'!D437,BD!$A$1:$A$2510,0),7))),"")</f>
        <v/>
      </c>
      <c r="P437" s="692" t="str">
        <f t="shared" si="116"/>
        <v/>
      </c>
      <c r="Q437" s="692" t="str">
        <f t="shared" si="117"/>
        <v/>
      </c>
      <c r="R437" s="960" t="str">
        <f t="shared" si="118"/>
        <v/>
      </c>
      <c r="S437" s="498">
        <f t="array" ref="S437">MAX(IF('Wind base'!$AE$5:$AE$11&lt;I437,'Wind base'!$AE$5:$AE$11,""))</f>
        <v>160</v>
      </c>
      <c r="T437" s="498">
        <f t="array" ref="T437">MIN(IF('Wind base'!$AE$5:$AE$11&gt;I437,'Wind base'!$AE$5:$AE$11,""))</f>
        <v>0</v>
      </c>
      <c r="U437" s="499">
        <f t="array" ref="U437">MAX(IF('Wind base'!$AF$4:$AL$4&lt;J437,'Wind base'!$AF$4:$AL$4,""),5)</f>
        <v>350</v>
      </c>
      <c r="V437" s="498">
        <f t="array" ref="V437">MIN(IF('Wind base'!$AF$4:$AL$4&gt;J437,'Wind base'!$AF$4:$AL$4,""))</f>
        <v>0</v>
      </c>
      <c r="W437" s="500">
        <f t="array" ref="W437">INDEX('Wind base'!$AF$5:$AL$11,MATCH($S437,'Wind base'!$AE$5:$AE$11,0),MATCH($U437,'Wind base'!$AF$4:$AL$4,0))</f>
        <v>0.38</v>
      </c>
      <c r="X437" s="500" t="e">
        <f t="array" ref="X437">INDEX('Wind base'!$AF$5:$AL$11,MATCH($S437,'Wind base'!$AE$5:$AE$11,0),MATCH($V437,'Wind base'!$AF$4:$AL$4,0))</f>
        <v>#N/A</v>
      </c>
      <c r="Y437" s="500" t="e">
        <f t="array" ref="Y437">INDEX('Wind base'!$AF$5:$AL$11,MATCH($T437,'Wind base'!$AE$5:$AE$11,0),MATCH($U437,'Wind base'!$AF$4:$AL$4,0))</f>
        <v>#N/A</v>
      </c>
      <c r="Z437" s="500" t="e">
        <f t="array" ref="Z437">INDEX('Wind base'!$AF$5:$AL$11,MATCH($T437,'Wind base'!$AE$5:$AE$11,0),MATCH($V437,'Wind base'!$AF$4:$AL$4,0))</f>
        <v>#N/A</v>
      </c>
      <c r="AA437" s="501" t="e">
        <f t="shared" si="120"/>
        <v>#N/A</v>
      </c>
      <c r="AB437" s="501" t="e">
        <f t="shared" si="121"/>
        <v>#N/A</v>
      </c>
      <c r="AC437" s="501" t="e">
        <f t="shared" si="122"/>
        <v>#N/A</v>
      </c>
    </row>
    <row r="438" spans="1:29" ht="15" customHeight="1">
      <c r="A438" s="457" t="str">
        <f t="shared" si="119"/>
        <v/>
      </c>
      <c r="B438" s="701" t="str">
        <f t="shared" si="107"/>
        <v>1</v>
      </c>
      <c r="C438" s="701" t="str">
        <f t="shared" si="108"/>
        <v>5</v>
      </c>
      <c r="D438" s="885" t="str">
        <f t="shared" si="123"/>
        <v>-</v>
      </c>
      <c r="F438" s="1127" t="str">
        <f t="shared" si="110"/>
        <v/>
      </c>
      <c r="G438" s="1128"/>
      <c r="H438" s="688" t="str">
        <f t="shared" si="111"/>
        <v/>
      </c>
      <c r="I438" s="689" t="str">
        <f t="shared" si="112"/>
        <v/>
      </c>
      <c r="J438" s="689" t="str">
        <f t="shared" si="124"/>
        <v/>
      </c>
      <c r="K438" s="690" t="str">
        <f t="shared" si="125"/>
        <v/>
      </c>
      <c r="L438" s="691" t="str">
        <f t="shared" si="115"/>
        <v/>
      </c>
      <c r="M438" s="700" t="str">
        <f>IFERROR(IF(J438="","",IF($M$196="-","-",INDEX(BD!$A$1:$K$2510,MATCH('2.Win Load'!B438,BD!$A$1:$A$2510,0),7))),"")</f>
        <v/>
      </c>
      <c r="N438" s="700" t="str">
        <f>IFERROR(IF($J438="","",IF($N$196="-","-",INDEX(BD!$A$1:$K$2510,MATCH('2.Win Load'!C438,BD!$A$1:$A$2510,0),7))),"")</f>
        <v/>
      </c>
      <c r="O438" s="700" t="str">
        <f>IFERROR(IF($J438="","",IF($O$196="-","-",INDEX(BD!$A$1:$K$2510,MATCH('2.Win Load'!D438,BD!$A$1:$A$2510,0),7))),"")</f>
        <v/>
      </c>
      <c r="P438" s="692" t="str">
        <f t="shared" si="116"/>
        <v/>
      </c>
      <c r="Q438" s="692" t="str">
        <f t="shared" si="117"/>
        <v/>
      </c>
      <c r="R438" s="960" t="str">
        <f t="shared" si="118"/>
        <v/>
      </c>
      <c r="S438" s="498">
        <f t="array" ref="S438">MAX(IF('Wind base'!$AE$5:$AE$11&lt;I438,'Wind base'!$AE$5:$AE$11,""))</f>
        <v>160</v>
      </c>
      <c r="T438" s="498">
        <f t="array" ref="T438">MIN(IF('Wind base'!$AE$5:$AE$11&gt;I438,'Wind base'!$AE$5:$AE$11,""))</f>
        <v>0</v>
      </c>
      <c r="U438" s="499">
        <f t="array" ref="U438">MAX(IF('Wind base'!$AF$4:$AL$4&lt;J438,'Wind base'!$AF$4:$AL$4,""),5)</f>
        <v>350</v>
      </c>
      <c r="V438" s="498">
        <f t="array" ref="V438">MIN(IF('Wind base'!$AF$4:$AL$4&gt;J438,'Wind base'!$AF$4:$AL$4,""))</f>
        <v>0</v>
      </c>
      <c r="W438" s="500">
        <f t="array" ref="W438">INDEX('Wind base'!$AF$5:$AL$11,MATCH($S438,'Wind base'!$AE$5:$AE$11,0),MATCH($U438,'Wind base'!$AF$4:$AL$4,0))</f>
        <v>0.38</v>
      </c>
      <c r="X438" s="500" t="e">
        <f t="array" ref="X438">INDEX('Wind base'!$AF$5:$AL$11,MATCH($S438,'Wind base'!$AE$5:$AE$11,0),MATCH($V438,'Wind base'!$AF$4:$AL$4,0))</f>
        <v>#N/A</v>
      </c>
      <c r="Y438" s="500" t="e">
        <f t="array" ref="Y438">INDEX('Wind base'!$AF$5:$AL$11,MATCH($T438,'Wind base'!$AE$5:$AE$11,0),MATCH($U438,'Wind base'!$AF$4:$AL$4,0))</f>
        <v>#N/A</v>
      </c>
      <c r="Z438" s="500" t="e">
        <f t="array" ref="Z438">INDEX('Wind base'!$AF$5:$AL$11,MATCH($T438,'Wind base'!$AE$5:$AE$11,0),MATCH($V438,'Wind base'!$AF$4:$AL$4,0))</f>
        <v>#N/A</v>
      </c>
      <c r="AA438" s="501" t="e">
        <f t="shared" si="120"/>
        <v>#N/A</v>
      </c>
      <c r="AB438" s="501" t="e">
        <f t="shared" si="121"/>
        <v>#N/A</v>
      </c>
      <c r="AC438" s="501" t="e">
        <f t="shared" si="122"/>
        <v>#N/A</v>
      </c>
    </row>
    <row r="439" spans="1:29" ht="15" customHeight="1">
      <c r="A439" s="457" t="str">
        <f t="shared" si="119"/>
        <v/>
      </c>
      <c r="B439" s="701" t="str">
        <f t="shared" si="107"/>
        <v>1</v>
      </c>
      <c r="C439" s="701" t="str">
        <f t="shared" si="108"/>
        <v>5</v>
      </c>
      <c r="D439" s="885" t="str">
        <f t="shared" si="123"/>
        <v>-</v>
      </c>
      <c r="F439" s="1127" t="str">
        <f t="shared" si="110"/>
        <v/>
      </c>
      <c r="G439" s="1128"/>
      <c r="H439" s="688" t="str">
        <f t="shared" si="111"/>
        <v/>
      </c>
      <c r="I439" s="689" t="str">
        <f t="shared" si="112"/>
        <v/>
      </c>
      <c r="J439" s="689" t="str">
        <f t="shared" si="124"/>
        <v/>
      </c>
      <c r="K439" s="690" t="str">
        <f t="shared" si="125"/>
        <v/>
      </c>
      <c r="L439" s="691" t="str">
        <f t="shared" si="115"/>
        <v/>
      </c>
      <c r="M439" s="700" t="str">
        <f>IFERROR(IF(J439="","",IF($M$196="-","-",INDEX(BD!$A$1:$K$2510,MATCH('2.Win Load'!B439,BD!$A$1:$A$2510,0),7))),"")</f>
        <v/>
      </c>
      <c r="N439" s="700" t="str">
        <f>IFERROR(IF($J439="","",IF($N$196="-","-",INDEX(BD!$A$1:$K$2510,MATCH('2.Win Load'!C439,BD!$A$1:$A$2510,0),7))),"")</f>
        <v/>
      </c>
      <c r="O439" s="700" t="str">
        <f>IFERROR(IF($J439="","",IF($O$196="-","-",INDEX(BD!$A$1:$K$2510,MATCH('2.Win Load'!D439,BD!$A$1:$A$2510,0),7))),"")</f>
        <v/>
      </c>
      <c r="P439" s="692" t="str">
        <f t="shared" si="116"/>
        <v/>
      </c>
      <c r="Q439" s="692" t="str">
        <f t="shared" si="117"/>
        <v/>
      </c>
      <c r="R439" s="960" t="str">
        <f t="shared" si="118"/>
        <v/>
      </c>
      <c r="S439" s="498">
        <f t="array" ref="S439">MAX(IF('Wind base'!$AE$5:$AE$11&lt;I439,'Wind base'!$AE$5:$AE$11,""))</f>
        <v>160</v>
      </c>
      <c r="T439" s="498">
        <f t="array" ref="T439">MIN(IF('Wind base'!$AE$5:$AE$11&gt;I439,'Wind base'!$AE$5:$AE$11,""))</f>
        <v>0</v>
      </c>
      <c r="U439" s="499">
        <f t="array" ref="U439">MAX(IF('Wind base'!$AF$4:$AL$4&lt;J439,'Wind base'!$AF$4:$AL$4,""),5)</f>
        <v>350</v>
      </c>
      <c r="V439" s="498">
        <f t="array" ref="V439">MIN(IF('Wind base'!$AF$4:$AL$4&gt;J439,'Wind base'!$AF$4:$AL$4,""))</f>
        <v>0</v>
      </c>
      <c r="W439" s="500">
        <f t="array" ref="W439">INDEX('Wind base'!$AF$5:$AL$11,MATCH($S439,'Wind base'!$AE$5:$AE$11,0),MATCH($U439,'Wind base'!$AF$4:$AL$4,0))</f>
        <v>0.38</v>
      </c>
      <c r="X439" s="500" t="e">
        <f t="array" ref="X439">INDEX('Wind base'!$AF$5:$AL$11,MATCH($S439,'Wind base'!$AE$5:$AE$11,0),MATCH($V439,'Wind base'!$AF$4:$AL$4,0))</f>
        <v>#N/A</v>
      </c>
      <c r="Y439" s="500" t="e">
        <f t="array" ref="Y439">INDEX('Wind base'!$AF$5:$AL$11,MATCH($T439,'Wind base'!$AE$5:$AE$11,0),MATCH($U439,'Wind base'!$AF$4:$AL$4,0))</f>
        <v>#N/A</v>
      </c>
      <c r="Z439" s="500" t="e">
        <f t="array" ref="Z439">INDEX('Wind base'!$AF$5:$AL$11,MATCH($T439,'Wind base'!$AE$5:$AE$11,0),MATCH($V439,'Wind base'!$AF$4:$AL$4,0))</f>
        <v>#N/A</v>
      </c>
      <c r="AA439" s="501" t="e">
        <f t="shared" si="120"/>
        <v>#N/A</v>
      </c>
      <c r="AB439" s="501" t="e">
        <f t="shared" si="121"/>
        <v>#N/A</v>
      </c>
      <c r="AC439" s="501" t="e">
        <f t="shared" si="122"/>
        <v>#N/A</v>
      </c>
    </row>
    <row r="440" spans="1:29" ht="15" customHeight="1">
      <c r="A440" s="457" t="str">
        <f t="shared" si="119"/>
        <v/>
      </c>
      <c r="B440" s="701" t="str">
        <f t="shared" si="107"/>
        <v>1</v>
      </c>
      <c r="C440" s="701" t="str">
        <f t="shared" si="108"/>
        <v>5</v>
      </c>
      <c r="D440" s="885" t="str">
        <f t="shared" si="123"/>
        <v>-</v>
      </c>
      <c r="F440" s="1127" t="str">
        <f t="shared" si="110"/>
        <v/>
      </c>
      <c r="G440" s="1128"/>
      <c r="H440" s="688" t="str">
        <f t="shared" si="111"/>
        <v/>
      </c>
      <c r="I440" s="689" t="str">
        <f t="shared" si="112"/>
        <v/>
      </c>
      <c r="J440" s="689" t="str">
        <f t="shared" si="124"/>
        <v/>
      </c>
      <c r="K440" s="690" t="str">
        <f t="shared" si="125"/>
        <v/>
      </c>
      <c r="L440" s="691" t="str">
        <f t="shared" si="115"/>
        <v/>
      </c>
      <c r="M440" s="700" t="str">
        <f>IFERROR(IF(J440="","",IF($M$196="-","-",INDEX(BD!$A$1:$K$2510,MATCH('2.Win Load'!B440,BD!$A$1:$A$2510,0),7))),"")</f>
        <v/>
      </c>
      <c r="N440" s="700" t="str">
        <f>IFERROR(IF($J440="","",IF($N$196="-","-",INDEX(BD!$A$1:$K$2510,MATCH('2.Win Load'!C440,BD!$A$1:$A$2510,0),7))),"")</f>
        <v/>
      </c>
      <c r="O440" s="700" t="str">
        <f>IFERROR(IF($J440="","",IF($O$196="-","-",INDEX(BD!$A$1:$K$2510,MATCH('2.Win Load'!D440,BD!$A$1:$A$2510,0),7))),"")</f>
        <v/>
      </c>
      <c r="P440" s="692" t="str">
        <f t="shared" si="116"/>
        <v/>
      </c>
      <c r="Q440" s="692" t="str">
        <f t="shared" si="117"/>
        <v/>
      </c>
      <c r="R440" s="960" t="str">
        <f t="shared" si="118"/>
        <v/>
      </c>
      <c r="S440" s="498">
        <f t="array" ref="S440">MAX(IF('Wind base'!$AE$5:$AE$11&lt;I440,'Wind base'!$AE$5:$AE$11,""))</f>
        <v>160</v>
      </c>
      <c r="T440" s="498">
        <f t="array" ref="T440">MIN(IF('Wind base'!$AE$5:$AE$11&gt;I440,'Wind base'!$AE$5:$AE$11,""))</f>
        <v>0</v>
      </c>
      <c r="U440" s="499">
        <f t="array" ref="U440">MAX(IF('Wind base'!$AF$4:$AL$4&lt;J440,'Wind base'!$AF$4:$AL$4,""),5)</f>
        <v>350</v>
      </c>
      <c r="V440" s="498">
        <f t="array" ref="V440">MIN(IF('Wind base'!$AF$4:$AL$4&gt;J440,'Wind base'!$AF$4:$AL$4,""))</f>
        <v>0</v>
      </c>
      <c r="W440" s="500">
        <f t="array" ref="W440">INDEX('Wind base'!$AF$5:$AL$11,MATCH($S440,'Wind base'!$AE$5:$AE$11,0),MATCH($U440,'Wind base'!$AF$4:$AL$4,0))</f>
        <v>0.38</v>
      </c>
      <c r="X440" s="500" t="e">
        <f t="array" ref="X440">INDEX('Wind base'!$AF$5:$AL$11,MATCH($S440,'Wind base'!$AE$5:$AE$11,0),MATCH($V440,'Wind base'!$AF$4:$AL$4,0))</f>
        <v>#N/A</v>
      </c>
      <c r="Y440" s="500" t="e">
        <f t="array" ref="Y440">INDEX('Wind base'!$AF$5:$AL$11,MATCH($T440,'Wind base'!$AE$5:$AE$11,0),MATCH($U440,'Wind base'!$AF$4:$AL$4,0))</f>
        <v>#N/A</v>
      </c>
      <c r="Z440" s="500" t="e">
        <f t="array" ref="Z440">INDEX('Wind base'!$AF$5:$AL$11,MATCH($T440,'Wind base'!$AE$5:$AE$11,0),MATCH($V440,'Wind base'!$AF$4:$AL$4,0))</f>
        <v>#N/A</v>
      </c>
      <c r="AA440" s="501" t="e">
        <f t="shared" si="120"/>
        <v>#N/A</v>
      </c>
      <c r="AB440" s="501" t="e">
        <f t="shared" si="121"/>
        <v>#N/A</v>
      </c>
      <c r="AC440" s="501" t="e">
        <f t="shared" si="122"/>
        <v>#N/A</v>
      </c>
    </row>
    <row r="441" spans="1:29" ht="15" customHeight="1">
      <c r="A441" s="457" t="str">
        <f t="shared" si="119"/>
        <v/>
      </c>
      <c r="B441" s="701" t="str">
        <f t="shared" si="107"/>
        <v>1</v>
      </c>
      <c r="C441" s="701" t="str">
        <f t="shared" si="108"/>
        <v>5</v>
      </c>
      <c r="D441" s="885" t="str">
        <f t="shared" si="123"/>
        <v>-</v>
      </c>
      <c r="F441" s="1127" t="str">
        <f t="shared" si="110"/>
        <v/>
      </c>
      <c r="G441" s="1128"/>
      <c r="H441" s="688" t="str">
        <f t="shared" si="111"/>
        <v/>
      </c>
      <c r="I441" s="689" t="str">
        <f t="shared" si="112"/>
        <v/>
      </c>
      <c r="J441" s="689" t="str">
        <f t="shared" si="124"/>
        <v/>
      </c>
      <c r="K441" s="690" t="str">
        <f t="shared" si="125"/>
        <v/>
      </c>
      <c r="L441" s="691" t="str">
        <f t="shared" si="115"/>
        <v/>
      </c>
      <c r="M441" s="700" t="str">
        <f>IFERROR(IF(J441="","",IF($M$196="-","-",INDEX(BD!$A$1:$K$2510,MATCH('2.Win Load'!B441,BD!$A$1:$A$2510,0),7))),"")</f>
        <v/>
      </c>
      <c r="N441" s="700" t="str">
        <f>IFERROR(IF($J441="","",IF($N$196="-","-",INDEX(BD!$A$1:$K$2510,MATCH('2.Win Load'!C441,BD!$A$1:$A$2510,0),7))),"")</f>
        <v/>
      </c>
      <c r="O441" s="700" t="str">
        <f>IFERROR(IF($J441="","",IF($O$196="-","-",INDEX(BD!$A$1:$K$2510,MATCH('2.Win Load'!D441,BD!$A$1:$A$2510,0),7))),"")</f>
        <v/>
      </c>
      <c r="P441" s="692" t="str">
        <f t="shared" si="116"/>
        <v/>
      </c>
      <c r="Q441" s="692" t="str">
        <f t="shared" si="117"/>
        <v/>
      </c>
      <c r="R441" s="960" t="str">
        <f t="shared" si="118"/>
        <v/>
      </c>
      <c r="S441" s="498">
        <f t="array" ref="S441">MAX(IF('Wind base'!$AE$5:$AE$11&lt;I441,'Wind base'!$AE$5:$AE$11,""))</f>
        <v>160</v>
      </c>
      <c r="T441" s="498">
        <f t="array" ref="T441">MIN(IF('Wind base'!$AE$5:$AE$11&gt;I441,'Wind base'!$AE$5:$AE$11,""))</f>
        <v>0</v>
      </c>
      <c r="U441" s="499">
        <f t="array" ref="U441">MAX(IF('Wind base'!$AF$4:$AL$4&lt;J441,'Wind base'!$AF$4:$AL$4,""),5)</f>
        <v>350</v>
      </c>
      <c r="V441" s="498">
        <f t="array" ref="V441">MIN(IF('Wind base'!$AF$4:$AL$4&gt;J441,'Wind base'!$AF$4:$AL$4,""))</f>
        <v>0</v>
      </c>
      <c r="W441" s="500">
        <f t="array" ref="W441">INDEX('Wind base'!$AF$5:$AL$11,MATCH($S441,'Wind base'!$AE$5:$AE$11,0),MATCH($U441,'Wind base'!$AF$4:$AL$4,0))</f>
        <v>0.38</v>
      </c>
      <c r="X441" s="500" t="e">
        <f t="array" ref="X441">INDEX('Wind base'!$AF$5:$AL$11,MATCH($S441,'Wind base'!$AE$5:$AE$11,0),MATCH($V441,'Wind base'!$AF$4:$AL$4,0))</f>
        <v>#N/A</v>
      </c>
      <c r="Y441" s="500" t="e">
        <f t="array" ref="Y441">INDEX('Wind base'!$AF$5:$AL$11,MATCH($T441,'Wind base'!$AE$5:$AE$11,0),MATCH($U441,'Wind base'!$AF$4:$AL$4,0))</f>
        <v>#N/A</v>
      </c>
      <c r="Z441" s="500" t="e">
        <f t="array" ref="Z441">INDEX('Wind base'!$AF$5:$AL$11,MATCH($T441,'Wind base'!$AE$5:$AE$11,0),MATCH($V441,'Wind base'!$AF$4:$AL$4,0))</f>
        <v>#N/A</v>
      </c>
      <c r="AA441" s="501" t="e">
        <f t="shared" si="120"/>
        <v>#N/A</v>
      </c>
      <c r="AB441" s="501" t="e">
        <f t="shared" si="121"/>
        <v>#N/A</v>
      </c>
      <c r="AC441" s="501" t="e">
        <f t="shared" si="122"/>
        <v>#N/A</v>
      </c>
    </row>
    <row r="442" spans="1:29" ht="15" customHeight="1">
      <c r="A442" s="457" t="str">
        <f t="shared" si="119"/>
        <v/>
      </c>
      <c r="B442" s="701" t="str">
        <f t="shared" si="107"/>
        <v>1</v>
      </c>
      <c r="C442" s="701" t="str">
        <f t="shared" si="108"/>
        <v>5</v>
      </c>
      <c r="D442" s="885" t="str">
        <f t="shared" si="123"/>
        <v>-</v>
      </c>
      <c r="F442" s="1127" t="str">
        <f t="shared" si="110"/>
        <v/>
      </c>
      <c r="G442" s="1128"/>
      <c r="H442" s="688" t="str">
        <f t="shared" si="111"/>
        <v/>
      </c>
      <c r="I442" s="689" t="str">
        <f t="shared" si="112"/>
        <v/>
      </c>
      <c r="J442" s="689" t="str">
        <f t="shared" si="124"/>
        <v/>
      </c>
      <c r="K442" s="690" t="str">
        <f t="shared" si="125"/>
        <v/>
      </c>
      <c r="L442" s="691" t="str">
        <f t="shared" si="115"/>
        <v/>
      </c>
      <c r="M442" s="700" t="str">
        <f>IFERROR(IF(J442="","",IF($M$196="-","-",INDEX(BD!$A$1:$K$2510,MATCH('2.Win Load'!B442,BD!$A$1:$A$2510,0),7))),"")</f>
        <v/>
      </c>
      <c r="N442" s="700" t="str">
        <f>IFERROR(IF($J442="","",IF($N$196="-","-",INDEX(BD!$A$1:$K$2510,MATCH('2.Win Load'!C442,BD!$A$1:$A$2510,0),7))),"")</f>
        <v/>
      </c>
      <c r="O442" s="700" t="str">
        <f>IFERROR(IF($J442="","",IF($O$196="-","-",INDEX(BD!$A$1:$K$2510,MATCH('2.Win Load'!D442,BD!$A$1:$A$2510,0),7))),"")</f>
        <v/>
      </c>
      <c r="P442" s="692" t="str">
        <f t="shared" si="116"/>
        <v/>
      </c>
      <c r="Q442" s="692" t="str">
        <f t="shared" si="117"/>
        <v/>
      </c>
      <c r="R442" s="960" t="str">
        <f t="shared" si="118"/>
        <v/>
      </c>
      <c r="S442" s="498">
        <f t="array" ref="S442">MAX(IF('Wind base'!$AE$5:$AE$11&lt;I442,'Wind base'!$AE$5:$AE$11,""))</f>
        <v>160</v>
      </c>
      <c r="T442" s="498">
        <f t="array" ref="T442">MIN(IF('Wind base'!$AE$5:$AE$11&gt;I442,'Wind base'!$AE$5:$AE$11,""))</f>
        <v>0</v>
      </c>
      <c r="U442" s="499">
        <f t="array" ref="U442">MAX(IF('Wind base'!$AF$4:$AL$4&lt;J442,'Wind base'!$AF$4:$AL$4,""),5)</f>
        <v>350</v>
      </c>
      <c r="V442" s="498">
        <f t="array" ref="V442">MIN(IF('Wind base'!$AF$4:$AL$4&gt;J442,'Wind base'!$AF$4:$AL$4,""))</f>
        <v>0</v>
      </c>
      <c r="W442" s="500">
        <f t="array" ref="W442">INDEX('Wind base'!$AF$5:$AL$11,MATCH($S442,'Wind base'!$AE$5:$AE$11,0),MATCH($U442,'Wind base'!$AF$4:$AL$4,0))</f>
        <v>0.38</v>
      </c>
      <c r="X442" s="500" t="e">
        <f t="array" ref="X442">INDEX('Wind base'!$AF$5:$AL$11,MATCH($S442,'Wind base'!$AE$5:$AE$11,0),MATCH($V442,'Wind base'!$AF$4:$AL$4,0))</f>
        <v>#N/A</v>
      </c>
      <c r="Y442" s="500" t="e">
        <f t="array" ref="Y442">INDEX('Wind base'!$AF$5:$AL$11,MATCH($T442,'Wind base'!$AE$5:$AE$11,0),MATCH($U442,'Wind base'!$AF$4:$AL$4,0))</f>
        <v>#N/A</v>
      </c>
      <c r="Z442" s="500" t="e">
        <f t="array" ref="Z442">INDEX('Wind base'!$AF$5:$AL$11,MATCH($T442,'Wind base'!$AE$5:$AE$11,0),MATCH($V442,'Wind base'!$AF$4:$AL$4,0))</f>
        <v>#N/A</v>
      </c>
      <c r="AA442" s="501" t="e">
        <f t="shared" si="120"/>
        <v>#N/A</v>
      </c>
      <c r="AB442" s="501" t="e">
        <f t="shared" si="121"/>
        <v>#N/A</v>
      </c>
      <c r="AC442" s="501" t="e">
        <f t="shared" si="122"/>
        <v>#N/A</v>
      </c>
    </row>
    <row r="443" spans="1:29" ht="15" customHeight="1">
      <c r="A443" s="457" t="str">
        <f t="shared" si="119"/>
        <v/>
      </c>
      <c r="B443" s="701" t="str">
        <f t="shared" si="107"/>
        <v>1</v>
      </c>
      <c r="C443" s="701" t="str">
        <f t="shared" si="108"/>
        <v>5</v>
      </c>
      <c r="D443" s="885" t="str">
        <f t="shared" si="123"/>
        <v>-</v>
      </c>
      <c r="F443" s="1127" t="str">
        <f t="shared" si="110"/>
        <v/>
      </c>
      <c r="G443" s="1128"/>
      <c r="H443" s="688" t="str">
        <f t="shared" si="111"/>
        <v/>
      </c>
      <c r="I443" s="689" t="str">
        <f t="shared" si="112"/>
        <v/>
      </c>
      <c r="J443" s="689" t="str">
        <f t="shared" si="124"/>
        <v/>
      </c>
      <c r="K443" s="690" t="str">
        <f t="shared" si="125"/>
        <v/>
      </c>
      <c r="L443" s="691" t="str">
        <f t="shared" si="115"/>
        <v/>
      </c>
      <c r="M443" s="700" t="str">
        <f>IFERROR(IF(J443="","",IF($M$196="-","-",INDEX(BD!$A$1:$K$2510,MATCH('2.Win Load'!B443,BD!$A$1:$A$2510,0),7))),"")</f>
        <v/>
      </c>
      <c r="N443" s="700" t="str">
        <f>IFERROR(IF($J443="","",IF($N$196="-","-",INDEX(BD!$A$1:$K$2510,MATCH('2.Win Load'!C443,BD!$A$1:$A$2510,0),7))),"")</f>
        <v/>
      </c>
      <c r="O443" s="700" t="str">
        <f>IFERROR(IF($J443="","",IF($O$196="-","-",INDEX(BD!$A$1:$K$2510,MATCH('2.Win Load'!D443,BD!$A$1:$A$2510,0),7))),"")</f>
        <v/>
      </c>
      <c r="P443" s="692" t="str">
        <f t="shared" si="116"/>
        <v/>
      </c>
      <c r="Q443" s="692" t="str">
        <f t="shared" si="117"/>
        <v/>
      </c>
      <c r="R443" s="960" t="str">
        <f t="shared" si="118"/>
        <v/>
      </c>
      <c r="S443" s="498">
        <f t="array" ref="S443">MAX(IF('Wind base'!$AE$5:$AE$11&lt;I443,'Wind base'!$AE$5:$AE$11,""))</f>
        <v>160</v>
      </c>
      <c r="T443" s="498">
        <f t="array" ref="T443">MIN(IF('Wind base'!$AE$5:$AE$11&gt;I443,'Wind base'!$AE$5:$AE$11,""))</f>
        <v>0</v>
      </c>
      <c r="U443" s="499">
        <f t="array" ref="U443">MAX(IF('Wind base'!$AF$4:$AL$4&lt;J443,'Wind base'!$AF$4:$AL$4,""),5)</f>
        <v>350</v>
      </c>
      <c r="V443" s="498">
        <f t="array" ref="V443">MIN(IF('Wind base'!$AF$4:$AL$4&gt;J443,'Wind base'!$AF$4:$AL$4,""))</f>
        <v>0</v>
      </c>
      <c r="W443" s="500">
        <f t="array" ref="W443">INDEX('Wind base'!$AF$5:$AL$11,MATCH($S443,'Wind base'!$AE$5:$AE$11,0),MATCH($U443,'Wind base'!$AF$4:$AL$4,0))</f>
        <v>0.38</v>
      </c>
      <c r="X443" s="500" t="e">
        <f t="array" ref="X443">INDEX('Wind base'!$AF$5:$AL$11,MATCH($S443,'Wind base'!$AE$5:$AE$11,0),MATCH($V443,'Wind base'!$AF$4:$AL$4,0))</f>
        <v>#N/A</v>
      </c>
      <c r="Y443" s="500" t="e">
        <f t="array" ref="Y443">INDEX('Wind base'!$AF$5:$AL$11,MATCH($T443,'Wind base'!$AE$5:$AE$11,0),MATCH($U443,'Wind base'!$AF$4:$AL$4,0))</f>
        <v>#N/A</v>
      </c>
      <c r="Z443" s="500" t="e">
        <f t="array" ref="Z443">INDEX('Wind base'!$AF$5:$AL$11,MATCH($T443,'Wind base'!$AE$5:$AE$11,0),MATCH($V443,'Wind base'!$AF$4:$AL$4,0))</f>
        <v>#N/A</v>
      </c>
      <c r="AA443" s="501" t="e">
        <f t="shared" si="120"/>
        <v>#N/A</v>
      </c>
      <c r="AB443" s="501" t="e">
        <f t="shared" si="121"/>
        <v>#N/A</v>
      </c>
      <c r="AC443" s="501" t="e">
        <f t="shared" si="122"/>
        <v>#N/A</v>
      </c>
    </row>
    <row r="444" spans="1:29" ht="15" customHeight="1">
      <c r="A444" s="457" t="str">
        <f t="shared" si="119"/>
        <v/>
      </c>
      <c r="B444" s="701" t="str">
        <f t="shared" si="107"/>
        <v>1</v>
      </c>
      <c r="C444" s="701" t="str">
        <f t="shared" si="108"/>
        <v>5</v>
      </c>
      <c r="D444" s="885" t="str">
        <f t="shared" si="123"/>
        <v>-</v>
      </c>
      <c r="F444" s="1127" t="str">
        <f t="shared" si="110"/>
        <v/>
      </c>
      <c r="G444" s="1128"/>
      <c r="H444" s="688" t="str">
        <f t="shared" si="111"/>
        <v/>
      </c>
      <c r="I444" s="689" t="str">
        <f t="shared" si="112"/>
        <v/>
      </c>
      <c r="J444" s="689" t="str">
        <f t="shared" si="124"/>
        <v/>
      </c>
      <c r="K444" s="690" t="str">
        <f t="shared" si="125"/>
        <v/>
      </c>
      <c r="L444" s="691" t="str">
        <f t="shared" si="115"/>
        <v/>
      </c>
      <c r="M444" s="700" t="str">
        <f>IFERROR(IF(J444="","",IF($M$196="-","-",INDEX(BD!$A$1:$K$2510,MATCH('2.Win Load'!B444,BD!$A$1:$A$2510,0),7))),"")</f>
        <v/>
      </c>
      <c r="N444" s="700" t="str">
        <f>IFERROR(IF($J444="","",IF($N$196="-","-",INDEX(BD!$A$1:$K$2510,MATCH('2.Win Load'!C444,BD!$A$1:$A$2510,0),7))),"")</f>
        <v/>
      </c>
      <c r="O444" s="700" t="str">
        <f>IFERROR(IF($J444="","",IF($O$196="-","-",INDEX(BD!$A$1:$K$2510,MATCH('2.Win Load'!D444,BD!$A$1:$A$2510,0),7))),"")</f>
        <v/>
      </c>
      <c r="P444" s="692" t="str">
        <f t="shared" si="116"/>
        <v/>
      </c>
      <c r="Q444" s="692" t="str">
        <f t="shared" si="117"/>
        <v/>
      </c>
      <c r="R444" s="960" t="str">
        <f t="shared" si="118"/>
        <v/>
      </c>
      <c r="S444" s="498">
        <f t="array" ref="S444">MAX(IF('Wind base'!$AE$5:$AE$11&lt;I444,'Wind base'!$AE$5:$AE$11,""))</f>
        <v>160</v>
      </c>
      <c r="T444" s="498">
        <f t="array" ref="T444">MIN(IF('Wind base'!$AE$5:$AE$11&gt;I444,'Wind base'!$AE$5:$AE$11,""))</f>
        <v>0</v>
      </c>
      <c r="U444" s="499">
        <f t="array" ref="U444">MAX(IF('Wind base'!$AF$4:$AL$4&lt;J444,'Wind base'!$AF$4:$AL$4,""),5)</f>
        <v>350</v>
      </c>
      <c r="V444" s="498">
        <f t="array" ref="V444">MIN(IF('Wind base'!$AF$4:$AL$4&gt;J444,'Wind base'!$AF$4:$AL$4,""))</f>
        <v>0</v>
      </c>
      <c r="W444" s="500">
        <f t="array" ref="W444">INDEX('Wind base'!$AF$5:$AL$11,MATCH($S444,'Wind base'!$AE$5:$AE$11,0),MATCH($U444,'Wind base'!$AF$4:$AL$4,0))</f>
        <v>0.38</v>
      </c>
      <c r="X444" s="500" t="e">
        <f t="array" ref="X444">INDEX('Wind base'!$AF$5:$AL$11,MATCH($S444,'Wind base'!$AE$5:$AE$11,0),MATCH($V444,'Wind base'!$AF$4:$AL$4,0))</f>
        <v>#N/A</v>
      </c>
      <c r="Y444" s="500" t="e">
        <f t="array" ref="Y444">INDEX('Wind base'!$AF$5:$AL$11,MATCH($T444,'Wind base'!$AE$5:$AE$11,0),MATCH($U444,'Wind base'!$AF$4:$AL$4,0))</f>
        <v>#N/A</v>
      </c>
      <c r="Z444" s="500" t="e">
        <f t="array" ref="Z444">INDEX('Wind base'!$AF$5:$AL$11,MATCH($T444,'Wind base'!$AE$5:$AE$11,0),MATCH($V444,'Wind base'!$AF$4:$AL$4,0))</f>
        <v>#N/A</v>
      </c>
      <c r="AA444" s="501" t="e">
        <f t="shared" si="120"/>
        <v>#N/A</v>
      </c>
      <c r="AB444" s="501" t="e">
        <f t="shared" si="121"/>
        <v>#N/A</v>
      </c>
      <c r="AC444" s="501" t="e">
        <f t="shared" si="122"/>
        <v>#N/A</v>
      </c>
    </row>
    <row r="445" spans="1:29" ht="15" customHeight="1">
      <c r="A445" s="457" t="str">
        <f t="shared" si="119"/>
        <v/>
      </c>
      <c r="B445" s="701" t="str">
        <f t="shared" si="107"/>
        <v>1</v>
      </c>
      <c r="C445" s="701" t="str">
        <f t="shared" si="108"/>
        <v>5</v>
      </c>
      <c r="D445" s="885" t="str">
        <f t="shared" si="123"/>
        <v>-</v>
      </c>
      <c r="F445" s="1127" t="str">
        <f t="shared" si="110"/>
        <v/>
      </c>
      <c r="G445" s="1128"/>
      <c r="H445" s="688" t="str">
        <f t="shared" si="111"/>
        <v/>
      </c>
      <c r="I445" s="689" t="str">
        <f t="shared" si="112"/>
        <v/>
      </c>
      <c r="J445" s="689" t="str">
        <f t="shared" si="124"/>
        <v/>
      </c>
      <c r="K445" s="690" t="str">
        <f t="shared" si="125"/>
        <v/>
      </c>
      <c r="L445" s="691" t="str">
        <f t="shared" si="115"/>
        <v/>
      </c>
      <c r="M445" s="700" t="str">
        <f>IFERROR(IF(J445="","",IF($M$196="-","-",INDEX(BD!$A$1:$K$2510,MATCH('2.Win Load'!B445,BD!$A$1:$A$2510,0),7))),"")</f>
        <v/>
      </c>
      <c r="N445" s="700" t="str">
        <f>IFERROR(IF($J445="","",IF($N$196="-","-",INDEX(BD!$A$1:$K$2510,MATCH('2.Win Load'!C445,BD!$A$1:$A$2510,0),7))),"")</f>
        <v/>
      </c>
      <c r="O445" s="700" t="str">
        <f>IFERROR(IF($J445="","",IF($O$196="-","-",INDEX(BD!$A$1:$K$2510,MATCH('2.Win Load'!D445,BD!$A$1:$A$2510,0),7))),"")</f>
        <v/>
      </c>
      <c r="P445" s="692" t="str">
        <f t="shared" si="116"/>
        <v/>
      </c>
      <c r="Q445" s="692" t="str">
        <f t="shared" si="117"/>
        <v/>
      </c>
      <c r="R445" s="960" t="str">
        <f t="shared" si="118"/>
        <v/>
      </c>
      <c r="S445" s="498">
        <f t="array" ref="S445">MAX(IF('Wind base'!$AE$5:$AE$11&lt;I445,'Wind base'!$AE$5:$AE$11,""))</f>
        <v>160</v>
      </c>
      <c r="T445" s="498">
        <f t="array" ref="T445">MIN(IF('Wind base'!$AE$5:$AE$11&gt;I445,'Wind base'!$AE$5:$AE$11,""))</f>
        <v>0</v>
      </c>
      <c r="U445" s="499">
        <f t="array" ref="U445">MAX(IF('Wind base'!$AF$4:$AL$4&lt;J445,'Wind base'!$AF$4:$AL$4,""),5)</f>
        <v>350</v>
      </c>
      <c r="V445" s="498">
        <f t="array" ref="V445">MIN(IF('Wind base'!$AF$4:$AL$4&gt;J445,'Wind base'!$AF$4:$AL$4,""))</f>
        <v>0</v>
      </c>
      <c r="W445" s="500">
        <f t="array" ref="W445">INDEX('Wind base'!$AF$5:$AL$11,MATCH($S445,'Wind base'!$AE$5:$AE$11,0),MATCH($U445,'Wind base'!$AF$4:$AL$4,0))</f>
        <v>0.38</v>
      </c>
      <c r="X445" s="500" t="e">
        <f t="array" ref="X445">INDEX('Wind base'!$AF$5:$AL$11,MATCH($S445,'Wind base'!$AE$5:$AE$11,0),MATCH($V445,'Wind base'!$AF$4:$AL$4,0))</f>
        <v>#N/A</v>
      </c>
      <c r="Y445" s="500" t="e">
        <f t="array" ref="Y445">INDEX('Wind base'!$AF$5:$AL$11,MATCH($T445,'Wind base'!$AE$5:$AE$11,0),MATCH($U445,'Wind base'!$AF$4:$AL$4,0))</f>
        <v>#N/A</v>
      </c>
      <c r="Z445" s="500" t="e">
        <f t="array" ref="Z445">INDEX('Wind base'!$AF$5:$AL$11,MATCH($T445,'Wind base'!$AE$5:$AE$11,0),MATCH($V445,'Wind base'!$AF$4:$AL$4,0))</f>
        <v>#N/A</v>
      </c>
      <c r="AA445" s="501" t="e">
        <f t="shared" si="120"/>
        <v>#N/A</v>
      </c>
      <c r="AB445" s="501" t="e">
        <f t="shared" si="121"/>
        <v>#N/A</v>
      </c>
      <c r="AC445" s="501" t="e">
        <f t="shared" si="122"/>
        <v>#N/A</v>
      </c>
    </row>
    <row r="446" spans="1:29" ht="15" customHeight="1">
      <c r="A446" s="457" t="str">
        <f t="shared" ref="A446:A460" si="126">IF(F446="","",1)</f>
        <v/>
      </c>
      <c r="B446" s="701" t="str">
        <f t="shared" si="107"/>
        <v>1</v>
      </c>
      <c r="C446" s="701" t="str">
        <f t="shared" si="108"/>
        <v>5</v>
      </c>
      <c r="D446" s="885" t="str">
        <f t="shared" si="123"/>
        <v>-</v>
      </c>
      <c r="F446" s="1127" t="str">
        <f t="shared" si="110"/>
        <v/>
      </c>
      <c r="G446" s="1128"/>
      <c r="H446" s="688" t="str">
        <f t="shared" si="111"/>
        <v/>
      </c>
      <c r="I446" s="689" t="str">
        <f t="shared" si="112"/>
        <v/>
      </c>
      <c r="J446" s="689" t="str">
        <f t="shared" si="124"/>
        <v/>
      </c>
      <c r="K446" s="690" t="str">
        <f t="shared" ref="K446:K460" si="127">IF(AND(F446&lt;&gt;"",F446&lt;&gt;"BASE",H446&gt;0),AC446,"")</f>
        <v/>
      </c>
      <c r="L446" s="691" t="str">
        <f t="shared" si="115"/>
        <v/>
      </c>
      <c r="M446" s="700" t="str">
        <f>IFERROR(IF(J446="","",IF($M$196="-","-",INDEX(BD!$A$1:$K$2510,MATCH('2.Win Load'!B446,BD!$A$1:$A$2510,0),7))),"")</f>
        <v/>
      </c>
      <c r="N446" s="700" t="str">
        <f>IFERROR(IF($J446="","",IF($N$196="-","-",INDEX(BD!$A$1:$K$2510,MATCH('2.Win Load'!C446,BD!$A$1:$A$2510,0),7))),"")</f>
        <v/>
      </c>
      <c r="O446" s="700" t="str">
        <f>IFERROR(IF($J446="","",IF($O$196="-","-",INDEX(BD!$A$1:$K$2510,MATCH('2.Win Load'!D446,BD!$A$1:$A$2510,0),7))),"")</f>
        <v/>
      </c>
      <c r="P446" s="692" t="str">
        <f t="shared" si="116"/>
        <v/>
      </c>
      <c r="Q446" s="692" t="str">
        <f t="shared" si="117"/>
        <v/>
      </c>
      <c r="R446" s="960" t="str">
        <f t="shared" si="118"/>
        <v/>
      </c>
      <c r="S446" s="498">
        <f t="array" ref="S446">MAX(IF('Wind base'!$AE$5:$AE$11&lt;I446,'Wind base'!$AE$5:$AE$11,""))</f>
        <v>160</v>
      </c>
      <c r="T446" s="498">
        <f t="array" ref="T446">MIN(IF('Wind base'!$AE$5:$AE$11&gt;I446,'Wind base'!$AE$5:$AE$11,""))</f>
        <v>0</v>
      </c>
      <c r="U446" s="499">
        <f t="array" ref="U446">MAX(IF('Wind base'!$AF$4:$AL$4&lt;J446,'Wind base'!$AF$4:$AL$4,""),5)</f>
        <v>350</v>
      </c>
      <c r="V446" s="498">
        <f t="array" ref="V446">MIN(IF('Wind base'!$AF$4:$AL$4&gt;J446,'Wind base'!$AF$4:$AL$4,""))</f>
        <v>0</v>
      </c>
      <c r="W446" s="500">
        <f t="array" ref="W446">INDEX('Wind base'!$AF$5:$AL$11,MATCH($S446,'Wind base'!$AE$5:$AE$11,0),MATCH($U446,'Wind base'!$AF$4:$AL$4,0))</f>
        <v>0.38</v>
      </c>
      <c r="X446" s="500" t="e">
        <f t="array" ref="X446">INDEX('Wind base'!$AF$5:$AL$11,MATCH($S446,'Wind base'!$AE$5:$AE$11,0),MATCH($V446,'Wind base'!$AF$4:$AL$4,0))</f>
        <v>#N/A</v>
      </c>
      <c r="Y446" s="500" t="e">
        <f t="array" ref="Y446">INDEX('Wind base'!$AF$5:$AL$11,MATCH($T446,'Wind base'!$AE$5:$AE$11,0),MATCH($U446,'Wind base'!$AF$4:$AL$4,0))</f>
        <v>#N/A</v>
      </c>
      <c r="Z446" s="500" t="e">
        <f t="array" ref="Z446">INDEX('Wind base'!$AF$5:$AL$11,MATCH($T446,'Wind base'!$AE$5:$AE$11,0),MATCH($V446,'Wind base'!$AF$4:$AL$4,0))</f>
        <v>#N/A</v>
      </c>
      <c r="AA446" s="501" t="e">
        <f t="shared" ref="AA446:AA460" si="128">Y446+(T446-I446)/(T446-S446)*(W446-Y446)</f>
        <v>#N/A</v>
      </c>
      <c r="AB446" s="501" t="e">
        <f t="shared" ref="AB446:AB460" si="129">Z446+(T446-I446)/(T446-S446)*(X446-Z446)</f>
        <v>#N/A</v>
      </c>
      <c r="AC446" s="501" t="e">
        <f t="shared" ref="AC446:AC460" si="130">IFERROR(AB446+(V446-J446)*(AA446-AB446)/(V446-U446),AA446)</f>
        <v>#N/A</v>
      </c>
    </row>
    <row r="447" spans="1:29" ht="15" customHeight="1">
      <c r="A447" s="457" t="str">
        <f t="shared" si="126"/>
        <v/>
      </c>
      <c r="B447" s="701" t="str">
        <f t="shared" ref="B447:B460" si="131">F447&amp;$M$195</f>
        <v>1</v>
      </c>
      <c r="C447" s="701" t="str">
        <f t="shared" ref="C447:C460" si="132">F447&amp;$N$195</f>
        <v>5</v>
      </c>
      <c r="D447" s="885" t="str">
        <f t="shared" si="123"/>
        <v>-</v>
      </c>
      <c r="F447" s="1127" t="str">
        <f t="shared" ref="F447:F460" si="133">F89</f>
        <v/>
      </c>
      <c r="G447" s="1128"/>
      <c r="H447" s="688" t="str">
        <f t="shared" ref="H447:H460" si="134">H89</f>
        <v/>
      </c>
      <c r="I447" s="689" t="str">
        <f t="shared" ref="I447:I460" si="135">M89</f>
        <v/>
      </c>
      <c r="J447" s="689" t="str">
        <f t="shared" ref="J447:J460" si="136">IF(AND(F447&lt;&gt;"",F447&lt;&gt;"BASE"),IF(H447&gt;0,H447,""),"")</f>
        <v/>
      </c>
      <c r="K447" s="690" t="str">
        <f t="shared" si="127"/>
        <v/>
      </c>
      <c r="L447" s="691" t="str">
        <f t="shared" ref="L447:L460" si="137">IF(J447&lt;&gt;"",IF($K$13="A",IF(0.356*(H447-$O$11)^(-0.07)&gt;0.318,0.318,0.356*(H447-$O$11)^(-0.07)),IF($K$13="B",IF(0.5979*(H447-$O$11)^(-0.0899)&gt;0.517,0.517,0.5979*(H447-$O$11)^(-0.0899)),IF(0.944*(H447-$O$11)^(-0.1399)&gt;0.754,0.754,0.944*(H447-$O$11)^(-0.1399)))),"")</f>
        <v/>
      </c>
      <c r="M447" s="700" t="str">
        <f>IFERROR(IF(J447="","",IF($M$196="-","-",INDEX(BD!$A$1:$K$2510,MATCH('2.Win Load'!B447,BD!$A$1:$A$2510,0),7))),"")</f>
        <v/>
      </c>
      <c r="N447" s="700" t="str">
        <f>IFERROR(IF($J447="","",IF($N$196="-","-",INDEX(BD!$A$1:$K$2510,MATCH('2.Win Load'!C447,BD!$A$1:$A$2510,0),7))),"")</f>
        <v/>
      </c>
      <c r="O447" s="700" t="str">
        <f>IFERROR(IF($J447="","",IF($O$196="-","-",INDEX(BD!$A$1:$K$2510,MATCH('2.Win Load'!D447,BD!$A$1:$A$2510,0),7))),"")</f>
        <v/>
      </c>
      <c r="P447" s="692" t="str">
        <f t="shared" ref="P447:P460" si="138">IF(M447="","",IF(M447="-","-",$Q89*$L447*IF($M$206=1,K447,IF($M$206=2,1,"-"))))</f>
        <v/>
      </c>
      <c r="Q447" s="692" t="str">
        <f t="shared" ref="Q447:Q460" si="139">IF(N447="","",IF(N447="-","-",$Q89*$L447*IF($N$206=1,K447,IF($N$206=2,1,"-"))))</f>
        <v/>
      </c>
      <c r="R447" s="960" t="str">
        <f t="shared" ref="R447:R460" si="140">IF(O447="","",IF(O447="-","-",$Q89*$L447*IF($O$206=1,K447,IF($O$206=2,1,"-"))))</f>
        <v/>
      </c>
      <c r="S447" s="498">
        <f t="array" ref="S447">MAX(IF('Wind base'!$AE$5:$AE$11&lt;I447,'Wind base'!$AE$5:$AE$11,""))</f>
        <v>160</v>
      </c>
      <c r="T447" s="498">
        <f t="array" ref="T447">MIN(IF('Wind base'!$AE$5:$AE$11&gt;I447,'Wind base'!$AE$5:$AE$11,""))</f>
        <v>0</v>
      </c>
      <c r="U447" s="499">
        <f t="array" ref="U447">MAX(IF('Wind base'!$AF$4:$AL$4&lt;J447,'Wind base'!$AF$4:$AL$4,""),5)</f>
        <v>350</v>
      </c>
      <c r="V447" s="498">
        <f t="array" ref="V447">MIN(IF('Wind base'!$AF$4:$AL$4&gt;J447,'Wind base'!$AF$4:$AL$4,""))</f>
        <v>0</v>
      </c>
      <c r="W447" s="500">
        <f t="array" ref="W447">INDEX('Wind base'!$AF$5:$AL$11,MATCH($S447,'Wind base'!$AE$5:$AE$11,0),MATCH($U447,'Wind base'!$AF$4:$AL$4,0))</f>
        <v>0.38</v>
      </c>
      <c r="X447" s="500" t="e">
        <f t="array" ref="X447">INDEX('Wind base'!$AF$5:$AL$11,MATCH($S447,'Wind base'!$AE$5:$AE$11,0),MATCH($V447,'Wind base'!$AF$4:$AL$4,0))</f>
        <v>#N/A</v>
      </c>
      <c r="Y447" s="500" t="e">
        <f t="array" ref="Y447">INDEX('Wind base'!$AF$5:$AL$11,MATCH($T447,'Wind base'!$AE$5:$AE$11,0),MATCH($U447,'Wind base'!$AF$4:$AL$4,0))</f>
        <v>#N/A</v>
      </c>
      <c r="Z447" s="500" t="e">
        <f t="array" ref="Z447">INDEX('Wind base'!$AF$5:$AL$11,MATCH($T447,'Wind base'!$AE$5:$AE$11,0),MATCH($V447,'Wind base'!$AF$4:$AL$4,0))</f>
        <v>#N/A</v>
      </c>
      <c r="AA447" s="501" t="e">
        <f t="shared" si="128"/>
        <v>#N/A</v>
      </c>
      <c r="AB447" s="501" t="e">
        <f t="shared" si="129"/>
        <v>#N/A</v>
      </c>
      <c r="AC447" s="501" t="e">
        <f t="shared" si="130"/>
        <v>#N/A</v>
      </c>
    </row>
    <row r="448" spans="1:29" ht="15" customHeight="1">
      <c r="A448" s="457" t="str">
        <f t="shared" si="126"/>
        <v/>
      </c>
      <c r="B448" s="701" t="str">
        <f t="shared" si="131"/>
        <v>1</v>
      </c>
      <c r="C448" s="701" t="str">
        <f t="shared" si="132"/>
        <v>5</v>
      </c>
      <c r="D448" s="885" t="str">
        <f t="shared" si="123"/>
        <v>-</v>
      </c>
      <c r="F448" s="1127" t="str">
        <f t="shared" si="133"/>
        <v/>
      </c>
      <c r="G448" s="1128"/>
      <c r="H448" s="688" t="str">
        <f t="shared" si="134"/>
        <v/>
      </c>
      <c r="I448" s="689" t="str">
        <f t="shared" si="135"/>
        <v/>
      </c>
      <c r="J448" s="689" t="str">
        <f t="shared" si="136"/>
        <v/>
      </c>
      <c r="K448" s="690" t="str">
        <f t="shared" si="127"/>
        <v/>
      </c>
      <c r="L448" s="691" t="str">
        <f t="shared" si="137"/>
        <v/>
      </c>
      <c r="M448" s="700" t="str">
        <f>IFERROR(IF(J448="","",IF($M$196="-","-",INDEX(BD!$A$1:$K$2510,MATCH('2.Win Load'!B448,BD!$A$1:$A$2510,0),7))),"")</f>
        <v/>
      </c>
      <c r="N448" s="700" t="str">
        <f>IFERROR(IF($J448="","",IF($N$196="-","-",INDEX(BD!$A$1:$K$2510,MATCH('2.Win Load'!C448,BD!$A$1:$A$2510,0),7))),"")</f>
        <v/>
      </c>
      <c r="O448" s="700" t="str">
        <f>IFERROR(IF($J448="","",IF($O$196="-","-",INDEX(BD!$A$1:$K$2510,MATCH('2.Win Load'!D448,BD!$A$1:$A$2510,0),7))),"")</f>
        <v/>
      </c>
      <c r="P448" s="692" t="str">
        <f t="shared" si="138"/>
        <v/>
      </c>
      <c r="Q448" s="692" t="str">
        <f t="shared" si="139"/>
        <v/>
      </c>
      <c r="R448" s="960" t="str">
        <f t="shared" si="140"/>
        <v/>
      </c>
      <c r="S448" s="498">
        <f t="array" ref="S448">MAX(IF('Wind base'!$AE$5:$AE$11&lt;I448,'Wind base'!$AE$5:$AE$11,""))</f>
        <v>160</v>
      </c>
      <c r="T448" s="498">
        <f t="array" ref="T448">MIN(IF('Wind base'!$AE$5:$AE$11&gt;I448,'Wind base'!$AE$5:$AE$11,""))</f>
        <v>0</v>
      </c>
      <c r="U448" s="499">
        <f t="array" ref="U448">MAX(IF('Wind base'!$AF$4:$AL$4&lt;J448,'Wind base'!$AF$4:$AL$4,""),5)</f>
        <v>350</v>
      </c>
      <c r="V448" s="498">
        <f t="array" ref="V448">MIN(IF('Wind base'!$AF$4:$AL$4&gt;J448,'Wind base'!$AF$4:$AL$4,""))</f>
        <v>0</v>
      </c>
      <c r="W448" s="500">
        <f t="array" ref="W448">INDEX('Wind base'!$AF$5:$AL$11,MATCH($S448,'Wind base'!$AE$5:$AE$11,0),MATCH($U448,'Wind base'!$AF$4:$AL$4,0))</f>
        <v>0.38</v>
      </c>
      <c r="X448" s="500" t="e">
        <f t="array" ref="X448">INDEX('Wind base'!$AF$5:$AL$11,MATCH($S448,'Wind base'!$AE$5:$AE$11,0),MATCH($V448,'Wind base'!$AF$4:$AL$4,0))</f>
        <v>#N/A</v>
      </c>
      <c r="Y448" s="500" t="e">
        <f t="array" ref="Y448">INDEX('Wind base'!$AF$5:$AL$11,MATCH($T448,'Wind base'!$AE$5:$AE$11,0),MATCH($U448,'Wind base'!$AF$4:$AL$4,0))</f>
        <v>#N/A</v>
      </c>
      <c r="Z448" s="500" t="e">
        <f t="array" ref="Z448">INDEX('Wind base'!$AF$5:$AL$11,MATCH($T448,'Wind base'!$AE$5:$AE$11,0),MATCH($V448,'Wind base'!$AF$4:$AL$4,0))</f>
        <v>#N/A</v>
      </c>
      <c r="AA448" s="501" t="e">
        <f t="shared" si="128"/>
        <v>#N/A</v>
      </c>
      <c r="AB448" s="501" t="e">
        <f t="shared" si="129"/>
        <v>#N/A</v>
      </c>
      <c r="AC448" s="501" t="e">
        <f t="shared" si="130"/>
        <v>#N/A</v>
      </c>
    </row>
    <row r="449" spans="1:29" ht="15" customHeight="1">
      <c r="A449" s="457" t="str">
        <f t="shared" si="126"/>
        <v/>
      </c>
      <c r="B449" s="701" t="str">
        <f t="shared" si="131"/>
        <v>1</v>
      </c>
      <c r="C449" s="701" t="str">
        <f t="shared" si="132"/>
        <v>5</v>
      </c>
      <c r="D449" s="885" t="str">
        <f t="shared" si="123"/>
        <v>-</v>
      </c>
      <c r="F449" s="1127" t="str">
        <f t="shared" si="133"/>
        <v/>
      </c>
      <c r="G449" s="1128"/>
      <c r="H449" s="688" t="str">
        <f t="shared" si="134"/>
        <v/>
      </c>
      <c r="I449" s="689" t="str">
        <f t="shared" si="135"/>
        <v/>
      </c>
      <c r="J449" s="689" t="str">
        <f t="shared" si="136"/>
        <v/>
      </c>
      <c r="K449" s="690" t="str">
        <f t="shared" si="127"/>
        <v/>
      </c>
      <c r="L449" s="691" t="str">
        <f t="shared" si="137"/>
        <v/>
      </c>
      <c r="M449" s="700" t="str">
        <f>IFERROR(IF(J449="","",IF($M$196="-","-",INDEX(BD!$A$1:$K$2510,MATCH('2.Win Load'!B449,BD!$A$1:$A$2510,0),7))),"")</f>
        <v/>
      </c>
      <c r="N449" s="700" t="str">
        <f>IFERROR(IF($J449="","",IF($N$196="-","-",INDEX(BD!$A$1:$K$2510,MATCH('2.Win Load'!C449,BD!$A$1:$A$2510,0),7))),"")</f>
        <v/>
      </c>
      <c r="O449" s="700" t="str">
        <f>IFERROR(IF($J449="","",IF($O$196="-","-",INDEX(BD!$A$1:$K$2510,MATCH('2.Win Load'!D449,BD!$A$1:$A$2510,0),7))),"")</f>
        <v/>
      </c>
      <c r="P449" s="692" t="str">
        <f t="shared" si="138"/>
        <v/>
      </c>
      <c r="Q449" s="692" t="str">
        <f t="shared" si="139"/>
        <v/>
      </c>
      <c r="R449" s="960" t="str">
        <f t="shared" si="140"/>
        <v/>
      </c>
      <c r="S449" s="498">
        <f t="array" ref="S449">MAX(IF('Wind base'!$AE$5:$AE$11&lt;I449,'Wind base'!$AE$5:$AE$11,""))</f>
        <v>160</v>
      </c>
      <c r="T449" s="498">
        <f t="array" ref="T449">MIN(IF('Wind base'!$AE$5:$AE$11&gt;I449,'Wind base'!$AE$5:$AE$11,""))</f>
        <v>0</v>
      </c>
      <c r="U449" s="499">
        <f t="array" ref="U449">MAX(IF('Wind base'!$AF$4:$AL$4&lt;J449,'Wind base'!$AF$4:$AL$4,""),5)</f>
        <v>350</v>
      </c>
      <c r="V449" s="498">
        <f t="array" ref="V449">MIN(IF('Wind base'!$AF$4:$AL$4&gt;J449,'Wind base'!$AF$4:$AL$4,""))</f>
        <v>0</v>
      </c>
      <c r="W449" s="500">
        <f t="array" ref="W449">INDEX('Wind base'!$AF$5:$AL$11,MATCH($S449,'Wind base'!$AE$5:$AE$11,0),MATCH($U449,'Wind base'!$AF$4:$AL$4,0))</f>
        <v>0.38</v>
      </c>
      <c r="X449" s="500" t="e">
        <f t="array" ref="X449">INDEX('Wind base'!$AF$5:$AL$11,MATCH($S449,'Wind base'!$AE$5:$AE$11,0),MATCH($V449,'Wind base'!$AF$4:$AL$4,0))</f>
        <v>#N/A</v>
      </c>
      <c r="Y449" s="500" t="e">
        <f t="array" ref="Y449">INDEX('Wind base'!$AF$5:$AL$11,MATCH($T449,'Wind base'!$AE$5:$AE$11,0),MATCH($U449,'Wind base'!$AF$4:$AL$4,0))</f>
        <v>#N/A</v>
      </c>
      <c r="Z449" s="500" t="e">
        <f t="array" ref="Z449">INDEX('Wind base'!$AF$5:$AL$11,MATCH($T449,'Wind base'!$AE$5:$AE$11,0),MATCH($V449,'Wind base'!$AF$4:$AL$4,0))</f>
        <v>#N/A</v>
      </c>
      <c r="AA449" s="501" t="e">
        <f t="shared" si="128"/>
        <v>#N/A</v>
      </c>
      <c r="AB449" s="501" t="e">
        <f t="shared" si="129"/>
        <v>#N/A</v>
      </c>
      <c r="AC449" s="501" t="e">
        <f t="shared" si="130"/>
        <v>#N/A</v>
      </c>
    </row>
    <row r="450" spans="1:29" ht="15" customHeight="1">
      <c r="A450" s="457" t="str">
        <f t="shared" si="126"/>
        <v/>
      </c>
      <c r="B450" s="701" t="str">
        <f t="shared" si="131"/>
        <v>1</v>
      </c>
      <c r="C450" s="701" t="str">
        <f t="shared" si="132"/>
        <v>5</v>
      </c>
      <c r="D450" s="885" t="str">
        <f t="shared" si="123"/>
        <v>-</v>
      </c>
      <c r="F450" s="1127" t="str">
        <f t="shared" si="133"/>
        <v/>
      </c>
      <c r="G450" s="1128"/>
      <c r="H450" s="688" t="str">
        <f t="shared" si="134"/>
        <v/>
      </c>
      <c r="I450" s="689" t="str">
        <f t="shared" si="135"/>
        <v/>
      </c>
      <c r="J450" s="689" t="str">
        <f t="shared" si="136"/>
        <v/>
      </c>
      <c r="K450" s="690" t="str">
        <f t="shared" si="127"/>
        <v/>
      </c>
      <c r="L450" s="691" t="str">
        <f t="shared" si="137"/>
        <v/>
      </c>
      <c r="M450" s="700" t="str">
        <f>IFERROR(IF(J450="","",IF($M$196="-","-",INDEX(BD!$A$1:$K$2510,MATCH('2.Win Load'!B450,BD!$A$1:$A$2510,0),7))),"")</f>
        <v/>
      </c>
      <c r="N450" s="700" t="str">
        <f>IFERROR(IF($J450="","",IF($N$196="-","-",INDEX(BD!$A$1:$K$2510,MATCH('2.Win Load'!C450,BD!$A$1:$A$2510,0),7))),"")</f>
        <v/>
      </c>
      <c r="O450" s="700" t="str">
        <f>IFERROR(IF($J450="","",IF($O$196="-","-",INDEX(BD!$A$1:$K$2510,MATCH('2.Win Load'!D450,BD!$A$1:$A$2510,0),7))),"")</f>
        <v/>
      </c>
      <c r="P450" s="692" t="str">
        <f t="shared" si="138"/>
        <v/>
      </c>
      <c r="Q450" s="692" t="str">
        <f t="shared" si="139"/>
        <v/>
      </c>
      <c r="R450" s="960" t="str">
        <f t="shared" si="140"/>
        <v/>
      </c>
      <c r="S450" s="498">
        <f t="array" ref="S450">MAX(IF('Wind base'!$AE$5:$AE$11&lt;I450,'Wind base'!$AE$5:$AE$11,""))</f>
        <v>160</v>
      </c>
      <c r="T450" s="498">
        <f t="array" ref="T450">MIN(IF('Wind base'!$AE$5:$AE$11&gt;I450,'Wind base'!$AE$5:$AE$11,""))</f>
        <v>0</v>
      </c>
      <c r="U450" s="499">
        <f t="array" ref="U450">MAX(IF('Wind base'!$AF$4:$AL$4&lt;J450,'Wind base'!$AF$4:$AL$4,""),5)</f>
        <v>350</v>
      </c>
      <c r="V450" s="498">
        <f t="array" ref="V450">MIN(IF('Wind base'!$AF$4:$AL$4&gt;J450,'Wind base'!$AF$4:$AL$4,""))</f>
        <v>0</v>
      </c>
      <c r="W450" s="500">
        <f t="array" ref="W450">INDEX('Wind base'!$AF$5:$AL$11,MATCH($S450,'Wind base'!$AE$5:$AE$11,0),MATCH($U450,'Wind base'!$AF$4:$AL$4,0))</f>
        <v>0.38</v>
      </c>
      <c r="X450" s="500" t="e">
        <f t="array" ref="X450">INDEX('Wind base'!$AF$5:$AL$11,MATCH($S450,'Wind base'!$AE$5:$AE$11,0),MATCH($V450,'Wind base'!$AF$4:$AL$4,0))</f>
        <v>#N/A</v>
      </c>
      <c r="Y450" s="500" t="e">
        <f t="array" ref="Y450">INDEX('Wind base'!$AF$5:$AL$11,MATCH($T450,'Wind base'!$AE$5:$AE$11,0),MATCH($U450,'Wind base'!$AF$4:$AL$4,0))</f>
        <v>#N/A</v>
      </c>
      <c r="Z450" s="500" t="e">
        <f t="array" ref="Z450">INDEX('Wind base'!$AF$5:$AL$11,MATCH($T450,'Wind base'!$AE$5:$AE$11,0),MATCH($V450,'Wind base'!$AF$4:$AL$4,0))</f>
        <v>#N/A</v>
      </c>
      <c r="AA450" s="501" t="e">
        <f t="shared" si="128"/>
        <v>#N/A</v>
      </c>
      <c r="AB450" s="501" t="e">
        <f t="shared" si="129"/>
        <v>#N/A</v>
      </c>
      <c r="AC450" s="501" t="e">
        <f t="shared" si="130"/>
        <v>#N/A</v>
      </c>
    </row>
    <row r="451" spans="1:29" ht="15" customHeight="1">
      <c r="A451" s="457" t="str">
        <f t="shared" si="126"/>
        <v/>
      </c>
      <c r="B451" s="701" t="str">
        <f t="shared" si="131"/>
        <v>1</v>
      </c>
      <c r="C451" s="701" t="str">
        <f t="shared" si="132"/>
        <v>5</v>
      </c>
      <c r="D451" s="885" t="str">
        <f t="shared" si="123"/>
        <v>-</v>
      </c>
      <c r="F451" s="1127" t="str">
        <f t="shared" si="133"/>
        <v/>
      </c>
      <c r="G451" s="1128"/>
      <c r="H451" s="688" t="str">
        <f t="shared" si="134"/>
        <v/>
      </c>
      <c r="I451" s="689" t="str">
        <f t="shared" si="135"/>
        <v/>
      </c>
      <c r="J451" s="689" t="str">
        <f t="shared" si="136"/>
        <v/>
      </c>
      <c r="K451" s="690" t="str">
        <f t="shared" si="127"/>
        <v/>
      </c>
      <c r="L451" s="691" t="str">
        <f t="shared" si="137"/>
        <v/>
      </c>
      <c r="M451" s="700" t="str">
        <f>IFERROR(IF(J451="","",IF($M$196="-","-",INDEX(BD!$A$1:$K$2510,MATCH('2.Win Load'!B451,BD!$A$1:$A$2510,0),7))),"")</f>
        <v/>
      </c>
      <c r="N451" s="700" t="str">
        <f>IFERROR(IF($J451="","",IF($N$196="-","-",INDEX(BD!$A$1:$K$2510,MATCH('2.Win Load'!C451,BD!$A$1:$A$2510,0),7))),"")</f>
        <v/>
      </c>
      <c r="O451" s="700" t="str">
        <f>IFERROR(IF($J451="","",IF($O$196="-","-",INDEX(BD!$A$1:$K$2510,MATCH('2.Win Load'!D451,BD!$A$1:$A$2510,0),7))),"")</f>
        <v/>
      </c>
      <c r="P451" s="692" t="str">
        <f t="shared" si="138"/>
        <v/>
      </c>
      <c r="Q451" s="692" t="str">
        <f t="shared" si="139"/>
        <v/>
      </c>
      <c r="R451" s="960" t="str">
        <f t="shared" si="140"/>
        <v/>
      </c>
      <c r="S451" s="498">
        <f t="array" ref="S451">MAX(IF('Wind base'!$AE$5:$AE$11&lt;I451,'Wind base'!$AE$5:$AE$11,""))</f>
        <v>160</v>
      </c>
      <c r="T451" s="498">
        <f t="array" ref="T451">MIN(IF('Wind base'!$AE$5:$AE$11&gt;I451,'Wind base'!$AE$5:$AE$11,""))</f>
        <v>0</v>
      </c>
      <c r="U451" s="499">
        <f t="array" ref="U451">MAX(IF('Wind base'!$AF$4:$AL$4&lt;J451,'Wind base'!$AF$4:$AL$4,""),5)</f>
        <v>350</v>
      </c>
      <c r="V451" s="498">
        <f t="array" ref="V451">MIN(IF('Wind base'!$AF$4:$AL$4&gt;J451,'Wind base'!$AF$4:$AL$4,""))</f>
        <v>0</v>
      </c>
      <c r="W451" s="500">
        <f t="array" ref="W451">INDEX('Wind base'!$AF$5:$AL$11,MATCH($S451,'Wind base'!$AE$5:$AE$11,0),MATCH($U451,'Wind base'!$AF$4:$AL$4,0))</f>
        <v>0.38</v>
      </c>
      <c r="X451" s="500" t="e">
        <f t="array" ref="X451">INDEX('Wind base'!$AF$5:$AL$11,MATCH($S451,'Wind base'!$AE$5:$AE$11,0),MATCH($V451,'Wind base'!$AF$4:$AL$4,0))</f>
        <v>#N/A</v>
      </c>
      <c r="Y451" s="500" t="e">
        <f t="array" ref="Y451">INDEX('Wind base'!$AF$5:$AL$11,MATCH($T451,'Wind base'!$AE$5:$AE$11,0),MATCH($U451,'Wind base'!$AF$4:$AL$4,0))</f>
        <v>#N/A</v>
      </c>
      <c r="Z451" s="500" t="e">
        <f t="array" ref="Z451">INDEX('Wind base'!$AF$5:$AL$11,MATCH($T451,'Wind base'!$AE$5:$AE$11,0),MATCH($V451,'Wind base'!$AF$4:$AL$4,0))</f>
        <v>#N/A</v>
      </c>
      <c r="AA451" s="501" t="e">
        <f t="shared" si="128"/>
        <v>#N/A</v>
      </c>
      <c r="AB451" s="501" t="e">
        <f t="shared" si="129"/>
        <v>#N/A</v>
      </c>
      <c r="AC451" s="501" t="e">
        <f t="shared" si="130"/>
        <v>#N/A</v>
      </c>
    </row>
    <row r="452" spans="1:29" ht="15" customHeight="1">
      <c r="A452" s="457" t="str">
        <f t="shared" si="126"/>
        <v/>
      </c>
      <c r="B452" s="701" t="str">
        <f t="shared" si="131"/>
        <v>1</v>
      </c>
      <c r="C452" s="701" t="str">
        <f t="shared" si="132"/>
        <v>5</v>
      </c>
      <c r="D452" s="885" t="str">
        <f t="shared" si="123"/>
        <v>-</v>
      </c>
      <c r="F452" s="1127" t="str">
        <f t="shared" si="133"/>
        <v/>
      </c>
      <c r="G452" s="1128"/>
      <c r="H452" s="688" t="str">
        <f t="shared" si="134"/>
        <v/>
      </c>
      <c r="I452" s="689" t="str">
        <f t="shared" si="135"/>
        <v/>
      </c>
      <c r="J452" s="689" t="str">
        <f t="shared" si="136"/>
        <v/>
      </c>
      <c r="K452" s="690" t="str">
        <f t="shared" si="127"/>
        <v/>
      </c>
      <c r="L452" s="691" t="str">
        <f t="shared" si="137"/>
        <v/>
      </c>
      <c r="M452" s="700" t="str">
        <f>IFERROR(IF(J452="","",IF($M$196="-","-",INDEX(BD!$A$1:$K$2510,MATCH('2.Win Load'!B452,BD!$A$1:$A$2510,0),7))),"")</f>
        <v/>
      </c>
      <c r="N452" s="700" t="str">
        <f>IFERROR(IF($J452="","",IF($N$196="-","-",INDEX(BD!$A$1:$K$2510,MATCH('2.Win Load'!C452,BD!$A$1:$A$2510,0),7))),"")</f>
        <v/>
      </c>
      <c r="O452" s="700" t="str">
        <f>IFERROR(IF($J452="","",IF($O$196="-","-",INDEX(BD!$A$1:$K$2510,MATCH('2.Win Load'!D452,BD!$A$1:$A$2510,0),7))),"")</f>
        <v/>
      </c>
      <c r="P452" s="692" t="str">
        <f t="shared" si="138"/>
        <v/>
      </c>
      <c r="Q452" s="692" t="str">
        <f t="shared" si="139"/>
        <v/>
      </c>
      <c r="R452" s="960" t="str">
        <f t="shared" si="140"/>
        <v/>
      </c>
      <c r="S452" s="498">
        <f t="array" ref="S452">MAX(IF('Wind base'!$AE$5:$AE$11&lt;I452,'Wind base'!$AE$5:$AE$11,""))</f>
        <v>160</v>
      </c>
      <c r="T452" s="498">
        <f t="array" ref="T452">MIN(IF('Wind base'!$AE$5:$AE$11&gt;I452,'Wind base'!$AE$5:$AE$11,""))</f>
        <v>0</v>
      </c>
      <c r="U452" s="499">
        <f t="array" ref="U452">MAX(IF('Wind base'!$AF$4:$AL$4&lt;J452,'Wind base'!$AF$4:$AL$4,""),5)</f>
        <v>350</v>
      </c>
      <c r="V452" s="498">
        <f t="array" ref="V452">MIN(IF('Wind base'!$AF$4:$AL$4&gt;J452,'Wind base'!$AF$4:$AL$4,""))</f>
        <v>0</v>
      </c>
      <c r="W452" s="500">
        <f t="array" ref="W452">INDEX('Wind base'!$AF$5:$AL$11,MATCH($S452,'Wind base'!$AE$5:$AE$11,0),MATCH($U452,'Wind base'!$AF$4:$AL$4,0))</f>
        <v>0.38</v>
      </c>
      <c r="X452" s="500" t="e">
        <f t="array" ref="X452">INDEX('Wind base'!$AF$5:$AL$11,MATCH($S452,'Wind base'!$AE$5:$AE$11,0),MATCH($V452,'Wind base'!$AF$4:$AL$4,0))</f>
        <v>#N/A</v>
      </c>
      <c r="Y452" s="500" t="e">
        <f t="array" ref="Y452">INDEX('Wind base'!$AF$5:$AL$11,MATCH($T452,'Wind base'!$AE$5:$AE$11,0),MATCH($U452,'Wind base'!$AF$4:$AL$4,0))</f>
        <v>#N/A</v>
      </c>
      <c r="Z452" s="500" t="e">
        <f t="array" ref="Z452">INDEX('Wind base'!$AF$5:$AL$11,MATCH($T452,'Wind base'!$AE$5:$AE$11,0),MATCH($V452,'Wind base'!$AF$4:$AL$4,0))</f>
        <v>#N/A</v>
      </c>
      <c r="AA452" s="501" t="e">
        <f t="shared" si="128"/>
        <v>#N/A</v>
      </c>
      <c r="AB452" s="501" t="e">
        <f t="shared" si="129"/>
        <v>#N/A</v>
      </c>
      <c r="AC452" s="501" t="e">
        <f t="shared" si="130"/>
        <v>#N/A</v>
      </c>
    </row>
    <row r="453" spans="1:29" ht="15" customHeight="1">
      <c r="A453" s="457" t="str">
        <f t="shared" si="126"/>
        <v/>
      </c>
      <c r="B453" s="701" t="str">
        <f t="shared" si="131"/>
        <v>1</v>
      </c>
      <c r="C453" s="701" t="str">
        <f t="shared" si="132"/>
        <v>5</v>
      </c>
      <c r="D453" s="885" t="str">
        <f t="shared" si="123"/>
        <v>-</v>
      </c>
      <c r="F453" s="1127" t="str">
        <f t="shared" si="133"/>
        <v/>
      </c>
      <c r="G453" s="1128"/>
      <c r="H453" s="688" t="str">
        <f t="shared" si="134"/>
        <v/>
      </c>
      <c r="I453" s="689" t="str">
        <f t="shared" si="135"/>
        <v/>
      </c>
      <c r="J453" s="689" t="str">
        <f t="shared" si="136"/>
        <v/>
      </c>
      <c r="K453" s="690" t="str">
        <f t="shared" si="127"/>
        <v/>
      </c>
      <c r="L453" s="691" t="str">
        <f t="shared" si="137"/>
        <v/>
      </c>
      <c r="M453" s="700" t="str">
        <f>IFERROR(IF(J453="","",IF($M$196="-","-",INDEX(BD!$A$1:$K$2510,MATCH('2.Win Load'!B453,BD!$A$1:$A$2510,0),7))),"")</f>
        <v/>
      </c>
      <c r="N453" s="700" t="str">
        <f>IFERROR(IF($J453="","",IF($N$196="-","-",INDEX(BD!$A$1:$K$2510,MATCH('2.Win Load'!C453,BD!$A$1:$A$2510,0),7))),"")</f>
        <v/>
      </c>
      <c r="O453" s="700" t="str">
        <f>IFERROR(IF($J453="","",IF($O$196="-","-",INDEX(BD!$A$1:$K$2510,MATCH('2.Win Load'!D453,BD!$A$1:$A$2510,0),7))),"")</f>
        <v/>
      </c>
      <c r="P453" s="692" t="str">
        <f t="shared" si="138"/>
        <v/>
      </c>
      <c r="Q453" s="692" t="str">
        <f t="shared" si="139"/>
        <v/>
      </c>
      <c r="R453" s="960" t="str">
        <f t="shared" si="140"/>
        <v/>
      </c>
      <c r="S453" s="498">
        <f t="array" ref="S453">MAX(IF('Wind base'!$AE$5:$AE$11&lt;I453,'Wind base'!$AE$5:$AE$11,""))</f>
        <v>160</v>
      </c>
      <c r="T453" s="498">
        <f t="array" ref="T453">MIN(IF('Wind base'!$AE$5:$AE$11&gt;I453,'Wind base'!$AE$5:$AE$11,""))</f>
        <v>0</v>
      </c>
      <c r="U453" s="499">
        <f t="array" ref="U453">MAX(IF('Wind base'!$AF$4:$AL$4&lt;J453,'Wind base'!$AF$4:$AL$4,""),5)</f>
        <v>350</v>
      </c>
      <c r="V453" s="498">
        <f t="array" ref="V453">MIN(IF('Wind base'!$AF$4:$AL$4&gt;J453,'Wind base'!$AF$4:$AL$4,""))</f>
        <v>0</v>
      </c>
      <c r="W453" s="500">
        <f t="array" ref="W453">INDEX('Wind base'!$AF$5:$AL$11,MATCH($S453,'Wind base'!$AE$5:$AE$11,0),MATCH($U453,'Wind base'!$AF$4:$AL$4,0))</f>
        <v>0.38</v>
      </c>
      <c r="X453" s="500" t="e">
        <f t="array" ref="X453">INDEX('Wind base'!$AF$5:$AL$11,MATCH($S453,'Wind base'!$AE$5:$AE$11,0),MATCH($V453,'Wind base'!$AF$4:$AL$4,0))</f>
        <v>#N/A</v>
      </c>
      <c r="Y453" s="500" t="e">
        <f t="array" ref="Y453">INDEX('Wind base'!$AF$5:$AL$11,MATCH($T453,'Wind base'!$AE$5:$AE$11,0),MATCH($U453,'Wind base'!$AF$4:$AL$4,0))</f>
        <v>#N/A</v>
      </c>
      <c r="Z453" s="500" t="e">
        <f t="array" ref="Z453">INDEX('Wind base'!$AF$5:$AL$11,MATCH($T453,'Wind base'!$AE$5:$AE$11,0),MATCH($V453,'Wind base'!$AF$4:$AL$4,0))</f>
        <v>#N/A</v>
      </c>
      <c r="AA453" s="501" t="e">
        <f t="shared" si="128"/>
        <v>#N/A</v>
      </c>
      <c r="AB453" s="501" t="e">
        <f t="shared" si="129"/>
        <v>#N/A</v>
      </c>
      <c r="AC453" s="501" t="e">
        <f t="shared" si="130"/>
        <v>#N/A</v>
      </c>
    </row>
    <row r="454" spans="1:29" ht="15" customHeight="1">
      <c r="A454" s="457" t="str">
        <f t="shared" si="126"/>
        <v/>
      </c>
      <c r="B454" s="701" t="str">
        <f t="shared" si="131"/>
        <v>1</v>
      </c>
      <c r="C454" s="701" t="str">
        <f t="shared" si="132"/>
        <v>5</v>
      </c>
      <c r="D454" s="885" t="str">
        <f t="shared" si="123"/>
        <v>-</v>
      </c>
      <c r="F454" s="1127" t="str">
        <f t="shared" si="133"/>
        <v/>
      </c>
      <c r="G454" s="1128"/>
      <c r="H454" s="688" t="str">
        <f t="shared" si="134"/>
        <v/>
      </c>
      <c r="I454" s="689" t="str">
        <f t="shared" si="135"/>
        <v/>
      </c>
      <c r="J454" s="689" t="str">
        <f t="shared" si="136"/>
        <v/>
      </c>
      <c r="K454" s="690" t="str">
        <f t="shared" si="127"/>
        <v/>
      </c>
      <c r="L454" s="691" t="str">
        <f t="shared" si="137"/>
        <v/>
      </c>
      <c r="M454" s="700" t="str">
        <f>IFERROR(IF(J454="","",IF($M$196="-","-",INDEX(BD!$A$1:$K$2510,MATCH('2.Win Load'!B454,BD!$A$1:$A$2510,0),7))),"")</f>
        <v/>
      </c>
      <c r="N454" s="700" t="str">
        <f>IFERROR(IF($J454="","",IF($N$196="-","-",INDEX(BD!$A$1:$K$2510,MATCH('2.Win Load'!C454,BD!$A$1:$A$2510,0),7))),"")</f>
        <v/>
      </c>
      <c r="O454" s="700" t="str">
        <f>IFERROR(IF($J454="","",IF($O$196="-","-",INDEX(BD!$A$1:$K$2510,MATCH('2.Win Load'!D454,BD!$A$1:$A$2510,0),7))),"")</f>
        <v/>
      </c>
      <c r="P454" s="692" t="str">
        <f t="shared" si="138"/>
        <v/>
      </c>
      <c r="Q454" s="692" t="str">
        <f t="shared" si="139"/>
        <v/>
      </c>
      <c r="R454" s="960" t="str">
        <f t="shared" si="140"/>
        <v/>
      </c>
      <c r="S454" s="498">
        <f t="array" ref="S454">MAX(IF('Wind base'!$AE$5:$AE$11&lt;I454,'Wind base'!$AE$5:$AE$11,""))</f>
        <v>160</v>
      </c>
      <c r="T454" s="498">
        <f t="array" ref="T454">MIN(IF('Wind base'!$AE$5:$AE$11&gt;I454,'Wind base'!$AE$5:$AE$11,""))</f>
        <v>0</v>
      </c>
      <c r="U454" s="499">
        <f t="array" ref="U454">MAX(IF('Wind base'!$AF$4:$AL$4&lt;J454,'Wind base'!$AF$4:$AL$4,""),5)</f>
        <v>350</v>
      </c>
      <c r="V454" s="498">
        <f t="array" ref="V454">MIN(IF('Wind base'!$AF$4:$AL$4&gt;J454,'Wind base'!$AF$4:$AL$4,""))</f>
        <v>0</v>
      </c>
      <c r="W454" s="500">
        <f t="array" ref="W454">INDEX('Wind base'!$AF$5:$AL$11,MATCH($S454,'Wind base'!$AE$5:$AE$11,0),MATCH($U454,'Wind base'!$AF$4:$AL$4,0))</f>
        <v>0.38</v>
      </c>
      <c r="X454" s="500" t="e">
        <f t="array" ref="X454">INDEX('Wind base'!$AF$5:$AL$11,MATCH($S454,'Wind base'!$AE$5:$AE$11,0),MATCH($V454,'Wind base'!$AF$4:$AL$4,0))</f>
        <v>#N/A</v>
      </c>
      <c r="Y454" s="500" t="e">
        <f t="array" ref="Y454">INDEX('Wind base'!$AF$5:$AL$11,MATCH($T454,'Wind base'!$AE$5:$AE$11,0),MATCH($U454,'Wind base'!$AF$4:$AL$4,0))</f>
        <v>#N/A</v>
      </c>
      <c r="Z454" s="500" t="e">
        <f t="array" ref="Z454">INDEX('Wind base'!$AF$5:$AL$11,MATCH($T454,'Wind base'!$AE$5:$AE$11,0),MATCH($V454,'Wind base'!$AF$4:$AL$4,0))</f>
        <v>#N/A</v>
      </c>
      <c r="AA454" s="501" t="e">
        <f t="shared" si="128"/>
        <v>#N/A</v>
      </c>
      <c r="AB454" s="501" t="e">
        <f t="shared" si="129"/>
        <v>#N/A</v>
      </c>
      <c r="AC454" s="501" t="e">
        <f t="shared" si="130"/>
        <v>#N/A</v>
      </c>
    </row>
    <row r="455" spans="1:29" ht="15" customHeight="1">
      <c r="A455" s="457" t="str">
        <f t="shared" si="126"/>
        <v/>
      </c>
      <c r="B455" s="701" t="str">
        <f t="shared" si="131"/>
        <v>1</v>
      </c>
      <c r="C455" s="701" t="str">
        <f t="shared" si="132"/>
        <v>5</v>
      </c>
      <c r="D455" s="885" t="str">
        <f t="shared" si="123"/>
        <v>-</v>
      </c>
      <c r="F455" s="1127" t="str">
        <f t="shared" si="133"/>
        <v/>
      </c>
      <c r="G455" s="1128"/>
      <c r="H455" s="688" t="str">
        <f t="shared" si="134"/>
        <v/>
      </c>
      <c r="I455" s="689" t="str">
        <f t="shared" si="135"/>
        <v/>
      </c>
      <c r="J455" s="689" t="str">
        <f t="shared" si="136"/>
        <v/>
      </c>
      <c r="K455" s="690" t="str">
        <f t="shared" si="127"/>
        <v/>
      </c>
      <c r="L455" s="691" t="str">
        <f t="shared" si="137"/>
        <v/>
      </c>
      <c r="M455" s="700" t="str">
        <f>IFERROR(IF(J455="","",IF($M$196="-","-",INDEX(BD!$A$1:$K$2510,MATCH('2.Win Load'!B455,BD!$A$1:$A$2510,0),7))),"")</f>
        <v/>
      </c>
      <c r="N455" s="700" t="str">
        <f>IFERROR(IF($J455="","",IF($N$196="-","-",INDEX(BD!$A$1:$K$2510,MATCH('2.Win Load'!C455,BD!$A$1:$A$2510,0),7))),"")</f>
        <v/>
      </c>
      <c r="O455" s="700" t="str">
        <f>IFERROR(IF($J455="","",IF($O$196="-","-",INDEX(BD!$A$1:$K$2510,MATCH('2.Win Load'!D455,BD!$A$1:$A$2510,0),7))),"")</f>
        <v/>
      </c>
      <c r="P455" s="692" t="str">
        <f t="shared" si="138"/>
        <v/>
      </c>
      <c r="Q455" s="692" t="str">
        <f t="shared" si="139"/>
        <v/>
      </c>
      <c r="R455" s="960" t="str">
        <f t="shared" si="140"/>
        <v/>
      </c>
      <c r="S455" s="498">
        <f t="array" ref="S455">MAX(IF('Wind base'!$AE$5:$AE$11&lt;I455,'Wind base'!$AE$5:$AE$11,""))</f>
        <v>160</v>
      </c>
      <c r="T455" s="498">
        <f t="array" ref="T455">MIN(IF('Wind base'!$AE$5:$AE$11&gt;I455,'Wind base'!$AE$5:$AE$11,""))</f>
        <v>0</v>
      </c>
      <c r="U455" s="499">
        <f t="array" ref="U455">MAX(IF('Wind base'!$AF$4:$AL$4&lt;J455,'Wind base'!$AF$4:$AL$4,""),5)</f>
        <v>350</v>
      </c>
      <c r="V455" s="498">
        <f t="array" ref="V455">MIN(IF('Wind base'!$AF$4:$AL$4&gt;J455,'Wind base'!$AF$4:$AL$4,""))</f>
        <v>0</v>
      </c>
      <c r="W455" s="500">
        <f t="array" ref="W455">INDEX('Wind base'!$AF$5:$AL$11,MATCH($S455,'Wind base'!$AE$5:$AE$11,0),MATCH($U455,'Wind base'!$AF$4:$AL$4,0))</f>
        <v>0.38</v>
      </c>
      <c r="X455" s="500" t="e">
        <f t="array" ref="X455">INDEX('Wind base'!$AF$5:$AL$11,MATCH($S455,'Wind base'!$AE$5:$AE$11,0),MATCH($V455,'Wind base'!$AF$4:$AL$4,0))</f>
        <v>#N/A</v>
      </c>
      <c r="Y455" s="500" t="e">
        <f t="array" ref="Y455">INDEX('Wind base'!$AF$5:$AL$11,MATCH($T455,'Wind base'!$AE$5:$AE$11,0),MATCH($U455,'Wind base'!$AF$4:$AL$4,0))</f>
        <v>#N/A</v>
      </c>
      <c r="Z455" s="500" t="e">
        <f t="array" ref="Z455">INDEX('Wind base'!$AF$5:$AL$11,MATCH($T455,'Wind base'!$AE$5:$AE$11,0),MATCH($V455,'Wind base'!$AF$4:$AL$4,0))</f>
        <v>#N/A</v>
      </c>
      <c r="AA455" s="501" t="e">
        <f t="shared" si="128"/>
        <v>#N/A</v>
      </c>
      <c r="AB455" s="501" t="e">
        <f t="shared" si="129"/>
        <v>#N/A</v>
      </c>
      <c r="AC455" s="501" t="e">
        <f t="shared" si="130"/>
        <v>#N/A</v>
      </c>
    </row>
    <row r="456" spans="1:29" ht="15" customHeight="1">
      <c r="A456" s="457" t="str">
        <f t="shared" si="126"/>
        <v/>
      </c>
      <c r="B456" s="701" t="str">
        <f t="shared" si="131"/>
        <v>1</v>
      </c>
      <c r="C456" s="701" t="str">
        <f t="shared" si="132"/>
        <v>5</v>
      </c>
      <c r="D456" s="885" t="str">
        <f t="shared" si="123"/>
        <v>-</v>
      </c>
      <c r="F456" s="1127" t="str">
        <f t="shared" si="133"/>
        <v/>
      </c>
      <c r="G456" s="1128"/>
      <c r="H456" s="688" t="str">
        <f t="shared" si="134"/>
        <v/>
      </c>
      <c r="I456" s="689" t="str">
        <f t="shared" si="135"/>
        <v/>
      </c>
      <c r="J456" s="689" t="str">
        <f t="shared" si="136"/>
        <v/>
      </c>
      <c r="K456" s="690" t="str">
        <f t="shared" si="127"/>
        <v/>
      </c>
      <c r="L456" s="691" t="str">
        <f t="shared" si="137"/>
        <v/>
      </c>
      <c r="M456" s="700" t="str">
        <f>IFERROR(IF(J456="","",IF($M$196="-","-",INDEX(BD!$A$1:$K$2510,MATCH('2.Win Load'!B456,BD!$A$1:$A$2510,0),7))),"")</f>
        <v/>
      </c>
      <c r="N456" s="700" t="str">
        <f>IFERROR(IF($J456="","",IF($N$196="-","-",INDEX(BD!$A$1:$K$2510,MATCH('2.Win Load'!C456,BD!$A$1:$A$2510,0),7))),"")</f>
        <v/>
      </c>
      <c r="O456" s="700" t="str">
        <f>IFERROR(IF($J456="","",IF($O$196="-","-",INDEX(BD!$A$1:$K$2510,MATCH('2.Win Load'!D456,BD!$A$1:$A$2510,0),7))),"")</f>
        <v/>
      </c>
      <c r="P456" s="692" t="str">
        <f t="shared" si="138"/>
        <v/>
      </c>
      <c r="Q456" s="692" t="str">
        <f t="shared" si="139"/>
        <v/>
      </c>
      <c r="R456" s="960" t="str">
        <f t="shared" si="140"/>
        <v/>
      </c>
      <c r="S456" s="498">
        <f t="array" ref="S456">MAX(IF('Wind base'!$AE$5:$AE$11&lt;I456,'Wind base'!$AE$5:$AE$11,""))</f>
        <v>160</v>
      </c>
      <c r="T456" s="498">
        <f t="array" ref="T456">MIN(IF('Wind base'!$AE$5:$AE$11&gt;I456,'Wind base'!$AE$5:$AE$11,""))</f>
        <v>0</v>
      </c>
      <c r="U456" s="499">
        <f t="array" ref="U456">MAX(IF('Wind base'!$AF$4:$AL$4&lt;J456,'Wind base'!$AF$4:$AL$4,""),5)</f>
        <v>350</v>
      </c>
      <c r="V456" s="498">
        <f t="array" ref="V456">MIN(IF('Wind base'!$AF$4:$AL$4&gt;J456,'Wind base'!$AF$4:$AL$4,""))</f>
        <v>0</v>
      </c>
      <c r="W456" s="500">
        <f t="array" ref="W456">INDEX('Wind base'!$AF$5:$AL$11,MATCH($S456,'Wind base'!$AE$5:$AE$11,0),MATCH($U456,'Wind base'!$AF$4:$AL$4,0))</f>
        <v>0.38</v>
      </c>
      <c r="X456" s="500" t="e">
        <f t="array" ref="X456">INDEX('Wind base'!$AF$5:$AL$11,MATCH($S456,'Wind base'!$AE$5:$AE$11,0),MATCH($V456,'Wind base'!$AF$4:$AL$4,0))</f>
        <v>#N/A</v>
      </c>
      <c r="Y456" s="500" t="e">
        <f t="array" ref="Y456">INDEX('Wind base'!$AF$5:$AL$11,MATCH($T456,'Wind base'!$AE$5:$AE$11,0),MATCH($U456,'Wind base'!$AF$4:$AL$4,0))</f>
        <v>#N/A</v>
      </c>
      <c r="Z456" s="500" t="e">
        <f t="array" ref="Z456">INDEX('Wind base'!$AF$5:$AL$11,MATCH($T456,'Wind base'!$AE$5:$AE$11,0),MATCH($V456,'Wind base'!$AF$4:$AL$4,0))</f>
        <v>#N/A</v>
      </c>
      <c r="AA456" s="501" t="e">
        <f t="shared" si="128"/>
        <v>#N/A</v>
      </c>
      <c r="AB456" s="501" t="e">
        <f t="shared" si="129"/>
        <v>#N/A</v>
      </c>
      <c r="AC456" s="501" t="e">
        <f t="shared" si="130"/>
        <v>#N/A</v>
      </c>
    </row>
    <row r="457" spans="1:29" ht="15" customHeight="1">
      <c r="A457" s="457" t="str">
        <f t="shared" si="126"/>
        <v/>
      </c>
      <c r="B457" s="701" t="str">
        <f t="shared" si="131"/>
        <v>1</v>
      </c>
      <c r="C457" s="701" t="str">
        <f t="shared" si="132"/>
        <v>5</v>
      </c>
      <c r="D457" s="885" t="str">
        <f t="shared" si="123"/>
        <v>-</v>
      </c>
      <c r="F457" s="1127" t="str">
        <f t="shared" si="133"/>
        <v/>
      </c>
      <c r="G457" s="1128"/>
      <c r="H457" s="688" t="str">
        <f t="shared" si="134"/>
        <v/>
      </c>
      <c r="I457" s="689" t="str">
        <f t="shared" si="135"/>
        <v/>
      </c>
      <c r="J457" s="689" t="str">
        <f t="shared" si="136"/>
        <v/>
      </c>
      <c r="K457" s="690" t="str">
        <f t="shared" si="127"/>
        <v/>
      </c>
      <c r="L457" s="691" t="str">
        <f t="shared" si="137"/>
        <v/>
      </c>
      <c r="M457" s="700" t="str">
        <f>IFERROR(IF(J457="","",IF($M$196="-","-",INDEX(BD!$A$1:$K$2510,MATCH('2.Win Load'!B457,BD!$A$1:$A$2510,0),7))),"")</f>
        <v/>
      </c>
      <c r="N457" s="700" t="str">
        <f>IFERROR(IF($J457="","",IF($N$196="-","-",INDEX(BD!$A$1:$K$2510,MATCH('2.Win Load'!C457,BD!$A$1:$A$2510,0),7))),"")</f>
        <v/>
      </c>
      <c r="O457" s="700" t="str">
        <f>IFERROR(IF($J457="","",IF($O$196="-","-",INDEX(BD!$A$1:$K$2510,MATCH('2.Win Load'!D457,BD!$A$1:$A$2510,0),7))),"")</f>
        <v/>
      </c>
      <c r="P457" s="692" t="str">
        <f t="shared" si="138"/>
        <v/>
      </c>
      <c r="Q457" s="692" t="str">
        <f t="shared" si="139"/>
        <v/>
      </c>
      <c r="R457" s="960" t="str">
        <f t="shared" si="140"/>
        <v/>
      </c>
      <c r="S457" s="498">
        <f t="array" ref="S457">MAX(IF('Wind base'!$AE$5:$AE$11&lt;I457,'Wind base'!$AE$5:$AE$11,""))</f>
        <v>160</v>
      </c>
      <c r="T457" s="498">
        <f t="array" ref="T457">MIN(IF('Wind base'!$AE$5:$AE$11&gt;I457,'Wind base'!$AE$5:$AE$11,""))</f>
        <v>0</v>
      </c>
      <c r="U457" s="499">
        <f t="array" ref="U457">MAX(IF('Wind base'!$AF$4:$AL$4&lt;J457,'Wind base'!$AF$4:$AL$4,""),5)</f>
        <v>350</v>
      </c>
      <c r="V457" s="498">
        <f t="array" ref="V457">MIN(IF('Wind base'!$AF$4:$AL$4&gt;J457,'Wind base'!$AF$4:$AL$4,""))</f>
        <v>0</v>
      </c>
      <c r="W457" s="500">
        <f t="array" ref="W457">INDEX('Wind base'!$AF$5:$AL$11,MATCH($S457,'Wind base'!$AE$5:$AE$11,0),MATCH($U457,'Wind base'!$AF$4:$AL$4,0))</f>
        <v>0.38</v>
      </c>
      <c r="X457" s="500" t="e">
        <f t="array" ref="X457">INDEX('Wind base'!$AF$5:$AL$11,MATCH($S457,'Wind base'!$AE$5:$AE$11,0),MATCH($V457,'Wind base'!$AF$4:$AL$4,0))</f>
        <v>#N/A</v>
      </c>
      <c r="Y457" s="500" t="e">
        <f t="array" ref="Y457">INDEX('Wind base'!$AF$5:$AL$11,MATCH($T457,'Wind base'!$AE$5:$AE$11,0),MATCH($U457,'Wind base'!$AF$4:$AL$4,0))</f>
        <v>#N/A</v>
      </c>
      <c r="Z457" s="500" t="e">
        <f t="array" ref="Z457">INDEX('Wind base'!$AF$5:$AL$11,MATCH($T457,'Wind base'!$AE$5:$AE$11,0),MATCH($V457,'Wind base'!$AF$4:$AL$4,0))</f>
        <v>#N/A</v>
      </c>
      <c r="AA457" s="501" t="e">
        <f t="shared" si="128"/>
        <v>#N/A</v>
      </c>
      <c r="AB457" s="501" t="e">
        <f t="shared" si="129"/>
        <v>#N/A</v>
      </c>
      <c r="AC457" s="501" t="e">
        <f t="shared" si="130"/>
        <v>#N/A</v>
      </c>
    </row>
    <row r="458" spans="1:29" ht="15" customHeight="1">
      <c r="A458" s="457" t="str">
        <f t="shared" si="126"/>
        <v/>
      </c>
      <c r="B458" s="701" t="str">
        <f t="shared" si="131"/>
        <v>1</v>
      </c>
      <c r="C458" s="701" t="str">
        <f t="shared" si="132"/>
        <v>5</v>
      </c>
      <c r="D458" s="885" t="str">
        <f t="shared" si="123"/>
        <v>-</v>
      </c>
      <c r="F458" s="1127" t="str">
        <f t="shared" si="133"/>
        <v/>
      </c>
      <c r="G458" s="1128"/>
      <c r="H458" s="688" t="str">
        <f t="shared" si="134"/>
        <v/>
      </c>
      <c r="I458" s="689" t="str">
        <f t="shared" si="135"/>
        <v/>
      </c>
      <c r="J458" s="689" t="str">
        <f t="shared" si="136"/>
        <v/>
      </c>
      <c r="K458" s="690" t="str">
        <f t="shared" si="127"/>
        <v/>
      </c>
      <c r="L458" s="691" t="str">
        <f t="shared" si="137"/>
        <v/>
      </c>
      <c r="M458" s="700" t="str">
        <f>IFERROR(IF(J458="","",IF($M$196="-","-",INDEX(BD!$A$1:$K$2510,MATCH('2.Win Load'!B458,BD!$A$1:$A$2510,0),7))),"")</f>
        <v/>
      </c>
      <c r="N458" s="700" t="str">
        <f>IFERROR(IF($J458="","",IF($N$196="-","-",INDEX(BD!$A$1:$K$2510,MATCH('2.Win Load'!C458,BD!$A$1:$A$2510,0),7))),"")</f>
        <v/>
      </c>
      <c r="O458" s="700" t="str">
        <f>IFERROR(IF($J458="","",IF($O$196="-","-",INDEX(BD!$A$1:$K$2510,MATCH('2.Win Load'!D458,BD!$A$1:$A$2510,0),7))),"")</f>
        <v/>
      </c>
      <c r="P458" s="692" t="str">
        <f t="shared" si="138"/>
        <v/>
      </c>
      <c r="Q458" s="692" t="str">
        <f t="shared" si="139"/>
        <v/>
      </c>
      <c r="R458" s="960" t="str">
        <f t="shared" si="140"/>
        <v/>
      </c>
      <c r="S458" s="498">
        <f t="array" ref="S458">MAX(IF('Wind base'!$AE$5:$AE$11&lt;I458,'Wind base'!$AE$5:$AE$11,""))</f>
        <v>160</v>
      </c>
      <c r="T458" s="498">
        <f t="array" ref="T458">MIN(IF('Wind base'!$AE$5:$AE$11&gt;I458,'Wind base'!$AE$5:$AE$11,""))</f>
        <v>0</v>
      </c>
      <c r="U458" s="499">
        <f t="array" ref="U458">MAX(IF('Wind base'!$AF$4:$AL$4&lt;J458,'Wind base'!$AF$4:$AL$4,""),5)</f>
        <v>350</v>
      </c>
      <c r="V458" s="498">
        <f t="array" ref="V458">MIN(IF('Wind base'!$AF$4:$AL$4&gt;J458,'Wind base'!$AF$4:$AL$4,""))</f>
        <v>0</v>
      </c>
      <c r="W458" s="500">
        <f t="array" ref="W458">INDEX('Wind base'!$AF$5:$AL$11,MATCH($S458,'Wind base'!$AE$5:$AE$11,0),MATCH($U458,'Wind base'!$AF$4:$AL$4,0))</f>
        <v>0.38</v>
      </c>
      <c r="X458" s="500" t="e">
        <f t="array" ref="X458">INDEX('Wind base'!$AF$5:$AL$11,MATCH($S458,'Wind base'!$AE$5:$AE$11,0),MATCH($V458,'Wind base'!$AF$4:$AL$4,0))</f>
        <v>#N/A</v>
      </c>
      <c r="Y458" s="500" t="e">
        <f t="array" ref="Y458">INDEX('Wind base'!$AF$5:$AL$11,MATCH($T458,'Wind base'!$AE$5:$AE$11,0),MATCH($U458,'Wind base'!$AF$4:$AL$4,0))</f>
        <v>#N/A</v>
      </c>
      <c r="Z458" s="500" t="e">
        <f t="array" ref="Z458">INDEX('Wind base'!$AF$5:$AL$11,MATCH($T458,'Wind base'!$AE$5:$AE$11,0),MATCH($V458,'Wind base'!$AF$4:$AL$4,0))</f>
        <v>#N/A</v>
      </c>
      <c r="AA458" s="501" t="e">
        <f t="shared" si="128"/>
        <v>#N/A</v>
      </c>
      <c r="AB458" s="501" t="e">
        <f t="shared" si="129"/>
        <v>#N/A</v>
      </c>
      <c r="AC458" s="501" t="e">
        <f t="shared" si="130"/>
        <v>#N/A</v>
      </c>
    </row>
    <row r="459" spans="1:29" ht="15" customHeight="1">
      <c r="A459" s="457" t="str">
        <f t="shared" si="126"/>
        <v/>
      </c>
      <c r="B459" s="701" t="str">
        <f t="shared" si="131"/>
        <v>1</v>
      </c>
      <c r="C459" s="701" t="str">
        <f t="shared" si="132"/>
        <v>5</v>
      </c>
      <c r="D459" s="885" t="str">
        <f t="shared" si="123"/>
        <v>-</v>
      </c>
      <c r="F459" s="1127" t="str">
        <f t="shared" si="133"/>
        <v/>
      </c>
      <c r="G459" s="1128"/>
      <c r="H459" s="688" t="str">
        <f t="shared" si="134"/>
        <v/>
      </c>
      <c r="I459" s="689" t="str">
        <f t="shared" si="135"/>
        <v/>
      </c>
      <c r="J459" s="689" t="str">
        <f t="shared" si="136"/>
        <v/>
      </c>
      <c r="K459" s="690" t="str">
        <f t="shared" si="127"/>
        <v/>
      </c>
      <c r="L459" s="691" t="str">
        <f t="shared" si="137"/>
        <v/>
      </c>
      <c r="M459" s="700" t="str">
        <f>IFERROR(IF(J459="","",IF($M$196="-","-",INDEX(BD!$A$1:$K$2510,MATCH('2.Win Load'!B459,BD!$A$1:$A$2510,0),7))),"")</f>
        <v/>
      </c>
      <c r="N459" s="700" t="str">
        <f>IFERROR(IF($J459="","",IF($N$196="-","-",INDEX(BD!$A$1:$K$2510,MATCH('2.Win Load'!C459,BD!$A$1:$A$2510,0),7))),"")</f>
        <v/>
      </c>
      <c r="O459" s="700" t="str">
        <f>IFERROR(IF($J459="","",IF($O$196="-","-",INDEX(BD!$A$1:$K$2510,MATCH('2.Win Load'!D459,BD!$A$1:$A$2510,0),7))),"")</f>
        <v/>
      </c>
      <c r="P459" s="692" t="str">
        <f t="shared" si="138"/>
        <v/>
      </c>
      <c r="Q459" s="692" t="str">
        <f t="shared" si="139"/>
        <v/>
      </c>
      <c r="R459" s="960" t="str">
        <f t="shared" si="140"/>
        <v/>
      </c>
      <c r="S459" s="498">
        <f t="array" ref="S459">MAX(IF('Wind base'!$AE$5:$AE$11&lt;I459,'Wind base'!$AE$5:$AE$11,""))</f>
        <v>160</v>
      </c>
      <c r="T459" s="498">
        <f t="array" ref="T459">MIN(IF('Wind base'!$AE$5:$AE$11&gt;I459,'Wind base'!$AE$5:$AE$11,""))</f>
        <v>0</v>
      </c>
      <c r="U459" s="499">
        <f t="array" ref="U459">MAX(IF('Wind base'!$AF$4:$AL$4&lt;J459,'Wind base'!$AF$4:$AL$4,""),5)</f>
        <v>350</v>
      </c>
      <c r="V459" s="498">
        <f t="array" ref="V459">MIN(IF('Wind base'!$AF$4:$AL$4&gt;J459,'Wind base'!$AF$4:$AL$4,""))</f>
        <v>0</v>
      </c>
      <c r="W459" s="500">
        <f t="array" ref="W459">INDEX('Wind base'!$AF$5:$AL$11,MATCH($S459,'Wind base'!$AE$5:$AE$11,0),MATCH($U459,'Wind base'!$AF$4:$AL$4,0))</f>
        <v>0.38</v>
      </c>
      <c r="X459" s="500" t="e">
        <f t="array" ref="X459">INDEX('Wind base'!$AF$5:$AL$11,MATCH($S459,'Wind base'!$AE$5:$AE$11,0),MATCH($V459,'Wind base'!$AF$4:$AL$4,0))</f>
        <v>#N/A</v>
      </c>
      <c r="Y459" s="500" t="e">
        <f t="array" ref="Y459">INDEX('Wind base'!$AF$5:$AL$11,MATCH($T459,'Wind base'!$AE$5:$AE$11,0),MATCH($U459,'Wind base'!$AF$4:$AL$4,0))</f>
        <v>#N/A</v>
      </c>
      <c r="Z459" s="500" t="e">
        <f t="array" ref="Z459">INDEX('Wind base'!$AF$5:$AL$11,MATCH($T459,'Wind base'!$AE$5:$AE$11,0),MATCH($V459,'Wind base'!$AF$4:$AL$4,0))</f>
        <v>#N/A</v>
      </c>
      <c r="AA459" s="501" t="e">
        <f t="shared" si="128"/>
        <v>#N/A</v>
      </c>
      <c r="AB459" s="501" t="e">
        <f t="shared" si="129"/>
        <v>#N/A</v>
      </c>
      <c r="AC459" s="501" t="e">
        <f t="shared" si="130"/>
        <v>#N/A</v>
      </c>
    </row>
    <row r="460" spans="1:29" ht="15" customHeight="1">
      <c r="A460" s="457" t="str">
        <f t="shared" si="126"/>
        <v/>
      </c>
      <c r="B460" s="701" t="str">
        <f t="shared" si="131"/>
        <v>1</v>
      </c>
      <c r="C460" s="701" t="str">
        <f t="shared" si="132"/>
        <v>5</v>
      </c>
      <c r="D460" s="885" t="str">
        <f t="shared" si="123"/>
        <v>-</v>
      </c>
      <c r="F460" s="1127" t="str">
        <f t="shared" si="133"/>
        <v/>
      </c>
      <c r="G460" s="1128"/>
      <c r="H460" s="688" t="str">
        <f t="shared" si="134"/>
        <v/>
      </c>
      <c r="I460" s="689" t="str">
        <f t="shared" si="135"/>
        <v/>
      </c>
      <c r="J460" s="689" t="str">
        <f t="shared" si="136"/>
        <v/>
      </c>
      <c r="K460" s="690" t="str">
        <f t="shared" si="127"/>
        <v/>
      </c>
      <c r="L460" s="691" t="str">
        <f t="shared" si="137"/>
        <v/>
      </c>
      <c r="M460" s="700" t="str">
        <f>IFERROR(IF(J460="","",IF($M$196="-","-",INDEX(BD!$A$1:$K$2510,MATCH('2.Win Load'!B460,BD!$A$1:$A$2510,0),7))),"")</f>
        <v/>
      </c>
      <c r="N460" s="700" t="str">
        <f>IFERROR(IF($J460="","",IF($N$196="-","-",INDEX(BD!$A$1:$K$2510,MATCH('2.Win Load'!C460,BD!$A$1:$A$2510,0),7))),"")</f>
        <v/>
      </c>
      <c r="O460" s="700" t="str">
        <f>IFERROR(IF($J460="","",IF($O$196="-","-",INDEX(BD!$A$1:$K$2510,MATCH('2.Win Load'!D460,BD!$A$1:$A$2510,0),7))),"")</f>
        <v/>
      </c>
      <c r="P460" s="692" t="str">
        <f t="shared" si="138"/>
        <v/>
      </c>
      <c r="Q460" s="692" t="str">
        <f t="shared" si="139"/>
        <v/>
      </c>
      <c r="R460" s="960" t="str">
        <f t="shared" si="140"/>
        <v/>
      </c>
      <c r="S460" s="498">
        <f t="array" ref="S460">MAX(IF('Wind base'!$AE$5:$AE$11&lt;I460,'Wind base'!$AE$5:$AE$11,""))</f>
        <v>160</v>
      </c>
      <c r="T460" s="498">
        <f t="array" ref="T460">MIN(IF('Wind base'!$AE$5:$AE$11&gt;I460,'Wind base'!$AE$5:$AE$11,""))</f>
        <v>0</v>
      </c>
      <c r="U460" s="499">
        <f t="array" ref="U460">MAX(IF('Wind base'!$AF$4:$AL$4&lt;J460,'Wind base'!$AF$4:$AL$4,""),5)</f>
        <v>350</v>
      </c>
      <c r="V460" s="498">
        <f t="array" ref="V460">MIN(IF('Wind base'!$AF$4:$AL$4&gt;J460,'Wind base'!$AF$4:$AL$4,""))</f>
        <v>0</v>
      </c>
      <c r="W460" s="500">
        <f t="array" ref="W460">INDEX('Wind base'!$AF$5:$AL$11,MATCH($S460,'Wind base'!$AE$5:$AE$11,0),MATCH($U460,'Wind base'!$AF$4:$AL$4,0))</f>
        <v>0.38</v>
      </c>
      <c r="X460" s="500" t="e">
        <f t="array" ref="X460">INDEX('Wind base'!$AF$5:$AL$11,MATCH($S460,'Wind base'!$AE$5:$AE$11,0),MATCH($V460,'Wind base'!$AF$4:$AL$4,0))</f>
        <v>#N/A</v>
      </c>
      <c r="Y460" s="500" t="e">
        <f t="array" ref="Y460">INDEX('Wind base'!$AF$5:$AL$11,MATCH($T460,'Wind base'!$AE$5:$AE$11,0),MATCH($U460,'Wind base'!$AF$4:$AL$4,0))</f>
        <v>#N/A</v>
      </c>
      <c r="Z460" s="500" t="e">
        <f t="array" ref="Z460">INDEX('Wind base'!$AF$5:$AL$11,MATCH($T460,'Wind base'!$AE$5:$AE$11,0),MATCH($V460,'Wind base'!$AF$4:$AL$4,0))</f>
        <v>#N/A</v>
      </c>
      <c r="AA460" s="501" t="e">
        <f t="shared" si="128"/>
        <v>#N/A</v>
      </c>
      <c r="AB460" s="501" t="e">
        <f t="shared" si="129"/>
        <v>#N/A</v>
      </c>
      <c r="AC460" s="501" t="e">
        <f t="shared" si="130"/>
        <v>#N/A</v>
      </c>
    </row>
    <row r="461" spans="1:29" ht="15" customHeight="1">
      <c r="A461" s="457">
        <v>1</v>
      </c>
      <c r="B461" s="701"/>
      <c r="C461" s="701"/>
      <c r="D461" s="885"/>
      <c r="F461" s="516"/>
      <c r="G461" s="553"/>
      <c r="H461" s="554"/>
      <c r="I461" s="456"/>
      <c r="J461" s="456"/>
      <c r="K461" s="555"/>
      <c r="L461" s="556"/>
      <c r="M461" s="557"/>
      <c r="N461" s="557"/>
      <c r="O461" s="557"/>
      <c r="P461" s="554"/>
      <c r="Q461" s="554"/>
      <c r="R461" s="558"/>
      <c r="S461" s="502"/>
      <c r="T461" s="502"/>
      <c r="U461" s="503"/>
      <c r="V461" s="502"/>
      <c r="W461" s="504"/>
      <c r="X461" s="504"/>
      <c r="Y461" s="504"/>
      <c r="Z461" s="504"/>
      <c r="AA461" s="505"/>
      <c r="AB461" s="505"/>
      <c r="AC461" s="505"/>
    </row>
    <row r="462" spans="1:29" ht="15" customHeight="1">
      <c r="A462" s="457">
        <v>1</v>
      </c>
      <c r="B462" s="701"/>
      <c r="C462" s="701"/>
      <c r="D462" s="885"/>
      <c r="F462" s="516"/>
      <c r="G462" s="559"/>
      <c r="H462" s="560"/>
      <c r="I462" s="561"/>
      <c r="J462" s="456"/>
      <c r="K462" s="555"/>
      <c r="L462" s="562"/>
      <c r="M462" s="563"/>
      <c r="N462" s="563"/>
      <c r="O462" s="563"/>
      <c r="P462" s="1112" t="s">
        <v>1786</v>
      </c>
      <c r="Q462" s="1113"/>
      <c r="R462" s="1114"/>
      <c r="S462" s="502"/>
      <c r="T462" s="502"/>
      <c r="U462" s="503"/>
      <c r="V462" s="502"/>
      <c r="W462" s="504"/>
      <c r="X462" s="504"/>
      <c r="Y462" s="504"/>
      <c r="Z462" s="504"/>
      <c r="AA462" s="505"/>
      <c r="AB462" s="505"/>
      <c r="AC462" s="505"/>
    </row>
    <row r="463" spans="1:29" ht="15" customHeight="1">
      <c r="A463" s="457">
        <v>1</v>
      </c>
      <c r="B463" s="701"/>
      <c r="C463" s="701"/>
      <c r="D463" s="885"/>
      <c r="F463" s="516"/>
      <c r="G463" s="563"/>
      <c r="H463" s="563"/>
      <c r="I463" s="563"/>
      <c r="J463" s="563"/>
      <c r="K463" s="563"/>
      <c r="L463" s="563"/>
      <c r="M463" s="563"/>
      <c r="N463" s="563"/>
      <c r="O463" s="563"/>
      <c r="P463" s="1115" t="str">
        <f>IF([2]General!$D$1="V","","Modal dynamic component (kN)")</f>
        <v>Modal dynamic component (kN)</v>
      </c>
      <c r="Q463" s="1116"/>
      <c r="R463" s="1117"/>
      <c r="S463" s="502"/>
      <c r="T463" s="502"/>
      <c r="U463" s="503"/>
      <c r="V463" s="502"/>
      <c r="W463" s="504"/>
      <c r="X463" s="504"/>
      <c r="Y463" s="504"/>
      <c r="Z463" s="504"/>
      <c r="AA463" s="505"/>
      <c r="AB463" s="505"/>
      <c r="AC463" s="505"/>
    </row>
    <row r="464" spans="1:29" ht="15" customHeight="1">
      <c r="A464" s="457">
        <v>1</v>
      </c>
      <c r="B464" s="701"/>
      <c r="C464" s="701"/>
      <c r="D464" s="885"/>
      <c r="F464" s="1165" t="s">
        <v>50</v>
      </c>
      <c r="G464" s="1165"/>
      <c r="H464" s="564" t="s">
        <v>5</v>
      </c>
      <c r="I464" s="1133" t="s">
        <v>89</v>
      </c>
      <c r="J464" s="1129" t="s">
        <v>876</v>
      </c>
      <c r="K464" s="1129" t="s">
        <v>877</v>
      </c>
      <c r="L464" s="1129" t="s">
        <v>878</v>
      </c>
      <c r="M464" s="1129" t="s">
        <v>879</v>
      </c>
      <c r="N464" s="1129" t="s">
        <v>880</v>
      </c>
      <c r="O464" s="1129" t="s">
        <v>881</v>
      </c>
      <c r="P464" s="1129" t="s">
        <v>882</v>
      </c>
      <c r="Q464" s="1129" t="s">
        <v>883</v>
      </c>
      <c r="R464" s="1129" t="s">
        <v>884</v>
      </c>
      <c r="S464" s="502"/>
      <c r="T464" s="502"/>
      <c r="U464" s="503"/>
      <c r="V464" s="502"/>
      <c r="W464" s="504"/>
      <c r="X464" s="504"/>
      <c r="Y464" s="504"/>
      <c r="Z464" s="504"/>
      <c r="AA464" s="505"/>
      <c r="AB464" s="505"/>
      <c r="AC464" s="505"/>
    </row>
    <row r="465" spans="1:29" ht="15" customHeight="1">
      <c r="A465" s="457">
        <v>1</v>
      </c>
      <c r="B465" s="701"/>
      <c r="C465" s="701"/>
      <c r="D465" s="885"/>
      <c r="F465" s="1166" t="str">
        <f>IF(Menu!$C$7 = "V","","Floor level")</f>
        <v/>
      </c>
      <c r="G465" s="1166"/>
      <c r="H465" s="565" t="str">
        <f>IF([2]General!$D$1="V","","Level")</f>
        <v>Level</v>
      </c>
      <c r="I465" s="1133"/>
      <c r="J465" s="1129"/>
      <c r="K465" s="1129"/>
      <c r="L465" s="1129"/>
      <c r="M465" s="1129"/>
      <c r="N465" s="1129"/>
      <c r="O465" s="1129"/>
      <c r="P465" s="1129"/>
      <c r="Q465" s="1129"/>
      <c r="R465" s="1129"/>
      <c r="S465" s="502"/>
      <c r="T465" s="502"/>
      <c r="U465" s="503"/>
      <c r="V465" s="502"/>
      <c r="W465" s="504"/>
      <c r="X465" s="504"/>
      <c r="Y465" s="504"/>
      <c r="Z465" s="504"/>
      <c r="AA465" s="505"/>
      <c r="AB465" s="505"/>
      <c r="AC465" s="505"/>
    </row>
    <row r="466" spans="1:29" ht="15" customHeight="1">
      <c r="A466" s="457">
        <f t="shared" ref="A466:A497" si="141">IF(F466="","",1)</f>
        <v>1</v>
      </c>
      <c r="B466" s="701" t="str">
        <f t="shared" ref="B466" si="142">F466&amp;$M$195</f>
        <v>TMAI1</v>
      </c>
      <c r="C466" s="701" t="str">
        <f t="shared" ref="C466" si="143">F466&amp;$N$195</f>
        <v>TMAI5</v>
      </c>
      <c r="D466" s="885" t="str">
        <f t="shared" ref="D466:D499" si="144">F466&amp;$O$195</f>
        <v>TMAI-</v>
      </c>
      <c r="F466" s="1127" t="str">
        <f>F24</f>
        <v>TMAI</v>
      </c>
      <c r="G466" s="1128"/>
      <c r="H466" s="688">
        <f>H24</f>
        <v>135.80000000000001</v>
      </c>
      <c r="I466" s="689">
        <f>I295</f>
        <v>5.6</v>
      </c>
      <c r="J466" s="623" t="str">
        <f>IF(M382="-","-",IFERROR(M382*P382,""))</f>
        <v/>
      </c>
      <c r="K466" s="623" t="str">
        <f>IF(N382="-","-",IFERROR(N382*Q382,""))</f>
        <v/>
      </c>
      <c r="L466" s="623" t="str">
        <f>IF(O382="-","-",IFERROR(O382*R382,""))</f>
        <v>-</v>
      </c>
      <c r="M466" s="666" t="str">
        <f>IF(M382="-","-",IFERROR(M382^2*J111,""))</f>
        <v/>
      </c>
      <c r="N466" s="666" t="str">
        <f>IF(N382="-","-",IFERROR(N382^2*J111,""))</f>
        <v/>
      </c>
      <c r="O466" s="666" t="str">
        <f>IF(O382="-","-",IFERROR(O382^2*J111,""))</f>
        <v>-</v>
      </c>
      <c r="P466" s="662" t="str">
        <f>IF(M382="-","-",IFERROR($J111*$M$202*M382*$J$547,""))</f>
        <v/>
      </c>
      <c r="Q466" s="662" t="str">
        <f>IF(N382="-","-",IFERROR($J111*$N$202*N382*$K$547,""))</f>
        <v/>
      </c>
      <c r="R466" s="662" t="str">
        <f>IF(O382="-","-",IFERROR($J111*$O$202*O382*$L$547,""))</f>
        <v>-</v>
      </c>
      <c r="S466" s="502"/>
      <c r="T466" s="502"/>
      <c r="U466" s="503"/>
      <c r="V466" s="502"/>
      <c r="W466" s="504"/>
      <c r="X466" s="504"/>
      <c r="Y466" s="504"/>
      <c r="Z466" s="504"/>
      <c r="AA466" s="505"/>
      <c r="AB466" s="505"/>
      <c r="AC466" s="505"/>
    </row>
    <row r="467" spans="1:29" ht="15" customHeight="1">
      <c r="A467" s="457">
        <f t="shared" si="141"/>
        <v>1</v>
      </c>
      <c r="B467" s="701" t="str">
        <f t="shared" ref="B467:B530" si="145">F467&amp;$M$195</f>
        <v>TTUM1</v>
      </c>
      <c r="C467" s="701" t="str">
        <f t="shared" ref="C467:C530" si="146">F467&amp;$N$195</f>
        <v>TTUM5</v>
      </c>
      <c r="D467" s="885" t="str">
        <f t="shared" si="144"/>
        <v>TTUM-</v>
      </c>
      <c r="F467" s="1127" t="str">
        <f t="shared" ref="F467:F530" si="147">F25</f>
        <v>TTUM</v>
      </c>
      <c r="G467" s="1128"/>
      <c r="H467" s="688">
        <f t="shared" ref="H467:H530" si="148">H25</f>
        <v>130.19999999999999</v>
      </c>
      <c r="I467" s="689">
        <f t="shared" ref="I467:I530" si="149">I296</f>
        <v>3.4</v>
      </c>
      <c r="J467" s="623">
        <f t="shared" ref="J467:J530" si="150">IF(M383="-","-",IFERROR(M383*P383,""))</f>
        <v>0.79215553681372097</v>
      </c>
      <c r="K467" s="623">
        <f t="shared" ref="K467:K530" si="151">IF(N383="-","-",IFERROR(N383*Q383,""))</f>
        <v>1.4608008469410574</v>
      </c>
      <c r="L467" s="623" t="str">
        <f t="shared" ref="L467:L530" si="152">IF(O383="-","-",IFERROR(O383*R383,""))</f>
        <v>-</v>
      </c>
      <c r="M467" s="666">
        <f t="shared" ref="M467:M530" si="153">IF(M383="-","-",IFERROR(M383^2*J112,""))</f>
        <v>6.0915611546708791E-2</v>
      </c>
      <c r="N467" s="666">
        <f t="shared" ref="N467:N530" si="154">IF(N383="-","-",IFERROR(N383^2*J112,""))</f>
        <v>6.1125906942279991E-2</v>
      </c>
      <c r="O467" s="666" t="str">
        <f t="shared" ref="O467:O530" si="155">IF(O383="-","-",IFERROR(O383^2*J112,""))</f>
        <v>-</v>
      </c>
      <c r="P467" s="662">
        <f t="shared" ref="P467:P530" si="156">IF(M383="-","-",IFERROR($J112*$M$202*M383*$J$547,""))</f>
        <v>273.54557032689149</v>
      </c>
      <c r="Q467" s="662">
        <f t="shared" ref="Q467:Q530" si="157">IF(N383="-","-",IFERROR($J112*$N$202*N383*$K$547,""))</f>
        <v>-136.57046061369229</v>
      </c>
      <c r="R467" s="662" t="str">
        <f t="shared" ref="R467:R530" si="158">IF(O383="-","-",IFERROR($J112*$O$202*O383*$L$547,""))</f>
        <v>-</v>
      </c>
      <c r="S467" s="502"/>
      <c r="T467" s="502"/>
      <c r="U467" s="503"/>
      <c r="V467" s="502"/>
      <c r="W467" s="504"/>
      <c r="X467" s="504"/>
      <c r="Y467" s="504"/>
      <c r="Z467" s="504"/>
      <c r="AA467" s="505"/>
      <c r="AB467" s="505"/>
      <c r="AC467" s="505"/>
    </row>
    <row r="468" spans="1:29" ht="15" customHeight="1">
      <c r="A468" s="457">
        <f t="shared" si="141"/>
        <v>1</v>
      </c>
      <c r="B468" s="701" t="str">
        <f t="shared" si="145"/>
        <v>T381</v>
      </c>
      <c r="C468" s="701" t="str">
        <f t="shared" si="146"/>
        <v>T385</v>
      </c>
      <c r="D468" s="885" t="str">
        <f t="shared" si="144"/>
        <v>T38-</v>
      </c>
      <c r="F468" s="1127" t="str">
        <f t="shared" si="147"/>
        <v>T38</v>
      </c>
      <c r="G468" s="1128"/>
      <c r="H468" s="688">
        <f t="shared" si="148"/>
        <v>126.8</v>
      </c>
      <c r="I468" s="689">
        <f t="shared" si="149"/>
        <v>3.4</v>
      </c>
      <c r="J468" s="623">
        <f t="shared" si="150"/>
        <v>0.58490112770754199</v>
      </c>
      <c r="K468" s="623">
        <f t="shared" si="151"/>
        <v>0.99837366969032848</v>
      </c>
      <c r="L468" s="623" t="str">
        <f t="shared" si="152"/>
        <v>-</v>
      </c>
      <c r="M468" s="666">
        <f t="shared" si="153"/>
        <v>5.7889979245198793E-2</v>
      </c>
      <c r="N468" s="666">
        <f t="shared" si="154"/>
        <v>5.0177205368370004E-2</v>
      </c>
      <c r="O468" s="666" t="str">
        <f t="shared" si="155"/>
        <v>-</v>
      </c>
      <c r="P468" s="662">
        <f t="shared" si="156"/>
        <v>266.66565155609442</v>
      </c>
      <c r="Q468" s="662">
        <f t="shared" si="157"/>
        <v>-123.73636424325205</v>
      </c>
      <c r="R468" s="662" t="str">
        <f t="shared" si="158"/>
        <v>-</v>
      </c>
      <c r="S468" s="502"/>
      <c r="T468" s="502"/>
      <c r="U468" s="503"/>
      <c r="V468" s="502"/>
      <c r="W468" s="504"/>
      <c r="X468" s="504"/>
      <c r="Y468" s="504"/>
      <c r="Z468" s="504"/>
      <c r="AA468" s="505"/>
      <c r="AB468" s="505"/>
      <c r="AC468" s="505"/>
    </row>
    <row r="469" spans="1:29" ht="15" customHeight="1">
      <c r="A469" s="457">
        <f t="shared" si="141"/>
        <v>1</v>
      </c>
      <c r="B469" s="701" t="str">
        <f t="shared" si="145"/>
        <v>T371</v>
      </c>
      <c r="C469" s="701" t="str">
        <f t="shared" si="146"/>
        <v>T375</v>
      </c>
      <c r="D469" s="885" t="str">
        <f t="shared" si="144"/>
        <v>T37-</v>
      </c>
      <c r="F469" s="1127" t="str">
        <f t="shared" si="147"/>
        <v>T37</v>
      </c>
      <c r="G469" s="1128"/>
      <c r="H469" s="688">
        <f t="shared" si="148"/>
        <v>123.4</v>
      </c>
      <c r="I469" s="689">
        <f t="shared" si="149"/>
        <v>3.4</v>
      </c>
      <c r="J469" s="623">
        <f t="shared" si="150"/>
        <v>0.57092016046871219</v>
      </c>
      <c r="K469" s="623">
        <f t="shared" si="151"/>
        <v>0.89048969227636943</v>
      </c>
      <c r="L469" s="623" t="str">
        <f t="shared" si="152"/>
        <v>-</v>
      </c>
      <c r="M469" s="666">
        <f t="shared" si="153"/>
        <v>5.4891538534929993E-2</v>
      </c>
      <c r="N469" s="666">
        <f t="shared" si="154"/>
        <v>4.0052158243988806E-2</v>
      </c>
      <c r="O469" s="666" t="str">
        <f t="shared" si="155"/>
        <v>-</v>
      </c>
      <c r="P469" s="662">
        <f t="shared" si="156"/>
        <v>259.66779132065511</v>
      </c>
      <c r="Q469" s="662">
        <f t="shared" si="157"/>
        <v>-110.54957514812796</v>
      </c>
      <c r="R469" s="662" t="str">
        <f t="shared" si="158"/>
        <v>-</v>
      </c>
      <c r="S469" s="502"/>
      <c r="T469" s="502"/>
      <c r="U469" s="503"/>
      <c r="V469" s="502"/>
      <c r="W469" s="504"/>
      <c r="X469" s="504"/>
      <c r="Y469" s="504"/>
      <c r="Z469" s="504"/>
      <c r="AA469" s="505"/>
      <c r="AB469" s="505"/>
      <c r="AC469" s="505"/>
    </row>
    <row r="470" spans="1:29" ht="15" customHeight="1">
      <c r="A470" s="457">
        <f t="shared" si="141"/>
        <v>1</v>
      </c>
      <c r="B470" s="701" t="str">
        <f t="shared" si="145"/>
        <v>T361</v>
      </c>
      <c r="C470" s="701" t="str">
        <f t="shared" si="146"/>
        <v>T365</v>
      </c>
      <c r="D470" s="885" t="str">
        <f t="shared" si="144"/>
        <v>T36-</v>
      </c>
      <c r="F470" s="1127" t="str">
        <f t="shared" si="147"/>
        <v>T36</v>
      </c>
      <c r="G470" s="1128"/>
      <c r="H470" s="688">
        <f t="shared" si="148"/>
        <v>120</v>
      </c>
      <c r="I470" s="689">
        <f t="shared" si="149"/>
        <v>3.4</v>
      </c>
      <c r="J470" s="623">
        <f t="shared" si="150"/>
        <v>0.5565737468524603</v>
      </c>
      <c r="K470" s="623">
        <f t="shared" si="151"/>
        <v>0.77961721429857056</v>
      </c>
      <c r="L470" s="623" t="str">
        <f t="shared" si="152"/>
        <v>-</v>
      </c>
      <c r="M470" s="666">
        <f t="shared" si="153"/>
        <v>5.1924320782259198E-2</v>
      </c>
      <c r="N470" s="666">
        <f t="shared" si="154"/>
        <v>3.0804853067756804E-2</v>
      </c>
      <c r="O470" s="666" t="str">
        <f t="shared" si="155"/>
        <v>-</v>
      </c>
      <c r="P470" s="662">
        <f t="shared" si="156"/>
        <v>252.55198962057358</v>
      </c>
      <c r="Q470" s="662">
        <f t="shared" si="157"/>
        <v>-96.951311207539391</v>
      </c>
      <c r="R470" s="662" t="str">
        <f t="shared" si="158"/>
        <v>-</v>
      </c>
      <c r="S470" s="502"/>
      <c r="T470" s="502"/>
      <c r="U470" s="503"/>
      <c r="V470" s="502"/>
      <c r="W470" s="504"/>
      <c r="X470" s="504"/>
      <c r="Y470" s="504"/>
      <c r="Z470" s="504"/>
      <c r="AA470" s="505"/>
      <c r="AB470" s="505"/>
      <c r="AC470" s="505"/>
    </row>
    <row r="471" spans="1:29" ht="15" customHeight="1">
      <c r="A471" s="457">
        <f t="shared" si="141"/>
        <v>1</v>
      </c>
      <c r="B471" s="701" t="str">
        <f t="shared" si="145"/>
        <v>T351</v>
      </c>
      <c r="C471" s="701" t="str">
        <f t="shared" si="146"/>
        <v>T355</v>
      </c>
      <c r="D471" s="885" t="str">
        <f t="shared" si="144"/>
        <v>T35-</v>
      </c>
      <c r="F471" s="1127" t="str">
        <f t="shared" si="147"/>
        <v>T35</v>
      </c>
      <c r="G471" s="1128"/>
      <c r="H471" s="688">
        <f t="shared" si="148"/>
        <v>116.6</v>
      </c>
      <c r="I471" s="689">
        <f t="shared" si="149"/>
        <v>3.4</v>
      </c>
      <c r="J471" s="623">
        <f t="shared" si="150"/>
        <v>0.54194799320245945</v>
      </c>
      <c r="K471" s="623">
        <f t="shared" si="151"/>
        <v>0.66594322890671676</v>
      </c>
      <c r="L471" s="623" t="str">
        <f t="shared" si="152"/>
        <v>-</v>
      </c>
      <c r="M471" s="666">
        <f t="shared" si="153"/>
        <v>4.9008129256565197E-2</v>
      </c>
      <c r="N471" s="666">
        <f t="shared" si="154"/>
        <v>2.2555967860475198E-2</v>
      </c>
      <c r="O471" s="666" t="str">
        <f t="shared" si="155"/>
        <v>-</v>
      </c>
      <c r="P471" s="662">
        <f t="shared" si="156"/>
        <v>245.35756027739723</v>
      </c>
      <c r="Q471" s="662">
        <f t="shared" si="157"/>
        <v>-82.961166461746501</v>
      </c>
      <c r="R471" s="662" t="str">
        <f t="shared" si="158"/>
        <v>-</v>
      </c>
      <c r="S471" s="502"/>
      <c r="T471" s="502"/>
      <c r="U471" s="503"/>
      <c r="V471" s="502"/>
      <c r="W471" s="504"/>
      <c r="X471" s="504"/>
      <c r="Y471" s="504"/>
      <c r="Z471" s="504"/>
      <c r="AA471" s="505"/>
      <c r="AB471" s="505"/>
      <c r="AC471" s="505"/>
    </row>
    <row r="472" spans="1:29" ht="15" customHeight="1">
      <c r="A472" s="457">
        <f t="shared" si="141"/>
        <v>1</v>
      </c>
      <c r="B472" s="701" t="str">
        <f t="shared" si="145"/>
        <v>T341</v>
      </c>
      <c r="C472" s="701" t="str">
        <f t="shared" si="146"/>
        <v>T345</v>
      </c>
      <c r="D472" s="885" t="str">
        <f t="shared" si="144"/>
        <v>T34-</v>
      </c>
      <c r="F472" s="1127" t="str">
        <f t="shared" si="147"/>
        <v>T34</v>
      </c>
      <c r="G472" s="1128"/>
      <c r="H472" s="688">
        <f t="shared" si="148"/>
        <v>113.2</v>
      </c>
      <c r="I472" s="689">
        <f t="shared" si="149"/>
        <v>3.4</v>
      </c>
      <c r="J472" s="623">
        <f t="shared" si="150"/>
        <v>0.52695586494128133</v>
      </c>
      <c r="K472" s="623">
        <f t="shared" si="151"/>
        <v>0.54981245896453601</v>
      </c>
      <c r="L472" s="623" t="str">
        <f t="shared" si="152"/>
        <v>-</v>
      </c>
      <c r="M472" s="666">
        <f t="shared" si="153"/>
        <v>4.6130488615329993E-2</v>
      </c>
      <c r="N472" s="666">
        <f t="shared" si="154"/>
        <v>1.5430927941716799E-2</v>
      </c>
      <c r="O472" s="666" t="str">
        <f t="shared" si="155"/>
        <v>-</v>
      </c>
      <c r="P472" s="662">
        <f t="shared" si="156"/>
        <v>238.04518946957862</v>
      </c>
      <c r="Q472" s="662">
        <f t="shared" si="157"/>
        <v>-68.618328991269777</v>
      </c>
      <c r="R472" s="662" t="str">
        <f t="shared" si="158"/>
        <v>-</v>
      </c>
      <c r="S472" s="502"/>
      <c r="T472" s="502"/>
      <c r="U472" s="503"/>
      <c r="V472" s="502"/>
      <c r="W472" s="504"/>
      <c r="X472" s="504"/>
      <c r="Y472" s="504"/>
      <c r="Z472" s="504"/>
      <c r="AA472" s="505"/>
      <c r="AB472" s="505"/>
      <c r="AC472" s="505"/>
    </row>
    <row r="473" spans="1:29" ht="15" customHeight="1">
      <c r="A473" s="457">
        <f t="shared" si="141"/>
        <v>1</v>
      </c>
      <c r="B473" s="701" t="str">
        <f t="shared" si="145"/>
        <v>T331</v>
      </c>
      <c r="C473" s="701" t="str">
        <f t="shared" si="146"/>
        <v>T335</v>
      </c>
      <c r="D473" s="885" t="str">
        <f t="shared" si="144"/>
        <v>T33-</v>
      </c>
      <c r="F473" s="1127" t="str">
        <f t="shared" si="147"/>
        <v>T33</v>
      </c>
      <c r="G473" s="1128"/>
      <c r="H473" s="688">
        <f t="shared" si="148"/>
        <v>109.8</v>
      </c>
      <c r="I473" s="689">
        <f t="shared" si="149"/>
        <v>3.4</v>
      </c>
      <c r="J473" s="623">
        <f t="shared" si="150"/>
        <v>0.51159692666781897</v>
      </c>
      <c r="K473" s="623">
        <f t="shared" si="151"/>
        <v>0.43203941632184339</v>
      </c>
      <c r="L473" s="623" t="str">
        <f t="shared" si="152"/>
        <v>-</v>
      </c>
      <c r="M473" s="666">
        <f t="shared" si="153"/>
        <v>4.3295611409915197E-2</v>
      </c>
      <c r="N473" s="666">
        <f t="shared" si="154"/>
        <v>9.5638618024307988E-3</v>
      </c>
      <c r="O473" s="666" t="str">
        <f t="shared" si="155"/>
        <v>-</v>
      </c>
      <c r="P473" s="662">
        <f t="shared" si="156"/>
        <v>230.61487719711778</v>
      </c>
      <c r="Q473" s="662">
        <f t="shared" si="157"/>
        <v>-54.020768997410279</v>
      </c>
      <c r="R473" s="662" t="str">
        <f t="shared" si="158"/>
        <v>-</v>
      </c>
      <c r="S473" s="502"/>
      <c r="T473" s="502"/>
      <c r="U473" s="503"/>
      <c r="V473" s="502"/>
      <c r="W473" s="504"/>
      <c r="X473" s="504"/>
      <c r="Y473" s="504"/>
      <c r="Z473" s="504"/>
      <c r="AA473" s="505"/>
      <c r="AB473" s="505"/>
      <c r="AC473" s="505"/>
    </row>
    <row r="474" spans="1:29" ht="15" customHeight="1">
      <c r="A474" s="457">
        <f t="shared" si="141"/>
        <v>1</v>
      </c>
      <c r="B474" s="701" t="str">
        <f t="shared" si="145"/>
        <v>T321</v>
      </c>
      <c r="C474" s="701" t="str">
        <f t="shared" si="146"/>
        <v>T325</v>
      </c>
      <c r="D474" s="885" t="str">
        <f t="shared" si="144"/>
        <v>T32-</v>
      </c>
      <c r="F474" s="1127" t="str">
        <f t="shared" si="147"/>
        <v>T32</v>
      </c>
      <c r="G474" s="1128"/>
      <c r="H474" s="688">
        <f t="shared" si="148"/>
        <v>106.4</v>
      </c>
      <c r="I474" s="689">
        <f t="shared" si="149"/>
        <v>3.4</v>
      </c>
      <c r="J474" s="623">
        <f t="shared" si="150"/>
        <v>0.4958709194130243</v>
      </c>
      <c r="K474" s="623">
        <f t="shared" si="151"/>
        <v>0.31327830074930996</v>
      </c>
      <c r="L474" s="623" t="str">
        <f t="shared" si="152"/>
        <v>-</v>
      </c>
      <c r="M474" s="666">
        <f t="shared" si="153"/>
        <v>4.0507778136059207E-2</v>
      </c>
      <c r="N474" s="666">
        <f t="shared" si="154"/>
        <v>5.0480268744628005E-3</v>
      </c>
      <c r="O474" s="666" t="str">
        <f t="shared" si="155"/>
        <v>-</v>
      </c>
      <c r="P474" s="662">
        <f t="shared" si="156"/>
        <v>223.06662346001474</v>
      </c>
      <c r="Q474" s="662">
        <f t="shared" si="157"/>
        <v>-39.246862641208843</v>
      </c>
      <c r="R474" s="662" t="str">
        <f t="shared" si="158"/>
        <v>-</v>
      </c>
      <c r="S474" s="502"/>
      <c r="T474" s="502"/>
      <c r="U474" s="503"/>
      <c r="V474" s="502"/>
      <c r="W474" s="504"/>
      <c r="X474" s="504"/>
      <c r="Y474" s="504"/>
      <c r="Z474" s="504"/>
      <c r="AA474" s="505"/>
      <c r="AB474" s="505"/>
      <c r="AC474" s="505"/>
    </row>
    <row r="475" spans="1:29" ht="15" customHeight="1">
      <c r="A475" s="457">
        <f t="shared" si="141"/>
        <v>1</v>
      </c>
      <c r="B475" s="701" t="str">
        <f t="shared" si="145"/>
        <v>T311</v>
      </c>
      <c r="C475" s="701" t="str">
        <f t="shared" si="146"/>
        <v>T315</v>
      </c>
      <c r="D475" s="885" t="str">
        <f t="shared" si="144"/>
        <v>T31-</v>
      </c>
      <c r="F475" s="1127" t="str">
        <f t="shared" si="147"/>
        <v>T31</v>
      </c>
      <c r="G475" s="1128"/>
      <c r="H475" s="688">
        <f t="shared" si="148"/>
        <v>103</v>
      </c>
      <c r="I475" s="689">
        <f t="shared" si="149"/>
        <v>3.4</v>
      </c>
      <c r="J475" s="623">
        <f t="shared" si="150"/>
        <v>0.47977777744543337</v>
      </c>
      <c r="K475" s="623">
        <f t="shared" si="151"/>
        <v>0.19464870935875497</v>
      </c>
      <c r="L475" s="623" t="str">
        <f t="shared" si="152"/>
        <v>-</v>
      </c>
      <c r="M475" s="666">
        <f t="shared" si="153"/>
        <v>3.7771337233877204E-2</v>
      </c>
      <c r="N475" s="666">
        <f t="shared" si="154"/>
        <v>1.9565577300628004E-3</v>
      </c>
      <c r="O475" s="666" t="str">
        <f t="shared" si="155"/>
        <v>-</v>
      </c>
      <c r="P475" s="662">
        <f t="shared" si="156"/>
        <v>215.40042825826944</v>
      </c>
      <c r="Q475" s="662">
        <f t="shared" si="157"/>
        <v>-24.433768204486984</v>
      </c>
      <c r="R475" s="662" t="str">
        <f t="shared" si="158"/>
        <v>-</v>
      </c>
      <c r="S475" s="502"/>
      <c r="T475" s="502"/>
      <c r="U475" s="503"/>
      <c r="V475" s="502"/>
      <c r="W475" s="504"/>
      <c r="X475" s="504"/>
      <c r="Y475" s="504"/>
      <c r="Z475" s="504"/>
      <c r="AA475" s="505"/>
      <c r="AB475" s="505"/>
      <c r="AC475" s="505"/>
    </row>
    <row r="476" spans="1:29" ht="15" customHeight="1">
      <c r="A476" s="457">
        <f t="shared" si="141"/>
        <v>1</v>
      </c>
      <c r="B476" s="701" t="str">
        <f t="shared" si="145"/>
        <v>T301</v>
      </c>
      <c r="C476" s="701" t="str">
        <f t="shared" si="146"/>
        <v>T305</v>
      </c>
      <c r="D476" s="885" t="str">
        <f t="shared" si="144"/>
        <v>T30-</v>
      </c>
      <c r="F476" s="1127" t="str">
        <f t="shared" si="147"/>
        <v>T30</v>
      </c>
      <c r="G476" s="1128"/>
      <c r="H476" s="688">
        <f t="shared" si="148"/>
        <v>99.6</v>
      </c>
      <c r="I476" s="689">
        <f t="shared" si="149"/>
        <v>3.4</v>
      </c>
      <c r="J476" s="623">
        <f t="shared" si="150"/>
        <v>0.46331764740096337</v>
      </c>
      <c r="K476" s="623">
        <f t="shared" si="151"/>
        <v>7.7107589434053547E-2</v>
      </c>
      <c r="L476" s="623" t="str">
        <f t="shared" si="152"/>
        <v>-</v>
      </c>
      <c r="M476" s="666">
        <f t="shared" si="153"/>
        <v>3.5090705087861197E-2</v>
      </c>
      <c r="N476" s="666">
        <f t="shared" si="154"/>
        <v>3.0829760972999996E-4</v>
      </c>
      <c r="O476" s="666" t="str">
        <f t="shared" si="155"/>
        <v>-</v>
      </c>
      <c r="P476" s="662">
        <f t="shared" si="156"/>
        <v>207.61629159188189</v>
      </c>
      <c r="Q476" s="662">
        <f t="shared" si="157"/>
        <v>-9.6990499288059802</v>
      </c>
      <c r="R476" s="662" t="str">
        <f t="shared" si="158"/>
        <v>-</v>
      </c>
      <c r="S476" s="502"/>
      <c r="T476" s="502"/>
      <c r="U476" s="503"/>
      <c r="V476" s="502"/>
      <c r="W476" s="504"/>
      <c r="X476" s="504"/>
      <c r="Y476" s="504"/>
      <c r="Z476" s="504"/>
      <c r="AA476" s="505"/>
      <c r="AB476" s="505"/>
      <c r="AC476" s="505"/>
    </row>
    <row r="477" spans="1:29" ht="15" customHeight="1">
      <c r="A477" s="457">
        <f t="shared" si="141"/>
        <v>1</v>
      </c>
      <c r="B477" s="701" t="str">
        <f t="shared" si="145"/>
        <v>T291</v>
      </c>
      <c r="C477" s="701" t="str">
        <f t="shared" si="146"/>
        <v>T295</v>
      </c>
      <c r="D477" s="885" t="str">
        <f t="shared" si="144"/>
        <v>T29-</v>
      </c>
      <c r="F477" s="1127" t="str">
        <f t="shared" si="147"/>
        <v>T29</v>
      </c>
      <c r="G477" s="1128"/>
      <c r="H477" s="688">
        <f t="shared" si="148"/>
        <v>96.2</v>
      </c>
      <c r="I477" s="689">
        <f t="shared" si="149"/>
        <v>3.4</v>
      </c>
      <c r="J477" s="623">
        <f t="shared" si="150"/>
        <v>0.44640301824717532</v>
      </c>
      <c r="K477" s="623">
        <f t="shared" si="151"/>
        <v>-3.8083250808876618E-2</v>
      </c>
      <c r="L477" s="623" t="str">
        <f t="shared" si="152"/>
        <v>-</v>
      </c>
      <c r="M477" s="666">
        <f t="shared" si="153"/>
        <v>3.2457583676437203E-2</v>
      </c>
      <c r="N477" s="666">
        <f t="shared" si="154"/>
        <v>7.5525207729999996E-5</v>
      </c>
      <c r="O477" s="666" t="str">
        <f t="shared" si="155"/>
        <v>-</v>
      </c>
      <c r="P477" s="662">
        <f t="shared" si="156"/>
        <v>199.6748996393047</v>
      </c>
      <c r="Q477" s="662">
        <f t="shared" si="157"/>
        <v>4.8005398637524541</v>
      </c>
      <c r="R477" s="662" t="str">
        <f t="shared" si="158"/>
        <v>-</v>
      </c>
      <c r="S477" s="502"/>
      <c r="T477" s="502"/>
      <c r="U477" s="503"/>
      <c r="V477" s="502"/>
      <c r="W477" s="504"/>
      <c r="X477" s="504"/>
      <c r="Y477" s="504"/>
      <c r="Z477" s="504"/>
      <c r="AA477" s="505"/>
      <c r="AB477" s="505"/>
      <c r="AC477" s="505"/>
    </row>
    <row r="478" spans="1:29" ht="15" customHeight="1">
      <c r="A478" s="457">
        <f t="shared" si="141"/>
        <v>1</v>
      </c>
      <c r="B478" s="701" t="str">
        <f t="shared" si="145"/>
        <v>T281</v>
      </c>
      <c r="C478" s="701" t="str">
        <f t="shared" si="146"/>
        <v>T285</v>
      </c>
      <c r="D478" s="885" t="str">
        <f t="shared" si="144"/>
        <v>T28-</v>
      </c>
      <c r="F478" s="1127" t="str">
        <f t="shared" si="147"/>
        <v>T28</v>
      </c>
      <c r="G478" s="1128"/>
      <c r="H478" s="688">
        <f t="shared" si="148"/>
        <v>92.8</v>
      </c>
      <c r="I478" s="689">
        <f t="shared" si="149"/>
        <v>3.4</v>
      </c>
      <c r="J478" s="623">
        <f t="shared" si="150"/>
        <v>0.42929820597922952</v>
      </c>
      <c r="K478" s="623">
        <f t="shared" si="151"/>
        <v>-0.14982628020448466</v>
      </c>
      <c r="L478" s="623" t="str">
        <f t="shared" si="152"/>
        <v>-</v>
      </c>
      <c r="M478" s="666">
        <f t="shared" si="153"/>
        <v>2.9914872324179199E-2</v>
      </c>
      <c r="N478" s="666">
        <f t="shared" si="154"/>
        <v>1.1741241273551999E-3</v>
      </c>
      <c r="O478" s="666" t="str">
        <f t="shared" si="155"/>
        <v>-</v>
      </c>
      <c r="P478" s="662">
        <f t="shared" si="156"/>
        <v>191.6941938651801</v>
      </c>
      <c r="Q478" s="662">
        <f t="shared" si="157"/>
        <v>18.927842891366822</v>
      </c>
      <c r="R478" s="662" t="str">
        <f t="shared" si="158"/>
        <v>-</v>
      </c>
      <c r="S478" s="502"/>
      <c r="T478" s="502"/>
      <c r="U478" s="503"/>
      <c r="V478" s="502"/>
      <c r="W478" s="504"/>
      <c r="X478" s="504"/>
      <c r="Y478" s="504"/>
      <c r="Z478" s="504"/>
      <c r="AA478" s="505"/>
      <c r="AB478" s="505"/>
      <c r="AC478" s="505"/>
    </row>
    <row r="479" spans="1:29" ht="15" customHeight="1">
      <c r="A479" s="457">
        <f t="shared" si="141"/>
        <v>1</v>
      </c>
      <c r="B479" s="701" t="str">
        <f t="shared" si="145"/>
        <v>T271</v>
      </c>
      <c r="C479" s="701" t="str">
        <f t="shared" si="146"/>
        <v>T275</v>
      </c>
      <c r="D479" s="885" t="str">
        <f t="shared" si="144"/>
        <v>T27-</v>
      </c>
      <c r="F479" s="1127" t="str">
        <f t="shared" si="147"/>
        <v>T27</v>
      </c>
      <c r="G479" s="1128"/>
      <c r="H479" s="688">
        <f t="shared" si="148"/>
        <v>89.4</v>
      </c>
      <c r="I479" s="689">
        <f t="shared" si="149"/>
        <v>3.4</v>
      </c>
      <c r="J479" s="623">
        <f t="shared" si="150"/>
        <v>0.41174046354584215</v>
      </c>
      <c r="K479" s="623">
        <f t="shared" si="151"/>
        <v>-0.25672294524186751</v>
      </c>
      <c r="L479" s="623" t="str">
        <f t="shared" si="152"/>
        <v>-</v>
      </c>
      <c r="M479" s="666">
        <f t="shared" si="153"/>
        <v>2.7428844197381206E-2</v>
      </c>
      <c r="N479" s="666">
        <f t="shared" si="154"/>
        <v>3.4630003208052005E-3</v>
      </c>
      <c r="O479" s="666" t="str">
        <f t="shared" si="155"/>
        <v>-</v>
      </c>
      <c r="P479" s="662">
        <f t="shared" si="156"/>
        <v>183.55623280486586</v>
      </c>
      <c r="Q479" s="662">
        <f t="shared" si="157"/>
        <v>32.506512791695201</v>
      </c>
      <c r="R479" s="662" t="str">
        <f t="shared" si="158"/>
        <v>-</v>
      </c>
      <c r="S479" s="502"/>
      <c r="T479" s="502"/>
      <c r="U479" s="503"/>
      <c r="V479" s="502"/>
      <c r="W479" s="504"/>
      <c r="X479" s="504"/>
      <c r="Y479" s="504"/>
      <c r="Z479" s="504"/>
      <c r="AA479" s="505"/>
      <c r="AB479" s="505"/>
      <c r="AC479" s="505"/>
    </row>
    <row r="480" spans="1:29" ht="15" customHeight="1">
      <c r="A480" s="457">
        <f t="shared" si="141"/>
        <v>1</v>
      </c>
      <c r="B480" s="701" t="str">
        <f t="shared" si="145"/>
        <v>T261</v>
      </c>
      <c r="C480" s="701" t="str">
        <f t="shared" si="146"/>
        <v>T265</v>
      </c>
      <c r="D480" s="885" t="str">
        <f t="shared" si="144"/>
        <v>T26-</v>
      </c>
      <c r="F480" s="1127" t="str">
        <f t="shared" si="147"/>
        <v>T26</v>
      </c>
      <c r="G480" s="1128"/>
      <c r="H480" s="688">
        <f t="shared" si="148"/>
        <v>86</v>
      </c>
      <c r="I480" s="689">
        <f t="shared" si="149"/>
        <v>3.4</v>
      </c>
      <c r="J480" s="623">
        <f t="shared" si="150"/>
        <v>0.39399557372506239</v>
      </c>
      <c r="K480" s="623">
        <f t="shared" si="151"/>
        <v>-0.35800428835448939</v>
      </c>
      <c r="L480" s="623" t="str">
        <f t="shared" si="152"/>
        <v>-</v>
      </c>
      <c r="M480" s="666">
        <f t="shared" si="153"/>
        <v>2.5039416617413195E-2</v>
      </c>
      <c r="N480" s="666">
        <f t="shared" si="154"/>
        <v>6.766455920821199E-3</v>
      </c>
      <c r="O480" s="666" t="str">
        <f t="shared" si="155"/>
        <v>-</v>
      </c>
      <c r="P480" s="662">
        <f t="shared" si="156"/>
        <v>175.37895792300418</v>
      </c>
      <c r="Q480" s="662">
        <f t="shared" si="157"/>
        <v>45.438579363436496</v>
      </c>
      <c r="R480" s="662" t="str">
        <f t="shared" si="158"/>
        <v>-</v>
      </c>
      <c r="S480" s="502"/>
      <c r="T480" s="502"/>
      <c r="U480" s="503"/>
      <c r="V480" s="502"/>
      <c r="W480" s="504"/>
      <c r="X480" s="504"/>
      <c r="Y480" s="504"/>
      <c r="Z480" s="504"/>
      <c r="AA480" s="505"/>
      <c r="AB480" s="505"/>
      <c r="AC480" s="505"/>
    </row>
    <row r="481" spans="1:29" ht="15" customHeight="1">
      <c r="A481" s="457">
        <f t="shared" si="141"/>
        <v>1</v>
      </c>
      <c r="B481" s="701" t="str">
        <f t="shared" si="145"/>
        <v>T251</v>
      </c>
      <c r="C481" s="701" t="str">
        <f t="shared" si="146"/>
        <v>T255</v>
      </c>
      <c r="D481" s="885" t="str">
        <f t="shared" si="144"/>
        <v>T25-</v>
      </c>
      <c r="F481" s="1127" t="str">
        <f t="shared" si="147"/>
        <v>T25</v>
      </c>
      <c r="G481" s="1128"/>
      <c r="H481" s="688">
        <f t="shared" si="148"/>
        <v>82.6</v>
      </c>
      <c r="I481" s="689">
        <f t="shared" si="149"/>
        <v>3.4</v>
      </c>
      <c r="J481" s="623">
        <f t="shared" si="150"/>
        <v>0.37588900676701625</v>
      </c>
      <c r="K481" s="623">
        <f t="shared" si="151"/>
        <v>-0.45213840158999752</v>
      </c>
      <c r="L481" s="623" t="str">
        <f t="shared" si="152"/>
        <v>-</v>
      </c>
      <c r="M481" s="666">
        <f t="shared" si="153"/>
        <v>2.2726764925000004E-2</v>
      </c>
      <c r="N481" s="666">
        <f t="shared" si="154"/>
        <v>1.0846056494003197E-2</v>
      </c>
      <c r="O481" s="666" t="str">
        <f t="shared" si="155"/>
        <v>-</v>
      </c>
      <c r="P481" s="662">
        <f t="shared" si="156"/>
        <v>167.0837415765003</v>
      </c>
      <c r="Q481" s="662">
        <f t="shared" si="157"/>
        <v>57.528102203988603</v>
      </c>
      <c r="R481" s="662" t="str">
        <f t="shared" si="158"/>
        <v>-</v>
      </c>
      <c r="S481" s="502"/>
      <c r="T481" s="502"/>
      <c r="U481" s="503"/>
      <c r="V481" s="502"/>
      <c r="W481" s="504"/>
      <c r="X481" s="504"/>
      <c r="Y481" s="504"/>
      <c r="Z481" s="504"/>
      <c r="AA481" s="505"/>
      <c r="AB481" s="505"/>
      <c r="AC481" s="505"/>
    </row>
    <row r="482" spans="1:29" ht="15" customHeight="1">
      <c r="A482" s="457">
        <f t="shared" si="141"/>
        <v>1</v>
      </c>
      <c r="B482" s="701" t="str">
        <f t="shared" si="145"/>
        <v>T241</v>
      </c>
      <c r="C482" s="701" t="str">
        <f t="shared" si="146"/>
        <v>T245</v>
      </c>
      <c r="D482" s="885" t="str">
        <f t="shared" si="144"/>
        <v>T24-</v>
      </c>
      <c r="F482" s="1127" t="str">
        <f t="shared" si="147"/>
        <v>T24</v>
      </c>
      <c r="G482" s="1128"/>
      <c r="H482" s="688">
        <f t="shared" si="148"/>
        <v>79.2</v>
      </c>
      <c r="I482" s="689">
        <f t="shared" si="149"/>
        <v>3.4</v>
      </c>
      <c r="J482" s="623">
        <f t="shared" si="150"/>
        <v>0.357764636857695</v>
      </c>
      <c r="K482" s="623">
        <f t="shared" si="151"/>
        <v>-0.53822335204625738</v>
      </c>
      <c r="L482" s="623" t="str">
        <f t="shared" si="152"/>
        <v>-</v>
      </c>
      <c r="M482" s="666">
        <f t="shared" si="153"/>
        <v>2.0526148477013201E-2</v>
      </c>
      <c r="N482" s="666">
        <f t="shared" si="154"/>
        <v>1.54485582492672E-2</v>
      </c>
      <c r="O482" s="666" t="str">
        <f t="shared" si="155"/>
        <v>-</v>
      </c>
      <c r="P482" s="662">
        <f t="shared" si="156"/>
        <v>158.78852522999637</v>
      </c>
      <c r="Q482" s="662">
        <f t="shared" si="157"/>
        <v>68.65751707179021</v>
      </c>
      <c r="R482" s="662" t="str">
        <f t="shared" si="158"/>
        <v>-</v>
      </c>
      <c r="S482" s="502"/>
      <c r="T482" s="502"/>
      <c r="U482" s="503"/>
      <c r="V482" s="502"/>
      <c r="W482" s="504"/>
      <c r="X482" s="504"/>
      <c r="Y482" s="504"/>
      <c r="Z482" s="504"/>
      <c r="AA482" s="505"/>
      <c r="AB482" s="505"/>
      <c r="AC482" s="505"/>
    </row>
    <row r="483" spans="1:29" ht="15" customHeight="1">
      <c r="A483" s="457">
        <f t="shared" si="141"/>
        <v>1</v>
      </c>
      <c r="B483" s="701" t="str">
        <f t="shared" si="145"/>
        <v>T231</v>
      </c>
      <c r="C483" s="701" t="str">
        <f t="shared" si="146"/>
        <v>T235</v>
      </c>
      <c r="D483" s="885" t="str">
        <f t="shared" si="144"/>
        <v>T23-</v>
      </c>
      <c r="F483" s="1127" t="str">
        <f t="shared" si="147"/>
        <v>T23</v>
      </c>
      <c r="G483" s="1128"/>
      <c r="H483" s="688">
        <f t="shared" si="148"/>
        <v>75.8</v>
      </c>
      <c r="I483" s="689">
        <f t="shared" si="149"/>
        <v>3.4</v>
      </c>
      <c r="J483" s="623">
        <f t="shared" si="150"/>
        <v>0.33959789802263241</v>
      </c>
      <c r="K483" s="623">
        <f t="shared" si="151"/>
        <v>-0.61552089145257316</v>
      </c>
      <c r="L483" s="623" t="str">
        <f t="shared" si="152"/>
        <v>-</v>
      </c>
      <c r="M483" s="666">
        <f t="shared" si="153"/>
        <v>1.8418306300859198E-2</v>
      </c>
      <c r="N483" s="666">
        <f t="shared" si="154"/>
        <v>2.03132598710608E-2</v>
      </c>
      <c r="O483" s="666" t="str">
        <f t="shared" si="155"/>
        <v>-</v>
      </c>
      <c r="P483" s="662">
        <f t="shared" si="156"/>
        <v>150.41468124039767</v>
      </c>
      <c r="Q483" s="662">
        <f t="shared" si="157"/>
        <v>78.728853765540251</v>
      </c>
      <c r="R483" s="662" t="str">
        <f t="shared" si="158"/>
        <v>-</v>
      </c>
      <c r="S483" s="502"/>
      <c r="T483" s="502"/>
      <c r="U483" s="503"/>
      <c r="V483" s="502"/>
      <c r="W483" s="504"/>
      <c r="X483" s="504"/>
      <c r="Y483" s="504"/>
      <c r="Z483" s="504"/>
      <c r="AA483" s="505"/>
      <c r="AB483" s="505"/>
      <c r="AC483" s="505"/>
    </row>
    <row r="484" spans="1:29" ht="15" customHeight="1">
      <c r="A484" s="457">
        <f t="shared" si="141"/>
        <v>1</v>
      </c>
      <c r="B484" s="701" t="str">
        <f t="shared" si="145"/>
        <v>T221</v>
      </c>
      <c r="C484" s="701" t="str">
        <f t="shared" si="146"/>
        <v>T225</v>
      </c>
      <c r="D484" s="885" t="str">
        <f t="shared" si="144"/>
        <v>T22-</v>
      </c>
      <c r="F484" s="1127" t="str">
        <f t="shared" si="147"/>
        <v>T22</v>
      </c>
      <c r="G484" s="1128"/>
      <c r="H484" s="688">
        <f t="shared" si="148"/>
        <v>72.400000000000006</v>
      </c>
      <c r="I484" s="689">
        <f t="shared" si="149"/>
        <v>3.4</v>
      </c>
      <c r="J484" s="623">
        <f t="shared" si="150"/>
        <v>0.32121912169785305</v>
      </c>
      <c r="K484" s="623">
        <f t="shared" si="151"/>
        <v>-0.68284433372777731</v>
      </c>
      <c r="L484" s="623" t="str">
        <f t="shared" si="152"/>
        <v>-</v>
      </c>
      <c r="M484" s="666">
        <f t="shared" si="153"/>
        <v>1.6415542619884801E-2</v>
      </c>
      <c r="N484" s="666">
        <f t="shared" si="154"/>
        <v>2.5140551822280002E-2</v>
      </c>
      <c r="O484" s="666" t="str">
        <f t="shared" si="155"/>
        <v>-</v>
      </c>
      <c r="P484" s="662">
        <f t="shared" si="156"/>
        <v>142.00152342925153</v>
      </c>
      <c r="Q484" s="662">
        <f t="shared" si="157"/>
        <v>87.585359963157032</v>
      </c>
      <c r="R484" s="662" t="str">
        <f t="shared" si="158"/>
        <v>-</v>
      </c>
      <c r="S484" s="502"/>
      <c r="T484" s="502"/>
      <c r="U484" s="503"/>
      <c r="V484" s="502"/>
      <c r="W484" s="504"/>
      <c r="X484" s="504"/>
      <c r="Y484" s="504"/>
      <c r="Z484" s="504"/>
      <c r="AA484" s="505"/>
      <c r="AB484" s="505"/>
      <c r="AC484" s="505"/>
    </row>
    <row r="485" spans="1:29" ht="15" customHeight="1">
      <c r="A485" s="457">
        <f t="shared" si="141"/>
        <v>1</v>
      </c>
      <c r="B485" s="701" t="str">
        <f t="shared" si="145"/>
        <v>T211</v>
      </c>
      <c r="C485" s="701" t="str">
        <f t="shared" si="146"/>
        <v>T215</v>
      </c>
      <c r="D485" s="885" t="str">
        <f t="shared" si="144"/>
        <v>T21-</v>
      </c>
      <c r="F485" s="1127" t="str">
        <f t="shared" si="147"/>
        <v>T21</v>
      </c>
      <c r="G485" s="1128"/>
      <c r="H485" s="688">
        <f t="shared" si="148"/>
        <v>69</v>
      </c>
      <c r="I485" s="689">
        <f t="shared" si="149"/>
        <v>3.4</v>
      </c>
      <c r="J485" s="623">
        <f t="shared" si="150"/>
        <v>0.30272118532128622</v>
      </c>
      <c r="K485" s="623">
        <f t="shared" si="151"/>
        <v>-0.73978485399902816</v>
      </c>
      <c r="L485" s="623" t="str">
        <f t="shared" si="152"/>
        <v>-</v>
      </c>
      <c r="M485" s="666">
        <f t="shared" si="153"/>
        <v>1.4528022667796799E-2</v>
      </c>
      <c r="N485" s="666">
        <f t="shared" si="154"/>
        <v>2.9682191772910801E-2</v>
      </c>
      <c r="O485" s="666" t="str">
        <f t="shared" si="155"/>
        <v>-</v>
      </c>
      <c r="P485" s="662">
        <f t="shared" si="156"/>
        <v>133.5883656181054</v>
      </c>
      <c r="Q485" s="662">
        <f t="shared" si="157"/>
        <v>95.16825354385989</v>
      </c>
      <c r="R485" s="662" t="str">
        <f t="shared" si="158"/>
        <v>-</v>
      </c>
      <c r="S485" s="502"/>
      <c r="T485" s="502"/>
      <c r="U485" s="503"/>
      <c r="V485" s="502"/>
      <c r="W485" s="504"/>
      <c r="X485" s="504"/>
      <c r="Y485" s="504"/>
      <c r="Z485" s="504"/>
      <c r="AA485" s="505"/>
      <c r="AB485" s="505"/>
      <c r="AC485" s="505"/>
    </row>
    <row r="486" spans="1:29" ht="15" customHeight="1">
      <c r="A486" s="457">
        <f t="shared" si="141"/>
        <v>1</v>
      </c>
      <c r="B486" s="701" t="str">
        <f t="shared" si="145"/>
        <v>T201</v>
      </c>
      <c r="C486" s="701" t="str">
        <f t="shared" si="146"/>
        <v>T205</v>
      </c>
      <c r="D486" s="885" t="str">
        <f t="shared" si="144"/>
        <v>T20-</v>
      </c>
      <c r="F486" s="1127" t="str">
        <f t="shared" si="147"/>
        <v>T20</v>
      </c>
      <c r="G486" s="1128"/>
      <c r="H486" s="688">
        <f t="shared" si="148"/>
        <v>65.599999999999994</v>
      </c>
      <c r="I486" s="689">
        <f t="shared" si="149"/>
        <v>3.4</v>
      </c>
      <c r="J486" s="623">
        <f t="shared" si="150"/>
        <v>0.2841088220011036</v>
      </c>
      <c r="K486" s="623">
        <f t="shared" si="151"/>
        <v>-0.78548689854716669</v>
      </c>
      <c r="L486" s="623" t="str">
        <f t="shared" si="152"/>
        <v>-</v>
      </c>
      <c r="M486" s="666">
        <f t="shared" si="153"/>
        <v>1.2755746444595201E-2</v>
      </c>
      <c r="N486" s="666">
        <f t="shared" si="154"/>
        <v>3.3670124057726798E-2</v>
      </c>
      <c r="O486" s="666" t="str">
        <f t="shared" si="155"/>
        <v>-</v>
      </c>
      <c r="P486" s="662">
        <f t="shared" si="156"/>
        <v>125.17520780695926</v>
      </c>
      <c r="Q486" s="662">
        <f t="shared" si="157"/>
        <v>101.35997026608753</v>
      </c>
      <c r="R486" s="662" t="str">
        <f t="shared" si="158"/>
        <v>-</v>
      </c>
      <c r="S486" s="502"/>
      <c r="T486" s="502"/>
      <c r="U486" s="503"/>
      <c r="V486" s="502"/>
      <c r="W486" s="504"/>
      <c r="X486" s="504"/>
      <c r="Y486" s="504"/>
      <c r="Z486" s="504"/>
      <c r="AA486" s="505"/>
      <c r="AB486" s="505"/>
      <c r="AC486" s="505"/>
    </row>
    <row r="487" spans="1:29" ht="15" customHeight="1">
      <c r="A487" s="457">
        <f t="shared" si="141"/>
        <v>1</v>
      </c>
      <c r="B487" s="701" t="str">
        <f t="shared" si="145"/>
        <v>T191</v>
      </c>
      <c r="C487" s="701" t="str">
        <f t="shared" si="146"/>
        <v>T195</v>
      </c>
      <c r="D487" s="885" t="str">
        <f t="shared" si="144"/>
        <v>T19-</v>
      </c>
      <c r="F487" s="1127" t="str">
        <f t="shared" si="147"/>
        <v>T19</v>
      </c>
      <c r="G487" s="1128"/>
      <c r="H487" s="688">
        <f t="shared" si="148"/>
        <v>62.2</v>
      </c>
      <c r="I487" s="689">
        <f t="shared" si="149"/>
        <v>3.4</v>
      </c>
      <c r="J487" s="623">
        <f t="shared" si="150"/>
        <v>0.26547662662436811</v>
      </c>
      <c r="K487" s="623">
        <f t="shared" si="151"/>
        <v>-0.81986749786558122</v>
      </c>
      <c r="L487" s="623" t="str">
        <f t="shared" si="152"/>
        <v>-</v>
      </c>
      <c r="M487" s="666">
        <f t="shared" si="153"/>
        <v>1.11061890899572E-2</v>
      </c>
      <c r="N487" s="666">
        <f t="shared" si="154"/>
        <v>3.6921337981358798E-2</v>
      </c>
      <c r="O487" s="666" t="str">
        <f t="shared" si="155"/>
        <v>-</v>
      </c>
      <c r="P487" s="662">
        <f t="shared" si="156"/>
        <v>116.80136381736055</v>
      </c>
      <c r="Q487" s="662">
        <f t="shared" si="157"/>
        <v>106.14091608957979</v>
      </c>
      <c r="R487" s="662" t="str">
        <f t="shared" si="158"/>
        <v>-</v>
      </c>
      <c r="S487" s="502"/>
      <c r="T487" s="502"/>
      <c r="U487" s="503"/>
      <c r="V487" s="502"/>
      <c r="W487" s="504"/>
      <c r="X487" s="504"/>
      <c r="Y487" s="504"/>
      <c r="Z487" s="504"/>
      <c r="AA487" s="505"/>
      <c r="AB487" s="505"/>
      <c r="AC487" s="505"/>
    </row>
    <row r="488" spans="1:29" ht="15" customHeight="1">
      <c r="A488" s="457">
        <f t="shared" si="141"/>
        <v>1</v>
      </c>
      <c r="B488" s="701" t="str">
        <f t="shared" si="145"/>
        <v>T181</v>
      </c>
      <c r="C488" s="701" t="str">
        <f t="shared" si="146"/>
        <v>T185</v>
      </c>
      <c r="D488" s="885" t="str">
        <f t="shared" si="144"/>
        <v>T18-</v>
      </c>
      <c r="F488" s="1127" t="str">
        <f t="shared" si="147"/>
        <v>T18</v>
      </c>
      <c r="G488" s="1128"/>
      <c r="H488" s="688">
        <f t="shared" si="148"/>
        <v>58.8</v>
      </c>
      <c r="I488" s="689">
        <f t="shared" si="149"/>
        <v>3.4</v>
      </c>
      <c r="J488" s="623">
        <f t="shared" si="150"/>
        <v>0.24692022120567753</v>
      </c>
      <c r="K488" s="623">
        <f t="shared" si="151"/>
        <v>-0.84239876715683082</v>
      </c>
      <c r="L488" s="623" t="str">
        <f t="shared" si="152"/>
        <v>-</v>
      </c>
      <c r="M488" s="666">
        <f t="shared" si="153"/>
        <v>9.5846867539199979E-3</v>
      </c>
      <c r="N488" s="666">
        <f t="shared" si="154"/>
        <v>3.9246968307969997E-2</v>
      </c>
      <c r="O488" s="666" t="str">
        <f t="shared" si="155"/>
        <v>-</v>
      </c>
      <c r="P488" s="662">
        <f t="shared" si="156"/>
        <v>108.50614747085665</v>
      </c>
      <c r="Q488" s="662">
        <f t="shared" si="157"/>
        <v>109.43271485329576</v>
      </c>
      <c r="R488" s="662" t="str">
        <f t="shared" si="158"/>
        <v>-</v>
      </c>
      <c r="S488" s="502"/>
      <c r="T488" s="502"/>
      <c r="U488" s="503"/>
      <c r="V488" s="502"/>
      <c r="W488" s="504"/>
      <c r="X488" s="504"/>
      <c r="Y488" s="504"/>
      <c r="Z488" s="504"/>
      <c r="AA488" s="505"/>
      <c r="AB488" s="505"/>
      <c r="AC488" s="505"/>
    </row>
    <row r="489" spans="1:29" ht="15" customHeight="1">
      <c r="A489" s="457">
        <f t="shared" si="141"/>
        <v>1</v>
      </c>
      <c r="B489" s="701" t="str">
        <f t="shared" si="145"/>
        <v>T171</v>
      </c>
      <c r="C489" s="701" t="str">
        <f t="shared" si="146"/>
        <v>T175</v>
      </c>
      <c r="D489" s="885" t="str">
        <f t="shared" si="144"/>
        <v>T17-</v>
      </c>
      <c r="F489" s="1127" t="str">
        <f t="shared" si="147"/>
        <v>T17</v>
      </c>
      <c r="G489" s="1128"/>
      <c r="H489" s="688">
        <f t="shared" si="148"/>
        <v>55.4</v>
      </c>
      <c r="I489" s="689">
        <f t="shared" si="149"/>
        <v>3.4</v>
      </c>
      <c r="J489" s="623">
        <f t="shared" si="150"/>
        <v>0.22835706466785069</v>
      </c>
      <c r="K489" s="623">
        <f t="shared" si="151"/>
        <v>-0.85301899271592185</v>
      </c>
      <c r="L489" s="623" t="str">
        <f t="shared" si="152"/>
        <v>-</v>
      </c>
      <c r="M489" s="666">
        <f t="shared" si="153"/>
        <v>8.1816353730000003E-3</v>
      </c>
      <c r="N489" s="666">
        <f t="shared" si="154"/>
        <v>4.0536339938899192E-2</v>
      </c>
      <c r="O489" s="666" t="str">
        <f t="shared" si="155"/>
        <v>-</v>
      </c>
      <c r="P489" s="662">
        <f t="shared" si="156"/>
        <v>100.25024494590016</v>
      </c>
      <c r="Q489" s="662">
        <f t="shared" si="157"/>
        <v>111.21577251697524</v>
      </c>
      <c r="R489" s="662" t="str">
        <f t="shared" si="158"/>
        <v>-</v>
      </c>
      <c r="S489" s="502"/>
      <c r="T489" s="502"/>
      <c r="U489" s="503"/>
      <c r="V489" s="502"/>
      <c r="W489" s="504"/>
      <c r="X489" s="504"/>
      <c r="Y489" s="504"/>
      <c r="Z489" s="504"/>
      <c r="AA489" s="505"/>
      <c r="AB489" s="505"/>
      <c r="AC489" s="505"/>
    </row>
    <row r="490" spans="1:29" ht="15" customHeight="1">
      <c r="A490" s="457">
        <f t="shared" si="141"/>
        <v>1</v>
      </c>
      <c r="B490" s="701" t="str">
        <f t="shared" si="145"/>
        <v>T161</v>
      </c>
      <c r="C490" s="701" t="str">
        <f t="shared" si="146"/>
        <v>T165</v>
      </c>
      <c r="D490" s="885" t="str">
        <f t="shared" si="144"/>
        <v>T16-</v>
      </c>
      <c r="F490" s="1127" t="str">
        <f t="shared" si="147"/>
        <v>T16</v>
      </c>
      <c r="G490" s="1128"/>
      <c r="H490" s="688">
        <f t="shared" si="148"/>
        <v>52</v>
      </c>
      <c r="I490" s="689">
        <f t="shared" si="149"/>
        <v>3.4</v>
      </c>
      <c r="J490" s="623">
        <f t="shared" si="150"/>
        <v>0.20988416314254393</v>
      </c>
      <c r="K490" s="623">
        <f t="shared" si="151"/>
        <v>-0.85197665291125946</v>
      </c>
      <c r="L490" s="623" t="str">
        <f t="shared" si="152"/>
        <v>-</v>
      </c>
      <c r="M490" s="666">
        <f t="shared" si="153"/>
        <v>6.9013418657488E-3</v>
      </c>
      <c r="N490" s="666">
        <f t="shared" si="154"/>
        <v>4.0750874308645192E-2</v>
      </c>
      <c r="O490" s="666" t="str">
        <f t="shared" si="155"/>
        <v>-</v>
      </c>
      <c r="P490" s="662">
        <f t="shared" si="156"/>
        <v>92.0729700640385</v>
      </c>
      <c r="Q490" s="662">
        <f t="shared" si="157"/>
        <v>111.50968312087845</v>
      </c>
      <c r="R490" s="662" t="str">
        <f t="shared" si="158"/>
        <v>-</v>
      </c>
      <c r="S490" s="502"/>
      <c r="T490" s="502"/>
      <c r="U490" s="503"/>
      <c r="V490" s="502"/>
      <c r="W490" s="504"/>
      <c r="X490" s="504"/>
      <c r="Y490" s="504"/>
      <c r="Z490" s="504"/>
      <c r="AA490" s="505"/>
      <c r="AB490" s="505"/>
      <c r="AC490" s="505"/>
    </row>
    <row r="491" spans="1:29" ht="15" customHeight="1">
      <c r="A491" s="457">
        <f t="shared" si="141"/>
        <v>1</v>
      </c>
      <c r="B491" s="701" t="str">
        <f t="shared" si="145"/>
        <v>T151</v>
      </c>
      <c r="C491" s="701" t="str">
        <f t="shared" si="146"/>
        <v>T155</v>
      </c>
      <c r="D491" s="885" t="str">
        <f t="shared" si="144"/>
        <v>T15-</v>
      </c>
      <c r="F491" s="1127" t="str">
        <f t="shared" si="147"/>
        <v>T15</v>
      </c>
      <c r="G491" s="1128"/>
      <c r="H491" s="688">
        <f t="shared" si="148"/>
        <v>48.6</v>
      </c>
      <c r="I491" s="689">
        <f t="shared" si="149"/>
        <v>3.4</v>
      </c>
      <c r="J491" s="623">
        <f t="shared" si="150"/>
        <v>0.19159953720441433</v>
      </c>
      <c r="K491" s="623">
        <f t="shared" si="151"/>
        <v>-0.83937894740163099</v>
      </c>
      <c r="L491" s="623" t="str">
        <f t="shared" si="152"/>
        <v>-</v>
      </c>
      <c r="M491" s="666">
        <f t="shared" si="153"/>
        <v>5.7460421054548001E-3</v>
      </c>
      <c r="N491" s="666">
        <f t="shared" si="154"/>
        <v>3.9881965129479995E-2</v>
      </c>
      <c r="O491" s="666" t="str">
        <f t="shared" si="155"/>
        <v>-</v>
      </c>
      <c r="P491" s="662">
        <f t="shared" si="156"/>
        <v>84.01363664681908</v>
      </c>
      <c r="Q491" s="662">
        <f t="shared" si="157"/>
        <v>110.31444666500539</v>
      </c>
      <c r="R491" s="662" t="str">
        <f t="shared" si="158"/>
        <v>-</v>
      </c>
      <c r="S491" s="502"/>
      <c r="T491" s="502"/>
      <c r="U491" s="503"/>
      <c r="V491" s="502"/>
      <c r="W491" s="504"/>
      <c r="X491" s="504"/>
      <c r="Y491" s="504"/>
      <c r="Z491" s="504"/>
      <c r="AA491" s="505"/>
      <c r="AB491" s="505"/>
      <c r="AC491" s="505"/>
    </row>
    <row r="492" spans="1:29" ht="15" customHeight="1">
      <c r="A492" s="457">
        <f t="shared" si="141"/>
        <v>1</v>
      </c>
      <c r="B492" s="701" t="str">
        <f t="shared" si="145"/>
        <v>T141</v>
      </c>
      <c r="C492" s="701" t="str">
        <f t="shared" si="146"/>
        <v>T145</v>
      </c>
      <c r="D492" s="885" t="str">
        <f t="shared" si="144"/>
        <v>T14-</v>
      </c>
      <c r="F492" s="1127" t="str">
        <f t="shared" si="147"/>
        <v>T14</v>
      </c>
      <c r="G492" s="1128"/>
      <c r="H492" s="688">
        <f t="shared" si="148"/>
        <v>45.2</v>
      </c>
      <c r="I492" s="689">
        <f t="shared" si="149"/>
        <v>3.4</v>
      </c>
      <c r="J492" s="623">
        <f t="shared" si="150"/>
        <v>0.17360213754336504</v>
      </c>
      <c r="K492" s="623">
        <f t="shared" si="151"/>
        <v>-0.81579050133539288</v>
      </c>
      <c r="L492" s="623" t="str">
        <f t="shared" si="152"/>
        <v>-</v>
      </c>
      <c r="M492" s="666">
        <f t="shared" si="153"/>
        <v>4.7159638316032005E-3</v>
      </c>
      <c r="N492" s="666">
        <f t="shared" si="154"/>
        <v>3.80060913468672E-2</v>
      </c>
      <c r="O492" s="666" t="str">
        <f t="shared" si="155"/>
        <v>-</v>
      </c>
      <c r="P492" s="662">
        <f t="shared" si="156"/>
        <v>76.111558515789298</v>
      </c>
      <c r="Q492" s="662">
        <f t="shared" si="157"/>
        <v>107.6888452701367</v>
      </c>
      <c r="R492" s="662" t="str">
        <f t="shared" si="158"/>
        <v>-</v>
      </c>
      <c r="S492" s="502"/>
      <c r="T492" s="502"/>
      <c r="U492" s="503"/>
      <c r="V492" s="502"/>
      <c r="W492" s="504"/>
      <c r="X492" s="504"/>
      <c r="Y492" s="504"/>
      <c r="Z492" s="504"/>
      <c r="AA492" s="505"/>
      <c r="AB492" s="505"/>
      <c r="AC492" s="505"/>
    </row>
    <row r="493" spans="1:29" ht="15" customHeight="1">
      <c r="A493" s="457">
        <f t="shared" si="141"/>
        <v>1</v>
      </c>
      <c r="B493" s="701" t="str">
        <f t="shared" si="145"/>
        <v>T131</v>
      </c>
      <c r="C493" s="701" t="str">
        <f t="shared" si="146"/>
        <v>T135</v>
      </c>
      <c r="D493" s="885" t="str">
        <f t="shared" si="144"/>
        <v>T13-</v>
      </c>
      <c r="F493" s="1127" t="str">
        <f t="shared" si="147"/>
        <v>T13</v>
      </c>
      <c r="G493" s="1128"/>
      <c r="H493" s="688">
        <f t="shared" si="148"/>
        <v>41.8</v>
      </c>
      <c r="I493" s="689">
        <f t="shared" si="149"/>
        <v>3.4</v>
      </c>
      <c r="J493" s="623">
        <f t="shared" si="150"/>
        <v>0.15590209499482804</v>
      </c>
      <c r="K493" s="623">
        <f t="shared" si="151"/>
        <v>-0.78178230164380791</v>
      </c>
      <c r="L493" s="623" t="str">
        <f t="shared" si="152"/>
        <v>-</v>
      </c>
      <c r="M493" s="666">
        <f t="shared" si="153"/>
        <v>3.8050373465332004E-3</v>
      </c>
      <c r="N493" s="666">
        <f t="shared" si="154"/>
        <v>3.5237040918508801E-2</v>
      </c>
      <c r="O493" s="666" t="str">
        <f t="shared" si="155"/>
        <v>-</v>
      </c>
      <c r="P493" s="662">
        <f t="shared" si="156"/>
        <v>68.366735670949183</v>
      </c>
      <c r="Q493" s="662">
        <f t="shared" si="157"/>
        <v>103.69166105705303</v>
      </c>
      <c r="R493" s="662" t="str">
        <f t="shared" si="158"/>
        <v>-</v>
      </c>
      <c r="S493" s="502"/>
      <c r="T493" s="502"/>
      <c r="U493" s="503"/>
      <c r="V493" s="502"/>
      <c r="W493" s="504"/>
      <c r="X493" s="504"/>
      <c r="Y493" s="504"/>
      <c r="Z493" s="504"/>
      <c r="AA493" s="505"/>
      <c r="AB493" s="505"/>
      <c r="AC493" s="505"/>
    </row>
    <row r="494" spans="1:29" ht="15" customHeight="1">
      <c r="A494" s="457">
        <f t="shared" si="141"/>
        <v>1</v>
      </c>
      <c r="B494" s="701" t="str">
        <f t="shared" si="145"/>
        <v>T121</v>
      </c>
      <c r="C494" s="701" t="str">
        <f t="shared" si="146"/>
        <v>T125</v>
      </c>
      <c r="D494" s="885" t="str">
        <f t="shared" si="144"/>
        <v>T12-</v>
      </c>
      <c r="F494" s="1127" t="str">
        <f t="shared" si="147"/>
        <v>T12</v>
      </c>
      <c r="G494" s="1128"/>
      <c r="H494" s="688">
        <f t="shared" si="148"/>
        <v>38.4</v>
      </c>
      <c r="I494" s="689">
        <f t="shared" si="149"/>
        <v>3.4</v>
      </c>
      <c r="J494" s="623">
        <f t="shared" si="150"/>
        <v>0.13871183442861043</v>
      </c>
      <c r="K494" s="623">
        <f t="shared" si="151"/>
        <v>-0.73822758018260104</v>
      </c>
      <c r="L494" s="623" t="str">
        <f t="shared" si="152"/>
        <v>-</v>
      </c>
      <c r="M494" s="666">
        <f t="shared" si="153"/>
        <v>3.0112054455027999E-3</v>
      </c>
      <c r="N494" s="666">
        <f t="shared" si="154"/>
        <v>3.17457883192468E-2</v>
      </c>
      <c r="O494" s="666" t="str">
        <f t="shared" si="155"/>
        <v>-</v>
      </c>
      <c r="P494" s="662">
        <f t="shared" si="156"/>
        <v>60.818481933846108</v>
      </c>
      <c r="Q494" s="662">
        <f t="shared" si="157"/>
        <v>98.420864227055418</v>
      </c>
      <c r="R494" s="662" t="str">
        <f t="shared" si="158"/>
        <v>-</v>
      </c>
      <c r="S494" s="502"/>
      <c r="T494" s="502"/>
      <c r="U494" s="503"/>
      <c r="V494" s="502"/>
      <c r="W494" s="504"/>
      <c r="X494" s="504"/>
      <c r="Y494" s="504"/>
      <c r="Z494" s="504"/>
      <c r="AA494" s="505"/>
      <c r="AB494" s="505"/>
      <c r="AC494" s="505"/>
    </row>
    <row r="495" spans="1:29" ht="15" customHeight="1">
      <c r="A495" s="457">
        <f t="shared" si="141"/>
        <v>1</v>
      </c>
      <c r="B495" s="701" t="str">
        <f t="shared" si="145"/>
        <v>T111</v>
      </c>
      <c r="C495" s="701" t="str">
        <f t="shared" si="146"/>
        <v>T115</v>
      </c>
      <c r="D495" s="885" t="str">
        <f t="shared" si="144"/>
        <v>T11-</v>
      </c>
      <c r="F495" s="1127" t="str">
        <f t="shared" si="147"/>
        <v>T11</v>
      </c>
      <c r="G495" s="1128"/>
      <c r="H495" s="688">
        <f t="shared" si="148"/>
        <v>35</v>
      </c>
      <c r="I495" s="689">
        <f t="shared" si="149"/>
        <v>3.4</v>
      </c>
      <c r="J495" s="623">
        <f t="shared" si="150"/>
        <v>0.12210310431566218</v>
      </c>
      <c r="K495" s="623">
        <f t="shared" si="151"/>
        <v>-0.68600397708236882</v>
      </c>
      <c r="L495" s="623" t="str">
        <f t="shared" si="152"/>
        <v>-</v>
      </c>
      <c r="M495" s="666">
        <f t="shared" si="153"/>
        <v>2.3306443699731999E-3</v>
      </c>
      <c r="N495" s="666">
        <f t="shared" si="154"/>
        <v>2.7723364197371203E-2</v>
      </c>
      <c r="O495" s="666" t="str">
        <f t="shared" si="155"/>
        <v>-</v>
      </c>
      <c r="P495" s="662">
        <f t="shared" si="156"/>
        <v>53.506111126027506</v>
      </c>
      <c r="Q495" s="662">
        <f t="shared" si="157"/>
        <v>91.974424981445011</v>
      </c>
      <c r="R495" s="662" t="str">
        <f t="shared" si="158"/>
        <v>-</v>
      </c>
      <c r="S495" s="502"/>
      <c r="T495" s="502"/>
      <c r="U495" s="503"/>
      <c r="V495" s="502"/>
      <c r="W495" s="504"/>
      <c r="X495" s="504"/>
      <c r="Y495" s="504"/>
      <c r="Z495" s="504"/>
      <c r="AA495" s="505"/>
      <c r="AB495" s="505"/>
      <c r="AC495" s="505"/>
    </row>
    <row r="496" spans="1:29" ht="15" customHeight="1">
      <c r="A496" s="457">
        <f t="shared" si="141"/>
        <v>1</v>
      </c>
      <c r="B496" s="701" t="str">
        <f t="shared" si="145"/>
        <v>T101</v>
      </c>
      <c r="C496" s="701" t="str">
        <f t="shared" si="146"/>
        <v>T105</v>
      </c>
      <c r="D496" s="885" t="str">
        <f t="shared" si="144"/>
        <v>T10-</v>
      </c>
      <c r="F496" s="1127" t="str">
        <f t="shared" si="147"/>
        <v>T10</v>
      </c>
      <c r="G496" s="1128"/>
      <c r="H496" s="688">
        <f t="shared" si="148"/>
        <v>31.6</v>
      </c>
      <c r="I496" s="689">
        <f t="shared" si="149"/>
        <v>3.4</v>
      </c>
      <c r="J496" s="623">
        <f t="shared" si="150"/>
        <v>0.10595012640859941</v>
      </c>
      <c r="K496" s="623">
        <f t="shared" si="151"/>
        <v>-0.62614108235288124</v>
      </c>
      <c r="L496" s="623" t="str">
        <f t="shared" si="152"/>
        <v>-</v>
      </c>
      <c r="M496" s="666">
        <f t="shared" si="153"/>
        <v>1.7549290172211999E-3</v>
      </c>
      <c r="N496" s="666">
        <f t="shared" si="154"/>
        <v>2.33838386360532E-2</v>
      </c>
      <c r="O496" s="666" t="str">
        <f t="shared" si="155"/>
        <v>-</v>
      </c>
      <c r="P496" s="662">
        <f t="shared" si="156"/>
        <v>46.429623247493367</v>
      </c>
      <c r="Q496" s="662">
        <f t="shared" si="157"/>
        <v>84.469907561782989</v>
      </c>
      <c r="R496" s="662" t="str">
        <f t="shared" si="158"/>
        <v>-</v>
      </c>
      <c r="S496" s="502"/>
      <c r="T496" s="502"/>
      <c r="U496" s="503"/>
      <c r="V496" s="502"/>
      <c r="W496" s="504"/>
      <c r="X496" s="504"/>
      <c r="Y496" s="504"/>
      <c r="Z496" s="504"/>
      <c r="AA496" s="505"/>
      <c r="AB496" s="505"/>
      <c r="AC496" s="505"/>
    </row>
    <row r="497" spans="1:29" ht="15" customHeight="1">
      <c r="A497" s="457">
        <f t="shared" si="141"/>
        <v>1</v>
      </c>
      <c r="B497" s="701" t="str">
        <f t="shared" si="145"/>
        <v>T91</v>
      </c>
      <c r="C497" s="701" t="str">
        <f t="shared" si="146"/>
        <v>T95</v>
      </c>
      <c r="D497" s="885" t="str">
        <f t="shared" si="144"/>
        <v>T9-</v>
      </c>
      <c r="F497" s="1127" t="str">
        <f t="shared" si="147"/>
        <v>T9</v>
      </c>
      <c r="G497" s="1128"/>
      <c r="H497" s="688">
        <f t="shared" si="148"/>
        <v>28.2</v>
      </c>
      <c r="I497" s="689">
        <f t="shared" si="149"/>
        <v>3.4</v>
      </c>
      <c r="J497" s="623">
        <f t="shared" si="150"/>
        <v>9.0449989410706685E-2</v>
      </c>
      <c r="K497" s="623">
        <f t="shared" si="151"/>
        <v>-0.56025164621955648</v>
      </c>
      <c r="L497" s="623" t="str">
        <f t="shared" si="152"/>
        <v>-</v>
      </c>
      <c r="M497" s="666">
        <f t="shared" si="153"/>
        <v>1.2809792421651996E-3</v>
      </c>
      <c r="N497" s="666">
        <f t="shared" si="154"/>
        <v>1.89809612345152E-2</v>
      </c>
      <c r="O497" s="666" t="str">
        <f t="shared" si="155"/>
        <v>-</v>
      </c>
      <c r="P497" s="662">
        <f t="shared" si="156"/>
        <v>39.667645941338534</v>
      </c>
      <c r="Q497" s="662">
        <f t="shared" si="157"/>
        <v>76.103252370671569</v>
      </c>
      <c r="R497" s="662" t="str">
        <f t="shared" si="158"/>
        <v>-</v>
      </c>
      <c r="S497" s="502"/>
      <c r="T497" s="502"/>
      <c r="U497" s="503"/>
      <c r="V497" s="502"/>
      <c r="W497" s="504"/>
      <c r="X497" s="504"/>
      <c r="Y497" s="504"/>
      <c r="Z497" s="504"/>
      <c r="AA497" s="505"/>
      <c r="AB497" s="505"/>
      <c r="AC497" s="505"/>
    </row>
    <row r="498" spans="1:29" ht="15" customHeight="1">
      <c r="A498" s="457">
        <f t="shared" ref="A498:A529" si="159">IF(F498="","",1)</f>
        <v>1</v>
      </c>
      <c r="B498" s="701" t="str">
        <f t="shared" si="145"/>
        <v>T81</v>
      </c>
      <c r="C498" s="701" t="str">
        <f t="shared" si="146"/>
        <v>T85</v>
      </c>
      <c r="D498" s="885" t="str">
        <f t="shared" si="144"/>
        <v>T8-</v>
      </c>
      <c r="F498" s="1127" t="str">
        <f t="shared" si="147"/>
        <v>T8</v>
      </c>
      <c r="G498" s="1128"/>
      <c r="H498" s="688">
        <f t="shared" si="148"/>
        <v>24.8</v>
      </c>
      <c r="I498" s="689">
        <f t="shared" si="149"/>
        <v>3.4</v>
      </c>
      <c r="J498" s="623">
        <f t="shared" si="150"/>
        <v>7.5711273722266548E-2</v>
      </c>
      <c r="K498" s="623">
        <f t="shared" si="151"/>
        <v>-0.4897978521698399</v>
      </c>
      <c r="L498" s="623" t="str">
        <f t="shared" si="152"/>
        <v>-</v>
      </c>
      <c r="M498" s="666">
        <f t="shared" si="153"/>
        <v>9.0053477010719983E-4</v>
      </c>
      <c r="N498" s="666">
        <f t="shared" si="154"/>
        <v>1.4733969623252801E-2</v>
      </c>
      <c r="O498" s="666" t="str">
        <f t="shared" si="155"/>
        <v>-</v>
      </c>
      <c r="P498" s="662">
        <f t="shared" si="156"/>
        <v>33.259493029110409</v>
      </c>
      <c r="Q498" s="662">
        <f t="shared" si="157"/>
        <v>67.050805770452655</v>
      </c>
      <c r="R498" s="662" t="str">
        <f t="shared" si="158"/>
        <v>-</v>
      </c>
      <c r="S498" s="502"/>
      <c r="T498" s="502"/>
      <c r="U498" s="503"/>
      <c r="V498" s="502"/>
      <c r="W498" s="504"/>
      <c r="X498" s="504"/>
      <c r="Y498" s="504"/>
      <c r="Z498" s="504"/>
      <c r="AA498" s="505"/>
      <c r="AB498" s="505"/>
      <c r="AC498" s="505"/>
    </row>
    <row r="499" spans="1:29" ht="15" customHeight="1">
      <c r="A499" s="457">
        <f t="shared" si="159"/>
        <v>1</v>
      </c>
      <c r="B499" s="701" t="str">
        <f t="shared" si="145"/>
        <v>T71</v>
      </c>
      <c r="C499" s="701" t="str">
        <f t="shared" si="146"/>
        <v>T75</v>
      </c>
      <c r="D499" s="885" t="str">
        <f t="shared" si="144"/>
        <v>T7-</v>
      </c>
      <c r="F499" s="1127" t="str">
        <f t="shared" si="147"/>
        <v>T7</v>
      </c>
      <c r="G499" s="1128"/>
      <c r="H499" s="688">
        <f t="shared" si="148"/>
        <v>21.4</v>
      </c>
      <c r="I499" s="689">
        <f t="shared" si="149"/>
        <v>3.4</v>
      </c>
      <c r="J499" s="623">
        <f t="shared" si="150"/>
        <v>6.1665107879347786E-2</v>
      </c>
      <c r="K499" s="623">
        <f t="shared" si="151"/>
        <v>-0.41624047146894888</v>
      </c>
      <c r="L499" s="623" t="str">
        <f t="shared" si="152"/>
        <v>-</v>
      </c>
      <c r="M499" s="666">
        <f t="shared" si="153"/>
        <v>6.0078053664519993E-4</v>
      </c>
      <c r="N499" s="666">
        <f t="shared" si="154"/>
        <v>1.0831284883195199E-2</v>
      </c>
      <c r="O499" s="666" t="str">
        <f t="shared" si="155"/>
        <v>-</v>
      </c>
      <c r="P499" s="662">
        <f t="shared" si="156"/>
        <v>27.165850689261575</v>
      </c>
      <c r="Q499" s="662">
        <f t="shared" si="157"/>
        <v>57.488914123468177</v>
      </c>
      <c r="R499" s="662" t="str">
        <f t="shared" si="158"/>
        <v>-</v>
      </c>
      <c r="S499" s="502"/>
      <c r="T499" s="502"/>
      <c r="U499" s="503"/>
      <c r="V499" s="502"/>
      <c r="W499" s="504"/>
      <c r="X499" s="504"/>
      <c r="Y499" s="504"/>
      <c r="Z499" s="504"/>
      <c r="AA499" s="505"/>
      <c r="AB499" s="505"/>
      <c r="AC499" s="505"/>
    </row>
    <row r="500" spans="1:29" ht="15" customHeight="1">
      <c r="A500" s="457">
        <f t="shared" si="159"/>
        <v>1</v>
      </c>
      <c r="B500" s="701" t="str">
        <f t="shared" si="145"/>
        <v>T61</v>
      </c>
      <c r="C500" s="701" t="str">
        <f t="shared" si="146"/>
        <v>T65</v>
      </c>
      <c r="D500" s="885" t="str">
        <f t="shared" ref="D500:D531" si="160">F500&amp;$J$195</f>
        <v>T6-</v>
      </c>
      <c r="F500" s="1127" t="str">
        <f t="shared" si="147"/>
        <v>T6</v>
      </c>
      <c r="G500" s="1128"/>
      <c r="H500" s="688">
        <f t="shared" si="148"/>
        <v>18</v>
      </c>
      <c r="I500" s="689">
        <f t="shared" si="149"/>
        <v>3.4</v>
      </c>
      <c r="J500" s="623">
        <f t="shared" si="150"/>
        <v>4.8827173482537699E-2</v>
      </c>
      <c r="K500" s="623">
        <f t="shared" si="151"/>
        <v>-0.34146436232209004</v>
      </c>
      <c r="L500" s="623" t="str">
        <f t="shared" si="152"/>
        <v>-</v>
      </c>
      <c r="M500" s="666">
        <f t="shared" si="153"/>
        <v>3.7785126167679992E-4</v>
      </c>
      <c r="N500" s="666">
        <f t="shared" si="154"/>
        <v>7.4419526238208005E-3</v>
      </c>
      <c r="O500" s="666" t="str">
        <f t="shared" si="155"/>
        <v>-</v>
      </c>
      <c r="P500" s="662">
        <f t="shared" si="156"/>
        <v>21.543974207981684</v>
      </c>
      <c r="Q500" s="662">
        <f t="shared" si="157"/>
        <v>47.652705912840702</v>
      </c>
      <c r="R500" s="662" t="str">
        <f t="shared" si="158"/>
        <v>-</v>
      </c>
      <c r="S500" s="502"/>
      <c r="T500" s="502"/>
      <c r="U500" s="503"/>
      <c r="V500" s="502"/>
      <c r="W500" s="504"/>
      <c r="X500" s="504"/>
      <c r="Y500" s="504"/>
      <c r="Z500" s="504"/>
      <c r="AA500" s="505"/>
      <c r="AB500" s="505"/>
      <c r="AC500" s="505"/>
    </row>
    <row r="501" spans="1:29" ht="15" customHeight="1">
      <c r="A501" s="457">
        <f t="shared" si="159"/>
        <v>1</v>
      </c>
      <c r="B501" s="701" t="str">
        <f t="shared" si="145"/>
        <v>T51</v>
      </c>
      <c r="C501" s="701" t="str">
        <f t="shared" si="146"/>
        <v>T55</v>
      </c>
      <c r="D501" s="885" t="str">
        <f t="shared" si="160"/>
        <v>T5-</v>
      </c>
      <c r="F501" s="1127" t="str">
        <f t="shared" si="147"/>
        <v>T5</v>
      </c>
      <c r="G501" s="1128"/>
      <c r="H501" s="688">
        <f t="shared" si="148"/>
        <v>14.6</v>
      </c>
      <c r="I501" s="689">
        <f t="shared" si="149"/>
        <v>3.4</v>
      </c>
      <c r="J501" s="623">
        <f t="shared" si="150"/>
        <v>3.699871889599398E-2</v>
      </c>
      <c r="K501" s="623">
        <f t="shared" si="151"/>
        <v>-0.26776112284406506</v>
      </c>
      <c r="L501" s="623" t="str">
        <f t="shared" si="152"/>
        <v>-</v>
      </c>
      <c r="M501" s="666">
        <f t="shared" si="153"/>
        <v>2.1774411243519998E-4</v>
      </c>
      <c r="N501" s="666">
        <f t="shared" si="154"/>
        <v>4.6916359700212001E-3</v>
      </c>
      <c r="O501" s="666" t="str">
        <f t="shared" si="155"/>
        <v>-</v>
      </c>
      <c r="P501" s="662">
        <f t="shared" si="156"/>
        <v>16.35454976372332</v>
      </c>
      <c r="Q501" s="662">
        <f t="shared" si="157"/>
        <v>37.836091742473428</v>
      </c>
      <c r="R501" s="662" t="str">
        <f t="shared" si="158"/>
        <v>-</v>
      </c>
      <c r="S501" s="502"/>
      <c r="T501" s="502"/>
      <c r="U501" s="503"/>
      <c r="V501" s="502"/>
      <c r="W501" s="504"/>
      <c r="X501" s="504"/>
      <c r="Y501" s="504"/>
      <c r="Z501" s="504"/>
      <c r="AA501" s="505"/>
      <c r="AB501" s="505"/>
      <c r="AC501" s="505"/>
    </row>
    <row r="502" spans="1:29" ht="15" customHeight="1">
      <c r="A502" s="457">
        <f t="shared" si="159"/>
        <v>1</v>
      </c>
      <c r="B502" s="701" t="str">
        <f t="shared" si="145"/>
        <v>T41</v>
      </c>
      <c r="C502" s="701" t="str">
        <f t="shared" si="146"/>
        <v>T45</v>
      </c>
      <c r="D502" s="885" t="str">
        <f t="shared" si="160"/>
        <v>T4-</v>
      </c>
      <c r="F502" s="1127" t="str">
        <f t="shared" si="147"/>
        <v>T4</v>
      </c>
      <c r="G502" s="1128"/>
      <c r="H502" s="688">
        <f t="shared" si="148"/>
        <v>11.2</v>
      </c>
      <c r="I502" s="689">
        <f t="shared" si="149"/>
        <v>3.4</v>
      </c>
      <c r="J502" s="623">
        <f t="shared" si="150"/>
        <v>2.636881507053114E-2</v>
      </c>
      <c r="K502" s="623">
        <f t="shared" si="151"/>
        <v>-0.19712120911754266</v>
      </c>
      <c r="L502" s="623" t="str">
        <f t="shared" si="152"/>
        <v>-</v>
      </c>
      <c r="M502" s="666">
        <f t="shared" si="153"/>
        <v>1.1173578587679998E-4</v>
      </c>
      <c r="N502" s="666">
        <f t="shared" si="154"/>
        <v>2.6235790011711999E-3</v>
      </c>
      <c r="O502" s="666" t="str">
        <f t="shared" si="155"/>
        <v>-</v>
      </c>
      <c r="P502" s="662">
        <f t="shared" si="156"/>
        <v>11.715518821128725</v>
      </c>
      <c r="Q502" s="662">
        <f t="shared" si="157"/>
        <v>28.293794135749163</v>
      </c>
      <c r="R502" s="662" t="str">
        <f t="shared" si="158"/>
        <v>-</v>
      </c>
      <c r="S502" s="502"/>
      <c r="T502" s="502"/>
      <c r="U502" s="503"/>
      <c r="V502" s="502"/>
      <c r="W502" s="504"/>
      <c r="X502" s="504"/>
      <c r="Y502" s="504"/>
      <c r="Z502" s="504"/>
      <c r="AA502" s="505"/>
      <c r="AB502" s="505"/>
      <c r="AC502" s="505"/>
    </row>
    <row r="503" spans="1:29" ht="15" customHeight="1">
      <c r="A503" s="457">
        <f t="shared" si="159"/>
        <v>1</v>
      </c>
      <c r="B503" s="701" t="str">
        <f t="shared" si="145"/>
        <v>T31</v>
      </c>
      <c r="C503" s="701" t="str">
        <f t="shared" si="146"/>
        <v>T35</v>
      </c>
      <c r="D503" s="885" t="str">
        <f t="shared" si="160"/>
        <v>T3-</v>
      </c>
      <c r="F503" s="1127" t="str">
        <f t="shared" si="147"/>
        <v>T3</v>
      </c>
      <c r="G503" s="1128"/>
      <c r="H503" s="688">
        <f t="shared" si="148"/>
        <v>7.8</v>
      </c>
      <c r="I503" s="689">
        <f t="shared" si="149"/>
        <v>3.4</v>
      </c>
      <c r="J503" s="623">
        <f t="shared" si="150"/>
        <v>1.7045000227649185E-2</v>
      </c>
      <c r="K503" s="623">
        <f t="shared" si="151"/>
        <v>-0.13206406472999221</v>
      </c>
      <c r="L503" s="623" t="str">
        <f t="shared" si="152"/>
        <v>-</v>
      </c>
      <c r="M503" s="666">
        <f t="shared" si="153"/>
        <v>4.9149088497600002E-5</v>
      </c>
      <c r="N503" s="666">
        <f t="shared" si="154"/>
        <v>1.2488699459183997E-3</v>
      </c>
      <c r="O503" s="666" t="str">
        <f t="shared" si="155"/>
        <v>-</v>
      </c>
      <c r="P503" s="662">
        <f t="shared" si="156"/>
        <v>7.8351064061860889</v>
      </c>
      <c r="Q503" s="662">
        <f t="shared" si="157"/>
        <v>19.684505361420712</v>
      </c>
      <c r="R503" s="662" t="str">
        <f t="shared" si="158"/>
        <v>-</v>
      </c>
      <c r="S503" s="502"/>
      <c r="T503" s="502"/>
      <c r="U503" s="503"/>
      <c r="V503" s="502"/>
      <c r="W503" s="504"/>
      <c r="X503" s="504"/>
      <c r="Y503" s="504"/>
      <c r="Z503" s="504"/>
      <c r="AA503" s="505"/>
      <c r="AB503" s="505"/>
      <c r="AC503" s="505"/>
    </row>
    <row r="504" spans="1:29" ht="15" customHeight="1">
      <c r="A504" s="457">
        <f t="shared" si="159"/>
        <v>1</v>
      </c>
      <c r="B504" s="701" t="str">
        <f t="shared" si="145"/>
        <v>T21</v>
      </c>
      <c r="C504" s="701" t="str">
        <f t="shared" si="146"/>
        <v>T25</v>
      </c>
      <c r="D504" s="885" t="str">
        <f t="shared" si="160"/>
        <v>T2-</v>
      </c>
      <c r="F504" s="1127" t="str">
        <f t="shared" si="147"/>
        <v>T2</v>
      </c>
      <c r="G504" s="1128"/>
      <c r="H504" s="688">
        <f t="shared" si="148"/>
        <v>4.4000000000000004</v>
      </c>
      <c r="I504" s="689">
        <f t="shared" si="149"/>
        <v>4.4000000000000004</v>
      </c>
      <c r="J504" s="623">
        <f t="shared" si="150"/>
        <v>1.0615258988757509E-2</v>
      </c>
      <c r="K504" s="623">
        <f t="shared" si="151"/>
        <v>-8.6475531409205442E-2</v>
      </c>
      <c r="L504" s="623" t="str">
        <f t="shared" si="152"/>
        <v>-</v>
      </c>
      <c r="M504" s="666">
        <f t="shared" si="153"/>
        <v>1.1381129804000001E-4</v>
      </c>
      <c r="N504" s="666">
        <f t="shared" si="154"/>
        <v>3.1969593619436002E-3</v>
      </c>
      <c r="O504" s="666" t="str">
        <f t="shared" si="155"/>
        <v>-</v>
      </c>
      <c r="P504" s="662">
        <f t="shared" si="156"/>
        <v>32.327952080474127</v>
      </c>
      <c r="Q504" s="662">
        <f t="shared" si="157"/>
        <v>85.395069703544308</v>
      </c>
      <c r="R504" s="662" t="str">
        <f t="shared" si="158"/>
        <v>-</v>
      </c>
      <c r="S504" s="502"/>
      <c r="T504" s="502"/>
      <c r="U504" s="503"/>
      <c r="V504" s="502"/>
      <c r="W504" s="504"/>
      <c r="X504" s="504"/>
      <c r="Y504" s="504"/>
      <c r="Z504" s="504"/>
      <c r="AA504" s="505"/>
      <c r="AB504" s="505"/>
      <c r="AC504" s="505"/>
    </row>
    <row r="505" spans="1:29" ht="15" customHeight="1">
      <c r="A505" s="457">
        <f t="shared" si="159"/>
        <v>1</v>
      </c>
      <c r="B505" s="701" t="str">
        <f t="shared" si="145"/>
        <v>T11</v>
      </c>
      <c r="C505" s="701" t="str">
        <f t="shared" si="146"/>
        <v>T15</v>
      </c>
      <c r="D505" s="885" t="str">
        <f t="shared" si="160"/>
        <v>T1-</v>
      </c>
      <c r="F505" s="1127" t="str">
        <f t="shared" si="147"/>
        <v>T1</v>
      </c>
      <c r="G505" s="1128"/>
      <c r="H505" s="688">
        <f t="shared" si="148"/>
        <v>0</v>
      </c>
      <c r="I505" s="689">
        <f t="shared" si="149"/>
        <v>0</v>
      </c>
      <c r="J505" s="623" t="str">
        <f t="shared" si="150"/>
        <v/>
      </c>
      <c r="K505" s="623" t="str">
        <f t="shared" si="151"/>
        <v/>
      </c>
      <c r="L505" s="623" t="str">
        <f t="shared" si="152"/>
        <v/>
      </c>
      <c r="M505" s="666" t="str">
        <f t="shared" si="153"/>
        <v/>
      </c>
      <c r="N505" s="666" t="str">
        <f t="shared" si="154"/>
        <v/>
      </c>
      <c r="O505" s="666" t="str">
        <f t="shared" si="155"/>
        <v/>
      </c>
      <c r="P505" s="662" t="str">
        <f t="shared" si="156"/>
        <v/>
      </c>
      <c r="Q505" s="662" t="str">
        <f t="shared" si="157"/>
        <v/>
      </c>
      <c r="R505" s="662" t="str">
        <f t="shared" si="158"/>
        <v/>
      </c>
      <c r="S505" s="502"/>
      <c r="T505" s="502"/>
      <c r="U505" s="503"/>
      <c r="V505" s="502"/>
      <c r="W505" s="504"/>
      <c r="X505" s="504"/>
      <c r="Y505" s="504"/>
      <c r="Z505" s="504"/>
      <c r="AA505" s="505"/>
      <c r="AB505" s="505"/>
      <c r="AC505" s="505"/>
    </row>
    <row r="506" spans="1:29" ht="15" customHeight="1">
      <c r="A506" s="457">
        <f t="shared" si="159"/>
        <v>1</v>
      </c>
      <c r="B506" s="701" t="str">
        <f t="shared" si="145"/>
        <v>B11</v>
      </c>
      <c r="C506" s="701" t="str">
        <f t="shared" si="146"/>
        <v>B15</v>
      </c>
      <c r="D506" s="885" t="str">
        <f t="shared" si="160"/>
        <v>B1-</v>
      </c>
      <c r="F506" s="1127" t="str">
        <f t="shared" si="147"/>
        <v>B1</v>
      </c>
      <c r="G506" s="1128"/>
      <c r="H506" s="688">
        <f t="shared" si="148"/>
        <v>-4.6500000000000004</v>
      </c>
      <c r="I506" s="689">
        <f t="shared" si="149"/>
        <v>0</v>
      </c>
      <c r="J506" s="623" t="str">
        <f t="shared" si="150"/>
        <v/>
      </c>
      <c r="K506" s="623" t="str">
        <f t="shared" si="151"/>
        <v/>
      </c>
      <c r="L506" s="623" t="str">
        <f t="shared" si="152"/>
        <v/>
      </c>
      <c r="M506" s="666" t="str">
        <f t="shared" si="153"/>
        <v/>
      </c>
      <c r="N506" s="666" t="str">
        <f t="shared" si="154"/>
        <v/>
      </c>
      <c r="O506" s="666" t="str">
        <f t="shared" si="155"/>
        <v/>
      </c>
      <c r="P506" s="662" t="str">
        <f t="shared" si="156"/>
        <v/>
      </c>
      <c r="Q506" s="662" t="str">
        <f t="shared" si="157"/>
        <v/>
      </c>
      <c r="R506" s="662" t="str">
        <f t="shared" si="158"/>
        <v/>
      </c>
      <c r="S506" s="502"/>
      <c r="T506" s="502"/>
      <c r="U506" s="503"/>
      <c r="V506" s="502"/>
      <c r="W506" s="504"/>
      <c r="X506" s="504"/>
      <c r="Y506" s="504"/>
      <c r="Z506" s="504"/>
      <c r="AA506" s="505"/>
      <c r="AB506" s="505"/>
      <c r="AC506" s="505"/>
    </row>
    <row r="507" spans="1:29" ht="15" customHeight="1">
      <c r="A507" s="457">
        <f t="shared" si="159"/>
        <v>1</v>
      </c>
      <c r="B507" s="701" t="str">
        <f t="shared" si="145"/>
        <v>BASE1</v>
      </c>
      <c r="C507" s="701" t="str">
        <f t="shared" si="146"/>
        <v>BASE5</v>
      </c>
      <c r="D507" s="885" t="str">
        <f t="shared" si="160"/>
        <v>BASE-</v>
      </c>
      <c r="F507" s="1127" t="str">
        <f t="shared" si="147"/>
        <v>BASE</v>
      </c>
      <c r="G507" s="1128"/>
      <c r="H507" s="688">
        <f t="shared" si="148"/>
        <v>-7.65</v>
      </c>
      <c r="I507" s="689">
        <f t="shared" si="149"/>
        <v>0</v>
      </c>
      <c r="J507" s="623" t="str">
        <f t="shared" si="150"/>
        <v/>
      </c>
      <c r="K507" s="623" t="str">
        <f t="shared" si="151"/>
        <v/>
      </c>
      <c r="L507" s="623" t="str">
        <f t="shared" si="152"/>
        <v/>
      </c>
      <c r="M507" s="666" t="str">
        <f t="shared" si="153"/>
        <v/>
      </c>
      <c r="N507" s="666" t="str">
        <f t="shared" si="154"/>
        <v/>
      </c>
      <c r="O507" s="666" t="str">
        <f t="shared" si="155"/>
        <v/>
      </c>
      <c r="P507" s="662" t="str">
        <f t="shared" si="156"/>
        <v/>
      </c>
      <c r="Q507" s="662" t="str">
        <f t="shared" si="157"/>
        <v/>
      </c>
      <c r="R507" s="662" t="str">
        <f t="shared" si="158"/>
        <v/>
      </c>
      <c r="S507" s="502"/>
      <c r="T507" s="502"/>
      <c r="U507" s="503"/>
      <c r="V507" s="502"/>
      <c r="W507" s="504"/>
      <c r="X507" s="504"/>
      <c r="Y507" s="504"/>
      <c r="Z507" s="504"/>
      <c r="AA507" s="505"/>
      <c r="AB507" s="505"/>
      <c r="AC507" s="505"/>
    </row>
    <row r="508" spans="1:29" ht="15" customHeight="1">
      <c r="A508" s="457" t="str">
        <f t="shared" si="159"/>
        <v/>
      </c>
      <c r="B508" s="701" t="str">
        <f t="shared" si="145"/>
        <v>1</v>
      </c>
      <c r="C508" s="701" t="str">
        <f t="shared" si="146"/>
        <v>5</v>
      </c>
      <c r="D508" s="885" t="str">
        <f t="shared" si="160"/>
        <v>-</v>
      </c>
      <c r="F508" s="1127" t="str">
        <f t="shared" si="147"/>
        <v/>
      </c>
      <c r="G508" s="1128"/>
      <c r="H508" s="688" t="str">
        <f t="shared" si="148"/>
        <v/>
      </c>
      <c r="I508" s="689" t="str">
        <f t="shared" si="149"/>
        <v/>
      </c>
      <c r="J508" s="623" t="str">
        <f t="shared" si="150"/>
        <v/>
      </c>
      <c r="K508" s="623" t="str">
        <f t="shared" si="151"/>
        <v/>
      </c>
      <c r="L508" s="623" t="str">
        <f t="shared" si="152"/>
        <v/>
      </c>
      <c r="M508" s="666" t="str">
        <f t="shared" si="153"/>
        <v/>
      </c>
      <c r="N508" s="666" t="str">
        <f t="shared" si="154"/>
        <v/>
      </c>
      <c r="O508" s="666" t="str">
        <f t="shared" si="155"/>
        <v/>
      </c>
      <c r="P508" s="662" t="str">
        <f t="shared" si="156"/>
        <v/>
      </c>
      <c r="Q508" s="662" t="str">
        <f t="shared" si="157"/>
        <v/>
      </c>
      <c r="R508" s="662" t="str">
        <f t="shared" si="158"/>
        <v/>
      </c>
      <c r="S508" s="502"/>
      <c r="T508" s="502"/>
      <c r="U508" s="503"/>
      <c r="V508" s="502"/>
      <c r="W508" s="504"/>
      <c r="X508" s="504"/>
      <c r="Y508" s="504"/>
      <c r="Z508" s="504"/>
      <c r="AA508" s="505"/>
      <c r="AB508" s="505"/>
      <c r="AC508" s="505"/>
    </row>
    <row r="509" spans="1:29" ht="15" customHeight="1">
      <c r="A509" s="457" t="str">
        <f t="shared" si="159"/>
        <v/>
      </c>
      <c r="B509" s="701" t="str">
        <f t="shared" si="145"/>
        <v>1</v>
      </c>
      <c r="C509" s="701" t="str">
        <f t="shared" si="146"/>
        <v>5</v>
      </c>
      <c r="D509" s="885" t="str">
        <f t="shared" si="160"/>
        <v>-</v>
      </c>
      <c r="F509" s="1127" t="str">
        <f t="shared" si="147"/>
        <v/>
      </c>
      <c r="G509" s="1128"/>
      <c r="H509" s="688" t="str">
        <f t="shared" si="148"/>
        <v/>
      </c>
      <c r="I509" s="689" t="str">
        <f t="shared" si="149"/>
        <v/>
      </c>
      <c r="J509" s="623" t="str">
        <f t="shared" si="150"/>
        <v/>
      </c>
      <c r="K509" s="623" t="str">
        <f t="shared" si="151"/>
        <v/>
      </c>
      <c r="L509" s="623" t="str">
        <f t="shared" si="152"/>
        <v/>
      </c>
      <c r="M509" s="666" t="str">
        <f t="shared" si="153"/>
        <v/>
      </c>
      <c r="N509" s="666" t="str">
        <f t="shared" si="154"/>
        <v/>
      </c>
      <c r="O509" s="666" t="str">
        <f t="shared" si="155"/>
        <v/>
      </c>
      <c r="P509" s="662" t="str">
        <f t="shared" si="156"/>
        <v/>
      </c>
      <c r="Q509" s="662" t="str">
        <f t="shared" si="157"/>
        <v/>
      </c>
      <c r="R509" s="662" t="str">
        <f t="shared" si="158"/>
        <v/>
      </c>
      <c r="S509" s="502"/>
      <c r="T509" s="502"/>
      <c r="U509" s="503"/>
      <c r="V509" s="502"/>
      <c r="W509" s="504"/>
      <c r="X509" s="504"/>
      <c r="Y509" s="504"/>
      <c r="Z509" s="504"/>
      <c r="AA509" s="505"/>
      <c r="AB509" s="505"/>
      <c r="AC509" s="505"/>
    </row>
    <row r="510" spans="1:29" ht="15" customHeight="1">
      <c r="A510" s="457" t="str">
        <f t="shared" si="159"/>
        <v/>
      </c>
      <c r="B510" s="701" t="str">
        <f t="shared" si="145"/>
        <v>1</v>
      </c>
      <c r="C510" s="701" t="str">
        <f t="shared" si="146"/>
        <v>5</v>
      </c>
      <c r="D510" s="885" t="str">
        <f t="shared" si="160"/>
        <v>-</v>
      </c>
      <c r="F510" s="1127" t="str">
        <f t="shared" si="147"/>
        <v/>
      </c>
      <c r="G510" s="1128"/>
      <c r="H510" s="688" t="str">
        <f t="shared" si="148"/>
        <v/>
      </c>
      <c r="I510" s="689" t="str">
        <f t="shared" si="149"/>
        <v/>
      </c>
      <c r="J510" s="623" t="str">
        <f t="shared" si="150"/>
        <v/>
      </c>
      <c r="K510" s="623" t="str">
        <f t="shared" si="151"/>
        <v/>
      </c>
      <c r="L510" s="623" t="str">
        <f t="shared" si="152"/>
        <v/>
      </c>
      <c r="M510" s="666" t="str">
        <f t="shared" si="153"/>
        <v/>
      </c>
      <c r="N510" s="666" t="str">
        <f t="shared" si="154"/>
        <v/>
      </c>
      <c r="O510" s="666" t="str">
        <f t="shared" si="155"/>
        <v/>
      </c>
      <c r="P510" s="662" t="str">
        <f t="shared" si="156"/>
        <v/>
      </c>
      <c r="Q510" s="662" t="str">
        <f t="shared" si="157"/>
        <v/>
      </c>
      <c r="R510" s="662" t="str">
        <f t="shared" si="158"/>
        <v/>
      </c>
      <c r="S510" s="502"/>
      <c r="T510" s="502"/>
      <c r="U510" s="503"/>
      <c r="V510" s="502"/>
      <c r="W510" s="504"/>
      <c r="X510" s="504"/>
      <c r="Y510" s="504"/>
      <c r="Z510" s="504"/>
      <c r="AA510" s="505"/>
      <c r="AB510" s="505"/>
      <c r="AC510" s="505"/>
    </row>
    <row r="511" spans="1:29" ht="15" customHeight="1">
      <c r="A511" s="457" t="str">
        <f t="shared" si="159"/>
        <v/>
      </c>
      <c r="B511" s="701" t="str">
        <f t="shared" si="145"/>
        <v>1</v>
      </c>
      <c r="C511" s="701" t="str">
        <f t="shared" si="146"/>
        <v>5</v>
      </c>
      <c r="D511" s="885" t="str">
        <f t="shared" si="160"/>
        <v>-</v>
      </c>
      <c r="F511" s="1127" t="str">
        <f t="shared" si="147"/>
        <v/>
      </c>
      <c r="G511" s="1128"/>
      <c r="H511" s="688" t="str">
        <f t="shared" si="148"/>
        <v/>
      </c>
      <c r="I511" s="689" t="str">
        <f t="shared" si="149"/>
        <v/>
      </c>
      <c r="J511" s="623" t="str">
        <f t="shared" si="150"/>
        <v/>
      </c>
      <c r="K511" s="623" t="str">
        <f t="shared" si="151"/>
        <v/>
      </c>
      <c r="L511" s="623" t="str">
        <f t="shared" si="152"/>
        <v/>
      </c>
      <c r="M511" s="666" t="str">
        <f t="shared" si="153"/>
        <v/>
      </c>
      <c r="N511" s="666" t="str">
        <f t="shared" si="154"/>
        <v/>
      </c>
      <c r="O511" s="666" t="str">
        <f t="shared" si="155"/>
        <v/>
      </c>
      <c r="P511" s="662" t="str">
        <f t="shared" si="156"/>
        <v/>
      </c>
      <c r="Q511" s="662" t="str">
        <f t="shared" si="157"/>
        <v/>
      </c>
      <c r="R511" s="662" t="str">
        <f t="shared" si="158"/>
        <v/>
      </c>
      <c r="S511" s="502"/>
      <c r="T511" s="502"/>
      <c r="U511" s="503"/>
      <c r="V511" s="502"/>
      <c r="W511" s="504"/>
      <c r="X511" s="504"/>
      <c r="Y511" s="504"/>
      <c r="Z511" s="504"/>
      <c r="AA511" s="505"/>
      <c r="AB511" s="505"/>
      <c r="AC511" s="505"/>
    </row>
    <row r="512" spans="1:29" ht="15" customHeight="1">
      <c r="A512" s="457" t="str">
        <f t="shared" si="159"/>
        <v/>
      </c>
      <c r="B512" s="701" t="str">
        <f t="shared" si="145"/>
        <v>1</v>
      </c>
      <c r="C512" s="701" t="str">
        <f t="shared" si="146"/>
        <v>5</v>
      </c>
      <c r="D512" s="885" t="str">
        <f t="shared" si="160"/>
        <v>-</v>
      </c>
      <c r="F512" s="1127" t="str">
        <f t="shared" si="147"/>
        <v/>
      </c>
      <c r="G512" s="1128"/>
      <c r="H512" s="688" t="str">
        <f t="shared" si="148"/>
        <v/>
      </c>
      <c r="I512" s="689" t="str">
        <f t="shared" si="149"/>
        <v/>
      </c>
      <c r="J512" s="623" t="str">
        <f t="shared" si="150"/>
        <v/>
      </c>
      <c r="K512" s="623" t="str">
        <f t="shared" si="151"/>
        <v/>
      </c>
      <c r="L512" s="623" t="str">
        <f t="shared" si="152"/>
        <v/>
      </c>
      <c r="M512" s="666" t="str">
        <f t="shared" si="153"/>
        <v/>
      </c>
      <c r="N512" s="666" t="str">
        <f t="shared" si="154"/>
        <v/>
      </c>
      <c r="O512" s="666" t="str">
        <f t="shared" si="155"/>
        <v/>
      </c>
      <c r="P512" s="662" t="str">
        <f t="shared" si="156"/>
        <v/>
      </c>
      <c r="Q512" s="662" t="str">
        <f t="shared" si="157"/>
        <v/>
      </c>
      <c r="R512" s="662" t="str">
        <f t="shared" si="158"/>
        <v/>
      </c>
      <c r="S512" s="502"/>
      <c r="T512" s="502"/>
      <c r="U512" s="503"/>
      <c r="V512" s="502"/>
      <c r="W512" s="504"/>
      <c r="X512" s="504"/>
      <c r="Y512" s="504"/>
      <c r="Z512" s="504"/>
      <c r="AA512" s="505"/>
      <c r="AB512" s="505"/>
      <c r="AC512" s="505"/>
    </row>
    <row r="513" spans="1:29" ht="15" customHeight="1">
      <c r="A513" s="457" t="str">
        <f t="shared" si="159"/>
        <v/>
      </c>
      <c r="B513" s="701" t="str">
        <f t="shared" si="145"/>
        <v>1</v>
      </c>
      <c r="C513" s="701" t="str">
        <f t="shared" si="146"/>
        <v>5</v>
      </c>
      <c r="D513" s="885" t="str">
        <f t="shared" si="160"/>
        <v>-</v>
      </c>
      <c r="F513" s="1127" t="str">
        <f t="shared" si="147"/>
        <v/>
      </c>
      <c r="G513" s="1128"/>
      <c r="H513" s="688" t="str">
        <f t="shared" si="148"/>
        <v/>
      </c>
      <c r="I513" s="689" t="str">
        <f t="shared" si="149"/>
        <v/>
      </c>
      <c r="J513" s="623" t="str">
        <f t="shared" si="150"/>
        <v/>
      </c>
      <c r="K513" s="623" t="str">
        <f t="shared" si="151"/>
        <v/>
      </c>
      <c r="L513" s="623" t="str">
        <f t="shared" si="152"/>
        <v/>
      </c>
      <c r="M513" s="666" t="str">
        <f t="shared" si="153"/>
        <v/>
      </c>
      <c r="N513" s="666" t="str">
        <f t="shared" si="154"/>
        <v/>
      </c>
      <c r="O513" s="666" t="str">
        <f t="shared" si="155"/>
        <v/>
      </c>
      <c r="P513" s="662" t="str">
        <f t="shared" si="156"/>
        <v/>
      </c>
      <c r="Q513" s="662" t="str">
        <f t="shared" si="157"/>
        <v/>
      </c>
      <c r="R513" s="662" t="str">
        <f t="shared" si="158"/>
        <v/>
      </c>
      <c r="S513" s="502"/>
      <c r="T513" s="502"/>
      <c r="U513" s="503"/>
      <c r="V513" s="502"/>
      <c r="W513" s="504"/>
      <c r="X513" s="504"/>
      <c r="Y513" s="504"/>
      <c r="Z513" s="504"/>
      <c r="AA513" s="505"/>
      <c r="AB513" s="505"/>
      <c r="AC513" s="505"/>
    </row>
    <row r="514" spans="1:29" ht="15" customHeight="1">
      <c r="A514" s="457" t="str">
        <f t="shared" si="159"/>
        <v/>
      </c>
      <c r="B514" s="701" t="str">
        <f t="shared" si="145"/>
        <v>1</v>
      </c>
      <c r="C514" s="701" t="str">
        <f t="shared" si="146"/>
        <v>5</v>
      </c>
      <c r="D514" s="885" t="str">
        <f t="shared" si="160"/>
        <v>-</v>
      </c>
      <c r="F514" s="1127" t="str">
        <f t="shared" si="147"/>
        <v/>
      </c>
      <c r="G514" s="1128"/>
      <c r="H514" s="688" t="str">
        <f t="shared" si="148"/>
        <v/>
      </c>
      <c r="I514" s="689" t="str">
        <f t="shared" si="149"/>
        <v/>
      </c>
      <c r="J514" s="623" t="str">
        <f t="shared" si="150"/>
        <v/>
      </c>
      <c r="K514" s="623" t="str">
        <f t="shared" si="151"/>
        <v/>
      </c>
      <c r="L514" s="623" t="str">
        <f t="shared" si="152"/>
        <v/>
      </c>
      <c r="M514" s="666" t="str">
        <f t="shared" si="153"/>
        <v/>
      </c>
      <c r="N514" s="666" t="str">
        <f t="shared" si="154"/>
        <v/>
      </c>
      <c r="O514" s="666" t="str">
        <f t="shared" si="155"/>
        <v/>
      </c>
      <c r="P514" s="662" t="str">
        <f t="shared" si="156"/>
        <v/>
      </c>
      <c r="Q514" s="662" t="str">
        <f t="shared" si="157"/>
        <v/>
      </c>
      <c r="R514" s="662" t="str">
        <f t="shared" si="158"/>
        <v/>
      </c>
      <c r="S514" s="502"/>
      <c r="T514" s="502"/>
      <c r="U514" s="503"/>
      <c r="V514" s="502"/>
      <c r="W514" s="504"/>
      <c r="X514" s="504"/>
      <c r="Y514" s="504"/>
      <c r="Z514" s="504"/>
      <c r="AA514" s="505"/>
      <c r="AB514" s="505"/>
      <c r="AC514" s="505"/>
    </row>
    <row r="515" spans="1:29" ht="15" customHeight="1">
      <c r="A515" s="457" t="str">
        <f t="shared" si="159"/>
        <v/>
      </c>
      <c r="B515" s="701" t="str">
        <f t="shared" si="145"/>
        <v>1</v>
      </c>
      <c r="C515" s="701" t="str">
        <f t="shared" si="146"/>
        <v>5</v>
      </c>
      <c r="D515" s="885" t="str">
        <f t="shared" si="160"/>
        <v>-</v>
      </c>
      <c r="F515" s="1127" t="str">
        <f t="shared" si="147"/>
        <v/>
      </c>
      <c r="G515" s="1128"/>
      <c r="H515" s="688" t="str">
        <f t="shared" si="148"/>
        <v/>
      </c>
      <c r="I515" s="689" t="str">
        <f t="shared" si="149"/>
        <v/>
      </c>
      <c r="J515" s="623" t="str">
        <f t="shared" si="150"/>
        <v/>
      </c>
      <c r="K515" s="623" t="str">
        <f t="shared" si="151"/>
        <v/>
      </c>
      <c r="L515" s="623" t="str">
        <f t="shared" si="152"/>
        <v/>
      </c>
      <c r="M515" s="666" t="str">
        <f t="shared" si="153"/>
        <v/>
      </c>
      <c r="N515" s="666" t="str">
        <f t="shared" si="154"/>
        <v/>
      </c>
      <c r="O515" s="666" t="str">
        <f t="shared" si="155"/>
        <v/>
      </c>
      <c r="P515" s="662" t="str">
        <f t="shared" si="156"/>
        <v/>
      </c>
      <c r="Q515" s="662" t="str">
        <f t="shared" si="157"/>
        <v/>
      </c>
      <c r="R515" s="662" t="str">
        <f t="shared" si="158"/>
        <v/>
      </c>
      <c r="S515" s="502"/>
      <c r="T515" s="502"/>
      <c r="U515" s="503"/>
      <c r="V515" s="502"/>
      <c r="W515" s="504"/>
      <c r="X515" s="504"/>
      <c r="Y515" s="504"/>
      <c r="Z515" s="504"/>
      <c r="AA515" s="505"/>
      <c r="AB515" s="505"/>
      <c r="AC515" s="505"/>
    </row>
    <row r="516" spans="1:29" ht="15" customHeight="1">
      <c r="A516" s="457" t="str">
        <f t="shared" si="159"/>
        <v/>
      </c>
      <c r="B516" s="701" t="str">
        <f t="shared" si="145"/>
        <v>1</v>
      </c>
      <c r="C516" s="701" t="str">
        <f t="shared" si="146"/>
        <v>5</v>
      </c>
      <c r="D516" s="885" t="str">
        <f t="shared" si="160"/>
        <v>-</v>
      </c>
      <c r="F516" s="1127" t="str">
        <f t="shared" si="147"/>
        <v/>
      </c>
      <c r="G516" s="1128"/>
      <c r="H516" s="688" t="str">
        <f t="shared" si="148"/>
        <v/>
      </c>
      <c r="I516" s="689" t="str">
        <f t="shared" si="149"/>
        <v/>
      </c>
      <c r="J516" s="623" t="str">
        <f t="shared" si="150"/>
        <v/>
      </c>
      <c r="K516" s="623" t="str">
        <f t="shared" si="151"/>
        <v/>
      </c>
      <c r="L516" s="623" t="str">
        <f t="shared" si="152"/>
        <v/>
      </c>
      <c r="M516" s="666" t="str">
        <f t="shared" si="153"/>
        <v/>
      </c>
      <c r="N516" s="666" t="str">
        <f t="shared" si="154"/>
        <v/>
      </c>
      <c r="O516" s="666" t="str">
        <f t="shared" si="155"/>
        <v/>
      </c>
      <c r="P516" s="662" t="str">
        <f t="shared" si="156"/>
        <v/>
      </c>
      <c r="Q516" s="662" t="str">
        <f t="shared" si="157"/>
        <v/>
      </c>
      <c r="R516" s="662" t="str">
        <f t="shared" si="158"/>
        <v/>
      </c>
      <c r="S516" s="502"/>
      <c r="T516" s="502"/>
      <c r="U516" s="503"/>
      <c r="V516" s="502"/>
      <c r="W516" s="504"/>
      <c r="X516" s="504"/>
      <c r="Y516" s="504"/>
      <c r="Z516" s="504"/>
      <c r="AA516" s="505"/>
      <c r="AB516" s="505"/>
      <c r="AC516" s="505"/>
    </row>
    <row r="517" spans="1:29" ht="15" customHeight="1">
      <c r="A517" s="457" t="str">
        <f t="shared" si="159"/>
        <v/>
      </c>
      <c r="B517" s="701" t="str">
        <f t="shared" si="145"/>
        <v>1</v>
      </c>
      <c r="C517" s="701" t="str">
        <f t="shared" si="146"/>
        <v>5</v>
      </c>
      <c r="D517" s="885" t="str">
        <f t="shared" si="160"/>
        <v>-</v>
      </c>
      <c r="F517" s="1127" t="str">
        <f t="shared" si="147"/>
        <v/>
      </c>
      <c r="G517" s="1128"/>
      <c r="H517" s="688" t="str">
        <f t="shared" si="148"/>
        <v/>
      </c>
      <c r="I517" s="689" t="str">
        <f t="shared" si="149"/>
        <v/>
      </c>
      <c r="J517" s="623" t="str">
        <f t="shared" si="150"/>
        <v/>
      </c>
      <c r="K517" s="623" t="str">
        <f t="shared" si="151"/>
        <v/>
      </c>
      <c r="L517" s="623" t="str">
        <f t="shared" si="152"/>
        <v/>
      </c>
      <c r="M517" s="666" t="str">
        <f t="shared" si="153"/>
        <v/>
      </c>
      <c r="N517" s="666" t="str">
        <f t="shared" si="154"/>
        <v/>
      </c>
      <c r="O517" s="666" t="str">
        <f t="shared" si="155"/>
        <v/>
      </c>
      <c r="P517" s="662" t="str">
        <f t="shared" si="156"/>
        <v/>
      </c>
      <c r="Q517" s="662" t="str">
        <f t="shared" si="157"/>
        <v/>
      </c>
      <c r="R517" s="662" t="str">
        <f t="shared" si="158"/>
        <v/>
      </c>
      <c r="S517" s="502"/>
      <c r="T517" s="502"/>
      <c r="U517" s="503"/>
      <c r="V517" s="502"/>
      <c r="W517" s="504"/>
      <c r="X517" s="504"/>
      <c r="Y517" s="504"/>
      <c r="Z517" s="504"/>
      <c r="AA517" s="505"/>
      <c r="AB517" s="505"/>
      <c r="AC517" s="505"/>
    </row>
    <row r="518" spans="1:29" ht="15" customHeight="1">
      <c r="A518" s="457" t="str">
        <f t="shared" si="159"/>
        <v/>
      </c>
      <c r="B518" s="701" t="str">
        <f t="shared" si="145"/>
        <v>1</v>
      </c>
      <c r="C518" s="701" t="str">
        <f t="shared" si="146"/>
        <v>5</v>
      </c>
      <c r="D518" s="885" t="str">
        <f t="shared" si="160"/>
        <v>-</v>
      </c>
      <c r="F518" s="1127" t="str">
        <f t="shared" si="147"/>
        <v/>
      </c>
      <c r="G518" s="1128"/>
      <c r="H518" s="688" t="str">
        <f t="shared" si="148"/>
        <v/>
      </c>
      <c r="I518" s="689" t="str">
        <f t="shared" si="149"/>
        <v/>
      </c>
      <c r="J518" s="623" t="str">
        <f t="shared" si="150"/>
        <v/>
      </c>
      <c r="K518" s="623" t="str">
        <f t="shared" si="151"/>
        <v/>
      </c>
      <c r="L518" s="623" t="str">
        <f t="shared" si="152"/>
        <v/>
      </c>
      <c r="M518" s="666" t="str">
        <f t="shared" si="153"/>
        <v/>
      </c>
      <c r="N518" s="666" t="str">
        <f t="shared" si="154"/>
        <v/>
      </c>
      <c r="O518" s="666" t="str">
        <f t="shared" si="155"/>
        <v/>
      </c>
      <c r="P518" s="662" t="str">
        <f t="shared" si="156"/>
        <v/>
      </c>
      <c r="Q518" s="662" t="str">
        <f t="shared" si="157"/>
        <v/>
      </c>
      <c r="R518" s="662" t="str">
        <f t="shared" si="158"/>
        <v/>
      </c>
      <c r="S518" s="502"/>
      <c r="T518" s="502"/>
      <c r="U518" s="503"/>
      <c r="V518" s="502"/>
      <c r="W518" s="504"/>
      <c r="X518" s="504"/>
      <c r="Y518" s="504"/>
      <c r="Z518" s="504"/>
      <c r="AA518" s="505"/>
      <c r="AB518" s="505"/>
      <c r="AC518" s="505"/>
    </row>
    <row r="519" spans="1:29" ht="15" customHeight="1">
      <c r="A519" s="457" t="str">
        <f t="shared" si="159"/>
        <v/>
      </c>
      <c r="B519" s="701" t="str">
        <f t="shared" si="145"/>
        <v>1</v>
      </c>
      <c r="C519" s="701" t="str">
        <f t="shared" si="146"/>
        <v>5</v>
      </c>
      <c r="D519" s="885" t="str">
        <f t="shared" si="160"/>
        <v>-</v>
      </c>
      <c r="F519" s="1127" t="str">
        <f t="shared" si="147"/>
        <v/>
      </c>
      <c r="G519" s="1128"/>
      <c r="H519" s="688" t="str">
        <f t="shared" si="148"/>
        <v/>
      </c>
      <c r="I519" s="689" t="str">
        <f t="shared" si="149"/>
        <v/>
      </c>
      <c r="J519" s="623" t="str">
        <f t="shared" si="150"/>
        <v/>
      </c>
      <c r="K519" s="623" t="str">
        <f t="shared" si="151"/>
        <v/>
      </c>
      <c r="L519" s="623" t="str">
        <f t="shared" si="152"/>
        <v/>
      </c>
      <c r="M519" s="666" t="str">
        <f t="shared" si="153"/>
        <v/>
      </c>
      <c r="N519" s="666" t="str">
        <f t="shared" si="154"/>
        <v/>
      </c>
      <c r="O519" s="666" t="str">
        <f t="shared" si="155"/>
        <v/>
      </c>
      <c r="P519" s="662" t="str">
        <f t="shared" si="156"/>
        <v/>
      </c>
      <c r="Q519" s="662" t="str">
        <f t="shared" si="157"/>
        <v/>
      </c>
      <c r="R519" s="662" t="str">
        <f t="shared" si="158"/>
        <v/>
      </c>
      <c r="S519" s="502"/>
      <c r="T519" s="502"/>
      <c r="U519" s="503"/>
      <c r="V519" s="502"/>
      <c r="W519" s="504"/>
      <c r="X519" s="504"/>
      <c r="Y519" s="504"/>
      <c r="Z519" s="504"/>
      <c r="AA519" s="505"/>
      <c r="AB519" s="505"/>
      <c r="AC519" s="505"/>
    </row>
    <row r="520" spans="1:29" ht="15" customHeight="1">
      <c r="A520" s="457" t="str">
        <f t="shared" si="159"/>
        <v/>
      </c>
      <c r="B520" s="701" t="str">
        <f t="shared" si="145"/>
        <v>1</v>
      </c>
      <c r="C520" s="701" t="str">
        <f t="shared" si="146"/>
        <v>5</v>
      </c>
      <c r="D520" s="885" t="str">
        <f t="shared" si="160"/>
        <v>-</v>
      </c>
      <c r="F520" s="1127" t="str">
        <f t="shared" si="147"/>
        <v/>
      </c>
      <c r="G520" s="1128"/>
      <c r="H520" s="688" t="str">
        <f t="shared" si="148"/>
        <v/>
      </c>
      <c r="I520" s="689" t="str">
        <f t="shared" si="149"/>
        <v/>
      </c>
      <c r="J520" s="623" t="str">
        <f t="shared" si="150"/>
        <v/>
      </c>
      <c r="K520" s="623" t="str">
        <f t="shared" si="151"/>
        <v/>
      </c>
      <c r="L520" s="623" t="str">
        <f t="shared" si="152"/>
        <v/>
      </c>
      <c r="M520" s="666" t="str">
        <f t="shared" si="153"/>
        <v/>
      </c>
      <c r="N520" s="666" t="str">
        <f t="shared" si="154"/>
        <v/>
      </c>
      <c r="O520" s="666" t="str">
        <f t="shared" si="155"/>
        <v/>
      </c>
      <c r="P520" s="662" t="str">
        <f t="shared" si="156"/>
        <v/>
      </c>
      <c r="Q520" s="662" t="str">
        <f t="shared" si="157"/>
        <v/>
      </c>
      <c r="R520" s="662" t="str">
        <f t="shared" si="158"/>
        <v/>
      </c>
      <c r="S520" s="502"/>
      <c r="T520" s="502"/>
      <c r="U520" s="503"/>
      <c r="V520" s="502"/>
      <c r="W520" s="504"/>
      <c r="X520" s="504"/>
      <c r="Y520" s="504"/>
      <c r="Z520" s="504"/>
      <c r="AA520" s="505"/>
      <c r="AB520" s="505"/>
      <c r="AC520" s="505"/>
    </row>
    <row r="521" spans="1:29" ht="15" customHeight="1">
      <c r="A521" s="457" t="str">
        <f t="shared" si="159"/>
        <v/>
      </c>
      <c r="B521" s="701" t="str">
        <f t="shared" si="145"/>
        <v>1</v>
      </c>
      <c r="C521" s="701" t="str">
        <f t="shared" si="146"/>
        <v>5</v>
      </c>
      <c r="D521" s="885" t="str">
        <f t="shared" si="160"/>
        <v>-</v>
      </c>
      <c r="F521" s="1127" t="str">
        <f t="shared" si="147"/>
        <v/>
      </c>
      <c r="G521" s="1128"/>
      <c r="H521" s="688" t="str">
        <f t="shared" si="148"/>
        <v/>
      </c>
      <c r="I521" s="689" t="str">
        <f t="shared" si="149"/>
        <v/>
      </c>
      <c r="J521" s="623" t="str">
        <f t="shared" si="150"/>
        <v/>
      </c>
      <c r="K521" s="623" t="str">
        <f t="shared" si="151"/>
        <v/>
      </c>
      <c r="L521" s="623" t="str">
        <f t="shared" si="152"/>
        <v/>
      </c>
      <c r="M521" s="666" t="str">
        <f t="shared" si="153"/>
        <v/>
      </c>
      <c r="N521" s="666" t="str">
        <f t="shared" si="154"/>
        <v/>
      </c>
      <c r="O521" s="666" t="str">
        <f t="shared" si="155"/>
        <v/>
      </c>
      <c r="P521" s="662" t="str">
        <f t="shared" si="156"/>
        <v/>
      </c>
      <c r="Q521" s="662" t="str">
        <f t="shared" si="157"/>
        <v/>
      </c>
      <c r="R521" s="662" t="str">
        <f t="shared" si="158"/>
        <v/>
      </c>
      <c r="S521" s="502"/>
      <c r="T521" s="502"/>
      <c r="U521" s="503"/>
      <c r="V521" s="502"/>
      <c r="W521" s="504"/>
      <c r="X521" s="504"/>
      <c r="Y521" s="504"/>
      <c r="Z521" s="504"/>
      <c r="AA521" s="505"/>
      <c r="AB521" s="505"/>
      <c r="AC521" s="505"/>
    </row>
    <row r="522" spans="1:29" ht="15" customHeight="1">
      <c r="A522" s="457" t="str">
        <f t="shared" si="159"/>
        <v/>
      </c>
      <c r="B522" s="701" t="str">
        <f t="shared" si="145"/>
        <v>1</v>
      </c>
      <c r="C522" s="701" t="str">
        <f t="shared" si="146"/>
        <v>5</v>
      </c>
      <c r="D522" s="885" t="str">
        <f t="shared" si="160"/>
        <v>-</v>
      </c>
      <c r="F522" s="1127" t="str">
        <f t="shared" si="147"/>
        <v/>
      </c>
      <c r="G522" s="1128"/>
      <c r="H522" s="688" t="str">
        <f t="shared" si="148"/>
        <v/>
      </c>
      <c r="I522" s="689" t="str">
        <f t="shared" si="149"/>
        <v/>
      </c>
      <c r="J522" s="623" t="str">
        <f t="shared" si="150"/>
        <v/>
      </c>
      <c r="K522" s="623" t="str">
        <f t="shared" si="151"/>
        <v/>
      </c>
      <c r="L522" s="623" t="str">
        <f t="shared" si="152"/>
        <v/>
      </c>
      <c r="M522" s="666" t="str">
        <f t="shared" si="153"/>
        <v/>
      </c>
      <c r="N522" s="666" t="str">
        <f t="shared" si="154"/>
        <v/>
      </c>
      <c r="O522" s="666" t="str">
        <f t="shared" si="155"/>
        <v/>
      </c>
      <c r="P522" s="662" t="str">
        <f t="shared" si="156"/>
        <v/>
      </c>
      <c r="Q522" s="662" t="str">
        <f t="shared" si="157"/>
        <v/>
      </c>
      <c r="R522" s="662" t="str">
        <f t="shared" si="158"/>
        <v/>
      </c>
      <c r="S522" s="502"/>
      <c r="T522" s="502"/>
      <c r="U522" s="503"/>
      <c r="V522" s="502"/>
      <c r="W522" s="504"/>
      <c r="X522" s="504"/>
      <c r="Y522" s="504"/>
      <c r="Z522" s="504"/>
      <c r="AA522" s="505"/>
      <c r="AB522" s="505"/>
      <c r="AC522" s="505"/>
    </row>
    <row r="523" spans="1:29" ht="15" customHeight="1">
      <c r="A523" s="457" t="str">
        <f t="shared" si="159"/>
        <v/>
      </c>
      <c r="B523" s="701" t="str">
        <f t="shared" si="145"/>
        <v>1</v>
      </c>
      <c r="C523" s="701" t="str">
        <f t="shared" si="146"/>
        <v>5</v>
      </c>
      <c r="D523" s="885" t="str">
        <f t="shared" si="160"/>
        <v>-</v>
      </c>
      <c r="F523" s="1127" t="str">
        <f t="shared" si="147"/>
        <v/>
      </c>
      <c r="G523" s="1128"/>
      <c r="H523" s="688" t="str">
        <f t="shared" si="148"/>
        <v/>
      </c>
      <c r="I523" s="689" t="str">
        <f t="shared" si="149"/>
        <v/>
      </c>
      <c r="J523" s="623" t="str">
        <f t="shared" si="150"/>
        <v/>
      </c>
      <c r="K523" s="623" t="str">
        <f t="shared" si="151"/>
        <v/>
      </c>
      <c r="L523" s="623" t="str">
        <f t="shared" si="152"/>
        <v/>
      </c>
      <c r="M523" s="666" t="str">
        <f t="shared" si="153"/>
        <v/>
      </c>
      <c r="N523" s="666" t="str">
        <f t="shared" si="154"/>
        <v/>
      </c>
      <c r="O523" s="666" t="str">
        <f t="shared" si="155"/>
        <v/>
      </c>
      <c r="P523" s="662" t="str">
        <f t="shared" si="156"/>
        <v/>
      </c>
      <c r="Q523" s="662" t="str">
        <f t="shared" si="157"/>
        <v/>
      </c>
      <c r="R523" s="662" t="str">
        <f t="shared" si="158"/>
        <v/>
      </c>
      <c r="S523" s="502"/>
      <c r="T523" s="502"/>
      <c r="U523" s="503"/>
      <c r="V523" s="502"/>
      <c r="W523" s="504"/>
      <c r="X523" s="504"/>
      <c r="Y523" s="504"/>
      <c r="Z523" s="504"/>
      <c r="AA523" s="505"/>
      <c r="AB523" s="505"/>
      <c r="AC523" s="505"/>
    </row>
    <row r="524" spans="1:29" ht="15" customHeight="1">
      <c r="A524" s="457" t="str">
        <f t="shared" si="159"/>
        <v/>
      </c>
      <c r="B524" s="701" t="str">
        <f t="shared" si="145"/>
        <v>1</v>
      </c>
      <c r="C524" s="701" t="str">
        <f t="shared" si="146"/>
        <v>5</v>
      </c>
      <c r="D524" s="885" t="str">
        <f t="shared" si="160"/>
        <v>-</v>
      </c>
      <c r="F524" s="1127" t="str">
        <f t="shared" si="147"/>
        <v/>
      </c>
      <c r="G524" s="1128"/>
      <c r="H524" s="688" t="str">
        <f t="shared" si="148"/>
        <v/>
      </c>
      <c r="I524" s="689" t="str">
        <f t="shared" si="149"/>
        <v/>
      </c>
      <c r="J524" s="623" t="str">
        <f t="shared" si="150"/>
        <v/>
      </c>
      <c r="K524" s="623" t="str">
        <f t="shared" si="151"/>
        <v/>
      </c>
      <c r="L524" s="623" t="str">
        <f t="shared" si="152"/>
        <v/>
      </c>
      <c r="M524" s="666" t="str">
        <f t="shared" si="153"/>
        <v/>
      </c>
      <c r="N524" s="666" t="str">
        <f t="shared" si="154"/>
        <v/>
      </c>
      <c r="O524" s="666" t="str">
        <f t="shared" si="155"/>
        <v/>
      </c>
      <c r="P524" s="662" t="str">
        <f t="shared" si="156"/>
        <v/>
      </c>
      <c r="Q524" s="662" t="str">
        <f t="shared" si="157"/>
        <v/>
      </c>
      <c r="R524" s="662" t="str">
        <f t="shared" si="158"/>
        <v/>
      </c>
      <c r="S524" s="502"/>
      <c r="T524" s="502"/>
      <c r="U524" s="503"/>
      <c r="V524" s="502"/>
      <c r="W524" s="504"/>
      <c r="X524" s="504"/>
      <c r="Y524" s="504"/>
      <c r="Z524" s="504"/>
      <c r="AA524" s="505"/>
      <c r="AB524" s="505"/>
      <c r="AC524" s="505"/>
    </row>
    <row r="525" spans="1:29" ht="15" customHeight="1">
      <c r="A525" s="457" t="str">
        <f t="shared" si="159"/>
        <v/>
      </c>
      <c r="B525" s="701" t="str">
        <f t="shared" si="145"/>
        <v>1</v>
      </c>
      <c r="C525" s="701" t="str">
        <f t="shared" si="146"/>
        <v>5</v>
      </c>
      <c r="D525" s="885" t="str">
        <f t="shared" si="160"/>
        <v>-</v>
      </c>
      <c r="F525" s="1127" t="str">
        <f t="shared" si="147"/>
        <v/>
      </c>
      <c r="G525" s="1128"/>
      <c r="H525" s="688" t="str">
        <f t="shared" si="148"/>
        <v/>
      </c>
      <c r="I525" s="689" t="str">
        <f t="shared" si="149"/>
        <v/>
      </c>
      <c r="J525" s="623" t="str">
        <f t="shared" si="150"/>
        <v/>
      </c>
      <c r="K525" s="623" t="str">
        <f t="shared" si="151"/>
        <v/>
      </c>
      <c r="L525" s="623" t="str">
        <f t="shared" si="152"/>
        <v/>
      </c>
      <c r="M525" s="666" t="str">
        <f t="shared" si="153"/>
        <v/>
      </c>
      <c r="N525" s="666" t="str">
        <f t="shared" si="154"/>
        <v/>
      </c>
      <c r="O525" s="666" t="str">
        <f t="shared" si="155"/>
        <v/>
      </c>
      <c r="P525" s="662" t="str">
        <f t="shared" si="156"/>
        <v/>
      </c>
      <c r="Q525" s="662" t="str">
        <f t="shared" si="157"/>
        <v/>
      </c>
      <c r="R525" s="662" t="str">
        <f t="shared" si="158"/>
        <v/>
      </c>
      <c r="S525" s="502"/>
      <c r="T525" s="502"/>
      <c r="U525" s="503"/>
      <c r="V525" s="502"/>
      <c r="W525" s="504"/>
      <c r="X525" s="504"/>
      <c r="Y525" s="504"/>
      <c r="Z525" s="504"/>
      <c r="AA525" s="505"/>
      <c r="AB525" s="505"/>
      <c r="AC525" s="505"/>
    </row>
    <row r="526" spans="1:29" ht="15" customHeight="1">
      <c r="A526" s="457" t="str">
        <f t="shared" si="159"/>
        <v/>
      </c>
      <c r="B526" s="701" t="str">
        <f t="shared" si="145"/>
        <v>1</v>
      </c>
      <c r="C526" s="701" t="str">
        <f t="shared" si="146"/>
        <v>5</v>
      </c>
      <c r="D526" s="885" t="str">
        <f t="shared" si="160"/>
        <v>-</v>
      </c>
      <c r="F526" s="1127" t="str">
        <f t="shared" si="147"/>
        <v/>
      </c>
      <c r="G526" s="1128"/>
      <c r="H526" s="688" t="str">
        <f t="shared" si="148"/>
        <v/>
      </c>
      <c r="I526" s="689" t="str">
        <f t="shared" si="149"/>
        <v/>
      </c>
      <c r="J526" s="623" t="str">
        <f t="shared" si="150"/>
        <v/>
      </c>
      <c r="K526" s="623" t="str">
        <f t="shared" si="151"/>
        <v/>
      </c>
      <c r="L526" s="623" t="str">
        <f t="shared" si="152"/>
        <v/>
      </c>
      <c r="M526" s="666" t="str">
        <f t="shared" si="153"/>
        <v/>
      </c>
      <c r="N526" s="666" t="str">
        <f t="shared" si="154"/>
        <v/>
      </c>
      <c r="O526" s="666" t="str">
        <f t="shared" si="155"/>
        <v/>
      </c>
      <c r="P526" s="662" t="str">
        <f t="shared" si="156"/>
        <v/>
      </c>
      <c r="Q526" s="662" t="str">
        <f t="shared" si="157"/>
        <v/>
      </c>
      <c r="R526" s="662" t="str">
        <f t="shared" si="158"/>
        <v/>
      </c>
      <c r="S526" s="502"/>
      <c r="T526" s="502"/>
      <c r="U526" s="503"/>
      <c r="V526" s="502"/>
      <c r="W526" s="504"/>
      <c r="X526" s="504"/>
      <c r="Y526" s="504"/>
      <c r="Z526" s="504"/>
      <c r="AA526" s="505"/>
      <c r="AB526" s="505"/>
      <c r="AC526" s="505"/>
    </row>
    <row r="527" spans="1:29" ht="15" customHeight="1">
      <c r="A527" s="457" t="str">
        <f t="shared" si="159"/>
        <v/>
      </c>
      <c r="B527" s="701" t="str">
        <f t="shared" si="145"/>
        <v>1</v>
      </c>
      <c r="C527" s="701" t="str">
        <f t="shared" si="146"/>
        <v>5</v>
      </c>
      <c r="D527" s="885" t="str">
        <f t="shared" si="160"/>
        <v>-</v>
      </c>
      <c r="F527" s="1127" t="str">
        <f t="shared" si="147"/>
        <v/>
      </c>
      <c r="G527" s="1128"/>
      <c r="H527" s="688" t="str">
        <f t="shared" si="148"/>
        <v/>
      </c>
      <c r="I527" s="689" t="str">
        <f t="shared" si="149"/>
        <v/>
      </c>
      <c r="J527" s="623" t="str">
        <f t="shared" si="150"/>
        <v/>
      </c>
      <c r="K527" s="623" t="str">
        <f t="shared" si="151"/>
        <v/>
      </c>
      <c r="L527" s="623" t="str">
        <f t="shared" si="152"/>
        <v/>
      </c>
      <c r="M527" s="666" t="str">
        <f t="shared" si="153"/>
        <v/>
      </c>
      <c r="N527" s="666" t="str">
        <f t="shared" si="154"/>
        <v/>
      </c>
      <c r="O527" s="666" t="str">
        <f t="shared" si="155"/>
        <v/>
      </c>
      <c r="P527" s="662" t="str">
        <f t="shared" si="156"/>
        <v/>
      </c>
      <c r="Q527" s="662" t="str">
        <f t="shared" si="157"/>
        <v/>
      </c>
      <c r="R527" s="662" t="str">
        <f t="shared" si="158"/>
        <v/>
      </c>
      <c r="S527" s="502"/>
      <c r="T527" s="502"/>
      <c r="U527" s="503"/>
      <c r="V527" s="502"/>
      <c r="W527" s="504"/>
      <c r="X527" s="504"/>
      <c r="Y527" s="504"/>
      <c r="Z527" s="504"/>
      <c r="AA527" s="505"/>
      <c r="AB527" s="505"/>
      <c r="AC527" s="505"/>
    </row>
    <row r="528" spans="1:29" ht="15" customHeight="1">
      <c r="A528" s="457" t="str">
        <f t="shared" si="159"/>
        <v/>
      </c>
      <c r="B528" s="701" t="str">
        <f t="shared" si="145"/>
        <v>1</v>
      </c>
      <c r="C528" s="701" t="str">
        <f t="shared" si="146"/>
        <v>5</v>
      </c>
      <c r="D528" s="885" t="str">
        <f t="shared" si="160"/>
        <v>-</v>
      </c>
      <c r="F528" s="1127" t="str">
        <f t="shared" si="147"/>
        <v/>
      </c>
      <c r="G528" s="1128"/>
      <c r="H528" s="688" t="str">
        <f t="shared" si="148"/>
        <v/>
      </c>
      <c r="I528" s="689" t="str">
        <f t="shared" si="149"/>
        <v/>
      </c>
      <c r="J528" s="623" t="str">
        <f t="shared" si="150"/>
        <v/>
      </c>
      <c r="K528" s="623" t="str">
        <f t="shared" si="151"/>
        <v/>
      </c>
      <c r="L528" s="623" t="str">
        <f t="shared" si="152"/>
        <v/>
      </c>
      <c r="M528" s="666" t="str">
        <f t="shared" si="153"/>
        <v/>
      </c>
      <c r="N528" s="666" t="str">
        <f t="shared" si="154"/>
        <v/>
      </c>
      <c r="O528" s="666" t="str">
        <f t="shared" si="155"/>
        <v/>
      </c>
      <c r="P528" s="662" t="str">
        <f t="shared" si="156"/>
        <v/>
      </c>
      <c r="Q528" s="662" t="str">
        <f t="shared" si="157"/>
        <v/>
      </c>
      <c r="R528" s="662" t="str">
        <f t="shared" si="158"/>
        <v/>
      </c>
      <c r="S528" s="502"/>
      <c r="T528" s="502"/>
      <c r="U528" s="503"/>
      <c r="V528" s="502"/>
      <c r="W528" s="504"/>
      <c r="X528" s="504"/>
      <c r="Y528" s="504"/>
      <c r="Z528" s="504"/>
      <c r="AA528" s="505"/>
      <c r="AB528" s="505"/>
      <c r="AC528" s="505"/>
    </row>
    <row r="529" spans="1:29" ht="15" customHeight="1">
      <c r="A529" s="457" t="str">
        <f t="shared" si="159"/>
        <v/>
      </c>
      <c r="B529" s="701" t="str">
        <f t="shared" si="145"/>
        <v>1</v>
      </c>
      <c r="C529" s="701" t="str">
        <f t="shared" si="146"/>
        <v>5</v>
      </c>
      <c r="D529" s="885" t="str">
        <f t="shared" si="160"/>
        <v>-</v>
      </c>
      <c r="F529" s="1127" t="str">
        <f t="shared" si="147"/>
        <v/>
      </c>
      <c r="G529" s="1128"/>
      <c r="H529" s="688" t="str">
        <f t="shared" si="148"/>
        <v/>
      </c>
      <c r="I529" s="689" t="str">
        <f t="shared" si="149"/>
        <v/>
      </c>
      <c r="J529" s="623" t="str">
        <f t="shared" si="150"/>
        <v/>
      </c>
      <c r="K529" s="623" t="str">
        <f t="shared" si="151"/>
        <v/>
      </c>
      <c r="L529" s="623" t="str">
        <f t="shared" si="152"/>
        <v/>
      </c>
      <c r="M529" s="666" t="str">
        <f t="shared" si="153"/>
        <v/>
      </c>
      <c r="N529" s="666" t="str">
        <f t="shared" si="154"/>
        <v/>
      </c>
      <c r="O529" s="666" t="str">
        <f t="shared" si="155"/>
        <v/>
      </c>
      <c r="P529" s="662" t="str">
        <f t="shared" si="156"/>
        <v/>
      </c>
      <c r="Q529" s="662" t="str">
        <f t="shared" si="157"/>
        <v/>
      </c>
      <c r="R529" s="662" t="str">
        <f t="shared" si="158"/>
        <v/>
      </c>
      <c r="S529" s="502"/>
      <c r="T529" s="502"/>
      <c r="U529" s="503"/>
      <c r="V529" s="502"/>
      <c r="W529" s="504"/>
      <c r="X529" s="504"/>
      <c r="Y529" s="504"/>
      <c r="Z529" s="504"/>
      <c r="AA529" s="505"/>
      <c r="AB529" s="505"/>
      <c r="AC529" s="505"/>
    </row>
    <row r="530" spans="1:29" ht="15" customHeight="1">
      <c r="A530" s="457" t="str">
        <f t="shared" ref="A530:A544" si="161">IF(F530="","",1)</f>
        <v/>
      </c>
      <c r="B530" s="701" t="str">
        <f t="shared" si="145"/>
        <v>1</v>
      </c>
      <c r="C530" s="701" t="str">
        <f t="shared" si="146"/>
        <v>5</v>
      </c>
      <c r="D530" s="885" t="str">
        <f t="shared" si="160"/>
        <v>-</v>
      </c>
      <c r="F530" s="1127" t="str">
        <f t="shared" si="147"/>
        <v/>
      </c>
      <c r="G530" s="1128"/>
      <c r="H530" s="688" t="str">
        <f t="shared" si="148"/>
        <v/>
      </c>
      <c r="I530" s="689" t="str">
        <f t="shared" si="149"/>
        <v/>
      </c>
      <c r="J530" s="623" t="str">
        <f t="shared" si="150"/>
        <v/>
      </c>
      <c r="K530" s="623" t="str">
        <f t="shared" si="151"/>
        <v/>
      </c>
      <c r="L530" s="623" t="str">
        <f t="shared" si="152"/>
        <v/>
      </c>
      <c r="M530" s="666" t="str">
        <f t="shared" si="153"/>
        <v/>
      </c>
      <c r="N530" s="666" t="str">
        <f t="shared" si="154"/>
        <v/>
      </c>
      <c r="O530" s="666" t="str">
        <f t="shared" si="155"/>
        <v/>
      </c>
      <c r="P530" s="662" t="str">
        <f t="shared" si="156"/>
        <v/>
      </c>
      <c r="Q530" s="662" t="str">
        <f t="shared" si="157"/>
        <v/>
      </c>
      <c r="R530" s="662" t="str">
        <f t="shared" si="158"/>
        <v/>
      </c>
      <c r="S530" s="502"/>
      <c r="T530" s="502"/>
      <c r="U530" s="503"/>
      <c r="V530" s="502"/>
      <c r="W530" s="504"/>
      <c r="X530" s="504"/>
      <c r="Y530" s="504"/>
      <c r="Z530" s="504"/>
      <c r="AA530" s="505"/>
      <c r="AB530" s="505"/>
      <c r="AC530" s="505"/>
    </row>
    <row r="531" spans="1:29" ht="15" customHeight="1">
      <c r="A531" s="457" t="str">
        <f t="shared" si="161"/>
        <v/>
      </c>
      <c r="B531" s="701" t="str">
        <f t="shared" ref="B531:B544" si="162">F531&amp;$M$195</f>
        <v>1</v>
      </c>
      <c r="C531" s="701" t="str">
        <f t="shared" ref="C531:C544" si="163">F531&amp;$N$195</f>
        <v>5</v>
      </c>
      <c r="D531" s="885" t="str">
        <f t="shared" si="160"/>
        <v>-</v>
      </c>
      <c r="F531" s="1127" t="str">
        <f t="shared" ref="F531:F544" si="164">F89</f>
        <v/>
      </c>
      <c r="G531" s="1128"/>
      <c r="H531" s="688" t="str">
        <f t="shared" ref="H531:H544" si="165">H89</f>
        <v/>
      </c>
      <c r="I531" s="689" t="str">
        <f t="shared" ref="I531:I544" si="166">I360</f>
        <v/>
      </c>
      <c r="J531" s="623" t="str">
        <f t="shared" ref="J531:J544" si="167">IF(M447="-","-",IFERROR(M447*P447,""))</f>
        <v/>
      </c>
      <c r="K531" s="623" t="str">
        <f t="shared" ref="K531:K544" si="168">IF(N447="-","-",IFERROR(N447*Q447,""))</f>
        <v/>
      </c>
      <c r="L531" s="623" t="str">
        <f t="shared" ref="L531:L544" si="169">IF(O447="-","-",IFERROR(O447*R447,""))</f>
        <v/>
      </c>
      <c r="M531" s="666" t="str">
        <f t="shared" ref="M531:M544" si="170">IF(M447="-","-",IFERROR(M447^2*J176,""))</f>
        <v/>
      </c>
      <c r="N531" s="666" t="str">
        <f t="shared" ref="N531:N544" si="171">IF(N447="-","-",IFERROR(N447^2*J176,""))</f>
        <v/>
      </c>
      <c r="O531" s="666" t="str">
        <f t="shared" ref="O531:O544" si="172">IF(O447="-","-",IFERROR(O447^2*J176,""))</f>
        <v/>
      </c>
      <c r="P531" s="662" t="str">
        <f t="shared" ref="P531:P544" si="173">IF(M447="-","-",IFERROR($J176*$M$202*M447*$J$547,""))</f>
        <v/>
      </c>
      <c r="Q531" s="662" t="str">
        <f t="shared" ref="Q531:Q544" si="174">IF(N447="-","-",IFERROR($J176*$N$202*N447*$K$547,""))</f>
        <v/>
      </c>
      <c r="R531" s="662" t="str">
        <f t="shared" ref="R531:R544" si="175">IF(O447="-","-",IFERROR($J176*$O$202*O447*$L$547,""))</f>
        <v/>
      </c>
      <c r="S531" s="502"/>
      <c r="T531" s="502"/>
      <c r="U531" s="503"/>
      <c r="V531" s="502"/>
      <c r="W531" s="504"/>
      <c r="X531" s="504"/>
      <c r="Y531" s="504"/>
      <c r="Z531" s="504"/>
      <c r="AA531" s="505"/>
      <c r="AB531" s="505"/>
      <c r="AC531" s="505"/>
    </row>
    <row r="532" spans="1:29" ht="15" customHeight="1">
      <c r="A532" s="457" t="str">
        <f t="shared" si="161"/>
        <v/>
      </c>
      <c r="B532" s="701" t="str">
        <f t="shared" si="162"/>
        <v>1</v>
      </c>
      <c r="C532" s="701" t="str">
        <f t="shared" si="163"/>
        <v>5</v>
      </c>
      <c r="D532" s="885" t="str">
        <f t="shared" ref="D532:D544" si="176">F532&amp;$J$195</f>
        <v>-</v>
      </c>
      <c r="F532" s="1127" t="str">
        <f t="shared" si="164"/>
        <v/>
      </c>
      <c r="G532" s="1128"/>
      <c r="H532" s="688" t="str">
        <f t="shared" si="165"/>
        <v/>
      </c>
      <c r="I532" s="689" t="str">
        <f t="shared" si="166"/>
        <v/>
      </c>
      <c r="J532" s="623" t="str">
        <f t="shared" si="167"/>
        <v/>
      </c>
      <c r="K532" s="623" t="str">
        <f t="shared" si="168"/>
        <v/>
      </c>
      <c r="L532" s="623" t="str">
        <f t="shared" si="169"/>
        <v/>
      </c>
      <c r="M532" s="666" t="str">
        <f t="shared" si="170"/>
        <v/>
      </c>
      <c r="N532" s="666" t="str">
        <f t="shared" si="171"/>
        <v/>
      </c>
      <c r="O532" s="666" t="str">
        <f t="shared" si="172"/>
        <v/>
      </c>
      <c r="P532" s="662" t="str">
        <f t="shared" si="173"/>
        <v/>
      </c>
      <c r="Q532" s="662" t="str">
        <f t="shared" si="174"/>
        <v/>
      </c>
      <c r="R532" s="662" t="str">
        <f t="shared" si="175"/>
        <v/>
      </c>
      <c r="S532" s="502"/>
      <c r="T532" s="502"/>
      <c r="U532" s="503"/>
      <c r="V532" s="502"/>
      <c r="W532" s="504"/>
      <c r="X532" s="504"/>
      <c r="Y532" s="504"/>
      <c r="Z532" s="504"/>
      <c r="AA532" s="505"/>
      <c r="AB532" s="505"/>
      <c r="AC532" s="505"/>
    </row>
    <row r="533" spans="1:29" ht="15" customHeight="1">
      <c r="A533" s="457" t="str">
        <f t="shared" si="161"/>
        <v/>
      </c>
      <c r="B533" s="701" t="str">
        <f t="shared" si="162"/>
        <v>1</v>
      </c>
      <c r="C533" s="701" t="str">
        <f t="shared" si="163"/>
        <v>5</v>
      </c>
      <c r="D533" s="885" t="str">
        <f t="shared" si="176"/>
        <v>-</v>
      </c>
      <c r="F533" s="1127" t="str">
        <f t="shared" si="164"/>
        <v/>
      </c>
      <c r="G533" s="1128"/>
      <c r="H533" s="688" t="str">
        <f t="shared" si="165"/>
        <v/>
      </c>
      <c r="I533" s="689" t="str">
        <f t="shared" si="166"/>
        <v/>
      </c>
      <c r="J533" s="623" t="str">
        <f t="shared" si="167"/>
        <v/>
      </c>
      <c r="K533" s="623" t="str">
        <f t="shared" si="168"/>
        <v/>
      </c>
      <c r="L533" s="623" t="str">
        <f t="shared" si="169"/>
        <v/>
      </c>
      <c r="M533" s="666" t="str">
        <f t="shared" si="170"/>
        <v/>
      </c>
      <c r="N533" s="666" t="str">
        <f t="shared" si="171"/>
        <v/>
      </c>
      <c r="O533" s="666" t="str">
        <f t="shared" si="172"/>
        <v/>
      </c>
      <c r="P533" s="662" t="str">
        <f t="shared" si="173"/>
        <v/>
      </c>
      <c r="Q533" s="662" t="str">
        <f t="shared" si="174"/>
        <v/>
      </c>
      <c r="R533" s="662" t="str">
        <f t="shared" si="175"/>
        <v/>
      </c>
      <c r="S533" s="502"/>
      <c r="T533" s="502"/>
      <c r="U533" s="503"/>
      <c r="V533" s="502"/>
      <c r="W533" s="504"/>
      <c r="X533" s="504"/>
      <c r="Y533" s="504"/>
      <c r="Z533" s="504"/>
      <c r="AA533" s="505"/>
      <c r="AB533" s="505"/>
      <c r="AC533" s="505"/>
    </row>
    <row r="534" spans="1:29" ht="15" customHeight="1">
      <c r="A534" s="457" t="str">
        <f t="shared" si="161"/>
        <v/>
      </c>
      <c r="B534" s="701" t="str">
        <f t="shared" si="162"/>
        <v>1</v>
      </c>
      <c r="C534" s="701" t="str">
        <f t="shared" si="163"/>
        <v>5</v>
      </c>
      <c r="D534" s="885" t="str">
        <f t="shared" si="176"/>
        <v>-</v>
      </c>
      <c r="F534" s="1127" t="str">
        <f t="shared" si="164"/>
        <v/>
      </c>
      <c r="G534" s="1128"/>
      <c r="H534" s="688" t="str">
        <f t="shared" si="165"/>
        <v/>
      </c>
      <c r="I534" s="689" t="str">
        <f t="shared" si="166"/>
        <v/>
      </c>
      <c r="J534" s="623" t="str">
        <f t="shared" si="167"/>
        <v/>
      </c>
      <c r="K534" s="623" t="str">
        <f t="shared" si="168"/>
        <v/>
      </c>
      <c r="L534" s="623" t="str">
        <f t="shared" si="169"/>
        <v/>
      </c>
      <c r="M534" s="666" t="str">
        <f t="shared" si="170"/>
        <v/>
      </c>
      <c r="N534" s="666" t="str">
        <f t="shared" si="171"/>
        <v/>
      </c>
      <c r="O534" s="666" t="str">
        <f t="shared" si="172"/>
        <v/>
      </c>
      <c r="P534" s="662" t="str">
        <f t="shared" si="173"/>
        <v/>
      </c>
      <c r="Q534" s="662" t="str">
        <f t="shared" si="174"/>
        <v/>
      </c>
      <c r="R534" s="662" t="str">
        <f t="shared" si="175"/>
        <v/>
      </c>
      <c r="S534" s="502"/>
      <c r="T534" s="502"/>
      <c r="U534" s="503"/>
      <c r="V534" s="502"/>
      <c r="W534" s="504"/>
      <c r="X534" s="504"/>
      <c r="Y534" s="504"/>
      <c r="Z534" s="504"/>
      <c r="AA534" s="505"/>
      <c r="AB534" s="505"/>
      <c r="AC534" s="505"/>
    </row>
    <row r="535" spans="1:29" ht="15" customHeight="1">
      <c r="A535" s="457" t="str">
        <f t="shared" si="161"/>
        <v/>
      </c>
      <c r="B535" s="701" t="str">
        <f t="shared" si="162"/>
        <v>1</v>
      </c>
      <c r="C535" s="701" t="str">
        <f t="shared" si="163"/>
        <v>5</v>
      </c>
      <c r="D535" s="885" t="str">
        <f t="shared" si="176"/>
        <v>-</v>
      </c>
      <c r="F535" s="1127" t="str">
        <f t="shared" si="164"/>
        <v/>
      </c>
      <c r="G535" s="1128"/>
      <c r="H535" s="688" t="str">
        <f t="shared" si="165"/>
        <v/>
      </c>
      <c r="I535" s="689" t="str">
        <f t="shared" si="166"/>
        <v/>
      </c>
      <c r="J535" s="623" t="str">
        <f t="shared" si="167"/>
        <v/>
      </c>
      <c r="K535" s="623" t="str">
        <f t="shared" si="168"/>
        <v/>
      </c>
      <c r="L535" s="623" t="str">
        <f t="shared" si="169"/>
        <v/>
      </c>
      <c r="M535" s="666" t="str">
        <f t="shared" si="170"/>
        <v/>
      </c>
      <c r="N535" s="666" t="str">
        <f t="shared" si="171"/>
        <v/>
      </c>
      <c r="O535" s="666" t="str">
        <f t="shared" si="172"/>
        <v/>
      </c>
      <c r="P535" s="662" t="str">
        <f t="shared" si="173"/>
        <v/>
      </c>
      <c r="Q535" s="662" t="str">
        <f t="shared" si="174"/>
        <v/>
      </c>
      <c r="R535" s="662" t="str">
        <f t="shared" si="175"/>
        <v/>
      </c>
      <c r="S535" s="502"/>
      <c r="T535" s="502"/>
      <c r="U535" s="503"/>
      <c r="V535" s="502"/>
      <c r="W535" s="504"/>
      <c r="X535" s="504"/>
      <c r="Y535" s="504"/>
      <c r="Z535" s="504"/>
      <c r="AA535" s="505"/>
      <c r="AB535" s="505"/>
      <c r="AC535" s="505"/>
    </row>
    <row r="536" spans="1:29" ht="15" customHeight="1">
      <c r="A536" s="457" t="str">
        <f t="shared" si="161"/>
        <v/>
      </c>
      <c r="B536" s="701" t="str">
        <f t="shared" si="162"/>
        <v>1</v>
      </c>
      <c r="C536" s="701" t="str">
        <f t="shared" si="163"/>
        <v>5</v>
      </c>
      <c r="D536" s="885" t="str">
        <f t="shared" si="176"/>
        <v>-</v>
      </c>
      <c r="F536" s="1127" t="str">
        <f t="shared" si="164"/>
        <v/>
      </c>
      <c r="G536" s="1128"/>
      <c r="H536" s="688" t="str">
        <f t="shared" si="165"/>
        <v/>
      </c>
      <c r="I536" s="689" t="str">
        <f t="shared" si="166"/>
        <v/>
      </c>
      <c r="J536" s="623" t="str">
        <f t="shared" si="167"/>
        <v/>
      </c>
      <c r="K536" s="623" t="str">
        <f t="shared" si="168"/>
        <v/>
      </c>
      <c r="L536" s="623" t="str">
        <f t="shared" si="169"/>
        <v/>
      </c>
      <c r="M536" s="666" t="str">
        <f t="shared" si="170"/>
        <v/>
      </c>
      <c r="N536" s="666" t="str">
        <f t="shared" si="171"/>
        <v/>
      </c>
      <c r="O536" s="666" t="str">
        <f t="shared" si="172"/>
        <v/>
      </c>
      <c r="P536" s="662" t="str">
        <f t="shared" si="173"/>
        <v/>
      </c>
      <c r="Q536" s="662" t="str">
        <f t="shared" si="174"/>
        <v/>
      </c>
      <c r="R536" s="662" t="str">
        <f t="shared" si="175"/>
        <v/>
      </c>
      <c r="S536" s="502"/>
      <c r="T536" s="502"/>
      <c r="U536" s="503"/>
      <c r="V536" s="502"/>
      <c r="W536" s="504"/>
      <c r="X536" s="504"/>
      <c r="Y536" s="504"/>
      <c r="Z536" s="504"/>
      <c r="AA536" s="505"/>
      <c r="AB536" s="505"/>
      <c r="AC536" s="505"/>
    </row>
    <row r="537" spans="1:29" ht="15" customHeight="1">
      <c r="A537" s="457" t="str">
        <f t="shared" si="161"/>
        <v/>
      </c>
      <c r="B537" s="701" t="str">
        <f t="shared" si="162"/>
        <v>1</v>
      </c>
      <c r="C537" s="701" t="str">
        <f t="shared" si="163"/>
        <v>5</v>
      </c>
      <c r="D537" s="885" t="str">
        <f t="shared" si="176"/>
        <v>-</v>
      </c>
      <c r="F537" s="1127" t="str">
        <f t="shared" si="164"/>
        <v/>
      </c>
      <c r="G537" s="1128"/>
      <c r="H537" s="688" t="str">
        <f t="shared" si="165"/>
        <v/>
      </c>
      <c r="I537" s="689" t="str">
        <f t="shared" si="166"/>
        <v/>
      </c>
      <c r="J537" s="623" t="str">
        <f t="shared" si="167"/>
        <v/>
      </c>
      <c r="K537" s="623" t="str">
        <f t="shared" si="168"/>
        <v/>
      </c>
      <c r="L537" s="623" t="str">
        <f t="shared" si="169"/>
        <v/>
      </c>
      <c r="M537" s="666" t="str">
        <f t="shared" si="170"/>
        <v/>
      </c>
      <c r="N537" s="666" t="str">
        <f t="shared" si="171"/>
        <v/>
      </c>
      <c r="O537" s="666" t="str">
        <f t="shared" si="172"/>
        <v/>
      </c>
      <c r="P537" s="662" t="str">
        <f t="shared" si="173"/>
        <v/>
      </c>
      <c r="Q537" s="662" t="str">
        <f t="shared" si="174"/>
        <v/>
      </c>
      <c r="R537" s="662" t="str">
        <f t="shared" si="175"/>
        <v/>
      </c>
      <c r="S537" s="502"/>
      <c r="T537" s="502"/>
      <c r="U537" s="503"/>
      <c r="V537" s="502"/>
      <c r="W537" s="504"/>
      <c r="X537" s="504"/>
      <c r="Y537" s="504"/>
      <c r="Z537" s="504"/>
      <c r="AA537" s="505"/>
      <c r="AB537" s="505"/>
      <c r="AC537" s="505"/>
    </row>
    <row r="538" spans="1:29" ht="15" customHeight="1">
      <c r="A538" s="457" t="str">
        <f t="shared" si="161"/>
        <v/>
      </c>
      <c r="B538" s="701" t="str">
        <f t="shared" si="162"/>
        <v>1</v>
      </c>
      <c r="C538" s="701" t="str">
        <f t="shared" si="163"/>
        <v>5</v>
      </c>
      <c r="D538" s="885" t="str">
        <f t="shared" si="176"/>
        <v>-</v>
      </c>
      <c r="F538" s="1127" t="str">
        <f t="shared" si="164"/>
        <v/>
      </c>
      <c r="G538" s="1128"/>
      <c r="H538" s="688" t="str">
        <f t="shared" si="165"/>
        <v/>
      </c>
      <c r="I538" s="689" t="str">
        <f t="shared" si="166"/>
        <v/>
      </c>
      <c r="J538" s="623" t="str">
        <f t="shared" si="167"/>
        <v/>
      </c>
      <c r="K538" s="623" t="str">
        <f t="shared" si="168"/>
        <v/>
      </c>
      <c r="L538" s="623" t="str">
        <f t="shared" si="169"/>
        <v/>
      </c>
      <c r="M538" s="666" t="str">
        <f t="shared" si="170"/>
        <v/>
      </c>
      <c r="N538" s="666" t="str">
        <f t="shared" si="171"/>
        <v/>
      </c>
      <c r="O538" s="666" t="str">
        <f t="shared" si="172"/>
        <v/>
      </c>
      <c r="P538" s="662" t="str">
        <f t="shared" si="173"/>
        <v/>
      </c>
      <c r="Q538" s="662" t="str">
        <f t="shared" si="174"/>
        <v/>
      </c>
      <c r="R538" s="662" t="str">
        <f t="shared" si="175"/>
        <v/>
      </c>
      <c r="S538" s="502"/>
      <c r="T538" s="502"/>
      <c r="U538" s="503"/>
      <c r="V538" s="502"/>
      <c r="W538" s="504"/>
      <c r="X538" s="504"/>
      <c r="Y538" s="504"/>
      <c r="Z538" s="504"/>
      <c r="AA538" s="505"/>
      <c r="AB538" s="505"/>
      <c r="AC538" s="505"/>
    </row>
    <row r="539" spans="1:29" ht="15" customHeight="1">
      <c r="A539" s="457" t="str">
        <f t="shared" si="161"/>
        <v/>
      </c>
      <c r="B539" s="701" t="str">
        <f t="shared" si="162"/>
        <v>1</v>
      </c>
      <c r="C539" s="701" t="str">
        <f t="shared" si="163"/>
        <v>5</v>
      </c>
      <c r="D539" s="885" t="str">
        <f t="shared" si="176"/>
        <v>-</v>
      </c>
      <c r="F539" s="1127" t="str">
        <f t="shared" si="164"/>
        <v/>
      </c>
      <c r="G539" s="1128"/>
      <c r="H539" s="688" t="str">
        <f t="shared" si="165"/>
        <v/>
      </c>
      <c r="I539" s="689" t="str">
        <f t="shared" si="166"/>
        <v/>
      </c>
      <c r="J539" s="623" t="str">
        <f t="shared" si="167"/>
        <v/>
      </c>
      <c r="K539" s="623" t="str">
        <f t="shared" si="168"/>
        <v/>
      </c>
      <c r="L539" s="623" t="str">
        <f t="shared" si="169"/>
        <v/>
      </c>
      <c r="M539" s="666" t="str">
        <f t="shared" si="170"/>
        <v/>
      </c>
      <c r="N539" s="666" t="str">
        <f t="shared" si="171"/>
        <v/>
      </c>
      <c r="O539" s="666" t="str">
        <f t="shared" si="172"/>
        <v/>
      </c>
      <c r="P539" s="662" t="str">
        <f t="shared" si="173"/>
        <v/>
      </c>
      <c r="Q539" s="662" t="str">
        <f t="shared" si="174"/>
        <v/>
      </c>
      <c r="R539" s="662" t="str">
        <f t="shared" si="175"/>
        <v/>
      </c>
      <c r="S539" s="502"/>
      <c r="T539" s="502"/>
      <c r="U539" s="503"/>
      <c r="V539" s="502"/>
      <c r="W539" s="504"/>
      <c r="X539" s="504"/>
      <c r="Y539" s="504"/>
      <c r="Z539" s="504"/>
      <c r="AA539" s="505"/>
      <c r="AB539" s="505"/>
      <c r="AC539" s="505"/>
    </row>
    <row r="540" spans="1:29" ht="15" customHeight="1">
      <c r="A540" s="457" t="str">
        <f t="shared" si="161"/>
        <v/>
      </c>
      <c r="B540" s="701" t="str">
        <f t="shared" si="162"/>
        <v>1</v>
      </c>
      <c r="C540" s="701" t="str">
        <f t="shared" si="163"/>
        <v>5</v>
      </c>
      <c r="D540" s="885" t="str">
        <f t="shared" si="176"/>
        <v>-</v>
      </c>
      <c r="F540" s="1127" t="str">
        <f t="shared" si="164"/>
        <v/>
      </c>
      <c r="G540" s="1128"/>
      <c r="H540" s="688" t="str">
        <f t="shared" si="165"/>
        <v/>
      </c>
      <c r="I540" s="689" t="str">
        <f t="shared" si="166"/>
        <v/>
      </c>
      <c r="J540" s="623" t="str">
        <f t="shared" si="167"/>
        <v/>
      </c>
      <c r="K540" s="623" t="str">
        <f t="shared" si="168"/>
        <v/>
      </c>
      <c r="L540" s="623" t="str">
        <f t="shared" si="169"/>
        <v/>
      </c>
      <c r="M540" s="666" t="str">
        <f t="shared" si="170"/>
        <v/>
      </c>
      <c r="N540" s="666" t="str">
        <f t="shared" si="171"/>
        <v/>
      </c>
      <c r="O540" s="666" t="str">
        <f t="shared" si="172"/>
        <v/>
      </c>
      <c r="P540" s="662" t="str">
        <f t="shared" si="173"/>
        <v/>
      </c>
      <c r="Q540" s="662" t="str">
        <f t="shared" si="174"/>
        <v/>
      </c>
      <c r="R540" s="662" t="str">
        <f t="shared" si="175"/>
        <v/>
      </c>
      <c r="S540" s="502"/>
      <c r="T540" s="502"/>
      <c r="U540" s="503"/>
      <c r="V540" s="502"/>
      <c r="W540" s="504"/>
      <c r="X540" s="504"/>
      <c r="Y540" s="504"/>
      <c r="Z540" s="504"/>
      <c r="AA540" s="505"/>
      <c r="AB540" s="505"/>
      <c r="AC540" s="505"/>
    </row>
    <row r="541" spans="1:29" ht="15" customHeight="1">
      <c r="A541" s="457" t="str">
        <f t="shared" si="161"/>
        <v/>
      </c>
      <c r="B541" s="701" t="str">
        <f t="shared" si="162"/>
        <v>1</v>
      </c>
      <c r="C541" s="701" t="str">
        <f t="shared" si="163"/>
        <v>5</v>
      </c>
      <c r="D541" s="885" t="str">
        <f t="shared" si="176"/>
        <v>-</v>
      </c>
      <c r="F541" s="1127" t="str">
        <f t="shared" si="164"/>
        <v/>
      </c>
      <c r="G541" s="1128"/>
      <c r="H541" s="688" t="str">
        <f t="shared" si="165"/>
        <v/>
      </c>
      <c r="I541" s="689" t="str">
        <f t="shared" si="166"/>
        <v/>
      </c>
      <c r="J541" s="623" t="str">
        <f t="shared" si="167"/>
        <v/>
      </c>
      <c r="K541" s="623" t="str">
        <f t="shared" si="168"/>
        <v/>
      </c>
      <c r="L541" s="623" t="str">
        <f t="shared" si="169"/>
        <v/>
      </c>
      <c r="M541" s="666" t="str">
        <f t="shared" si="170"/>
        <v/>
      </c>
      <c r="N541" s="666" t="str">
        <f t="shared" si="171"/>
        <v/>
      </c>
      <c r="O541" s="666" t="str">
        <f t="shared" si="172"/>
        <v/>
      </c>
      <c r="P541" s="662" t="str">
        <f t="shared" si="173"/>
        <v/>
      </c>
      <c r="Q541" s="662" t="str">
        <f t="shared" si="174"/>
        <v/>
      </c>
      <c r="R541" s="662" t="str">
        <f t="shared" si="175"/>
        <v/>
      </c>
      <c r="S541" s="502"/>
      <c r="T541" s="502"/>
      <c r="U541" s="503"/>
      <c r="V541" s="502"/>
      <c r="W541" s="504"/>
      <c r="X541" s="504"/>
      <c r="Y541" s="504"/>
      <c r="Z541" s="504"/>
      <c r="AA541" s="505"/>
      <c r="AB541" s="505"/>
      <c r="AC541" s="505"/>
    </row>
    <row r="542" spans="1:29" ht="15" customHeight="1">
      <c r="A542" s="457" t="str">
        <f t="shared" si="161"/>
        <v/>
      </c>
      <c r="B542" s="701" t="str">
        <f t="shared" si="162"/>
        <v>1</v>
      </c>
      <c r="C542" s="701" t="str">
        <f t="shared" si="163"/>
        <v>5</v>
      </c>
      <c r="D542" s="885" t="str">
        <f t="shared" si="176"/>
        <v>-</v>
      </c>
      <c r="F542" s="1127" t="str">
        <f t="shared" si="164"/>
        <v/>
      </c>
      <c r="G542" s="1128"/>
      <c r="H542" s="688" t="str">
        <f t="shared" si="165"/>
        <v/>
      </c>
      <c r="I542" s="689" t="str">
        <f t="shared" si="166"/>
        <v/>
      </c>
      <c r="J542" s="623" t="str">
        <f t="shared" si="167"/>
        <v/>
      </c>
      <c r="K542" s="623" t="str">
        <f t="shared" si="168"/>
        <v/>
      </c>
      <c r="L542" s="623" t="str">
        <f t="shared" si="169"/>
        <v/>
      </c>
      <c r="M542" s="666" t="str">
        <f t="shared" si="170"/>
        <v/>
      </c>
      <c r="N542" s="666" t="str">
        <f t="shared" si="171"/>
        <v/>
      </c>
      <c r="O542" s="666" t="str">
        <f t="shared" si="172"/>
        <v/>
      </c>
      <c r="P542" s="662" t="str">
        <f t="shared" si="173"/>
        <v/>
      </c>
      <c r="Q542" s="662" t="str">
        <f t="shared" si="174"/>
        <v/>
      </c>
      <c r="R542" s="662" t="str">
        <f t="shared" si="175"/>
        <v/>
      </c>
      <c r="S542" s="502"/>
      <c r="T542" s="502"/>
      <c r="U542" s="503"/>
      <c r="V542" s="502"/>
      <c r="W542" s="504"/>
      <c r="X542" s="504"/>
      <c r="Y542" s="504"/>
      <c r="Z542" s="504"/>
      <c r="AA542" s="505"/>
      <c r="AB542" s="505"/>
      <c r="AC542" s="505"/>
    </row>
    <row r="543" spans="1:29" ht="15" customHeight="1">
      <c r="A543" s="457" t="str">
        <f t="shared" si="161"/>
        <v/>
      </c>
      <c r="B543" s="701" t="str">
        <f t="shared" si="162"/>
        <v>1</v>
      </c>
      <c r="C543" s="701" t="str">
        <f t="shared" si="163"/>
        <v>5</v>
      </c>
      <c r="D543" s="885" t="str">
        <f t="shared" si="176"/>
        <v>-</v>
      </c>
      <c r="F543" s="1127" t="str">
        <f t="shared" si="164"/>
        <v/>
      </c>
      <c r="G543" s="1128"/>
      <c r="H543" s="688" t="str">
        <f t="shared" si="165"/>
        <v/>
      </c>
      <c r="I543" s="689" t="str">
        <f t="shared" si="166"/>
        <v/>
      </c>
      <c r="J543" s="623" t="str">
        <f t="shared" si="167"/>
        <v/>
      </c>
      <c r="K543" s="623" t="str">
        <f t="shared" si="168"/>
        <v/>
      </c>
      <c r="L543" s="623" t="str">
        <f t="shared" si="169"/>
        <v/>
      </c>
      <c r="M543" s="666" t="str">
        <f t="shared" si="170"/>
        <v/>
      </c>
      <c r="N543" s="666" t="str">
        <f t="shared" si="171"/>
        <v/>
      </c>
      <c r="O543" s="666" t="str">
        <f t="shared" si="172"/>
        <v/>
      </c>
      <c r="P543" s="662" t="str">
        <f t="shared" si="173"/>
        <v/>
      </c>
      <c r="Q543" s="662" t="str">
        <f t="shared" si="174"/>
        <v/>
      </c>
      <c r="R543" s="662" t="str">
        <f t="shared" si="175"/>
        <v/>
      </c>
      <c r="S543" s="502"/>
      <c r="T543" s="502"/>
      <c r="U543" s="503"/>
      <c r="V543" s="502"/>
      <c r="W543" s="504"/>
      <c r="X543" s="504"/>
      <c r="Y543" s="504"/>
      <c r="Z543" s="504"/>
      <c r="AA543" s="505"/>
      <c r="AB543" s="505"/>
      <c r="AC543" s="505"/>
    </row>
    <row r="544" spans="1:29" ht="15" customHeight="1">
      <c r="A544" s="457" t="str">
        <f t="shared" si="161"/>
        <v/>
      </c>
      <c r="B544" s="701" t="str">
        <f t="shared" si="162"/>
        <v>1</v>
      </c>
      <c r="C544" s="701" t="str">
        <f t="shared" si="163"/>
        <v>5</v>
      </c>
      <c r="D544" s="885" t="str">
        <f t="shared" si="176"/>
        <v>-</v>
      </c>
      <c r="F544" s="1127" t="str">
        <f t="shared" si="164"/>
        <v/>
      </c>
      <c r="G544" s="1128"/>
      <c r="H544" s="688" t="str">
        <f t="shared" si="165"/>
        <v/>
      </c>
      <c r="I544" s="689" t="str">
        <f t="shared" si="166"/>
        <v/>
      </c>
      <c r="J544" s="623" t="str">
        <f t="shared" si="167"/>
        <v/>
      </c>
      <c r="K544" s="623" t="str">
        <f t="shared" si="168"/>
        <v/>
      </c>
      <c r="L544" s="623" t="str">
        <f t="shared" si="169"/>
        <v/>
      </c>
      <c r="M544" s="666" t="str">
        <f t="shared" si="170"/>
        <v/>
      </c>
      <c r="N544" s="666" t="str">
        <f t="shared" si="171"/>
        <v/>
      </c>
      <c r="O544" s="666" t="str">
        <f t="shared" si="172"/>
        <v/>
      </c>
      <c r="P544" s="662" t="str">
        <f t="shared" si="173"/>
        <v/>
      </c>
      <c r="Q544" s="662" t="str">
        <f t="shared" si="174"/>
        <v/>
      </c>
      <c r="R544" s="662" t="str">
        <f t="shared" si="175"/>
        <v/>
      </c>
      <c r="S544" s="502"/>
      <c r="T544" s="502"/>
      <c r="U544" s="503"/>
      <c r="V544" s="502"/>
      <c r="W544" s="504"/>
      <c r="X544" s="504"/>
      <c r="Y544" s="504"/>
      <c r="Z544" s="504"/>
      <c r="AA544" s="505"/>
      <c r="AB544" s="505"/>
      <c r="AC544" s="505"/>
    </row>
    <row r="545" spans="1:29" ht="15" customHeight="1">
      <c r="A545" s="457">
        <v>1</v>
      </c>
      <c r="B545" s="701"/>
      <c r="C545" s="701"/>
      <c r="D545" s="885"/>
      <c r="F545" s="709"/>
      <c r="G545" s="629"/>
      <c r="H545" s="629"/>
      <c r="I545" s="629"/>
      <c r="J545" s="697">
        <f t="shared" ref="J545:R545" si="177">SUM(J466:J544)</f>
        <v>11.392943881292018</v>
      </c>
      <c r="K545" s="697">
        <f t="shared" si="177"/>
        <v>-8.6002869299604914</v>
      </c>
      <c r="L545" s="697">
        <f t="shared" si="177"/>
        <v>0</v>
      </c>
      <c r="M545" s="946">
        <f t="shared" si="177"/>
        <v>0.75842700939362317</v>
      </c>
      <c r="N545" s="946">
        <f t="shared" si="177"/>
        <v>0.80078643301347308</v>
      </c>
      <c r="O545" s="946">
        <f t="shared" si="177"/>
        <v>0</v>
      </c>
      <c r="P545" s="697">
        <f t="shared" si="177"/>
        <v>5036.635266590325</v>
      </c>
      <c r="Q545" s="697">
        <f t="shared" si="177"/>
        <v>1298.2782507509628</v>
      </c>
      <c r="R545" s="697">
        <f t="shared" si="177"/>
        <v>0</v>
      </c>
      <c r="S545" s="502"/>
      <c r="T545" s="502"/>
      <c r="U545" s="503"/>
      <c r="V545" s="502"/>
      <c r="W545" s="504"/>
      <c r="X545" s="504"/>
      <c r="Y545" s="504"/>
      <c r="Z545" s="504"/>
      <c r="AA545" s="505"/>
      <c r="AB545" s="505"/>
      <c r="AC545" s="505"/>
    </row>
    <row r="546" spans="1:29" ht="15" customHeight="1">
      <c r="A546" s="457">
        <v>1</v>
      </c>
      <c r="B546" s="701"/>
      <c r="C546" s="701"/>
      <c r="D546" s="885"/>
      <c r="F546" s="709"/>
      <c r="G546" s="710"/>
      <c r="H546" s="711"/>
      <c r="I546" s="711"/>
      <c r="J546" s="712" t="s">
        <v>1971</v>
      </c>
      <c r="K546" s="712" t="s">
        <v>1972</v>
      </c>
      <c r="L546" s="712" t="s">
        <v>1973</v>
      </c>
      <c r="M546" s="626"/>
      <c r="N546" s="626"/>
      <c r="O546" s="713"/>
      <c r="P546" s="713"/>
      <c r="Q546" s="628"/>
      <c r="R546" s="628"/>
      <c r="S546" s="502"/>
      <c r="T546" s="502"/>
      <c r="U546" s="503"/>
      <c r="V546" s="502"/>
      <c r="W546" s="504"/>
      <c r="X546" s="504"/>
      <c r="Y546" s="504"/>
      <c r="Z546" s="504"/>
      <c r="AA546" s="505"/>
      <c r="AB546" s="505"/>
      <c r="AC546" s="505"/>
    </row>
    <row r="547" spans="1:29" ht="15" customHeight="1">
      <c r="A547" s="457">
        <v>1</v>
      </c>
      <c r="B547" s="701"/>
      <c r="C547" s="701"/>
      <c r="D547" s="885"/>
      <c r="F547" s="709"/>
      <c r="G547" s="714"/>
      <c r="H547" s="628"/>
      <c r="I547" s="628"/>
      <c r="J547" s="623">
        <f>IF(J545&lt;&gt;0,J545/M545,"-")</f>
        <v>15.02180663423484</v>
      </c>
      <c r="K547" s="700">
        <f>IF(K545&lt;&gt;0,K545/N545,"-")</f>
        <v>-10.739800994874988</v>
      </c>
      <c r="L547" s="700" t="str">
        <f>IF(L545&lt;&gt;0,L545/O545,"-")</f>
        <v>-</v>
      </c>
      <c r="M547" s="626"/>
      <c r="N547" s="626"/>
      <c r="O547" s="713"/>
      <c r="P547" s="713"/>
      <c r="Q547" s="628"/>
      <c r="R547" s="628"/>
      <c r="S547" s="502"/>
      <c r="T547" s="502"/>
      <c r="U547" s="503"/>
      <c r="V547" s="502"/>
      <c r="W547" s="504"/>
      <c r="X547" s="504"/>
      <c r="Y547" s="504"/>
      <c r="Z547" s="504"/>
      <c r="AA547" s="505"/>
      <c r="AB547" s="505"/>
      <c r="AC547" s="505"/>
    </row>
  </sheetData>
  <mergeCells count="728">
    <mergeCell ref="F3:R3"/>
    <mergeCell ref="F1:R1"/>
    <mergeCell ref="F2:R2"/>
    <mergeCell ref="K22:L22"/>
    <mergeCell ref="M22:N22"/>
    <mergeCell ref="Q23:R23"/>
    <mergeCell ref="O27:P27"/>
    <mergeCell ref="O28:P28"/>
    <mergeCell ref="O36:P36"/>
    <mergeCell ref="K4:R4"/>
    <mergeCell ref="G6:N6"/>
    <mergeCell ref="O22:R22"/>
    <mergeCell ref="F22:G22"/>
    <mergeCell ref="L14:R14"/>
    <mergeCell ref="L9:R9"/>
    <mergeCell ref="J10:K10"/>
    <mergeCell ref="J11:K11"/>
    <mergeCell ref="F9:K9"/>
    <mergeCell ref="O29:P29"/>
    <mergeCell ref="F36:G36"/>
    <mergeCell ref="F23:G23"/>
    <mergeCell ref="O23:P23"/>
    <mergeCell ref="F35:G35"/>
    <mergeCell ref="F37:G37"/>
    <mergeCell ref="F38:G38"/>
    <mergeCell ref="O37:P37"/>
    <mergeCell ref="O38:P38"/>
    <mergeCell ref="O33:P33"/>
    <mergeCell ref="O24:P24"/>
    <mergeCell ref="O25:P25"/>
    <mergeCell ref="O26:P26"/>
    <mergeCell ref="O30:P30"/>
    <mergeCell ref="O31:P31"/>
    <mergeCell ref="O32:P32"/>
    <mergeCell ref="O34:P34"/>
    <mergeCell ref="O35:P35"/>
    <mergeCell ref="F24:G24"/>
    <mergeCell ref="F25:G25"/>
    <mergeCell ref="F26:G26"/>
    <mergeCell ref="F27:G27"/>
    <mergeCell ref="F28:G28"/>
    <mergeCell ref="F29:G29"/>
    <mergeCell ref="F30:G30"/>
    <mergeCell ref="F31:G31"/>
    <mergeCell ref="F32:G32"/>
    <mergeCell ref="F33:G33"/>
    <mergeCell ref="F34:G34"/>
    <mergeCell ref="O40:P40"/>
    <mergeCell ref="O41:P41"/>
    <mergeCell ref="O42:P42"/>
    <mergeCell ref="O43:P43"/>
    <mergeCell ref="O39:P39"/>
    <mergeCell ref="Q69:R69"/>
    <mergeCell ref="Q70:R70"/>
    <mergeCell ref="O71:P71"/>
    <mergeCell ref="Q71:R71"/>
    <mergeCell ref="O55:P55"/>
    <mergeCell ref="O67:P67"/>
    <mergeCell ref="Q64:R64"/>
    <mergeCell ref="Q67:R67"/>
    <mergeCell ref="O54:P54"/>
    <mergeCell ref="Q54:R54"/>
    <mergeCell ref="O50:P50"/>
    <mergeCell ref="O51:P51"/>
    <mergeCell ref="O52:P52"/>
    <mergeCell ref="O53:P53"/>
    <mergeCell ref="O47:P47"/>
    <mergeCell ref="O48:P48"/>
    <mergeCell ref="Q45:R45"/>
    <mergeCell ref="Q47:R47"/>
    <mergeCell ref="Q48:R48"/>
    <mergeCell ref="O92:P92"/>
    <mergeCell ref="Q92:R92"/>
    <mergeCell ref="O88:P88"/>
    <mergeCell ref="AA210:AB210"/>
    <mergeCell ref="AA209:AC209"/>
    <mergeCell ref="W209:Z209"/>
    <mergeCell ref="S203:U203"/>
    <mergeCell ref="S209:T209"/>
    <mergeCell ref="U209:V209"/>
    <mergeCell ref="M207:O207"/>
    <mergeCell ref="M208:O208"/>
    <mergeCell ref="Q88:R88"/>
    <mergeCell ref="O89:P89"/>
    <mergeCell ref="Q89:R89"/>
    <mergeCell ref="O90:P90"/>
    <mergeCell ref="Q90:R90"/>
    <mergeCell ref="O91:P91"/>
    <mergeCell ref="Q91:R91"/>
    <mergeCell ref="M193:Q193"/>
    <mergeCell ref="Q102:R102"/>
    <mergeCell ref="Q96:R96"/>
    <mergeCell ref="Q99:R99"/>
    <mergeCell ref="Q100:R100"/>
    <mergeCell ref="Q101:R101"/>
    <mergeCell ref="Q55:R55"/>
    <mergeCell ref="O65:P65"/>
    <mergeCell ref="Q65:R65"/>
    <mergeCell ref="O66:P66"/>
    <mergeCell ref="Q66:R66"/>
    <mergeCell ref="O68:P68"/>
    <mergeCell ref="Q68:R68"/>
    <mergeCell ref="O56:P56"/>
    <mergeCell ref="Q56:R56"/>
    <mergeCell ref="O57:P57"/>
    <mergeCell ref="Q57:R57"/>
    <mergeCell ref="O58:P58"/>
    <mergeCell ref="Q58:R58"/>
    <mergeCell ref="O64:P64"/>
    <mergeCell ref="O59:P59"/>
    <mergeCell ref="Q59:R59"/>
    <mergeCell ref="O60:P60"/>
    <mergeCell ref="Q60:R60"/>
    <mergeCell ref="O61:P61"/>
    <mergeCell ref="O63:P63"/>
    <mergeCell ref="Q63:R63"/>
    <mergeCell ref="Q49:R49"/>
    <mergeCell ref="Q50:R50"/>
    <mergeCell ref="Q51:R51"/>
    <mergeCell ref="Q52:R52"/>
    <mergeCell ref="Q53:R53"/>
    <mergeCell ref="Q39:R39"/>
    <mergeCell ref="Q35:R35"/>
    <mergeCell ref="Q24:R24"/>
    <mergeCell ref="Q25:R25"/>
    <mergeCell ref="Q26:R26"/>
    <mergeCell ref="Q27:R27"/>
    <mergeCell ref="Q28:R28"/>
    <mergeCell ref="Q29:R29"/>
    <mergeCell ref="Q30:R30"/>
    <mergeCell ref="Q31:R31"/>
    <mergeCell ref="Q32:R32"/>
    <mergeCell ref="Q33:R33"/>
    <mergeCell ref="Q34:R34"/>
    <mergeCell ref="Q36:R36"/>
    <mergeCell ref="Q37:R37"/>
    <mergeCell ref="Q38:R38"/>
    <mergeCell ref="Q40:R40"/>
    <mergeCell ref="Q46:R46"/>
    <mergeCell ref="Q41:R41"/>
    <mergeCell ref="Q42:R42"/>
    <mergeCell ref="Q43:R43"/>
    <mergeCell ref="Q44:R44"/>
    <mergeCell ref="O85:P85"/>
    <mergeCell ref="Q85:R85"/>
    <mergeCell ref="O86:P86"/>
    <mergeCell ref="Q86:R86"/>
    <mergeCell ref="O78:P78"/>
    <mergeCell ref="Q78:R78"/>
    <mergeCell ref="O79:P79"/>
    <mergeCell ref="Q79:R79"/>
    <mergeCell ref="O80:P80"/>
    <mergeCell ref="Q80:R80"/>
    <mergeCell ref="O81:P81"/>
    <mergeCell ref="Q81:R81"/>
    <mergeCell ref="O82:P82"/>
    <mergeCell ref="Q82:R82"/>
    <mergeCell ref="O44:P44"/>
    <mergeCell ref="O45:P45"/>
    <mergeCell ref="O46:P46"/>
    <mergeCell ref="O49:P49"/>
    <mergeCell ref="Q61:R61"/>
    <mergeCell ref="O62:P62"/>
    <mergeCell ref="Q62:R62"/>
    <mergeCell ref="O83:P83"/>
    <mergeCell ref="Q83:R83"/>
    <mergeCell ref="O84:P84"/>
    <mergeCell ref="Q84:R84"/>
    <mergeCell ref="O76:P76"/>
    <mergeCell ref="Q76:R76"/>
    <mergeCell ref="O77:P77"/>
    <mergeCell ref="Q77:R77"/>
    <mergeCell ref="Q72:R72"/>
    <mergeCell ref="O74:P74"/>
    <mergeCell ref="Q74:R74"/>
    <mergeCell ref="O75:P75"/>
    <mergeCell ref="Q75:R75"/>
    <mergeCell ref="O73:P73"/>
    <mergeCell ref="Q73:R73"/>
    <mergeCell ref="O69:P69"/>
    <mergeCell ref="O72:P72"/>
    <mergeCell ref="O87:P87"/>
    <mergeCell ref="Q87:R87"/>
    <mergeCell ref="O70:P7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70:G70"/>
    <mergeCell ref="F64:G64"/>
    <mergeCell ref="F65:G65"/>
    <mergeCell ref="F66:G66"/>
    <mergeCell ref="F67:G67"/>
    <mergeCell ref="F68:G68"/>
    <mergeCell ref="F69:G69"/>
    <mergeCell ref="F71:G71"/>
    <mergeCell ref="F55:G55"/>
    <mergeCell ref="F56:G56"/>
    <mergeCell ref="F57:G57"/>
    <mergeCell ref="F58:G58"/>
    <mergeCell ref="F59:G59"/>
    <mergeCell ref="F60:G60"/>
    <mergeCell ref="F61:G61"/>
    <mergeCell ref="F62:G62"/>
    <mergeCell ref="F63:G63"/>
    <mergeCell ref="F72:G72"/>
    <mergeCell ref="F73:G73"/>
    <mergeCell ref="F74:G74"/>
    <mergeCell ref="F75:G75"/>
    <mergeCell ref="F76:G76"/>
    <mergeCell ref="F77:G77"/>
    <mergeCell ref="F78:G78"/>
    <mergeCell ref="F79:G79"/>
    <mergeCell ref="F80:G80"/>
    <mergeCell ref="F90:G90"/>
    <mergeCell ref="F91:G91"/>
    <mergeCell ref="F92:G92"/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O97:P97"/>
    <mergeCell ref="Q97:R97"/>
    <mergeCell ref="F98:G98"/>
    <mergeCell ref="O98:P98"/>
    <mergeCell ref="Q98:R98"/>
    <mergeCell ref="F93:G93"/>
    <mergeCell ref="O93:P93"/>
    <mergeCell ref="Q93:R93"/>
    <mergeCell ref="F94:G94"/>
    <mergeCell ref="O94:P94"/>
    <mergeCell ref="Q94:R94"/>
    <mergeCell ref="F95:G95"/>
    <mergeCell ref="O95:P95"/>
    <mergeCell ref="Q95:R95"/>
    <mergeCell ref="F149:G149"/>
    <mergeCell ref="F150:G150"/>
    <mergeCell ref="F151:G151"/>
    <mergeCell ref="F152:G152"/>
    <mergeCell ref="F153:G153"/>
    <mergeCell ref="F154:G154"/>
    <mergeCell ref="F155:G155"/>
    <mergeCell ref="O102:P102"/>
    <mergeCell ref="F96:G96"/>
    <mergeCell ref="O96:P96"/>
    <mergeCell ref="F99:G99"/>
    <mergeCell ref="O99:P99"/>
    <mergeCell ref="F100:G100"/>
    <mergeCell ref="O100:P100"/>
    <mergeCell ref="F101:G101"/>
    <mergeCell ref="O101:P101"/>
    <mergeCell ref="F140:G140"/>
    <mergeCell ref="F103:N103"/>
    <mergeCell ref="O103:P103"/>
    <mergeCell ref="F145:G145"/>
    <mergeCell ref="F146:G146"/>
    <mergeCell ref="F147:G147"/>
    <mergeCell ref="F148:G148"/>
    <mergeCell ref="F97:G97"/>
    <mergeCell ref="Q103:R103"/>
    <mergeCell ref="F102:G102"/>
    <mergeCell ref="F141:G141"/>
    <mergeCell ref="F142:G142"/>
    <mergeCell ref="F143:G143"/>
    <mergeCell ref="F144:G144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288:G288"/>
    <mergeCell ref="F289:G289"/>
    <mergeCell ref="F281:G281"/>
    <mergeCell ref="F282:G282"/>
    <mergeCell ref="F283:G283"/>
    <mergeCell ref="F284:G284"/>
    <mergeCell ref="F285:G285"/>
    <mergeCell ref="F286:G286"/>
    <mergeCell ref="F287:G287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306:G306"/>
    <mergeCell ref="F307:G307"/>
    <mergeCell ref="F308:G308"/>
    <mergeCell ref="F309:G309"/>
    <mergeCell ref="F310:G310"/>
    <mergeCell ref="F311:G311"/>
    <mergeCell ref="F380:G380"/>
    <mergeCell ref="F297:G297"/>
    <mergeCell ref="F298:G298"/>
    <mergeCell ref="F299:G299"/>
    <mergeCell ref="F300:G300"/>
    <mergeCell ref="F301:G301"/>
    <mergeCell ref="F302:G302"/>
    <mergeCell ref="F303:G303"/>
    <mergeCell ref="F304:G304"/>
    <mergeCell ref="F305:G305"/>
    <mergeCell ref="F167:G167"/>
    <mergeCell ref="F168:G168"/>
    <mergeCell ref="F169:G169"/>
    <mergeCell ref="F170:G170"/>
    <mergeCell ref="F171:G171"/>
    <mergeCell ref="F172:G172"/>
    <mergeCell ref="F410:G410"/>
    <mergeCell ref="F398:G398"/>
    <mergeCell ref="F318:G318"/>
    <mergeCell ref="F319:G319"/>
    <mergeCell ref="F320:G320"/>
    <mergeCell ref="F346:G346"/>
    <mergeCell ref="F393:G393"/>
    <mergeCell ref="F394:G394"/>
    <mergeCell ref="F395:G395"/>
    <mergeCell ref="F396:G396"/>
    <mergeCell ref="F397:G397"/>
    <mergeCell ref="F383:G383"/>
    <mergeCell ref="F384:G384"/>
    <mergeCell ref="F385:G385"/>
    <mergeCell ref="F381:G381"/>
    <mergeCell ref="F382:G382"/>
    <mergeCell ref="F386:G386"/>
    <mergeCell ref="F387:G387"/>
    <mergeCell ref="F388:G388"/>
    <mergeCell ref="F389:G389"/>
    <mergeCell ref="F390:G390"/>
    <mergeCell ref="F391:G391"/>
    <mergeCell ref="F392:G392"/>
    <mergeCell ref="F350:G350"/>
    <mergeCell ref="F466:G466"/>
    <mergeCell ref="F467:G467"/>
    <mergeCell ref="F482:G482"/>
    <mergeCell ref="F483:G483"/>
    <mergeCell ref="F484:G484"/>
    <mergeCell ref="F485:G485"/>
    <mergeCell ref="F421:G421"/>
    <mergeCell ref="F399:G399"/>
    <mergeCell ref="F400:G400"/>
    <mergeCell ref="F401:G401"/>
    <mergeCell ref="F402:G402"/>
    <mergeCell ref="F403:G403"/>
    <mergeCell ref="F404:G404"/>
    <mergeCell ref="F405:G405"/>
    <mergeCell ref="F406:G406"/>
    <mergeCell ref="F407:G407"/>
    <mergeCell ref="F413:G413"/>
    <mergeCell ref="F414:G414"/>
    <mergeCell ref="F415:G415"/>
    <mergeCell ref="F416:G416"/>
    <mergeCell ref="F418:G418"/>
    <mergeCell ref="F419:G419"/>
    <mergeCell ref="F408:G408"/>
    <mergeCell ref="F409:G409"/>
    <mergeCell ref="F445:G445"/>
    <mergeCell ref="F464:G464"/>
    <mergeCell ref="F465:G465"/>
    <mergeCell ref="F455:G455"/>
    <mergeCell ref="F456:G456"/>
    <mergeCell ref="F457:G457"/>
    <mergeCell ref="F458:G458"/>
    <mergeCell ref="F459:G459"/>
    <mergeCell ref="F460:G460"/>
    <mergeCell ref="F446:G446"/>
    <mergeCell ref="F437:G437"/>
    <mergeCell ref="F411:G411"/>
    <mergeCell ref="F412:G412"/>
    <mergeCell ref="F486:G486"/>
    <mergeCell ref="F487:G487"/>
    <mergeCell ref="F436:G436"/>
    <mergeCell ref="F427:G427"/>
    <mergeCell ref="F428:G428"/>
    <mergeCell ref="F429:G429"/>
    <mergeCell ref="F430:G430"/>
    <mergeCell ref="F431:G431"/>
    <mergeCell ref="F432:G432"/>
    <mergeCell ref="F433:G433"/>
    <mergeCell ref="F434:G434"/>
    <mergeCell ref="F435:G435"/>
    <mergeCell ref="F438:G438"/>
    <mergeCell ref="F439:G439"/>
    <mergeCell ref="F468:G468"/>
    <mergeCell ref="F469:G469"/>
    <mergeCell ref="F440:G440"/>
    <mergeCell ref="F441:G441"/>
    <mergeCell ref="F442:G442"/>
    <mergeCell ref="F443:G443"/>
    <mergeCell ref="F444:G444"/>
    <mergeCell ref="F492:G492"/>
    <mergeCell ref="F493:G493"/>
    <mergeCell ref="F494:G494"/>
    <mergeCell ref="F495:G495"/>
    <mergeCell ref="F496:G496"/>
    <mergeCell ref="F497:G497"/>
    <mergeCell ref="F498:G498"/>
    <mergeCell ref="F470:G470"/>
    <mergeCell ref="F473:G473"/>
    <mergeCell ref="F474:G474"/>
    <mergeCell ref="F471:G471"/>
    <mergeCell ref="F472:G472"/>
    <mergeCell ref="F475:G475"/>
    <mergeCell ref="F489:G489"/>
    <mergeCell ref="F490:G490"/>
    <mergeCell ref="F491:G491"/>
    <mergeCell ref="F478:G478"/>
    <mergeCell ref="F479:G479"/>
    <mergeCell ref="F480:G480"/>
    <mergeCell ref="F481:G481"/>
    <mergeCell ref="F488:G488"/>
    <mergeCell ref="F476:G476"/>
    <mergeCell ref="F477:G477"/>
    <mergeCell ref="F499:G499"/>
    <mergeCell ref="F500:G500"/>
    <mergeCell ref="F501:G501"/>
    <mergeCell ref="F502:G502"/>
    <mergeCell ref="F503:G503"/>
    <mergeCell ref="F504:G504"/>
    <mergeCell ref="F505:G505"/>
    <mergeCell ref="F506:G506"/>
    <mergeCell ref="F507:G507"/>
    <mergeCell ref="F508:G508"/>
    <mergeCell ref="F509:G509"/>
    <mergeCell ref="F510:G510"/>
    <mergeCell ref="F511:G511"/>
    <mergeCell ref="F512:G512"/>
    <mergeCell ref="F513:G513"/>
    <mergeCell ref="F514:G514"/>
    <mergeCell ref="F515:G515"/>
    <mergeCell ref="F516:G516"/>
    <mergeCell ref="F517:G517"/>
    <mergeCell ref="F518:G518"/>
    <mergeCell ref="F544:G544"/>
    <mergeCell ref="F536:G536"/>
    <mergeCell ref="F537:G537"/>
    <mergeCell ref="F538:G538"/>
    <mergeCell ref="F539:G539"/>
    <mergeCell ref="F519:G519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42:G542"/>
    <mergeCell ref="F543:G543"/>
    <mergeCell ref="F540:G540"/>
    <mergeCell ref="F541:G541"/>
    <mergeCell ref="F528:G528"/>
    <mergeCell ref="F529:G529"/>
    <mergeCell ref="F530:G530"/>
    <mergeCell ref="F531:G531"/>
    <mergeCell ref="F532:G532"/>
    <mergeCell ref="F533:G533"/>
    <mergeCell ref="F534:G534"/>
    <mergeCell ref="F535:G535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73:G173"/>
    <mergeCell ref="F225:G225"/>
    <mergeCell ref="F215:G215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207:F208"/>
    <mergeCell ref="F209:G209"/>
    <mergeCell ref="G207:L207"/>
    <mergeCell ref="J209:J210"/>
    <mergeCell ref="K209:K210"/>
    <mergeCell ref="L209:L210"/>
    <mergeCell ref="I209:I210"/>
    <mergeCell ref="F210:G210"/>
    <mergeCell ref="H193:L193"/>
    <mergeCell ref="F193:G193"/>
    <mergeCell ref="H203:Q203"/>
    <mergeCell ref="F213:G213"/>
    <mergeCell ref="F249:G249"/>
    <mergeCell ref="F229:G229"/>
    <mergeCell ref="F230:G230"/>
    <mergeCell ref="F231:G231"/>
    <mergeCell ref="F232:G232"/>
    <mergeCell ref="F233:G233"/>
    <mergeCell ref="F234:G234"/>
    <mergeCell ref="F235:G235"/>
    <mergeCell ref="F214:G214"/>
    <mergeCell ref="F247:G247"/>
    <mergeCell ref="F218:G218"/>
    <mergeCell ref="F219:G219"/>
    <mergeCell ref="F220:G220"/>
    <mergeCell ref="F221:G221"/>
    <mergeCell ref="F222:G222"/>
    <mergeCell ref="F223:G223"/>
    <mergeCell ref="F224:G224"/>
    <mergeCell ref="M209:M210"/>
    <mergeCell ref="N209:N210"/>
    <mergeCell ref="O209:O210"/>
    <mergeCell ref="F194:G194"/>
    <mergeCell ref="F199:G202"/>
    <mergeCell ref="P207:R208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250:G250"/>
    <mergeCell ref="F251:G251"/>
    <mergeCell ref="F252:G252"/>
    <mergeCell ref="F253:G253"/>
    <mergeCell ref="F254:G254"/>
    <mergeCell ref="F211:G211"/>
    <mergeCell ref="F212:G212"/>
    <mergeCell ref="F245:G245"/>
    <mergeCell ref="F246:G246"/>
    <mergeCell ref="F236:G236"/>
    <mergeCell ref="F237:G237"/>
    <mergeCell ref="F238:G238"/>
    <mergeCell ref="F239:G239"/>
    <mergeCell ref="F240:G240"/>
    <mergeCell ref="F241:G241"/>
    <mergeCell ref="F242:G242"/>
    <mergeCell ref="F243:G243"/>
    <mergeCell ref="F244:G244"/>
    <mergeCell ref="F227:G227"/>
    <mergeCell ref="F228:G228"/>
    <mergeCell ref="F226:G226"/>
    <mergeCell ref="F216:G216"/>
    <mergeCell ref="F217:G217"/>
    <mergeCell ref="F248:G248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71:G271"/>
    <mergeCell ref="F267:G267"/>
    <mergeCell ref="F268:G268"/>
    <mergeCell ref="F269:G269"/>
    <mergeCell ref="F270:G270"/>
    <mergeCell ref="F263:G263"/>
    <mergeCell ref="F264:G264"/>
    <mergeCell ref="F265:G265"/>
    <mergeCell ref="F266:G266"/>
    <mergeCell ref="F272:G272"/>
    <mergeCell ref="F273:G273"/>
    <mergeCell ref="F274:G274"/>
    <mergeCell ref="F275:G275"/>
    <mergeCell ref="F276:G276"/>
    <mergeCell ref="F277:G277"/>
    <mergeCell ref="F278:G278"/>
    <mergeCell ref="F279:G279"/>
    <mergeCell ref="F280:G280"/>
    <mergeCell ref="P291:R291"/>
    <mergeCell ref="P292:R292"/>
    <mergeCell ref="F293:G293"/>
    <mergeCell ref="I293:I294"/>
    <mergeCell ref="J293:J294"/>
    <mergeCell ref="K293:K294"/>
    <mergeCell ref="L293:L294"/>
    <mergeCell ref="M293:M294"/>
    <mergeCell ref="N293:N294"/>
    <mergeCell ref="O293:O294"/>
    <mergeCell ref="P293:P294"/>
    <mergeCell ref="Q293:Q294"/>
    <mergeCell ref="R293:R294"/>
    <mergeCell ref="F294:G294"/>
    <mergeCell ref="F367:G367"/>
    <mergeCell ref="F368:G368"/>
    <mergeCell ref="F369:G369"/>
    <mergeCell ref="F357:G357"/>
    <mergeCell ref="F358:G358"/>
    <mergeCell ref="F359:G359"/>
    <mergeCell ref="F360:G360"/>
    <mergeCell ref="F361:G361"/>
    <mergeCell ref="F362:G362"/>
    <mergeCell ref="F363:G363"/>
    <mergeCell ref="F364:G364"/>
    <mergeCell ref="F365:G365"/>
    <mergeCell ref="F366:G366"/>
    <mergeCell ref="F351:G351"/>
    <mergeCell ref="F352:G352"/>
    <mergeCell ref="F353:G353"/>
    <mergeCell ref="F354:G354"/>
    <mergeCell ref="F355:G355"/>
    <mergeCell ref="F356:G356"/>
    <mergeCell ref="F340:G340"/>
    <mergeCell ref="F341:G341"/>
    <mergeCell ref="F342:G342"/>
    <mergeCell ref="F343:G343"/>
    <mergeCell ref="F344:G344"/>
    <mergeCell ref="F345:G345"/>
    <mergeCell ref="F347:G347"/>
    <mergeCell ref="F348:G348"/>
    <mergeCell ref="F349:G349"/>
    <mergeCell ref="F321:G321"/>
    <mergeCell ref="F322:G322"/>
    <mergeCell ref="F323:G323"/>
    <mergeCell ref="F324:G324"/>
    <mergeCell ref="F325:G325"/>
    <mergeCell ref="F326:G326"/>
    <mergeCell ref="F327:G327"/>
    <mergeCell ref="F328:G328"/>
    <mergeCell ref="F329:G329"/>
    <mergeCell ref="R464:R465"/>
    <mergeCell ref="I380:I381"/>
    <mergeCell ref="J380:J381"/>
    <mergeCell ref="K380:K381"/>
    <mergeCell ref="L380:L381"/>
    <mergeCell ref="M380:M381"/>
    <mergeCell ref="N380:N381"/>
    <mergeCell ref="O380:O381"/>
    <mergeCell ref="S380:T380"/>
    <mergeCell ref="I464:I465"/>
    <mergeCell ref="J464:J465"/>
    <mergeCell ref="K464:K465"/>
    <mergeCell ref="L464:L465"/>
    <mergeCell ref="M464:M465"/>
    <mergeCell ref="N464:N465"/>
    <mergeCell ref="O464:O465"/>
    <mergeCell ref="P464:P465"/>
    <mergeCell ref="Q464:Q465"/>
    <mergeCell ref="W380:Z380"/>
    <mergeCell ref="AA380:AC380"/>
    <mergeCell ref="AA381:AB381"/>
    <mergeCell ref="P462:R462"/>
    <mergeCell ref="P463:R463"/>
    <mergeCell ref="U380:V380"/>
    <mergeCell ref="F378:F379"/>
    <mergeCell ref="G378:L378"/>
    <mergeCell ref="M378:O378"/>
    <mergeCell ref="F447:G447"/>
    <mergeCell ref="F448:G448"/>
    <mergeCell ref="F449:G449"/>
    <mergeCell ref="F450:G450"/>
    <mergeCell ref="F451:G451"/>
    <mergeCell ref="F452:G452"/>
    <mergeCell ref="F453:G453"/>
    <mergeCell ref="F454:G454"/>
    <mergeCell ref="F422:G422"/>
    <mergeCell ref="F423:G423"/>
    <mergeCell ref="F424:G424"/>
    <mergeCell ref="F425:G425"/>
    <mergeCell ref="F426:G426"/>
    <mergeCell ref="F417:G417"/>
    <mergeCell ref="F420:G420"/>
    <mergeCell ref="F370:G370"/>
    <mergeCell ref="F371:G371"/>
    <mergeCell ref="F372:G372"/>
    <mergeCell ref="F373:G373"/>
    <mergeCell ref="P378:R379"/>
    <mergeCell ref="M379:O379"/>
    <mergeCell ref="F295:G295"/>
    <mergeCell ref="F296:G296"/>
    <mergeCell ref="F330:G330"/>
    <mergeCell ref="F331:G331"/>
    <mergeCell ref="F332:G332"/>
    <mergeCell ref="F312:G312"/>
    <mergeCell ref="F313:G313"/>
    <mergeCell ref="F314:G314"/>
    <mergeCell ref="F315:G315"/>
    <mergeCell ref="F316:G316"/>
    <mergeCell ref="F317:G317"/>
    <mergeCell ref="F337:G337"/>
    <mergeCell ref="F338:G338"/>
    <mergeCell ref="F339:G339"/>
    <mergeCell ref="F333:G333"/>
    <mergeCell ref="F334:G334"/>
    <mergeCell ref="F335:G335"/>
    <mergeCell ref="F336:G336"/>
  </mergeCells>
  <pageMargins left="0.98425196850393704" right="0.59055118110236227" top="0.98425196850393704" bottom="0.86614173228346458" header="0.51181102362204722" footer="0.51181102362204722"/>
  <pageSetup paperSize="9" scale="75" fitToHeight="0" orientation="portrait" r:id="rId1"/>
  <headerFooter alignWithMargins="0">
    <oddHeader xml:space="preserve">&amp;C&amp;"Times New Roman,Regular"
</oddHeader>
  </headerFooter>
  <rowBreaks count="1" manualBreakCount="1">
    <brk id="316" min="4" max="17" man="1"/>
  </rowBreaks>
  <drawing r:id="rId2"/>
  <legacyDrawing r:id="rId3"/>
  <oleObjects>
    <mc:AlternateContent xmlns:mc="http://schemas.openxmlformats.org/markup-compatibility/2006">
      <mc:Choice Requires="x14">
        <oleObject progId="Equation.3" shapeId="487427" r:id="rId4">
          <objectPr defaultSize="0" autoPict="0" r:id="rId5">
            <anchor moveWithCells="1">
              <from>
                <xdr:col>11</xdr:col>
                <xdr:colOff>152400</xdr:colOff>
                <xdr:row>119</xdr:row>
                <xdr:rowOff>19050</xdr:rowOff>
              </from>
              <to>
                <xdr:col>13</xdr:col>
                <xdr:colOff>390525</xdr:colOff>
                <xdr:row>122</xdr:row>
                <xdr:rowOff>57150</xdr:rowOff>
              </to>
            </anchor>
          </objectPr>
        </oleObject>
      </mc:Choice>
      <mc:Fallback>
        <oleObject progId="Equation.3" shapeId="487427" r:id="rId4"/>
      </mc:Fallback>
    </mc:AlternateContent>
    <mc:AlternateContent xmlns:mc="http://schemas.openxmlformats.org/markup-compatibility/2006">
      <mc:Choice Requires="x14">
        <oleObject progId="Equation.3" shapeId="487428" r:id="rId6">
          <objectPr defaultSize="0" autoPict="0" r:id="rId7">
            <anchor moveWithCells="1">
              <from>
                <xdr:col>14</xdr:col>
                <xdr:colOff>85725</xdr:colOff>
                <xdr:row>119</xdr:row>
                <xdr:rowOff>0</xdr:rowOff>
              </from>
              <to>
                <xdr:col>16</xdr:col>
                <xdr:colOff>304800</xdr:colOff>
                <xdr:row>122</xdr:row>
                <xdr:rowOff>38100</xdr:rowOff>
              </to>
            </anchor>
          </objectPr>
        </oleObject>
      </mc:Choice>
      <mc:Fallback>
        <oleObject progId="Equation.3" shapeId="487428" r:id="rId6"/>
      </mc:Fallback>
    </mc:AlternateContent>
  </oleObjec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/>
  </sheetPr>
  <dimension ref="A1:AJ268"/>
  <sheetViews>
    <sheetView showWhiteSpace="0" view="pageBreakPreview" zoomScale="85" zoomScaleNormal="70" zoomScaleSheetLayoutView="85" zoomScalePageLayoutView="98" workbookViewId="0">
      <selection activeCell="K29" sqref="K29"/>
    </sheetView>
  </sheetViews>
  <sheetFormatPr defaultColWidth="6.77734375" defaultRowHeight="20.100000000000001" customHeight="1"/>
  <cols>
    <col min="1" max="1" width="1.33203125" style="184" customWidth="1"/>
    <col min="2" max="2" width="9.21875" style="184" customWidth="1"/>
    <col min="3" max="3" width="6.109375" style="255" customWidth="1"/>
    <col min="4" max="5" width="10.6640625" style="242" customWidth="1"/>
    <col min="6" max="6" width="8.109375" style="242" customWidth="1"/>
    <col min="7" max="7" width="7" style="242" customWidth="1"/>
    <col min="8" max="9" width="10.6640625" style="242" customWidth="1"/>
    <col min="10" max="10" width="8.109375" style="242" customWidth="1"/>
    <col min="11" max="11" width="14.44140625" style="242" customWidth="1"/>
    <col min="12" max="12" width="8.109375" style="242" customWidth="1"/>
    <col min="13" max="13" width="28.33203125" style="184" customWidth="1"/>
    <col min="14" max="15" width="7.77734375" style="256" customWidth="1"/>
    <col min="16" max="16" width="1.6640625" style="256" customWidth="1"/>
    <col min="17" max="17" width="6.6640625" style="256" customWidth="1"/>
    <col min="18" max="18" width="12" style="330" customWidth="1"/>
    <col min="19" max="19" width="8.44140625" style="256" customWidth="1"/>
    <col min="20" max="20" width="29.21875" style="296" customWidth="1"/>
    <col min="21" max="22" width="9.77734375" style="296" customWidth="1"/>
    <col min="23" max="23" width="8" style="296" customWidth="1"/>
    <col min="24" max="24" width="8" style="297" customWidth="1"/>
    <col min="25" max="31" width="8" style="296" customWidth="1"/>
    <col min="32" max="32" width="9.88671875" style="298" customWidth="1"/>
    <col min="33" max="35" width="9.88671875" style="299" customWidth="1"/>
    <col min="36" max="36" width="9.88671875" style="242" customWidth="1"/>
    <col min="37" max="262" width="6.77734375" style="184"/>
    <col min="263" max="263" width="8" style="184" customWidth="1"/>
    <col min="264" max="264" width="11.77734375" style="184" customWidth="1"/>
    <col min="265" max="265" width="6.44140625" style="184" customWidth="1"/>
    <col min="266" max="266" width="7.21875" style="184" customWidth="1"/>
    <col min="267" max="267" width="8.44140625" style="184" customWidth="1"/>
    <col min="268" max="268" width="8.33203125" style="184" customWidth="1"/>
    <col min="269" max="269" width="8.88671875" style="184" customWidth="1"/>
    <col min="270" max="271" width="8.33203125" style="184" customWidth="1"/>
    <col min="272" max="272" width="8.44140625" style="184" customWidth="1"/>
    <col min="273" max="273" width="8.6640625" style="184" customWidth="1"/>
    <col min="274" max="274" width="8.21875" style="184" customWidth="1"/>
    <col min="275" max="275" width="9.109375" style="184" customWidth="1"/>
    <col min="276" max="276" width="9.21875" style="184" customWidth="1"/>
    <col min="277" max="277" width="7.44140625" style="184" customWidth="1"/>
    <col min="278" max="278" width="12" style="184" bestFit="1" customWidth="1"/>
    <col min="279" max="279" width="8.6640625" style="184" customWidth="1"/>
    <col min="280" max="281" width="8" style="184" customWidth="1"/>
    <col min="282" max="282" width="9.44140625" style="184" customWidth="1"/>
    <col min="283" max="283" width="10.88671875" style="184" customWidth="1"/>
    <col min="284" max="284" width="10.21875" style="184" customWidth="1"/>
    <col min="285" max="285" width="10" style="184" customWidth="1"/>
    <col min="286" max="286" width="11.109375" style="184" customWidth="1"/>
    <col min="287" max="287" width="9.77734375" style="184" customWidth="1"/>
    <col min="288" max="289" width="10.109375" style="184" customWidth="1"/>
    <col min="290" max="518" width="6.77734375" style="184"/>
    <col min="519" max="519" width="8" style="184" customWidth="1"/>
    <col min="520" max="520" width="11.77734375" style="184" customWidth="1"/>
    <col min="521" max="521" width="6.44140625" style="184" customWidth="1"/>
    <col min="522" max="522" width="7.21875" style="184" customWidth="1"/>
    <col min="523" max="523" width="8.44140625" style="184" customWidth="1"/>
    <col min="524" max="524" width="8.33203125" style="184" customWidth="1"/>
    <col min="525" max="525" width="8.88671875" style="184" customWidth="1"/>
    <col min="526" max="527" width="8.33203125" style="184" customWidth="1"/>
    <col min="528" max="528" width="8.44140625" style="184" customWidth="1"/>
    <col min="529" max="529" width="8.6640625" style="184" customWidth="1"/>
    <col min="530" max="530" width="8.21875" style="184" customWidth="1"/>
    <col min="531" max="531" width="9.109375" style="184" customWidth="1"/>
    <col min="532" max="532" width="9.21875" style="184" customWidth="1"/>
    <col min="533" max="533" width="7.44140625" style="184" customWidth="1"/>
    <col min="534" max="534" width="12" style="184" bestFit="1" customWidth="1"/>
    <col min="535" max="535" width="8.6640625" style="184" customWidth="1"/>
    <col min="536" max="537" width="8" style="184" customWidth="1"/>
    <col min="538" max="538" width="9.44140625" style="184" customWidth="1"/>
    <col min="539" max="539" width="10.88671875" style="184" customWidth="1"/>
    <col min="540" max="540" width="10.21875" style="184" customWidth="1"/>
    <col min="541" max="541" width="10" style="184" customWidth="1"/>
    <col min="542" max="542" width="11.109375" style="184" customWidth="1"/>
    <col min="543" max="543" width="9.77734375" style="184" customWidth="1"/>
    <col min="544" max="545" width="10.109375" style="184" customWidth="1"/>
    <col min="546" max="774" width="6.77734375" style="184"/>
    <col min="775" max="775" width="8" style="184" customWidth="1"/>
    <col min="776" max="776" width="11.77734375" style="184" customWidth="1"/>
    <col min="777" max="777" width="6.44140625" style="184" customWidth="1"/>
    <col min="778" max="778" width="7.21875" style="184" customWidth="1"/>
    <col min="779" max="779" width="8.44140625" style="184" customWidth="1"/>
    <col min="780" max="780" width="8.33203125" style="184" customWidth="1"/>
    <col min="781" max="781" width="8.88671875" style="184" customWidth="1"/>
    <col min="782" max="783" width="8.33203125" style="184" customWidth="1"/>
    <col min="784" max="784" width="8.44140625" style="184" customWidth="1"/>
    <col min="785" max="785" width="8.6640625" style="184" customWidth="1"/>
    <col min="786" max="786" width="8.21875" style="184" customWidth="1"/>
    <col min="787" max="787" width="9.109375" style="184" customWidth="1"/>
    <col min="788" max="788" width="9.21875" style="184" customWidth="1"/>
    <col min="789" max="789" width="7.44140625" style="184" customWidth="1"/>
    <col min="790" max="790" width="12" style="184" bestFit="1" customWidth="1"/>
    <col min="791" max="791" width="8.6640625" style="184" customWidth="1"/>
    <col min="792" max="793" width="8" style="184" customWidth="1"/>
    <col min="794" max="794" width="9.44140625" style="184" customWidth="1"/>
    <col min="795" max="795" width="10.88671875" style="184" customWidth="1"/>
    <col min="796" max="796" width="10.21875" style="184" customWidth="1"/>
    <col min="797" max="797" width="10" style="184" customWidth="1"/>
    <col min="798" max="798" width="11.109375" style="184" customWidth="1"/>
    <col min="799" max="799" width="9.77734375" style="184" customWidth="1"/>
    <col min="800" max="801" width="10.109375" style="184" customWidth="1"/>
    <col min="802" max="1030" width="6.77734375" style="184"/>
    <col min="1031" max="1031" width="8" style="184" customWidth="1"/>
    <col min="1032" max="1032" width="11.77734375" style="184" customWidth="1"/>
    <col min="1033" max="1033" width="6.44140625" style="184" customWidth="1"/>
    <col min="1034" max="1034" width="7.21875" style="184" customWidth="1"/>
    <col min="1035" max="1035" width="8.44140625" style="184" customWidth="1"/>
    <col min="1036" max="1036" width="8.33203125" style="184" customWidth="1"/>
    <col min="1037" max="1037" width="8.88671875" style="184" customWidth="1"/>
    <col min="1038" max="1039" width="8.33203125" style="184" customWidth="1"/>
    <col min="1040" max="1040" width="8.44140625" style="184" customWidth="1"/>
    <col min="1041" max="1041" width="8.6640625" style="184" customWidth="1"/>
    <col min="1042" max="1042" width="8.21875" style="184" customWidth="1"/>
    <col min="1043" max="1043" width="9.109375" style="184" customWidth="1"/>
    <col min="1044" max="1044" width="9.21875" style="184" customWidth="1"/>
    <col min="1045" max="1045" width="7.44140625" style="184" customWidth="1"/>
    <col min="1046" max="1046" width="12" style="184" bestFit="1" customWidth="1"/>
    <col min="1047" max="1047" width="8.6640625" style="184" customWidth="1"/>
    <col min="1048" max="1049" width="8" style="184" customWidth="1"/>
    <col min="1050" max="1050" width="9.44140625" style="184" customWidth="1"/>
    <col min="1051" max="1051" width="10.88671875" style="184" customWidth="1"/>
    <col min="1052" max="1052" width="10.21875" style="184" customWidth="1"/>
    <col min="1053" max="1053" width="10" style="184" customWidth="1"/>
    <col min="1054" max="1054" width="11.109375" style="184" customWidth="1"/>
    <col min="1055" max="1055" width="9.77734375" style="184" customWidth="1"/>
    <col min="1056" max="1057" width="10.109375" style="184" customWidth="1"/>
    <col min="1058" max="1286" width="6.77734375" style="184"/>
    <col min="1287" max="1287" width="8" style="184" customWidth="1"/>
    <col min="1288" max="1288" width="11.77734375" style="184" customWidth="1"/>
    <col min="1289" max="1289" width="6.44140625" style="184" customWidth="1"/>
    <col min="1290" max="1290" width="7.21875" style="184" customWidth="1"/>
    <col min="1291" max="1291" width="8.44140625" style="184" customWidth="1"/>
    <col min="1292" max="1292" width="8.33203125" style="184" customWidth="1"/>
    <col min="1293" max="1293" width="8.88671875" style="184" customWidth="1"/>
    <col min="1294" max="1295" width="8.33203125" style="184" customWidth="1"/>
    <col min="1296" max="1296" width="8.44140625" style="184" customWidth="1"/>
    <col min="1297" max="1297" width="8.6640625" style="184" customWidth="1"/>
    <col min="1298" max="1298" width="8.21875" style="184" customWidth="1"/>
    <col min="1299" max="1299" width="9.109375" style="184" customWidth="1"/>
    <col min="1300" max="1300" width="9.21875" style="184" customWidth="1"/>
    <col min="1301" max="1301" width="7.44140625" style="184" customWidth="1"/>
    <col min="1302" max="1302" width="12" style="184" bestFit="1" customWidth="1"/>
    <col min="1303" max="1303" width="8.6640625" style="184" customWidth="1"/>
    <col min="1304" max="1305" width="8" style="184" customWidth="1"/>
    <col min="1306" max="1306" width="9.44140625" style="184" customWidth="1"/>
    <col min="1307" max="1307" width="10.88671875" style="184" customWidth="1"/>
    <col min="1308" max="1308" width="10.21875" style="184" customWidth="1"/>
    <col min="1309" max="1309" width="10" style="184" customWidth="1"/>
    <col min="1310" max="1310" width="11.109375" style="184" customWidth="1"/>
    <col min="1311" max="1311" width="9.77734375" style="184" customWidth="1"/>
    <col min="1312" max="1313" width="10.109375" style="184" customWidth="1"/>
    <col min="1314" max="1542" width="6.77734375" style="184"/>
    <col min="1543" max="1543" width="8" style="184" customWidth="1"/>
    <col min="1544" max="1544" width="11.77734375" style="184" customWidth="1"/>
    <col min="1545" max="1545" width="6.44140625" style="184" customWidth="1"/>
    <col min="1546" max="1546" width="7.21875" style="184" customWidth="1"/>
    <col min="1547" max="1547" width="8.44140625" style="184" customWidth="1"/>
    <col min="1548" max="1548" width="8.33203125" style="184" customWidth="1"/>
    <col min="1549" max="1549" width="8.88671875" style="184" customWidth="1"/>
    <col min="1550" max="1551" width="8.33203125" style="184" customWidth="1"/>
    <col min="1552" max="1552" width="8.44140625" style="184" customWidth="1"/>
    <col min="1553" max="1553" width="8.6640625" style="184" customWidth="1"/>
    <col min="1554" max="1554" width="8.21875" style="184" customWidth="1"/>
    <col min="1555" max="1555" width="9.109375" style="184" customWidth="1"/>
    <col min="1556" max="1556" width="9.21875" style="184" customWidth="1"/>
    <col min="1557" max="1557" width="7.44140625" style="184" customWidth="1"/>
    <col min="1558" max="1558" width="12" style="184" bestFit="1" customWidth="1"/>
    <col min="1559" max="1559" width="8.6640625" style="184" customWidth="1"/>
    <col min="1560" max="1561" width="8" style="184" customWidth="1"/>
    <col min="1562" max="1562" width="9.44140625" style="184" customWidth="1"/>
    <col min="1563" max="1563" width="10.88671875" style="184" customWidth="1"/>
    <col min="1564" max="1564" width="10.21875" style="184" customWidth="1"/>
    <col min="1565" max="1565" width="10" style="184" customWidth="1"/>
    <col min="1566" max="1566" width="11.109375" style="184" customWidth="1"/>
    <col min="1567" max="1567" width="9.77734375" style="184" customWidth="1"/>
    <col min="1568" max="1569" width="10.109375" style="184" customWidth="1"/>
    <col min="1570" max="1798" width="6.77734375" style="184"/>
    <col min="1799" max="1799" width="8" style="184" customWidth="1"/>
    <col min="1800" max="1800" width="11.77734375" style="184" customWidth="1"/>
    <col min="1801" max="1801" width="6.44140625" style="184" customWidth="1"/>
    <col min="1802" max="1802" width="7.21875" style="184" customWidth="1"/>
    <col min="1803" max="1803" width="8.44140625" style="184" customWidth="1"/>
    <col min="1804" max="1804" width="8.33203125" style="184" customWidth="1"/>
    <col min="1805" max="1805" width="8.88671875" style="184" customWidth="1"/>
    <col min="1806" max="1807" width="8.33203125" style="184" customWidth="1"/>
    <col min="1808" max="1808" width="8.44140625" style="184" customWidth="1"/>
    <col min="1809" max="1809" width="8.6640625" style="184" customWidth="1"/>
    <col min="1810" max="1810" width="8.21875" style="184" customWidth="1"/>
    <col min="1811" max="1811" width="9.109375" style="184" customWidth="1"/>
    <col min="1812" max="1812" width="9.21875" style="184" customWidth="1"/>
    <col min="1813" max="1813" width="7.44140625" style="184" customWidth="1"/>
    <col min="1814" max="1814" width="12" style="184" bestFit="1" customWidth="1"/>
    <col min="1815" max="1815" width="8.6640625" style="184" customWidth="1"/>
    <col min="1816" max="1817" width="8" style="184" customWidth="1"/>
    <col min="1818" max="1818" width="9.44140625" style="184" customWidth="1"/>
    <col min="1819" max="1819" width="10.88671875" style="184" customWidth="1"/>
    <col min="1820" max="1820" width="10.21875" style="184" customWidth="1"/>
    <col min="1821" max="1821" width="10" style="184" customWidth="1"/>
    <col min="1822" max="1822" width="11.109375" style="184" customWidth="1"/>
    <col min="1823" max="1823" width="9.77734375" style="184" customWidth="1"/>
    <col min="1824" max="1825" width="10.109375" style="184" customWidth="1"/>
    <col min="1826" max="2054" width="6.77734375" style="184"/>
    <col min="2055" max="2055" width="8" style="184" customWidth="1"/>
    <col min="2056" max="2056" width="11.77734375" style="184" customWidth="1"/>
    <col min="2057" max="2057" width="6.44140625" style="184" customWidth="1"/>
    <col min="2058" max="2058" width="7.21875" style="184" customWidth="1"/>
    <col min="2059" max="2059" width="8.44140625" style="184" customWidth="1"/>
    <col min="2060" max="2060" width="8.33203125" style="184" customWidth="1"/>
    <col min="2061" max="2061" width="8.88671875" style="184" customWidth="1"/>
    <col min="2062" max="2063" width="8.33203125" style="184" customWidth="1"/>
    <col min="2064" max="2064" width="8.44140625" style="184" customWidth="1"/>
    <col min="2065" max="2065" width="8.6640625" style="184" customWidth="1"/>
    <col min="2066" max="2066" width="8.21875" style="184" customWidth="1"/>
    <col min="2067" max="2067" width="9.109375" style="184" customWidth="1"/>
    <col min="2068" max="2068" width="9.21875" style="184" customWidth="1"/>
    <col min="2069" max="2069" width="7.44140625" style="184" customWidth="1"/>
    <col min="2070" max="2070" width="12" style="184" bestFit="1" customWidth="1"/>
    <col min="2071" max="2071" width="8.6640625" style="184" customWidth="1"/>
    <col min="2072" max="2073" width="8" style="184" customWidth="1"/>
    <col min="2074" max="2074" width="9.44140625" style="184" customWidth="1"/>
    <col min="2075" max="2075" width="10.88671875" style="184" customWidth="1"/>
    <col min="2076" max="2076" width="10.21875" style="184" customWidth="1"/>
    <col min="2077" max="2077" width="10" style="184" customWidth="1"/>
    <col min="2078" max="2078" width="11.109375" style="184" customWidth="1"/>
    <col min="2079" max="2079" width="9.77734375" style="184" customWidth="1"/>
    <col min="2080" max="2081" width="10.109375" style="184" customWidth="1"/>
    <col min="2082" max="2310" width="6.77734375" style="184"/>
    <col min="2311" max="2311" width="8" style="184" customWidth="1"/>
    <col min="2312" max="2312" width="11.77734375" style="184" customWidth="1"/>
    <col min="2313" max="2313" width="6.44140625" style="184" customWidth="1"/>
    <col min="2314" max="2314" width="7.21875" style="184" customWidth="1"/>
    <col min="2315" max="2315" width="8.44140625" style="184" customWidth="1"/>
    <col min="2316" max="2316" width="8.33203125" style="184" customWidth="1"/>
    <col min="2317" max="2317" width="8.88671875" style="184" customWidth="1"/>
    <col min="2318" max="2319" width="8.33203125" style="184" customWidth="1"/>
    <col min="2320" max="2320" width="8.44140625" style="184" customWidth="1"/>
    <col min="2321" max="2321" width="8.6640625" style="184" customWidth="1"/>
    <col min="2322" max="2322" width="8.21875" style="184" customWidth="1"/>
    <col min="2323" max="2323" width="9.109375" style="184" customWidth="1"/>
    <col min="2324" max="2324" width="9.21875" style="184" customWidth="1"/>
    <col min="2325" max="2325" width="7.44140625" style="184" customWidth="1"/>
    <col min="2326" max="2326" width="12" style="184" bestFit="1" customWidth="1"/>
    <col min="2327" max="2327" width="8.6640625" style="184" customWidth="1"/>
    <col min="2328" max="2329" width="8" style="184" customWidth="1"/>
    <col min="2330" max="2330" width="9.44140625" style="184" customWidth="1"/>
    <col min="2331" max="2331" width="10.88671875" style="184" customWidth="1"/>
    <col min="2332" max="2332" width="10.21875" style="184" customWidth="1"/>
    <col min="2333" max="2333" width="10" style="184" customWidth="1"/>
    <col min="2334" max="2334" width="11.109375" style="184" customWidth="1"/>
    <col min="2335" max="2335" width="9.77734375" style="184" customWidth="1"/>
    <col min="2336" max="2337" width="10.109375" style="184" customWidth="1"/>
    <col min="2338" max="2566" width="6.77734375" style="184"/>
    <col min="2567" max="2567" width="8" style="184" customWidth="1"/>
    <col min="2568" max="2568" width="11.77734375" style="184" customWidth="1"/>
    <col min="2569" max="2569" width="6.44140625" style="184" customWidth="1"/>
    <col min="2570" max="2570" width="7.21875" style="184" customWidth="1"/>
    <col min="2571" max="2571" width="8.44140625" style="184" customWidth="1"/>
    <col min="2572" max="2572" width="8.33203125" style="184" customWidth="1"/>
    <col min="2573" max="2573" width="8.88671875" style="184" customWidth="1"/>
    <col min="2574" max="2575" width="8.33203125" style="184" customWidth="1"/>
    <col min="2576" max="2576" width="8.44140625" style="184" customWidth="1"/>
    <col min="2577" max="2577" width="8.6640625" style="184" customWidth="1"/>
    <col min="2578" max="2578" width="8.21875" style="184" customWidth="1"/>
    <col min="2579" max="2579" width="9.109375" style="184" customWidth="1"/>
    <col min="2580" max="2580" width="9.21875" style="184" customWidth="1"/>
    <col min="2581" max="2581" width="7.44140625" style="184" customWidth="1"/>
    <col min="2582" max="2582" width="12" style="184" bestFit="1" customWidth="1"/>
    <col min="2583" max="2583" width="8.6640625" style="184" customWidth="1"/>
    <col min="2584" max="2585" width="8" style="184" customWidth="1"/>
    <col min="2586" max="2586" width="9.44140625" style="184" customWidth="1"/>
    <col min="2587" max="2587" width="10.88671875" style="184" customWidth="1"/>
    <col min="2588" max="2588" width="10.21875" style="184" customWidth="1"/>
    <col min="2589" max="2589" width="10" style="184" customWidth="1"/>
    <col min="2590" max="2590" width="11.109375" style="184" customWidth="1"/>
    <col min="2591" max="2591" width="9.77734375" style="184" customWidth="1"/>
    <col min="2592" max="2593" width="10.109375" style="184" customWidth="1"/>
    <col min="2594" max="2822" width="6.77734375" style="184"/>
    <col min="2823" max="2823" width="8" style="184" customWidth="1"/>
    <col min="2824" max="2824" width="11.77734375" style="184" customWidth="1"/>
    <col min="2825" max="2825" width="6.44140625" style="184" customWidth="1"/>
    <col min="2826" max="2826" width="7.21875" style="184" customWidth="1"/>
    <col min="2827" max="2827" width="8.44140625" style="184" customWidth="1"/>
    <col min="2828" max="2828" width="8.33203125" style="184" customWidth="1"/>
    <col min="2829" max="2829" width="8.88671875" style="184" customWidth="1"/>
    <col min="2830" max="2831" width="8.33203125" style="184" customWidth="1"/>
    <col min="2832" max="2832" width="8.44140625" style="184" customWidth="1"/>
    <col min="2833" max="2833" width="8.6640625" style="184" customWidth="1"/>
    <col min="2834" max="2834" width="8.21875" style="184" customWidth="1"/>
    <col min="2835" max="2835" width="9.109375" style="184" customWidth="1"/>
    <col min="2836" max="2836" width="9.21875" style="184" customWidth="1"/>
    <col min="2837" max="2837" width="7.44140625" style="184" customWidth="1"/>
    <col min="2838" max="2838" width="12" style="184" bestFit="1" customWidth="1"/>
    <col min="2839" max="2839" width="8.6640625" style="184" customWidth="1"/>
    <col min="2840" max="2841" width="8" style="184" customWidth="1"/>
    <col min="2842" max="2842" width="9.44140625" style="184" customWidth="1"/>
    <col min="2843" max="2843" width="10.88671875" style="184" customWidth="1"/>
    <col min="2844" max="2844" width="10.21875" style="184" customWidth="1"/>
    <col min="2845" max="2845" width="10" style="184" customWidth="1"/>
    <col min="2846" max="2846" width="11.109375" style="184" customWidth="1"/>
    <col min="2847" max="2847" width="9.77734375" style="184" customWidth="1"/>
    <col min="2848" max="2849" width="10.109375" style="184" customWidth="1"/>
    <col min="2850" max="3078" width="6.77734375" style="184"/>
    <col min="3079" max="3079" width="8" style="184" customWidth="1"/>
    <col min="3080" max="3080" width="11.77734375" style="184" customWidth="1"/>
    <col min="3081" max="3081" width="6.44140625" style="184" customWidth="1"/>
    <col min="3082" max="3082" width="7.21875" style="184" customWidth="1"/>
    <col min="3083" max="3083" width="8.44140625" style="184" customWidth="1"/>
    <col min="3084" max="3084" width="8.33203125" style="184" customWidth="1"/>
    <col min="3085" max="3085" width="8.88671875" style="184" customWidth="1"/>
    <col min="3086" max="3087" width="8.33203125" style="184" customWidth="1"/>
    <col min="3088" max="3088" width="8.44140625" style="184" customWidth="1"/>
    <col min="3089" max="3089" width="8.6640625" style="184" customWidth="1"/>
    <col min="3090" max="3090" width="8.21875" style="184" customWidth="1"/>
    <col min="3091" max="3091" width="9.109375" style="184" customWidth="1"/>
    <col min="3092" max="3092" width="9.21875" style="184" customWidth="1"/>
    <col min="3093" max="3093" width="7.44140625" style="184" customWidth="1"/>
    <col min="3094" max="3094" width="12" style="184" bestFit="1" customWidth="1"/>
    <col min="3095" max="3095" width="8.6640625" style="184" customWidth="1"/>
    <col min="3096" max="3097" width="8" style="184" customWidth="1"/>
    <col min="3098" max="3098" width="9.44140625" style="184" customWidth="1"/>
    <col min="3099" max="3099" width="10.88671875" style="184" customWidth="1"/>
    <col min="3100" max="3100" width="10.21875" style="184" customWidth="1"/>
    <col min="3101" max="3101" width="10" style="184" customWidth="1"/>
    <col min="3102" max="3102" width="11.109375" style="184" customWidth="1"/>
    <col min="3103" max="3103" width="9.77734375" style="184" customWidth="1"/>
    <col min="3104" max="3105" width="10.109375" style="184" customWidth="1"/>
    <col min="3106" max="3334" width="6.77734375" style="184"/>
    <col min="3335" max="3335" width="8" style="184" customWidth="1"/>
    <col min="3336" max="3336" width="11.77734375" style="184" customWidth="1"/>
    <col min="3337" max="3337" width="6.44140625" style="184" customWidth="1"/>
    <col min="3338" max="3338" width="7.21875" style="184" customWidth="1"/>
    <col min="3339" max="3339" width="8.44140625" style="184" customWidth="1"/>
    <col min="3340" max="3340" width="8.33203125" style="184" customWidth="1"/>
    <col min="3341" max="3341" width="8.88671875" style="184" customWidth="1"/>
    <col min="3342" max="3343" width="8.33203125" style="184" customWidth="1"/>
    <col min="3344" max="3344" width="8.44140625" style="184" customWidth="1"/>
    <col min="3345" max="3345" width="8.6640625" style="184" customWidth="1"/>
    <col min="3346" max="3346" width="8.21875" style="184" customWidth="1"/>
    <col min="3347" max="3347" width="9.109375" style="184" customWidth="1"/>
    <col min="3348" max="3348" width="9.21875" style="184" customWidth="1"/>
    <col min="3349" max="3349" width="7.44140625" style="184" customWidth="1"/>
    <col min="3350" max="3350" width="12" style="184" bestFit="1" customWidth="1"/>
    <col min="3351" max="3351" width="8.6640625" style="184" customWidth="1"/>
    <col min="3352" max="3353" width="8" style="184" customWidth="1"/>
    <col min="3354" max="3354" width="9.44140625" style="184" customWidth="1"/>
    <col min="3355" max="3355" width="10.88671875" style="184" customWidth="1"/>
    <col min="3356" max="3356" width="10.21875" style="184" customWidth="1"/>
    <col min="3357" max="3357" width="10" style="184" customWidth="1"/>
    <col min="3358" max="3358" width="11.109375" style="184" customWidth="1"/>
    <col min="3359" max="3359" width="9.77734375" style="184" customWidth="1"/>
    <col min="3360" max="3361" width="10.109375" style="184" customWidth="1"/>
    <col min="3362" max="3590" width="6.77734375" style="184"/>
    <col min="3591" max="3591" width="8" style="184" customWidth="1"/>
    <col min="3592" max="3592" width="11.77734375" style="184" customWidth="1"/>
    <col min="3593" max="3593" width="6.44140625" style="184" customWidth="1"/>
    <col min="3594" max="3594" width="7.21875" style="184" customWidth="1"/>
    <col min="3595" max="3595" width="8.44140625" style="184" customWidth="1"/>
    <col min="3596" max="3596" width="8.33203125" style="184" customWidth="1"/>
    <col min="3597" max="3597" width="8.88671875" style="184" customWidth="1"/>
    <col min="3598" max="3599" width="8.33203125" style="184" customWidth="1"/>
    <col min="3600" max="3600" width="8.44140625" style="184" customWidth="1"/>
    <col min="3601" max="3601" width="8.6640625" style="184" customWidth="1"/>
    <col min="3602" max="3602" width="8.21875" style="184" customWidth="1"/>
    <col min="3603" max="3603" width="9.109375" style="184" customWidth="1"/>
    <col min="3604" max="3604" width="9.21875" style="184" customWidth="1"/>
    <col min="3605" max="3605" width="7.44140625" style="184" customWidth="1"/>
    <col min="3606" max="3606" width="12" style="184" bestFit="1" customWidth="1"/>
    <col min="3607" max="3607" width="8.6640625" style="184" customWidth="1"/>
    <col min="3608" max="3609" width="8" style="184" customWidth="1"/>
    <col min="3610" max="3610" width="9.44140625" style="184" customWidth="1"/>
    <col min="3611" max="3611" width="10.88671875" style="184" customWidth="1"/>
    <col min="3612" max="3612" width="10.21875" style="184" customWidth="1"/>
    <col min="3613" max="3613" width="10" style="184" customWidth="1"/>
    <col min="3614" max="3614" width="11.109375" style="184" customWidth="1"/>
    <col min="3615" max="3615" width="9.77734375" style="184" customWidth="1"/>
    <col min="3616" max="3617" width="10.109375" style="184" customWidth="1"/>
    <col min="3618" max="3846" width="6.77734375" style="184"/>
    <col min="3847" max="3847" width="8" style="184" customWidth="1"/>
    <col min="3848" max="3848" width="11.77734375" style="184" customWidth="1"/>
    <col min="3849" max="3849" width="6.44140625" style="184" customWidth="1"/>
    <col min="3850" max="3850" width="7.21875" style="184" customWidth="1"/>
    <col min="3851" max="3851" width="8.44140625" style="184" customWidth="1"/>
    <col min="3852" max="3852" width="8.33203125" style="184" customWidth="1"/>
    <col min="3853" max="3853" width="8.88671875" style="184" customWidth="1"/>
    <col min="3854" max="3855" width="8.33203125" style="184" customWidth="1"/>
    <col min="3856" max="3856" width="8.44140625" style="184" customWidth="1"/>
    <col min="3857" max="3857" width="8.6640625" style="184" customWidth="1"/>
    <col min="3858" max="3858" width="8.21875" style="184" customWidth="1"/>
    <col min="3859" max="3859" width="9.109375" style="184" customWidth="1"/>
    <col min="3860" max="3860" width="9.21875" style="184" customWidth="1"/>
    <col min="3861" max="3861" width="7.44140625" style="184" customWidth="1"/>
    <col min="3862" max="3862" width="12" style="184" bestFit="1" customWidth="1"/>
    <col min="3863" max="3863" width="8.6640625" style="184" customWidth="1"/>
    <col min="3864" max="3865" width="8" style="184" customWidth="1"/>
    <col min="3866" max="3866" width="9.44140625" style="184" customWidth="1"/>
    <col min="3867" max="3867" width="10.88671875" style="184" customWidth="1"/>
    <col min="3868" max="3868" width="10.21875" style="184" customWidth="1"/>
    <col min="3869" max="3869" width="10" style="184" customWidth="1"/>
    <col min="3870" max="3870" width="11.109375" style="184" customWidth="1"/>
    <col min="3871" max="3871" width="9.77734375" style="184" customWidth="1"/>
    <col min="3872" max="3873" width="10.109375" style="184" customWidth="1"/>
    <col min="3874" max="4102" width="6.77734375" style="184"/>
    <col min="4103" max="4103" width="8" style="184" customWidth="1"/>
    <col min="4104" max="4104" width="11.77734375" style="184" customWidth="1"/>
    <col min="4105" max="4105" width="6.44140625" style="184" customWidth="1"/>
    <col min="4106" max="4106" width="7.21875" style="184" customWidth="1"/>
    <col min="4107" max="4107" width="8.44140625" style="184" customWidth="1"/>
    <col min="4108" max="4108" width="8.33203125" style="184" customWidth="1"/>
    <col min="4109" max="4109" width="8.88671875" style="184" customWidth="1"/>
    <col min="4110" max="4111" width="8.33203125" style="184" customWidth="1"/>
    <col min="4112" max="4112" width="8.44140625" style="184" customWidth="1"/>
    <col min="4113" max="4113" width="8.6640625" style="184" customWidth="1"/>
    <col min="4114" max="4114" width="8.21875" style="184" customWidth="1"/>
    <col min="4115" max="4115" width="9.109375" style="184" customWidth="1"/>
    <col min="4116" max="4116" width="9.21875" style="184" customWidth="1"/>
    <col min="4117" max="4117" width="7.44140625" style="184" customWidth="1"/>
    <col min="4118" max="4118" width="12" style="184" bestFit="1" customWidth="1"/>
    <col min="4119" max="4119" width="8.6640625" style="184" customWidth="1"/>
    <col min="4120" max="4121" width="8" style="184" customWidth="1"/>
    <col min="4122" max="4122" width="9.44140625" style="184" customWidth="1"/>
    <col min="4123" max="4123" width="10.88671875" style="184" customWidth="1"/>
    <col min="4124" max="4124" width="10.21875" style="184" customWidth="1"/>
    <col min="4125" max="4125" width="10" style="184" customWidth="1"/>
    <col min="4126" max="4126" width="11.109375" style="184" customWidth="1"/>
    <col min="4127" max="4127" width="9.77734375" style="184" customWidth="1"/>
    <col min="4128" max="4129" width="10.109375" style="184" customWidth="1"/>
    <col min="4130" max="4358" width="6.77734375" style="184"/>
    <col min="4359" max="4359" width="8" style="184" customWidth="1"/>
    <col min="4360" max="4360" width="11.77734375" style="184" customWidth="1"/>
    <col min="4361" max="4361" width="6.44140625" style="184" customWidth="1"/>
    <col min="4362" max="4362" width="7.21875" style="184" customWidth="1"/>
    <col min="4363" max="4363" width="8.44140625" style="184" customWidth="1"/>
    <col min="4364" max="4364" width="8.33203125" style="184" customWidth="1"/>
    <col min="4365" max="4365" width="8.88671875" style="184" customWidth="1"/>
    <col min="4366" max="4367" width="8.33203125" style="184" customWidth="1"/>
    <col min="4368" max="4368" width="8.44140625" style="184" customWidth="1"/>
    <col min="4369" max="4369" width="8.6640625" style="184" customWidth="1"/>
    <col min="4370" max="4370" width="8.21875" style="184" customWidth="1"/>
    <col min="4371" max="4371" width="9.109375" style="184" customWidth="1"/>
    <col min="4372" max="4372" width="9.21875" style="184" customWidth="1"/>
    <col min="4373" max="4373" width="7.44140625" style="184" customWidth="1"/>
    <col min="4374" max="4374" width="12" style="184" bestFit="1" customWidth="1"/>
    <col min="4375" max="4375" width="8.6640625" style="184" customWidth="1"/>
    <col min="4376" max="4377" width="8" style="184" customWidth="1"/>
    <col min="4378" max="4378" width="9.44140625" style="184" customWidth="1"/>
    <col min="4379" max="4379" width="10.88671875" style="184" customWidth="1"/>
    <col min="4380" max="4380" width="10.21875" style="184" customWidth="1"/>
    <col min="4381" max="4381" width="10" style="184" customWidth="1"/>
    <col min="4382" max="4382" width="11.109375" style="184" customWidth="1"/>
    <col min="4383" max="4383" width="9.77734375" style="184" customWidth="1"/>
    <col min="4384" max="4385" width="10.109375" style="184" customWidth="1"/>
    <col min="4386" max="4614" width="6.77734375" style="184"/>
    <col min="4615" max="4615" width="8" style="184" customWidth="1"/>
    <col min="4616" max="4616" width="11.77734375" style="184" customWidth="1"/>
    <col min="4617" max="4617" width="6.44140625" style="184" customWidth="1"/>
    <col min="4618" max="4618" width="7.21875" style="184" customWidth="1"/>
    <col min="4619" max="4619" width="8.44140625" style="184" customWidth="1"/>
    <col min="4620" max="4620" width="8.33203125" style="184" customWidth="1"/>
    <col min="4621" max="4621" width="8.88671875" style="184" customWidth="1"/>
    <col min="4622" max="4623" width="8.33203125" style="184" customWidth="1"/>
    <col min="4624" max="4624" width="8.44140625" style="184" customWidth="1"/>
    <col min="4625" max="4625" width="8.6640625" style="184" customWidth="1"/>
    <col min="4626" max="4626" width="8.21875" style="184" customWidth="1"/>
    <col min="4627" max="4627" width="9.109375" style="184" customWidth="1"/>
    <col min="4628" max="4628" width="9.21875" style="184" customWidth="1"/>
    <col min="4629" max="4629" width="7.44140625" style="184" customWidth="1"/>
    <col min="4630" max="4630" width="12" style="184" bestFit="1" customWidth="1"/>
    <col min="4631" max="4631" width="8.6640625" style="184" customWidth="1"/>
    <col min="4632" max="4633" width="8" style="184" customWidth="1"/>
    <col min="4634" max="4634" width="9.44140625" style="184" customWidth="1"/>
    <col min="4635" max="4635" width="10.88671875" style="184" customWidth="1"/>
    <col min="4636" max="4636" width="10.21875" style="184" customWidth="1"/>
    <col min="4637" max="4637" width="10" style="184" customWidth="1"/>
    <col min="4638" max="4638" width="11.109375" style="184" customWidth="1"/>
    <col min="4639" max="4639" width="9.77734375" style="184" customWidth="1"/>
    <col min="4640" max="4641" width="10.109375" style="184" customWidth="1"/>
    <col min="4642" max="4870" width="6.77734375" style="184"/>
    <col min="4871" max="4871" width="8" style="184" customWidth="1"/>
    <col min="4872" max="4872" width="11.77734375" style="184" customWidth="1"/>
    <col min="4873" max="4873" width="6.44140625" style="184" customWidth="1"/>
    <col min="4874" max="4874" width="7.21875" style="184" customWidth="1"/>
    <col min="4875" max="4875" width="8.44140625" style="184" customWidth="1"/>
    <col min="4876" max="4876" width="8.33203125" style="184" customWidth="1"/>
    <col min="4877" max="4877" width="8.88671875" style="184" customWidth="1"/>
    <col min="4878" max="4879" width="8.33203125" style="184" customWidth="1"/>
    <col min="4880" max="4880" width="8.44140625" style="184" customWidth="1"/>
    <col min="4881" max="4881" width="8.6640625" style="184" customWidth="1"/>
    <col min="4882" max="4882" width="8.21875" style="184" customWidth="1"/>
    <col min="4883" max="4883" width="9.109375" style="184" customWidth="1"/>
    <col min="4884" max="4884" width="9.21875" style="184" customWidth="1"/>
    <col min="4885" max="4885" width="7.44140625" style="184" customWidth="1"/>
    <col min="4886" max="4886" width="12" style="184" bestFit="1" customWidth="1"/>
    <col min="4887" max="4887" width="8.6640625" style="184" customWidth="1"/>
    <col min="4888" max="4889" width="8" style="184" customWidth="1"/>
    <col min="4890" max="4890" width="9.44140625" style="184" customWidth="1"/>
    <col min="4891" max="4891" width="10.88671875" style="184" customWidth="1"/>
    <col min="4892" max="4892" width="10.21875" style="184" customWidth="1"/>
    <col min="4893" max="4893" width="10" style="184" customWidth="1"/>
    <col min="4894" max="4894" width="11.109375" style="184" customWidth="1"/>
    <col min="4895" max="4895" width="9.77734375" style="184" customWidth="1"/>
    <col min="4896" max="4897" width="10.109375" style="184" customWidth="1"/>
    <col min="4898" max="5126" width="6.77734375" style="184"/>
    <col min="5127" max="5127" width="8" style="184" customWidth="1"/>
    <col min="5128" max="5128" width="11.77734375" style="184" customWidth="1"/>
    <col min="5129" max="5129" width="6.44140625" style="184" customWidth="1"/>
    <col min="5130" max="5130" width="7.21875" style="184" customWidth="1"/>
    <col min="5131" max="5131" width="8.44140625" style="184" customWidth="1"/>
    <col min="5132" max="5132" width="8.33203125" style="184" customWidth="1"/>
    <col min="5133" max="5133" width="8.88671875" style="184" customWidth="1"/>
    <col min="5134" max="5135" width="8.33203125" style="184" customWidth="1"/>
    <col min="5136" max="5136" width="8.44140625" style="184" customWidth="1"/>
    <col min="5137" max="5137" width="8.6640625" style="184" customWidth="1"/>
    <col min="5138" max="5138" width="8.21875" style="184" customWidth="1"/>
    <col min="5139" max="5139" width="9.109375" style="184" customWidth="1"/>
    <col min="5140" max="5140" width="9.21875" style="184" customWidth="1"/>
    <col min="5141" max="5141" width="7.44140625" style="184" customWidth="1"/>
    <col min="5142" max="5142" width="12" style="184" bestFit="1" customWidth="1"/>
    <col min="5143" max="5143" width="8.6640625" style="184" customWidth="1"/>
    <col min="5144" max="5145" width="8" style="184" customWidth="1"/>
    <col min="5146" max="5146" width="9.44140625" style="184" customWidth="1"/>
    <col min="5147" max="5147" width="10.88671875" style="184" customWidth="1"/>
    <col min="5148" max="5148" width="10.21875" style="184" customWidth="1"/>
    <col min="5149" max="5149" width="10" style="184" customWidth="1"/>
    <col min="5150" max="5150" width="11.109375" style="184" customWidth="1"/>
    <col min="5151" max="5151" width="9.77734375" style="184" customWidth="1"/>
    <col min="5152" max="5153" width="10.109375" style="184" customWidth="1"/>
    <col min="5154" max="5382" width="6.77734375" style="184"/>
    <col min="5383" max="5383" width="8" style="184" customWidth="1"/>
    <col min="5384" max="5384" width="11.77734375" style="184" customWidth="1"/>
    <col min="5385" max="5385" width="6.44140625" style="184" customWidth="1"/>
    <col min="5386" max="5386" width="7.21875" style="184" customWidth="1"/>
    <col min="5387" max="5387" width="8.44140625" style="184" customWidth="1"/>
    <col min="5388" max="5388" width="8.33203125" style="184" customWidth="1"/>
    <col min="5389" max="5389" width="8.88671875" style="184" customWidth="1"/>
    <col min="5390" max="5391" width="8.33203125" style="184" customWidth="1"/>
    <col min="5392" max="5392" width="8.44140625" style="184" customWidth="1"/>
    <col min="5393" max="5393" width="8.6640625" style="184" customWidth="1"/>
    <col min="5394" max="5394" width="8.21875" style="184" customWidth="1"/>
    <col min="5395" max="5395" width="9.109375" style="184" customWidth="1"/>
    <col min="5396" max="5396" width="9.21875" style="184" customWidth="1"/>
    <col min="5397" max="5397" width="7.44140625" style="184" customWidth="1"/>
    <col min="5398" max="5398" width="12" style="184" bestFit="1" customWidth="1"/>
    <col min="5399" max="5399" width="8.6640625" style="184" customWidth="1"/>
    <col min="5400" max="5401" width="8" style="184" customWidth="1"/>
    <col min="5402" max="5402" width="9.44140625" style="184" customWidth="1"/>
    <col min="5403" max="5403" width="10.88671875" style="184" customWidth="1"/>
    <col min="5404" max="5404" width="10.21875" style="184" customWidth="1"/>
    <col min="5405" max="5405" width="10" style="184" customWidth="1"/>
    <col min="5406" max="5406" width="11.109375" style="184" customWidth="1"/>
    <col min="5407" max="5407" width="9.77734375" style="184" customWidth="1"/>
    <col min="5408" max="5409" width="10.109375" style="184" customWidth="1"/>
    <col min="5410" max="5638" width="6.77734375" style="184"/>
    <col min="5639" max="5639" width="8" style="184" customWidth="1"/>
    <col min="5640" max="5640" width="11.77734375" style="184" customWidth="1"/>
    <col min="5641" max="5641" width="6.44140625" style="184" customWidth="1"/>
    <col min="5642" max="5642" width="7.21875" style="184" customWidth="1"/>
    <col min="5643" max="5643" width="8.44140625" style="184" customWidth="1"/>
    <col min="5644" max="5644" width="8.33203125" style="184" customWidth="1"/>
    <col min="5645" max="5645" width="8.88671875" style="184" customWidth="1"/>
    <col min="5646" max="5647" width="8.33203125" style="184" customWidth="1"/>
    <col min="5648" max="5648" width="8.44140625" style="184" customWidth="1"/>
    <col min="5649" max="5649" width="8.6640625" style="184" customWidth="1"/>
    <col min="5650" max="5650" width="8.21875" style="184" customWidth="1"/>
    <col min="5651" max="5651" width="9.109375" style="184" customWidth="1"/>
    <col min="5652" max="5652" width="9.21875" style="184" customWidth="1"/>
    <col min="5653" max="5653" width="7.44140625" style="184" customWidth="1"/>
    <col min="5654" max="5654" width="12" style="184" bestFit="1" customWidth="1"/>
    <col min="5655" max="5655" width="8.6640625" style="184" customWidth="1"/>
    <col min="5656" max="5657" width="8" style="184" customWidth="1"/>
    <col min="5658" max="5658" width="9.44140625" style="184" customWidth="1"/>
    <col min="5659" max="5659" width="10.88671875" style="184" customWidth="1"/>
    <col min="5660" max="5660" width="10.21875" style="184" customWidth="1"/>
    <col min="5661" max="5661" width="10" style="184" customWidth="1"/>
    <col min="5662" max="5662" width="11.109375" style="184" customWidth="1"/>
    <col min="5663" max="5663" width="9.77734375" style="184" customWidth="1"/>
    <col min="5664" max="5665" width="10.109375" style="184" customWidth="1"/>
    <col min="5666" max="5894" width="6.77734375" style="184"/>
    <col min="5895" max="5895" width="8" style="184" customWidth="1"/>
    <col min="5896" max="5896" width="11.77734375" style="184" customWidth="1"/>
    <col min="5897" max="5897" width="6.44140625" style="184" customWidth="1"/>
    <col min="5898" max="5898" width="7.21875" style="184" customWidth="1"/>
    <col min="5899" max="5899" width="8.44140625" style="184" customWidth="1"/>
    <col min="5900" max="5900" width="8.33203125" style="184" customWidth="1"/>
    <col min="5901" max="5901" width="8.88671875" style="184" customWidth="1"/>
    <col min="5902" max="5903" width="8.33203125" style="184" customWidth="1"/>
    <col min="5904" max="5904" width="8.44140625" style="184" customWidth="1"/>
    <col min="5905" max="5905" width="8.6640625" style="184" customWidth="1"/>
    <col min="5906" max="5906" width="8.21875" style="184" customWidth="1"/>
    <col min="5907" max="5907" width="9.109375" style="184" customWidth="1"/>
    <col min="5908" max="5908" width="9.21875" style="184" customWidth="1"/>
    <col min="5909" max="5909" width="7.44140625" style="184" customWidth="1"/>
    <col min="5910" max="5910" width="12" style="184" bestFit="1" customWidth="1"/>
    <col min="5911" max="5911" width="8.6640625" style="184" customWidth="1"/>
    <col min="5912" max="5913" width="8" style="184" customWidth="1"/>
    <col min="5914" max="5914" width="9.44140625" style="184" customWidth="1"/>
    <col min="5915" max="5915" width="10.88671875" style="184" customWidth="1"/>
    <col min="5916" max="5916" width="10.21875" style="184" customWidth="1"/>
    <col min="5917" max="5917" width="10" style="184" customWidth="1"/>
    <col min="5918" max="5918" width="11.109375" style="184" customWidth="1"/>
    <col min="5919" max="5919" width="9.77734375" style="184" customWidth="1"/>
    <col min="5920" max="5921" width="10.109375" style="184" customWidth="1"/>
    <col min="5922" max="6150" width="6.77734375" style="184"/>
    <col min="6151" max="6151" width="8" style="184" customWidth="1"/>
    <col min="6152" max="6152" width="11.77734375" style="184" customWidth="1"/>
    <col min="6153" max="6153" width="6.44140625" style="184" customWidth="1"/>
    <col min="6154" max="6154" width="7.21875" style="184" customWidth="1"/>
    <col min="6155" max="6155" width="8.44140625" style="184" customWidth="1"/>
    <col min="6156" max="6156" width="8.33203125" style="184" customWidth="1"/>
    <col min="6157" max="6157" width="8.88671875" style="184" customWidth="1"/>
    <col min="6158" max="6159" width="8.33203125" style="184" customWidth="1"/>
    <col min="6160" max="6160" width="8.44140625" style="184" customWidth="1"/>
    <col min="6161" max="6161" width="8.6640625" style="184" customWidth="1"/>
    <col min="6162" max="6162" width="8.21875" style="184" customWidth="1"/>
    <col min="6163" max="6163" width="9.109375" style="184" customWidth="1"/>
    <col min="6164" max="6164" width="9.21875" style="184" customWidth="1"/>
    <col min="6165" max="6165" width="7.44140625" style="184" customWidth="1"/>
    <col min="6166" max="6166" width="12" style="184" bestFit="1" customWidth="1"/>
    <col min="6167" max="6167" width="8.6640625" style="184" customWidth="1"/>
    <col min="6168" max="6169" width="8" style="184" customWidth="1"/>
    <col min="6170" max="6170" width="9.44140625" style="184" customWidth="1"/>
    <col min="6171" max="6171" width="10.88671875" style="184" customWidth="1"/>
    <col min="6172" max="6172" width="10.21875" style="184" customWidth="1"/>
    <col min="6173" max="6173" width="10" style="184" customWidth="1"/>
    <col min="6174" max="6174" width="11.109375" style="184" customWidth="1"/>
    <col min="6175" max="6175" width="9.77734375" style="184" customWidth="1"/>
    <col min="6176" max="6177" width="10.109375" style="184" customWidth="1"/>
    <col min="6178" max="6406" width="6.77734375" style="184"/>
    <col min="6407" max="6407" width="8" style="184" customWidth="1"/>
    <col min="6408" max="6408" width="11.77734375" style="184" customWidth="1"/>
    <col min="6409" max="6409" width="6.44140625" style="184" customWidth="1"/>
    <col min="6410" max="6410" width="7.21875" style="184" customWidth="1"/>
    <col min="6411" max="6411" width="8.44140625" style="184" customWidth="1"/>
    <col min="6412" max="6412" width="8.33203125" style="184" customWidth="1"/>
    <col min="6413" max="6413" width="8.88671875" style="184" customWidth="1"/>
    <col min="6414" max="6415" width="8.33203125" style="184" customWidth="1"/>
    <col min="6416" max="6416" width="8.44140625" style="184" customWidth="1"/>
    <col min="6417" max="6417" width="8.6640625" style="184" customWidth="1"/>
    <col min="6418" max="6418" width="8.21875" style="184" customWidth="1"/>
    <col min="6419" max="6419" width="9.109375" style="184" customWidth="1"/>
    <col min="6420" max="6420" width="9.21875" style="184" customWidth="1"/>
    <col min="6421" max="6421" width="7.44140625" style="184" customWidth="1"/>
    <col min="6422" max="6422" width="12" style="184" bestFit="1" customWidth="1"/>
    <col min="6423" max="6423" width="8.6640625" style="184" customWidth="1"/>
    <col min="6424" max="6425" width="8" style="184" customWidth="1"/>
    <col min="6426" max="6426" width="9.44140625" style="184" customWidth="1"/>
    <col min="6427" max="6427" width="10.88671875" style="184" customWidth="1"/>
    <col min="6428" max="6428" width="10.21875" style="184" customWidth="1"/>
    <col min="6429" max="6429" width="10" style="184" customWidth="1"/>
    <col min="6430" max="6430" width="11.109375" style="184" customWidth="1"/>
    <col min="6431" max="6431" width="9.77734375" style="184" customWidth="1"/>
    <col min="6432" max="6433" width="10.109375" style="184" customWidth="1"/>
    <col min="6434" max="6662" width="6.77734375" style="184"/>
    <col min="6663" max="6663" width="8" style="184" customWidth="1"/>
    <col min="6664" max="6664" width="11.77734375" style="184" customWidth="1"/>
    <col min="6665" max="6665" width="6.44140625" style="184" customWidth="1"/>
    <col min="6666" max="6666" width="7.21875" style="184" customWidth="1"/>
    <col min="6667" max="6667" width="8.44140625" style="184" customWidth="1"/>
    <col min="6668" max="6668" width="8.33203125" style="184" customWidth="1"/>
    <col min="6669" max="6669" width="8.88671875" style="184" customWidth="1"/>
    <col min="6670" max="6671" width="8.33203125" style="184" customWidth="1"/>
    <col min="6672" max="6672" width="8.44140625" style="184" customWidth="1"/>
    <col min="6673" max="6673" width="8.6640625" style="184" customWidth="1"/>
    <col min="6674" max="6674" width="8.21875" style="184" customWidth="1"/>
    <col min="6675" max="6675" width="9.109375" style="184" customWidth="1"/>
    <col min="6676" max="6676" width="9.21875" style="184" customWidth="1"/>
    <col min="6677" max="6677" width="7.44140625" style="184" customWidth="1"/>
    <col min="6678" max="6678" width="12" style="184" bestFit="1" customWidth="1"/>
    <col min="6679" max="6679" width="8.6640625" style="184" customWidth="1"/>
    <col min="6680" max="6681" width="8" style="184" customWidth="1"/>
    <col min="6682" max="6682" width="9.44140625" style="184" customWidth="1"/>
    <col min="6683" max="6683" width="10.88671875" style="184" customWidth="1"/>
    <col min="6684" max="6684" width="10.21875" style="184" customWidth="1"/>
    <col min="6685" max="6685" width="10" style="184" customWidth="1"/>
    <col min="6686" max="6686" width="11.109375" style="184" customWidth="1"/>
    <col min="6687" max="6687" width="9.77734375" style="184" customWidth="1"/>
    <col min="6688" max="6689" width="10.109375" style="184" customWidth="1"/>
    <col min="6690" max="6918" width="6.77734375" style="184"/>
    <col min="6919" max="6919" width="8" style="184" customWidth="1"/>
    <col min="6920" max="6920" width="11.77734375" style="184" customWidth="1"/>
    <col min="6921" max="6921" width="6.44140625" style="184" customWidth="1"/>
    <col min="6922" max="6922" width="7.21875" style="184" customWidth="1"/>
    <col min="6923" max="6923" width="8.44140625" style="184" customWidth="1"/>
    <col min="6924" max="6924" width="8.33203125" style="184" customWidth="1"/>
    <col min="6925" max="6925" width="8.88671875" style="184" customWidth="1"/>
    <col min="6926" max="6927" width="8.33203125" style="184" customWidth="1"/>
    <col min="6928" max="6928" width="8.44140625" style="184" customWidth="1"/>
    <col min="6929" max="6929" width="8.6640625" style="184" customWidth="1"/>
    <col min="6930" max="6930" width="8.21875" style="184" customWidth="1"/>
    <col min="6931" max="6931" width="9.109375" style="184" customWidth="1"/>
    <col min="6932" max="6932" width="9.21875" style="184" customWidth="1"/>
    <col min="6933" max="6933" width="7.44140625" style="184" customWidth="1"/>
    <col min="6934" max="6934" width="12" style="184" bestFit="1" customWidth="1"/>
    <col min="6935" max="6935" width="8.6640625" style="184" customWidth="1"/>
    <col min="6936" max="6937" width="8" style="184" customWidth="1"/>
    <col min="6938" max="6938" width="9.44140625" style="184" customWidth="1"/>
    <col min="6939" max="6939" width="10.88671875" style="184" customWidth="1"/>
    <col min="6940" max="6940" width="10.21875" style="184" customWidth="1"/>
    <col min="6941" max="6941" width="10" style="184" customWidth="1"/>
    <col min="6942" max="6942" width="11.109375" style="184" customWidth="1"/>
    <col min="6943" max="6943" width="9.77734375" style="184" customWidth="1"/>
    <col min="6944" max="6945" width="10.109375" style="184" customWidth="1"/>
    <col min="6946" max="7174" width="6.77734375" style="184"/>
    <col min="7175" max="7175" width="8" style="184" customWidth="1"/>
    <col min="7176" max="7176" width="11.77734375" style="184" customWidth="1"/>
    <col min="7177" max="7177" width="6.44140625" style="184" customWidth="1"/>
    <col min="7178" max="7178" width="7.21875" style="184" customWidth="1"/>
    <col min="7179" max="7179" width="8.44140625" style="184" customWidth="1"/>
    <col min="7180" max="7180" width="8.33203125" style="184" customWidth="1"/>
    <col min="7181" max="7181" width="8.88671875" style="184" customWidth="1"/>
    <col min="7182" max="7183" width="8.33203125" style="184" customWidth="1"/>
    <col min="7184" max="7184" width="8.44140625" style="184" customWidth="1"/>
    <col min="7185" max="7185" width="8.6640625" style="184" customWidth="1"/>
    <col min="7186" max="7186" width="8.21875" style="184" customWidth="1"/>
    <col min="7187" max="7187" width="9.109375" style="184" customWidth="1"/>
    <col min="7188" max="7188" width="9.21875" style="184" customWidth="1"/>
    <col min="7189" max="7189" width="7.44140625" style="184" customWidth="1"/>
    <col min="7190" max="7190" width="12" style="184" bestFit="1" customWidth="1"/>
    <col min="7191" max="7191" width="8.6640625" style="184" customWidth="1"/>
    <col min="7192" max="7193" width="8" style="184" customWidth="1"/>
    <col min="7194" max="7194" width="9.44140625" style="184" customWidth="1"/>
    <col min="7195" max="7195" width="10.88671875" style="184" customWidth="1"/>
    <col min="7196" max="7196" width="10.21875" style="184" customWidth="1"/>
    <col min="7197" max="7197" width="10" style="184" customWidth="1"/>
    <col min="7198" max="7198" width="11.109375" style="184" customWidth="1"/>
    <col min="7199" max="7199" width="9.77734375" style="184" customWidth="1"/>
    <col min="7200" max="7201" width="10.109375" style="184" customWidth="1"/>
    <col min="7202" max="7430" width="6.77734375" style="184"/>
    <col min="7431" max="7431" width="8" style="184" customWidth="1"/>
    <col min="7432" max="7432" width="11.77734375" style="184" customWidth="1"/>
    <col min="7433" max="7433" width="6.44140625" style="184" customWidth="1"/>
    <col min="7434" max="7434" width="7.21875" style="184" customWidth="1"/>
    <col min="7435" max="7435" width="8.44140625" style="184" customWidth="1"/>
    <col min="7436" max="7436" width="8.33203125" style="184" customWidth="1"/>
    <col min="7437" max="7437" width="8.88671875" style="184" customWidth="1"/>
    <col min="7438" max="7439" width="8.33203125" style="184" customWidth="1"/>
    <col min="7440" max="7440" width="8.44140625" style="184" customWidth="1"/>
    <col min="7441" max="7441" width="8.6640625" style="184" customWidth="1"/>
    <col min="7442" max="7442" width="8.21875" style="184" customWidth="1"/>
    <col min="7443" max="7443" width="9.109375" style="184" customWidth="1"/>
    <col min="7444" max="7444" width="9.21875" style="184" customWidth="1"/>
    <col min="7445" max="7445" width="7.44140625" style="184" customWidth="1"/>
    <col min="7446" max="7446" width="12" style="184" bestFit="1" customWidth="1"/>
    <col min="7447" max="7447" width="8.6640625" style="184" customWidth="1"/>
    <col min="7448" max="7449" width="8" style="184" customWidth="1"/>
    <col min="7450" max="7450" width="9.44140625" style="184" customWidth="1"/>
    <col min="7451" max="7451" width="10.88671875" style="184" customWidth="1"/>
    <col min="7452" max="7452" width="10.21875" style="184" customWidth="1"/>
    <col min="7453" max="7453" width="10" style="184" customWidth="1"/>
    <col min="7454" max="7454" width="11.109375" style="184" customWidth="1"/>
    <col min="7455" max="7455" width="9.77734375" style="184" customWidth="1"/>
    <col min="7456" max="7457" width="10.109375" style="184" customWidth="1"/>
    <col min="7458" max="7686" width="6.77734375" style="184"/>
    <col min="7687" max="7687" width="8" style="184" customWidth="1"/>
    <col min="7688" max="7688" width="11.77734375" style="184" customWidth="1"/>
    <col min="7689" max="7689" width="6.44140625" style="184" customWidth="1"/>
    <col min="7690" max="7690" width="7.21875" style="184" customWidth="1"/>
    <col min="7691" max="7691" width="8.44140625" style="184" customWidth="1"/>
    <col min="7692" max="7692" width="8.33203125" style="184" customWidth="1"/>
    <col min="7693" max="7693" width="8.88671875" style="184" customWidth="1"/>
    <col min="7694" max="7695" width="8.33203125" style="184" customWidth="1"/>
    <col min="7696" max="7696" width="8.44140625" style="184" customWidth="1"/>
    <col min="7697" max="7697" width="8.6640625" style="184" customWidth="1"/>
    <col min="7698" max="7698" width="8.21875" style="184" customWidth="1"/>
    <col min="7699" max="7699" width="9.109375" style="184" customWidth="1"/>
    <col min="7700" max="7700" width="9.21875" style="184" customWidth="1"/>
    <col min="7701" max="7701" width="7.44140625" style="184" customWidth="1"/>
    <col min="7702" max="7702" width="12" style="184" bestFit="1" customWidth="1"/>
    <col min="7703" max="7703" width="8.6640625" style="184" customWidth="1"/>
    <col min="7704" max="7705" width="8" style="184" customWidth="1"/>
    <col min="7706" max="7706" width="9.44140625" style="184" customWidth="1"/>
    <col min="7707" max="7707" width="10.88671875" style="184" customWidth="1"/>
    <col min="7708" max="7708" width="10.21875" style="184" customWidth="1"/>
    <col min="7709" max="7709" width="10" style="184" customWidth="1"/>
    <col min="7710" max="7710" width="11.109375" style="184" customWidth="1"/>
    <col min="7711" max="7711" width="9.77734375" style="184" customWidth="1"/>
    <col min="7712" max="7713" width="10.109375" style="184" customWidth="1"/>
    <col min="7714" max="7942" width="6.77734375" style="184"/>
    <col min="7943" max="7943" width="8" style="184" customWidth="1"/>
    <col min="7944" max="7944" width="11.77734375" style="184" customWidth="1"/>
    <col min="7945" max="7945" width="6.44140625" style="184" customWidth="1"/>
    <col min="7946" max="7946" width="7.21875" style="184" customWidth="1"/>
    <col min="7947" max="7947" width="8.44140625" style="184" customWidth="1"/>
    <col min="7948" max="7948" width="8.33203125" style="184" customWidth="1"/>
    <col min="7949" max="7949" width="8.88671875" style="184" customWidth="1"/>
    <col min="7950" max="7951" width="8.33203125" style="184" customWidth="1"/>
    <col min="7952" max="7952" width="8.44140625" style="184" customWidth="1"/>
    <col min="7953" max="7953" width="8.6640625" style="184" customWidth="1"/>
    <col min="7954" max="7954" width="8.21875" style="184" customWidth="1"/>
    <col min="7955" max="7955" width="9.109375" style="184" customWidth="1"/>
    <col min="7956" max="7956" width="9.21875" style="184" customWidth="1"/>
    <col min="7957" max="7957" width="7.44140625" style="184" customWidth="1"/>
    <col min="7958" max="7958" width="12" style="184" bestFit="1" customWidth="1"/>
    <col min="7959" max="7959" width="8.6640625" style="184" customWidth="1"/>
    <col min="7960" max="7961" width="8" style="184" customWidth="1"/>
    <col min="7962" max="7962" width="9.44140625" style="184" customWidth="1"/>
    <col min="7963" max="7963" width="10.88671875" style="184" customWidth="1"/>
    <col min="7964" max="7964" width="10.21875" style="184" customWidth="1"/>
    <col min="7965" max="7965" width="10" style="184" customWidth="1"/>
    <col min="7966" max="7966" width="11.109375" style="184" customWidth="1"/>
    <col min="7967" max="7967" width="9.77734375" style="184" customWidth="1"/>
    <col min="7968" max="7969" width="10.109375" style="184" customWidth="1"/>
    <col min="7970" max="8198" width="6.77734375" style="184"/>
    <col min="8199" max="8199" width="8" style="184" customWidth="1"/>
    <col min="8200" max="8200" width="11.77734375" style="184" customWidth="1"/>
    <col min="8201" max="8201" width="6.44140625" style="184" customWidth="1"/>
    <col min="8202" max="8202" width="7.21875" style="184" customWidth="1"/>
    <col min="8203" max="8203" width="8.44140625" style="184" customWidth="1"/>
    <col min="8204" max="8204" width="8.33203125" style="184" customWidth="1"/>
    <col min="8205" max="8205" width="8.88671875" style="184" customWidth="1"/>
    <col min="8206" max="8207" width="8.33203125" style="184" customWidth="1"/>
    <col min="8208" max="8208" width="8.44140625" style="184" customWidth="1"/>
    <col min="8209" max="8209" width="8.6640625" style="184" customWidth="1"/>
    <col min="8210" max="8210" width="8.21875" style="184" customWidth="1"/>
    <col min="8211" max="8211" width="9.109375" style="184" customWidth="1"/>
    <col min="8212" max="8212" width="9.21875" style="184" customWidth="1"/>
    <col min="8213" max="8213" width="7.44140625" style="184" customWidth="1"/>
    <col min="8214" max="8214" width="12" style="184" bestFit="1" customWidth="1"/>
    <col min="8215" max="8215" width="8.6640625" style="184" customWidth="1"/>
    <col min="8216" max="8217" width="8" style="184" customWidth="1"/>
    <col min="8218" max="8218" width="9.44140625" style="184" customWidth="1"/>
    <col min="8219" max="8219" width="10.88671875" style="184" customWidth="1"/>
    <col min="8220" max="8220" width="10.21875" style="184" customWidth="1"/>
    <col min="8221" max="8221" width="10" style="184" customWidth="1"/>
    <col min="8222" max="8222" width="11.109375" style="184" customWidth="1"/>
    <col min="8223" max="8223" width="9.77734375" style="184" customWidth="1"/>
    <col min="8224" max="8225" width="10.109375" style="184" customWidth="1"/>
    <col min="8226" max="8454" width="6.77734375" style="184"/>
    <col min="8455" max="8455" width="8" style="184" customWidth="1"/>
    <col min="8456" max="8456" width="11.77734375" style="184" customWidth="1"/>
    <col min="8457" max="8457" width="6.44140625" style="184" customWidth="1"/>
    <col min="8458" max="8458" width="7.21875" style="184" customWidth="1"/>
    <col min="8459" max="8459" width="8.44140625" style="184" customWidth="1"/>
    <col min="8460" max="8460" width="8.33203125" style="184" customWidth="1"/>
    <col min="8461" max="8461" width="8.88671875" style="184" customWidth="1"/>
    <col min="8462" max="8463" width="8.33203125" style="184" customWidth="1"/>
    <col min="8464" max="8464" width="8.44140625" style="184" customWidth="1"/>
    <col min="8465" max="8465" width="8.6640625" style="184" customWidth="1"/>
    <col min="8466" max="8466" width="8.21875" style="184" customWidth="1"/>
    <col min="8467" max="8467" width="9.109375" style="184" customWidth="1"/>
    <col min="8468" max="8468" width="9.21875" style="184" customWidth="1"/>
    <col min="8469" max="8469" width="7.44140625" style="184" customWidth="1"/>
    <col min="8470" max="8470" width="12" style="184" bestFit="1" customWidth="1"/>
    <col min="8471" max="8471" width="8.6640625" style="184" customWidth="1"/>
    <col min="8472" max="8473" width="8" style="184" customWidth="1"/>
    <col min="8474" max="8474" width="9.44140625" style="184" customWidth="1"/>
    <col min="8475" max="8475" width="10.88671875" style="184" customWidth="1"/>
    <col min="8476" max="8476" width="10.21875" style="184" customWidth="1"/>
    <col min="8477" max="8477" width="10" style="184" customWidth="1"/>
    <col min="8478" max="8478" width="11.109375" style="184" customWidth="1"/>
    <col min="8479" max="8479" width="9.77734375" style="184" customWidth="1"/>
    <col min="8480" max="8481" width="10.109375" style="184" customWidth="1"/>
    <col min="8482" max="8710" width="6.77734375" style="184"/>
    <col min="8711" max="8711" width="8" style="184" customWidth="1"/>
    <col min="8712" max="8712" width="11.77734375" style="184" customWidth="1"/>
    <col min="8713" max="8713" width="6.44140625" style="184" customWidth="1"/>
    <col min="8714" max="8714" width="7.21875" style="184" customWidth="1"/>
    <col min="8715" max="8715" width="8.44140625" style="184" customWidth="1"/>
    <col min="8716" max="8716" width="8.33203125" style="184" customWidth="1"/>
    <col min="8717" max="8717" width="8.88671875" style="184" customWidth="1"/>
    <col min="8718" max="8719" width="8.33203125" style="184" customWidth="1"/>
    <col min="8720" max="8720" width="8.44140625" style="184" customWidth="1"/>
    <col min="8721" max="8721" width="8.6640625" style="184" customWidth="1"/>
    <col min="8722" max="8722" width="8.21875" style="184" customWidth="1"/>
    <col min="8723" max="8723" width="9.109375" style="184" customWidth="1"/>
    <col min="8724" max="8724" width="9.21875" style="184" customWidth="1"/>
    <col min="8725" max="8725" width="7.44140625" style="184" customWidth="1"/>
    <col min="8726" max="8726" width="12" style="184" bestFit="1" customWidth="1"/>
    <col min="8727" max="8727" width="8.6640625" style="184" customWidth="1"/>
    <col min="8728" max="8729" width="8" style="184" customWidth="1"/>
    <col min="8730" max="8730" width="9.44140625" style="184" customWidth="1"/>
    <col min="8731" max="8731" width="10.88671875" style="184" customWidth="1"/>
    <col min="8732" max="8732" width="10.21875" style="184" customWidth="1"/>
    <col min="8733" max="8733" width="10" style="184" customWidth="1"/>
    <col min="8734" max="8734" width="11.109375" style="184" customWidth="1"/>
    <col min="8735" max="8735" width="9.77734375" style="184" customWidth="1"/>
    <col min="8736" max="8737" width="10.109375" style="184" customWidth="1"/>
    <col min="8738" max="8966" width="6.77734375" style="184"/>
    <col min="8967" max="8967" width="8" style="184" customWidth="1"/>
    <col min="8968" max="8968" width="11.77734375" style="184" customWidth="1"/>
    <col min="8969" max="8969" width="6.44140625" style="184" customWidth="1"/>
    <col min="8970" max="8970" width="7.21875" style="184" customWidth="1"/>
    <col min="8971" max="8971" width="8.44140625" style="184" customWidth="1"/>
    <col min="8972" max="8972" width="8.33203125" style="184" customWidth="1"/>
    <col min="8973" max="8973" width="8.88671875" style="184" customWidth="1"/>
    <col min="8974" max="8975" width="8.33203125" style="184" customWidth="1"/>
    <col min="8976" max="8976" width="8.44140625" style="184" customWidth="1"/>
    <col min="8977" max="8977" width="8.6640625" style="184" customWidth="1"/>
    <col min="8978" max="8978" width="8.21875" style="184" customWidth="1"/>
    <col min="8979" max="8979" width="9.109375" style="184" customWidth="1"/>
    <col min="8980" max="8980" width="9.21875" style="184" customWidth="1"/>
    <col min="8981" max="8981" width="7.44140625" style="184" customWidth="1"/>
    <col min="8982" max="8982" width="12" style="184" bestFit="1" customWidth="1"/>
    <col min="8983" max="8983" width="8.6640625" style="184" customWidth="1"/>
    <col min="8984" max="8985" width="8" style="184" customWidth="1"/>
    <col min="8986" max="8986" width="9.44140625" style="184" customWidth="1"/>
    <col min="8987" max="8987" width="10.88671875" style="184" customWidth="1"/>
    <col min="8988" max="8988" width="10.21875" style="184" customWidth="1"/>
    <col min="8989" max="8989" width="10" style="184" customWidth="1"/>
    <col min="8990" max="8990" width="11.109375" style="184" customWidth="1"/>
    <col min="8991" max="8991" width="9.77734375" style="184" customWidth="1"/>
    <col min="8992" max="8993" width="10.109375" style="184" customWidth="1"/>
    <col min="8994" max="9222" width="6.77734375" style="184"/>
    <col min="9223" max="9223" width="8" style="184" customWidth="1"/>
    <col min="9224" max="9224" width="11.77734375" style="184" customWidth="1"/>
    <col min="9225" max="9225" width="6.44140625" style="184" customWidth="1"/>
    <col min="9226" max="9226" width="7.21875" style="184" customWidth="1"/>
    <col min="9227" max="9227" width="8.44140625" style="184" customWidth="1"/>
    <col min="9228" max="9228" width="8.33203125" style="184" customWidth="1"/>
    <col min="9229" max="9229" width="8.88671875" style="184" customWidth="1"/>
    <col min="9230" max="9231" width="8.33203125" style="184" customWidth="1"/>
    <col min="9232" max="9232" width="8.44140625" style="184" customWidth="1"/>
    <col min="9233" max="9233" width="8.6640625" style="184" customWidth="1"/>
    <col min="9234" max="9234" width="8.21875" style="184" customWidth="1"/>
    <col min="9235" max="9235" width="9.109375" style="184" customWidth="1"/>
    <col min="9236" max="9236" width="9.21875" style="184" customWidth="1"/>
    <col min="9237" max="9237" width="7.44140625" style="184" customWidth="1"/>
    <col min="9238" max="9238" width="12" style="184" bestFit="1" customWidth="1"/>
    <col min="9239" max="9239" width="8.6640625" style="184" customWidth="1"/>
    <col min="9240" max="9241" width="8" style="184" customWidth="1"/>
    <col min="9242" max="9242" width="9.44140625" style="184" customWidth="1"/>
    <col min="9243" max="9243" width="10.88671875" style="184" customWidth="1"/>
    <col min="9244" max="9244" width="10.21875" style="184" customWidth="1"/>
    <col min="9245" max="9245" width="10" style="184" customWidth="1"/>
    <col min="9246" max="9246" width="11.109375" style="184" customWidth="1"/>
    <col min="9247" max="9247" width="9.77734375" style="184" customWidth="1"/>
    <col min="9248" max="9249" width="10.109375" style="184" customWidth="1"/>
    <col min="9250" max="9478" width="6.77734375" style="184"/>
    <col min="9479" max="9479" width="8" style="184" customWidth="1"/>
    <col min="9480" max="9480" width="11.77734375" style="184" customWidth="1"/>
    <col min="9481" max="9481" width="6.44140625" style="184" customWidth="1"/>
    <col min="9482" max="9482" width="7.21875" style="184" customWidth="1"/>
    <col min="9483" max="9483" width="8.44140625" style="184" customWidth="1"/>
    <col min="9484" max="9484" width="8.33203125" style="184" customWidth="1"/>
    <col min="9485" max="9485" width="8.88671875" style="184" customWidth="1"/>
    <col min="9486" max="9487" width="8.33203125" style="184" customWidth="1"/>
    <col min="9488" max="9488" width="8.44140625" style="184" customWidth="1"/>
    <col min="9489" max="9489" width="8.6640625" style="184" customWidth="1"/>
    <col min="9490" max="9490" width="8.21875" style="184" customWidth="1"/>
    <col min="9491" max="9491" width="9.109375" style="184" customWidth="1"/>
    <col min="9492" max="9492" width="9.21875" style="184" customWidth="1"/>
    <col min="9493" max="9493" width="7.44140625" style="184" customWidth="1"/>
    <col min="9494" max="9494" width="12" style="184" bestFit="1" customWidth="1"/>
    <col min="9495" max="9495" width="8.6640625" style="184" customWidth="1"/>
    <col min="9496" max="9497" width="8" style="184" customWidth="1"/>
    <col min="9498" max="9498" width="9.44140625" style="184" customWidth="1"/>
    <col min="9499" max="9499" width="10.88671875" style="184" customWidth="1"/>
    <col min="9500" max="9500" width="10.21875" style="184" customWidth="1"/>
    <col min="9501" max="9501" width="10" style="184" customWidth="1"/>
    <col min="9502" max="9502" width="11.109375" style="184" customWidth="1"/>
    <col min="9503" max="9503" width="9.77734375" style="184" customWidth="1"/>
    <col min="9504" max="9505" width="10.109375" style="184" customWidth="1"/>
    <col min="9506" max="9734" width="6.77734375" style="184"/>
    <col min="9735" max="9735" width="8" style="184" customWidth="1"/>
    <col min="9736" max="9736" width="11.77734375" style="184" customWidth="1"/>
    <col min="9737" max="9737" width="6.44140625" style="184" customWidth="1"/>
    <col min="9738" max="9738" width="7.21875" style="184" customWidth="1"/>
    <col min="9739" max="9739" width="8.44140625" style="184" customWidth="1"/>
    <col min="9740" max="9740" width="8.33203125" style="184" customWidth="1"/>
    <col min="9741" max="9741" width="8.88671875" style="184" customWidth="1"/>
    <col min="9742" max="9743" width="8.33203125" style="184" customWidth="1"/>
    <col min="9744" max="9744" width="8.44140625" style="184" customWidth="1"/>
    <col min="9745" max="9745" width="8.6640625" style="184" customWidth="1"/>
    <col min="9746" max="9746" width="8.21875" style="184" customWidth="1"/>
    <col min="9747" max="9747" width="9.109375" style="184" customWidth="1"/>
    <col min="9748" max="9748" width="9.21875" style="184" customWidth="1"/>
    <col min="9749" max="9749" width="7.44140625" style="184" customWidth="1"/>
    <col min="9750" max="9750" width="12" style="184" bestFit="1" customWidth="1"/>
    <col min="9751" max="9751" width="8.6640625" style="184" customWidth="1"/>
    <col min="9752" max="9753" width="8" style="184" customWidth="1"/>
    <col min="9754" max="9754" width="9.44140625" style="184" customWidth="1"/>
    <col min="9755" max="9755" width="10.88671875" style="184" customWidth="1"/>
    <col min="9756" max="9756" width="10.21875" style="184" customWidth="1"/>
    <col min="9757" max="9757" width="10" style="184" customWidth="1"/>
    <col min="9758" max="9758" width="11.109375" style="184" customWidth="1"/>
    <col min="9759" max="9759" width="9.77734375" style="184" customWidth="1"/>
    <col min="9760" max="9761" width="10.109375" style="184" customWidth="1"/>
    <col min="9762" max="9990" width="6.77734375" style="184"/>
    <col min="9991" max="9991" width="8" style="184" customWidth="1"/>
    <col min="9992" max="9992" width="11.77734375" style="184" customWidth="1"/>
    <col min="9993" max="9993" width="6.44140625" style="184" customWidth="1"/>
    <col min="9994" max="9994" width="7.21875" style="184" customWidth="1"/>
    <col min="9995" max="9995" width="8.44140625" style="184" customWidth="1"/>
    <col min="9996" max="9996" width="8.33203125" style="184" customWidth="1"/>
    <col min="9997" max="9997" width="8.88671875" style="184" customWidth="1"/>
    <col min="9998" max="9999" width="8.33203125" style="184" customWidth="1"/>
    <col min="10000" max="10000" width="8.44140625" style="184" customWidth="1"/>
    <col min="10001" max="10001" width="8.6640625" style="184" customWidth="1"/>
    <col min="10002" max="10002" width="8.21875" style="184" customWidth="1"/>
    <col min="10003" max="10003" width="9.109375" style="184" customWidth="1"/>
    <col min="10004" max="10004" width="9.21875" style="184" customWidth="1"/>
    <col min="10005" max="10005" width="7.44140625" style="184" customWidth="1"/>
    <col min="10006" max="10006" width="12" style="184" bestFit="1" customWidth="1"/>
    <col min="10007" max="10007" width="8.6640625" style="184" customWidth="1"/>
    <col min="10008" max="10009" width="8" style="184" customWidth="1"/>
    <col min="10010" max="10010" width="9.44140625" style="184" customWidth="1"/>
    <col min="10011" max="10011" width="10.88671875" style="184" customWidth="1"/>
    <col min="10012" max="10012" width="10.21875" style="184" customWidth="1"/>
    <col min="10013" max="10013" width="10" style="184" customWidth="1"/>
    <col min="10014" max="10014" width="11.109375" style="184" customWidth="1"/>
    <col min="10015" max="10015" width="9.77734375" style="184" customWidth="1"/>
    <col min="10016" max="10017" width="10.109375" style="184" customWidth="1"/>
    <col min="10018" max="10246" width="6.77734375" style="184"/>
    <col min="10247" max="10247" width="8" style="184" customWidth="1"/>
    <col min="10248" max="10248" width="11.77734375" style="184" customWidth="1"/>
    <col min="10249" max="10249" width="6.44140625" style="184" customWidth="1"/>
    <col min="10250" max="10250" width="7.21875" style="184" customWidth="1"/>
    <col min="10251" max="10251" width="8.44140625" style="184" customWidth="1"/>
    <col min="10252" max="10252" width="8.33203125" style="184" customWidth="1"/>
    <col min="10253" max="10253" width="8.88671875" style="184" customWidth="1"/>
    <col min="10254" max="10255" width="8.33203125" style="184" customWidth="1"/>
    <col min="10256" max="10256" width="8.44140625" style="184" customWidth="1"/>
    <col min="10257" max="10257" width="8.6640625" style="184" customWidth="1"/>
    <col min="10258" max="10258" width="8.21875" style="184" customWidth="1"/>
    <col min="10259" max="10259" width="9.109375" style="184" customWidth="1"/>
    <col min="10260" max="10260" width="9.21875" style="184" customWidth="1"/>
    <col min="10261" max="10261" width="7.44140625" style="184" customWidth="1"/>
    <col min="10262" max="10262" width="12" style="184" bestFit="1" customWidth="1"/>
    <col min="10263" max="10263" width="8.6640625" style="184" customWidth="1"/>
    <col min="10264" max="10265" width="8" style="184" customWidth="1"/>
    <col min="10266" max="10266" width="9.44140625" style="184" customWidth="1"/>
    <col min="10267" max="10267" width="10.88671875" style="184" customWidth="1"/>
    <col min="10268" max="10268" width="10.21875" style="184" customWidth="1"/>
    <col min="10269" max="10269" width="10" style="184" customWidth="1"/>
    <col min="10270" max="10270" width="11.109375" style="184" customWidth="1"/>
    <col min="10271" max="10271" width="9.77734375" style="184" customWidth="1"/>
    <col min="10272" max="10273" width="10.109375" style="184" customWidth="1"/>
    <col min="10274" max="10502" width="6.77734375" style="184"/>
    <col min="10503" max="10503" width="8" style="184" customWidth="1"/>
    <col min="10504" max="10504" width="11.77734375" style="184" customWidth="1"/>
    <col min="10505" max="10505" width="6.44140625" style="184" customWidth="1"/>
    <col min="10506" max="10506" width="7.21875" style="184" customWidth="1"/>
    <col min="10507" max="10507" width="8.44140625" style="184" customWidth="1"/>
    <col min="10508" max="10508" width="8.33203125" style="184" customWidth="1"/>
    <col min="10509" max="10509" width="8.88671875" style="184" customWidth="1"/>
    <col min="10510" max="10511" width="8.33203125" style="184" customWidth="1"/>
    <col min="10512" max="10512" width="8.44140625" style="184" customWidth="1"/>
    <col min="10513" max="10513" width="8.6640625" style="184" customWidth="1"/>
    <col min="10514" max="10514" width="8.21875" style="184" customWidth="1"/>
    <col min="10515" max="10515" width="9.109375" style="184" customWidth="1"/>
    <col min="10516" max="10516" width="9.21875" style="184" customWidth="1"/>
    <col min="10517" max="10517" width="7.44140625" style="184" customWidth="1"/>
    <col min="10518" max="10518" width="12" style="184" bestFit="1" customWidth="1"/>
    <col min="10519" max="10519" width="8.6640625" style="184" customWidth="1"/>
    <col min="10520" max="10521" width="8" style="184" customWidth="1"/>
    <col min="10522" max="10522" width="9.44140625" style="184" customWidth="1"/>
    <col min="10523" max="10523" width="10.88671875" style="184" customWidth="1"/>
    <col min="10524" max="10524" width="10.21875" style="184" customWidth="1"/>
    <col min="10525" max="10525" width="10" style="184" customWidth="1"/>
    <col min="10526" max="10526" width="11.109375" style="184" customWidth="1"/>
    <col min="10527" max="10527" width="9.77734375" style="184" customWidth="1"/>
    <col min="10528" max="10529" width="10.109375" style="184" customWidth="1"/>
    <col min="10530" max="10758" width="6.77734375" style="184"/>
    <col min="10759" max="10759" width="8" style="184" customWidth="1"/>
    <col min="10760" max="10760" width="11.77734375" style="184" customWidth="1"/>
    <col min="10761" max="10761" width="6.44140625" style="184" customWidth="1"/>
    <col min="10762" max="10762" width="7.21875" style="184" customWidth="1"/>
    <col min="10763" max="10763" width="8.44140625" style="184" customWidth="1"/>
    <col min="10764" max="10764" width="8.33203125" style="184" customWidth="1"/>
    <col min="10765" max="10765" width="8.88671875" style="184" customWidth="1"/>
    <col min="10766" max="10767" width="8.33203125" style="184" customWidth="1"/>
    <col min="10768" max="10768" width="8.44140625" style="184" customWidth="1"/>
    <col min="10769" max="10769" width="8.6640625" style="184" customWidth="1"/>
    <col min="10770" max="10770" width="8.21875" style="184" customWidth="1"/>
    <col min="10771" max="10771" width="9.109375" style="184" customWidth="1"/>
    <col min="10772" max="10772" width="9.21875" style="184" customWidth="1"/>
    <col min="10773" max="10773" width="7.44140625" style="184" customWidth="1"/>
    <col min="10774" max="10774" width="12" style="184" bestFit="1" customWidth="1"/>
    <col min="10775" max="10775" width="8.6640625" style="184" customWidth="1"/>
    <col min="10776" max="10777" width="8" style="184" customWidth="1"/>
    <col min="10778" max="10778" width="9.44140625" style="184" customWidth="1"/>
    <col min="10779" max="10779" width="10.88671875" style="184" customWidth="1"/>
    <col min="10780" max="10780" width="10.21875" style="184" customWidth="1"/>
    <col min="10781" max="10781" width="10" style="184" customWidth="1"/>
    <col min="10782" max="10782" width="11.109375" style="184" customWidth="1"/>
    <col min="10783" max="10783" width="9.77734375" style="184" customWidth="1"/>
    <col min="10784" max="10785" width="10.109375" style="184" customWidth="1"/>
    <col min="10786" max="11014" width="6.77734375" style="184"/>
    <col min="11015" max="11015" width="8" style="184" customWidth="1"/>
    <col min="11016" max="11016" width="11.77734375" style="184" customWidth="1"/>
    <col min="11017" max="11017" width="6.44140625" style="184" customWidth="1"/>
    <col min="11018" max="11018" width="7.21875" style="184" customWidth="1"/>
    <col min="11019" max="11019" width="8.44140625" style="184" customWidth="1"/>
    <col min="11020" max="11020" width="8.33203125" style="184" customWidth="1"/>
    <col min="11021" max="11021" width="8.88671875" style="184" customWidth="1"/>
    <col min="11022" max="11023" width="8.33203125" style="184" customWidth="1"/>
    <col min="11024" max="11024" width="8.44140625" style="184" customWidth="1"/>
    <col min="11025" max="11025" width="8.6640625" style="184" customWidth="1"/>
    <col min="11026" max="11026" width="8.21875" style="184" customWidth="1"/>
    <col min="11027" max="11027" width="9.109375" style="184" customWidth="1"/>
    <col min="11028" max="11028" width="9.21875" style="184" customWidth="1"/>
    <col min="11029" max="11029" width="7.44140625" style="184" customWidth="1"/>
    <col min="11030" max="11030" width="12" style="184" bestFit="1" customWidth="1"/>
    <col min="11031" max="11031" width="8.6640625" style="184" customWidth="1"/>
    <col min="11032" max="11033" width="8" style="184" customWidth="1"/>
    <col min="11034" max="11034" width="9.44140625" style="184" customWidth="1"/>
    <col min="11035" max="11035" width="10.88671875" style="184" customWidth="1"/>
    <col min="11036" max="11036" width="10.21875" style="184" customWidth="1"/>
    <col min="11037" max="11037" width="10" style="184" customWidth="1"/>
    <col min="11038" max="11038" width="11.109375" style="184" customWidth="1"/>
    <col min="11039" max="11039" width="9.77734375" style="184" customWidth="1"/>
    <col min="11040" max="11041" width="10.109375" style="184" customWidth="1"/>
    <col min="11042" max="11270" width="6.77734375" style="184"/>
    <col min="11271" max="11271" width="8" style="184" customWidth="1"/>
    <col min="11272" max="11272" width="11.77734375" style="184" customWidth="1"/>
    <col min="11273" max="11273" width="6.44140625" style="184" customWidth="1"/>
    <col min="11274" max="11274" width="7.21875" style="184" customWidth="1"/>
    <col min="11275" max="11275" width="8.44140625" style="184" customWidth="1"/>
    <col min="11276" max="11276" width="8.33203125" style="184" customWidth="1"/>
    <col min="11277" max="11277" width="8.88671875" style="184" customWidth="1"/>
    <col min="11278" max="11279" width="8.33203125" style="184" customWidth="1"/>
    <col min="11280" max="11280" width="8.44140625" style="184" customWidth="1"/>
    <col min="11281" max="11281" width="8.6640625" style="184" customWidth="1"/>
    <col min="11282" max="11282" width="8.21875" style="184" customWidth="1"/>
    <col min="11283" max="11283" width="9.109375" style="184" customWidth="1"/>
    <col min="11284" max="11284" width="9.21875" style="184" customWidth="1"/>
    <col min="11285" max="11285" width="7.44140625" style="184" customWidth="1"/>
    <col min="11286" max="11286" width="12" style="184" bestFit="1" customWidth="1"/>
    <col min="11287" max="11287" width="8.6640625" style="184" customWidth="1"/>
    <col min="11288" max="11289" width="8" style="184" customWidth="1"/>
    <col min="11290" max="11290" width="9.44140625" style="184" customWidth="1"/>
    <col min="11291" max="11291" width="10.88671875" style="184" customWidth="1"/>
    <col min="11292" max="11292" width="10.21875" style="184" customWidth="1"/>
    <col min="11293" max="11293" width="10" style="184" customWidth="1"/>
    <col min="11294" max="11294" width="11.109375" style="184" customWidth="1"/>
    <col min="11295" max="11295" width="9.77734375" style="184" customWidth="1"/>
    <col min="11296" max="11297" width="10.109375" style="184" customWidth="1"/>
    <col min="11298" max="11526" width="6.77734375" style="184"/>
    <col min="11527" max="11527" width="8" style="184" customWidth="1"/>
    <col min="11528" max="11528" width="11.77734375" style="184" customWidth="1"/>
    <col min="11529" max="11529" width="6.44140625" style="184" customWidth="1"/>
    <col min="11530" max="11530" width="7.21875" style="184" customWidth="1"/>
    <col min="11531" max="11531" width="8.44140625" style="184" customWidth="1"/>
    <col min="11532" max="11532" width="8.33203125" style="184" customWidth="1"/>
    <col min="11533" max="11533" width="8.88671875" style="184" customWidth="1"/>
    <col min="11534" max="11535" width="8.33203125" style="184" customWidth="1"/>
    <col min="11536" max="11536" width="8.44140625" style="184" customWidth="1"/>
    <col min="11537" max="11537" width="8.6640625" style="184" customWidth="1"/>
    <col min="11538" max="11538" width="8.21875" style="184" customWidth="1"/>
    <col min="11539" max="11539" width="9.109375" style="184" customWidth="1"/>
    <col min="11540" max="11540" width="9.21875" style="184" customWidth="1"/>
    <col min="11541" max="11541" width="7.44140625" style="184" customWidth="1"/>
    <col min="11542" max="11542" width="12" style="184" bestFit="1" customWidth="1"/>
    <col min="11543" max="11543" width="8.6640625" style="184" customWidth="1"/>
    <col min="11544" max="11545" width="8" style="184" customWidth="1"/>
    <col min="11546" max="11546" width="9.44140625" style="184" customWidth="1"/>
    <col min="11547" max="11547" width="10.88671875" style="184" customWidth="1"/>
    <col min="11548" max="11548" width="10.21875" style="184" customWidth="1"/>
    <col min="11549" max="11549" width="10" style="184" customWidth="1"/>
    <col min="11550" max="11550" width="11.109375" style="184" customWidth="1"/>
    <col min="11551" max="11551" width="9.77734375" style="184" customWidth="1"/>
    <col min="11552" max="11553" width="10.109375" style="184" customWidth="1"/>
    <col min="11554" max="11782" width="6.77734375" style="184"/>
    <col min="11783" max="11783" width="8" style="184" customWidth="1"/>
    <col min="11784" max="11784" width="11.77734375" style="184" customWidth="1"/>
    <col min="11785" max="11785" width="6.44140625" style="184" customWidth="1"/>
    <col min="11786" max="11786" width="7.21875" style="184" customWidth="1"/>
    <col min="11787" max="11787" width="8.44140625" style="184" customWidth="1"/>
    <col min="11788" max="11788" width="8.33203125" style="184" customWidth="1"/>
    <col min="11789" max="11789" width="8.88671875" style="184" customWidth="1"/>
    <col min="11790" max="11791" width="8.33203125" style="184" customWidth="1"/>
    <col min="11792" max="11792" width="8.44140625" style="184" customWidth="1"/>
    <col min="11793" max="11793" width="8.6640625" style="184" customWidth="1"/>
    <col min="11794" max="11794" width="8.21875" style="184" customWidth="1"/>
    <col min="11795" max="11795" width="9.109375" style="184" customWidth="1"/>
    <col min="11796" max="11796" width="9.21875" style="184" customWidth="1"/>
    <col min="11797" max="11797" width="7.44140625" style="184" customWidth="1"/>
    <col min="11798" max="11798" width="12" style="184" bestFit="1" customWidth="1"/>
    <col min="11799" max="11799" width="8.6640625" style="184" customWidth="1"/>
    <col min="11800" max="11801" width="8" style="184" customWidth="1"/>
    <col min="11802" max="11802" width="9.44140625" style="184" customWidth="1"/>
    <col min="11803" max="11803" width="10.88671875" style="184" customWidth="1"/>
    <col min="11804" max="11804" width="10.21875" style="184" customWidth="1"/>
    <col min="11805" max="11805" width="10" style="184" customWidth="1"/>
    <col min="11806" max="11806" width="11.109375" style="184" customWidth="1"/>
    <col min="11807" max="11807" width="9.77734375" style="184" customWidth="1"/>
    <col min="11808" max="11809" width="10.109375" style="184" customWidth="1"/>
    <col min="11810" max="12038" width="6.77734375" style="184"/>
    <col min="12039" max="12039" width="8" style="184" customWidth="1"/>
    <col min="12040" max="12040" width="11.77734375" style="184" customWidth="1"/>
    <col min="12041" max="12041" width="6.44140625" style="184" customWidth="1"/>
    <col min="12042" max="12042" width="7.21875" style="184" customWidth="1"/>
    <col min="12043" max="12043" width="8.44140625" style="184" customWidth="1"/>
    <col min="12044" max="12044" width="8.33203125" style="184" customWidth="1"/>
    <col min="12045" max="12045" width="8.88671875" style="184" customWidth="1"/>
    <col min="12046" max="12047" width="8.33203125" style="184" customWidth="1"/>
    <col min="12048" max="12048" width="8.44140625" style="184" customWidth="1"/>
    <col min="12049" max="12049" width="8.6640625" style="184" customWidth="1"/>
    <col min="12050" max="12050" width="8.21875" style="184" customWidth="1"/>
    <col min="12051" max="12051" width="9.109375" style="184" customWidth="1"/>
    <col min="12052" max="12052" width="9.21875" style="184" customWidth="1"/>
    <col min="12053" max="12053" width="7.44140625" style="184" customWidth="1"/>
    <col min="12054" max="12054" width="12" style="184" bestFit="1" customWidth="1"/>
    <col min="12055" max="12055" width="8.6640625" style="184" customWidth="1"/>
    <col min="12056" max="12057" width="8" style="184" customWidth="1"/>
    <col min="12058" max="12058" width="9.44140625" style="184" customWidth="1"/>
    <col min="12059" max="12059" width="10.88671875" style="184" customWidth="1"/>
    <col min="12060" max="12060" width="10.21875" style="184" customWidth="1"/>
    <col min="12061" max="12061" width="10" style="184" customWidth="1"/>
    <col min="12062" max="12062" width="11.109375" style="184" customWidth="1"/>
    <col min="12063" max="12063" width="9.77734375" style="184" customWidth="1"/>
    <col min="12064" max="12065" width="10.109375" style="184" customWidth="1"/>
    <col min="12066" max="12294" width="6.77734375" style="184"/>
    <col min="12295" max="12295" width="8" style="184" customWidth="1"/>
    <col min="12296" max="12296" width="11.77734375" style="184" customWidth="1"/>
    <col min="12297" max="12297" width="6.44140625" style="184" customWidth="1"/>
    <col min="12298" max="12298" width="7.21875" style="184" customWidth="1"/>
    <col min="12299" max="12299" width="8.44140625" style="184" customWidth="1"/>
    <col min="12300" max="12300" width="8.33203125" style="184" customWidth="1"/>
    <col min="12301" max="12301" width="8.88671875" style="184" customWidth="1"/>
    <col min="12302" max="12303" width="8.33203125" style="184" customWidth="1"/>
    <col min="12304" max="12304" width="8.44140625" style="184" customWidth="1"/>
    <col min="12305" max="12305" width="8.6640625" style="184" customWidth="1"/>
    <col min="12306" max="12306" width="8.21875" style="184" customWidth="1"/>
    <col min="12307" max="12307" width="9.109375" style="184" customWidth="1"/>
    <col min="12308" max="12308" width="9.21875" style="184" customWidth="1"/>
    <col min="12309" max="12309" width="7.44140625" style="184" customWidth="1"/>
    <col min="12310" max="12310" width="12" style="184" bestFit="1" customWidth="1"/>
    <col min="12311" max="12311" width="8.6640625" style="184" customWidth="1"/>
    <col min="12312" max="12313" width="8" style="184" customWidth="1"/>
    <col min="12314" max="12314" width="9.44140625" style="184" customWidth="1"/>
    <col min="12315" max="12315" width="10.88671875" style="184" customWidth="1"/>
    <col min="12316" max="12316" width="10.21875" style="184" customWidth="1"/>
    <col min="12317" max="12317" width="10" style="184" customWidth="1"/>
    <col min="12318" max="12318" width="11.109375" style="184" customWidth="1"/>
    <col min="12319" max="12319" width="9.77734375" style="184" customWidth="1"/>
    <col min="12320" max="12321" width="10.109375" style="184" customWidth="1"/>
    <col min="12322" max="12550" width="6.77734375" style="184"/>
    <col min="12551" max="12551" width="8" style="184" customWidth="1"/>
    <col min="12552" max="12552" width="11.77734375" style="184" customWidth="1"/>
    <col min="12553" max="12553" width="6.44140625" style="184" customWidth="1"/>
    <col min="12554" max="12554" width="7.21875" style="184" customWidth="1"/>
    <col min="12555" max="12555" width="8.44140625" style="184" customWidth="1"/>
    <col min="12556" max="12556" width="8.33203125" style="184" customWidth="1"/>
    <col min="12557" max="12557" width="8.88671875" style="184" customWidth="1"/>
    <col min="12558" max="12559" width="8.33203125" style="184" customWidth="1"/>
    <col min="12560" max="12560" width="8.44140625" style="184" customWidth="1"/>
    <col min="12561" max="12561" width="8.6640625" style="184" customWidth="1"/>
    <col min="12562" max="12562" width="8.21875" style="184" customWidth="1"/>
    <col min="12563" max="12563" width="9.109375" style="184" customWidth="1"/>
    <col min="12564" max="12564" width="9.21875" style="184" customWidth="1"/>
    <col min="12565" max="12565" width="7.44140625" style="184" customWidth="1"/>
    <col min="12566" max="12566" width="12" style="184" bestFit="1" customWidth="1"/>
    <col min="12567" max="12567" width="8.6640625" style="184" customWidth="1"/>
    <col min="12568" max="12569" width="8" style="184" customWidth="1"/>
    <col min="12570" max="12570" width="9.44140625" style="184" customWidth="1"/>
    <col min="12571" max="12571" width="10.88671875" style="184" customWidth="1"/>
    <col min="12572" max="12572" width="10.21875" style="184" customWidth="1"/>
    <col min="12573" max="12573" width="10" style="184" customWidth="1"/>
    <col min="12574" max="12574" width="11.109375" style="184" customWidth="1"/>
    <col min="12575" max="12575" width="9.77734375" style="184" customWidth="1"/>
    <col min="12576" max="12577" width="10.109375" style="184" customWidth="1"/>
    <col min="12578" max="12806" width="6.77734375" style="184"/>
    <col min="12807" max="12807" width="8" style="184" customWidth="1"/>
    <col min="12808" max="12808" width="11.77734375" style="184" customWidth="1"/>
    <col min="12809" max="12809" width="6.44140625" style="184" customWidth="1"/>
    <col min="12810" max="12810" width="7.21875" style="184" customWidth="1"/>
    <col min="12811" max="12811" width="8.44140625" style="184" customWidth="1"/>
    <col min="12812" max="12812" width="8.33203125" style="184" customWidth="1"/>
    <col min="12813" max="12813" width="8.88671875" style="184" customWidth="1"/>
    <col min="12814" max="12815" width="8.33203125" style="184" customWidth="1"/>
    <col min="12816" max="12816" width="8.44140625" style="184" customWidth="1"/>
    <col min="12817" max="12817" width="8.6640625" style="184" customWidth="1"/>
    <col min="12818" max="12818" width="8.21875" style="184" customWidth="1"/>
    <col min="12819" max="12819" width="9.109375" style="184" customWidth="1"/>
    <col min="12820" max="12820" width="9.21875" style="184" customWidth="1"/>
    <col min="12821" max="12821" width="7.44140625" style="184" customWidth="1"/>
    <col min="12822" max="12822" width="12" style="184" bestFit="1" customWidth="1"/>
    <col min="12823" max="12823" width="8.6640625" style="184" customWidth="1"/>
    <col min="12824" max="12825" width="8" style="184" customWidth="1"/>
    <col min="12826" max="12826" width="9.44140625" style="184" customWidth="1"/>
    <col min="12827" max="12827" width="10.88671875" style="184" customWidth="1"/>
    <col min="12828" max="12828" width="10.21875" style="184" customWidth="1"/>
    <col min="12829" max="12829" width="10" style="184" customWidth="1"/>
    <col min="12830" max="12830" width="11.109375" style="184" customWidth="1"/>
    <col min="12831" max="12831" width="9.77734375" style="184" customWidth="1"/>
    <col min="12832" max="12833" width="10.109375" style="184" customWidth="1"/>
    <col min="12834" max="13062" width="6.77734375" style="184"/>
    <col min="13063" max="13063" width="8" style="184" customWidth="1"/>
    <col min="13064" max="13064" width="11.77734375" style="184" customWidth="1"/>
    <col min="13065" max="13065" width="6.44140625" style="184" customWidth="1"/>
    <col min="13066" max="13066" width="7.21875" style="184" customWidth="1"/>
    <col min="13067" max="13067" width="8.44140625" style="184" customWidth="1"/>
    <col min="13068" max="13068" width="8.33203125" style="184" customWidth="1"/>
    <col min="13069" max="13069" width="8.88671875" style="184" customWidth="1"/>
    <col min="13070" max="13071" width="8.33203125" style="184" customWidth="1"/>
    <col min="13072" max="13072" width="8.44140625" style="184" customWidth="1"/>
    <col min="13073" max="13073" width="8.6640625" style="184" customWidth="1"/>
    <col min="13074" max="13074" width="8.21875" style="184" customWidth="1"/>
    <col min="13075" max="13075" width="9.109375" style="184" customWidth="1"/>
    <col min="13076" max="13076" width="9.21875" style="184" customWidth="1"/>
    <col min="13077" max="13077" width="7.44140625" style="184" customWidth="1"/>
    <col min="13078" max="13078" width="12" style="184" bestFit="1" customWidth="1"/>
    <col min="13079" max="13079" width="8.6640625" style="184" customWidth="1"/>
    <col min="13080" max="13081" width="8" style="184" customWidth="1"/>
    <col min="13082" max="13082" width="9.44140625" style="184" customWidth="1"/>
    <col min="13083" max="13083" width="10.88671875" style="184" customWidth="1"/>
    <col min="13084" max="13084" width="10.21875" style="184" customWidth="1"/>
    <col min="13085" max="13085" width="10" style="184" customWidth="1"/>
    <col min="13086" max="13086" width="11.109375" style="184" customWidth="1"/>
    <col min="13087" max="13087" width="9.77734375" style="184" customWidth="1"/>
    <col min="13088" max="13089" width="10.109375" style="184" customWidth="1"/>
    <col min="13090" max="13318" width="6.77734375" style="184"/>
    <col min="13319" max="13319" width="8" style="184" customWidth="1"/>
    <col min="13320" max="13320" width="11.77734375" style="184" customWidth="1"/>
    <col min="13321" max="13321" width="6.44140625" style="184" customWidth="1"/>
    <col min="13322" max="13322" width="7.21875" style="184" customWidth="1"/>
    <col min="13323" max="13323" width="8.44140625" style="184" customWidth="1"/>
    <col min="13324" max="13324" width="8.33203125" style="184" customWidth="1"/>
    <col min="13325" max="13325" width="8.88671875" style="184" customWidth="1"/>
    <col min="13326" max="13327" width="8.33203125" style="184" customWidth="1"/>
    <col min="13328" max="13328" width="8.44140625" style="184" customWidth="1"/>
    <col min="13329" max="13329" width="8.6640625" style="184" customWidth="1"/>
    <col min="13330" max="13330" width="8.21875" style="184" customWidth="1"/>
    <col min="13331" max="13331" width="9.109375" style="184" customWidth="1"/>
    <col min="13332" max="13332" width="9.21875" style="184" customWidth="1"/>
    <col min="13333" max="13333" width="7.44140625" style="184" customWidth="1"/>
    <col min="13334" max="13334" width="12" style="184" bestFit="1" customWidth="1"/>
    <col min="13335" max="13335" width="8.6640625" style="184" customWidth="1"/>
    <col min="13336" max="13337" width="8" style="184" customWidth="1"/>
    <col min="13338" max="13338" width="9.44140625" style="184" customWidth="1"/>
    <col min="13339" max="13339" width="10.88671875" style="184" customWidth="1"/>
    <col min="13340" max="13340" width="10.21875" style="184" customWidth="1"/>
    <col min="13341" max="13341" width="10" style="184" customWidth="1"/>
    <col min="13342" max="13342" width="11.109375" style="184" customWidth="1"/>
    <col min="13343" max="13343" width="9.77734375" style="184" customWidth="1"/>
    <col min="13344" max="13345" width="10.109375" style="184" customWidth="1"/>
    <col min="13346" max="13574" width="6.77734375" style="184"/>
    <col min="13575" max="13575" width="8" style="184" customWidth="1"/>
    <col min="13576" max="13576" width="11.77734375" style="184" customWidth="1"/>
    <col min="13577" max="13577" width="6.44140625" style="184" customWidth="1"/>
    <col min="13578" max="13578" width="7.21875" style="184" customWidth="1"/>
    <col min="13579" max="13579" width="8.44140625" style="184" customWidth="1"/>
    <col min="13580" max="13580" width="8.33203125" style="184" customWidth="1"/>
    <col min="13581" max="13581" width="8.88671875" style="184" customWidth="1"/>
    <col min="13582" max="13583" width="8.33203125" style="184" customWidth="1"/>
    <col min="13584" max="13584" width="8.44140625" style="184" customWidth="1"/>
    <col min="13585" max="13585" width="8.6640625" style="184" customWidth="1"/>
    <col min="13586" max="13586" width="8.21875" style="184" customWidth="1"/>
    <col min="13587" max="13587" width="9.109375" style="184" customWidth="1"/>
    <col min="13588" max="13588" width="9.21875" style="184" customWidth="1"/>
    <col min="13589" max="13589" width="7.44140625" style="184" customWidth="1"/>
    <col min="13590" max="13590" width="12" style="184" bestFit="1" customWidth="1"/>
    <col min="13591" max="13591" width="8.6640625" style="184" customWidth="1"/>
    <col min="13592" max="13593" width="8" style="184" customWidth="1"/>
    <col min="13594" max="13594" width="9.44140625" style="184" customWidth="1"/>
    <col min="13595" max="13595" width="10.88671875" style="184" customWidth="1"/>
    <col min="13596" max="13596" width="10.21875" style="184" customWidth="1"/>
    <col min="13597" max="13597" width="10" style="184" customWidth="1"/>
    <col min="13598" max="13598" width="11.109375" style="184" customWidth="1"/>
    <col min="13599" max="13599" width="9.77734375" style="184" customWidth="1"/>
    <col min="13600" max="13601" width="10.109375" style="184" customWidth="1"/>
    <col min="13602" max="13830" width="6.77734375" style="184"/>
    <col min="13831" max="13831" width="8" style="184" customWidth="1"/>
    <col min="13832" max="13832" width="11.77734375" style="184" customWidth="1"/>
    <col min="13833" max="13833" width="6.44140625" style="184" customWidth="1"/>
    <col min="13834" max="13834" width="7.21875" style="184" customWidth="1"/>
    <col min="13835" max="13835" width="8.44140625" style="184" customWidth="1"/>
    <col min="13836" max="13836" width="8.33203125" style="184" customWidth="1"/>
    <col min="13837" max="13837" width="8.88671875" style="184" customWidth="1"/>
    <col min="13838" max="13839" width="8.33203125" style="184" customWidth="1"/>
    <col min="13840" max="13840" width="8.44140625" style="184" customWidth="1"/>
    <col min="13841" max="13841" width="8.6640625" style="184" customWidth="1"/>
    <col min="13842" max="13842" width="8.21875" style="184" customWidth="1"/>
    <col min="13843" max="13843" width="9.109375" style="184" customWidth="1"/>
    <col min="13844" max="13844" width="9.21875" style="184" customWidth="1"/>
    <col min="13845" max="13845" width="7.44140625" style="184" customWidth="1"/>
    <col min="13846" max="13846" width="12" style="184" bestFit="1" customWidth="1"/>
    <col min="13847" max="13847" width="8.6640625" style="184" customWidth="1"/>
    <col min="13848" max="13849" width="8" style="184" customWidth="1"/>
    <col min="13850" max="13850" width="9.44140625" style="184" customWidth="1"/>
    <col min="13851" max="13851" width="10.88671875" style="184" customWidth="1"/>
    <col min="13852" max="13852" width="10.21875" style="184" customWidth="1"/>
    <col min="13853" max="13853" width="10" style="184" customWidth="1"/>
    <col min="13854" max="13854" width="11.109375" style="184" customWidth="1"/>
    <col min="13855" max="13855" width="9.77734375" style="184" customWidth="1"/>
    <col min="13856" max="13857" width="10.109375" style="184" customWidth="1"/>
    <col min="13858" max="14086" width="6.77734375" style="184"/>
    <col min="14087" max="14087" width="8" style="184" customWidth="1"/>
    <col min="14088" max="14088" width="11.77734375" style="184" customWidth="1"/>
    <col min="14089" max="14089" width="6.44140625" style="184" customWidth="1"/>
    <col min="14090" max="14090" width="7.21875" style="184" customWidth="1"/>
    <col min="14091" max="14091" width="8.44140625" style="184" customWidth="1"/>
    <col min="14092" max="14092" width="8.33203125" style="184" customWidth="1"/>
    <col min="14093" max="14093" width="8.88671875" style="184" customWidth="1"/>
    <col min="14094" max="14095" width="8.33203125" style="184" customWidth="1"/>
    <col min="14096" max="14096" width="8.44140625" style="184" customWidth="1"/>
    <col min="14097" max="14097" width="8.6640625" style="184" customWidth="1"/>
    <col min="14098" max="14098" width="8.21875" style="184" customWidth="1"/>
    <col min="14099" max="14099" width="9.109375" style="184" customWidth="1"/>
    <col min="14100" max="14100" width="9.21875" style="184" customWidth="1"/>
    <col min="14101" max="14101" width="7.44140625" style="184" customWidth="1"/>
    <col min="14102" max="14102" width="12" style="184" bestFit="1" customWidth="1"/>
    <col min="14103" max="14103" width="8.6640625" style="184" customWidth="1"/>
    <col min="14104" max="14105" width="8" style="184" customWidth="1"/>
    <col min="14106" max="14106" width="9.44140625" style="184" customWidth="1"/>
    <col min="14107" max="14107" width="10.88671875" style="184" customWidth="1"/>
    <col min="14108" max="14108" width="10.21875" style="184" customWidth="1"/>
    <col min="14109" max="14109" width="10" style="184" customWidth="1"/>
    <col min="14110" max="14110" width="11.109375" style="184" customWidth="1"/>
    <col min="14111" max="14111" width="9.77734375" style="184" customWidth="1"/>
    <col min="14112" max="14113" width="10.109375" style="184" customWidth="1"/>
    <col min="14114" max="14342" width="6.77734375" style="184"/>
    <col min="14343" max="14343" width="8" style="184" customWidth="1"/>
    <col min="14344" max="14344" width="11.77734375" style="184" customWidth="1"/>
    <col min="14345" max="14345" width="6.44140625" style="184" customWidth="1"/>
    <col min="14346" max="14346" width="7.21875" style="184" customWidth="1"/>
    <col min="14347" max="14347" width="8.44140625" style="184" customWidth="1"/>
    <col min="14348" max="14348" width="8.33203125" style="184" customWidth="1"/>
    <col min="14349" max="14349" width="8.88671875" style="184" customWidth="1"/>
    <col min="14350" max="14351" width="8.33203125" style="184" customWidth="1"/>
    <col min="14352" max="14352" width="8.44140625" style="184" customWidth="1"/>
    <col min="14353" max="14353" width="8.6640625" style="184" customWidth="1"/>
    <col min="14354" max="14354" width="8.21875" style="184" customWidth="1"/>
    <col min="14355" max="14355" width="9.109375" style="184" customWidth="1"/>
    <col min="14356" max="14356" width="9.21875" style="184" customWidth="1"/>
    <col min="14357" max="14357" width="7.44140625" style="184" customWidth="1"/>
    <col min="14358" max="14358" width="12" style="184" bestFit="1" customWidth="1"/>
    <col min="14359" max="14359" width="8.6640625" style="184" customWidth="1"/>
    <col min="14360" max="14361" width="8" style="184" customWidth="1"/>
    <col min="14362" max="14362" width="9.44140625" style="184" customWidth="1"/>
    <col min="14363" max="14363" width="10.88671875" style="184" customWidth="1"/>
    <col min="14364" max="14364" width="10.21875" style="184" customWidth="1"/>
    <col min="14365" max="14365" width="10" style="184" customWidth="1"/>
    <col min="14366" max="14366" width="11.109375" style="184" customWidth="1"/>
    <col min="14367" max="14367" width="9.77734375" style="184" customWidth="1"/>
    <col min="14368" max="14369" width="10.109375" style="184" customWidth="1"/>
    <col min="14370" max="14598" width="6.77734375" style="184"/>
    <col min="14599" max="14599" width="8" style="184" customWidth="1"/>
    <col min="14600" max="14600" width="11.77734375" style="184" customWidth="1"/>
    <col min="14601" max="14601" width="6.44140625" style="184" customWidth="1"/>
    <col min="14602" max="14602" width="7.21875" style="184" customWidth="1"/>
    <col min="14603" max="14603" width="8.44140625" style="184" customWidth="1"/>
    <col min="14604" max="14604" width="8.33203125" style="184" customWidth="1"/>
    <col min="14605" max="14605" width="8.88671875" style="184" customWidth="1"/>
    <col min="14606" max="14607" width="8.33203125" style="184" customWidth="1"/>
    <col min="14608" max="14608" width="8.44140625" style="184" customWidth="1"/>
    <col min="14609" max="14609" width="8.6640625" style="184" customWidth="1"/>
    <col min="14610" max="14610" width="8.21875" style="184" customWidth="1"/>
    <col min="14611" max="14611" width="9.109375" style="184" customWidth="1"/>
    <col min="14612" max="14612" width="9.21875" style="184" customWidth="1"/>
    <col min="14613" max="14613" width="7.44140625" style="184" customWidth="1"/>
    <col min="14614" max="14614" width="12" style="184" bestFit="1" customWidth="1"/>
    <col min="14615" max="14615" width="8.6640625" style="184" customWidth="1"/>
    <col min="14616" max="14617" width="8" style="184" customWidth="1"/>
    <col min="14618" max="14618" width="9.44140625" style="184" customWidth="1"/>
    <col min="14619" max="14619" width="10.88671875" style="184" customWidth="1"/>
    <col min="14620" max="14620" width="10.21875" style="184" customWidth="1"/>
    <col min="14621" max="14621" width="10" style="184" customWidth="1"/>
    <col min="14622" max="14622" width="11.109375" style="184" customWidth="1"/>
    <col min="14623" max="14623" width="9.77734375" style="184" customWidth="1"/>
    <col min="14624" max="14625" width="10.109375" style="184" customWidth="1"/>
    <col min="14626" max="14854" width="6.77734375" style="184"/>
    <col min="14855" max="14855" width="8" style="184" customWidth="1"/>
    <col min="14856" max="14856" width="11.77734375" style="184" customWidth="1"/>
    <col min="14857" max="14857" width="6.44140625" style="184" customWidth="1"/>
    <col min="14858" max="14858" width="7.21875" style="184" customWidth="1"/>
    <col min="14859" max="14859" width="8.44140625" style="184" customWidth="1"/>
    <col min="14860" max="14860" width="8.33203125" style="184" customWidth="1"/>
    <col min="14861" max="14861" width="8.88671875" style="184" customWidth="1"/>
    <col min="14862" max="14863" width="8.33203125" style="184" customWidth="1"/>
    <col min="14864" max="14864" width="8.44140625" style="184" customWidth="1"/>
    <col min="14865" max="14865" width="8.6640625" style="184" customWidth="1"/>
    <col min="14866" max="14866" width="8.21875" style="184" customWidth="1"/>
    <col min="14867" max="14867" width="9.109375" style="184" customWidth="1"/>
    <col min="14868" max="14868" width="9.21875" style="184" customWidth="1"/>
    <col min="14869" max="14869" width="7.44140625" style="184" customWidth="1"/>
    <col min="14870" max="14870" width="12" style="184" bestFit="1" customWidth="1"/>
    <col min="14871" max="14871" width="8.6640625" style="184" customWidth="1"/>
    <col min="14872" max="14873" width="8" style="184" customWidth="1"/>
    <col min="14874" max="14874" width="9.44140625" style="184" customWidth="1"/>
    <col min="14875" max="14875" width="10.88671875" style="184" customWidth="1"/>
    <col min="14876" max="14876" width="10.21875" style="184" customWidth="1"/>
    <col min="14877" max="14877" width="10" style="184" customWidth="1"/>
    <col min="14878" max="14878" width="11.109375" style="184" customWidth="1"/>
    <col min="14879" max="14879" width="9.77734375" style="184" customWidth="1"/>
    <col min="14880" max="14881" width="10.109375" style="184" customWidth="1"/>
    <col min="14882" max="15110" width="6.77734375" style="184"/>
    <col min="15111" max="15111" width="8" style="184" customWidth="1"/>
    <col min="15112" max="15112" width="11.77734375" style="184" customWidth="1"/>
    <col min="15113" max="15113" width="6.44140625" style="184" customWidth="1"/>
    <col min="15114" max="15114" width="7.21875" style="184" customWidth="1"/>
    <col min="15115" max="15115" width="8.44140625" style="184" customWidth="1"/>
    <col min="15116" max="15116" width="8.33203125" style="184" customWidth="1"/>
    <col min="15117" max="15117" width="8.88671875" style="184" customWidth="1"/>
    <col min="15118" max="15119" width="8.33203125" style="184" customWidth="1"/>
    <col min="15120" max="15120" width="8.44140625" style="184" customWidth="1"/>
    <col min="15121" max="15121" width="8.6640625" style="184" customWidth="1"/>
    <col min="15122" max="15122" width="8.21875" style="184" customWidth="1"/>
    <col min="15123" max="15123" width="9.109375" style="184" customWidth="1"/>
    <col min="15124" max="15124" width="9.21875" style="184" customWidth="1"/>
    <col min="15125" max="15125" width="7.44140625" style="184" customWidth="1"/>
    <col min="15126" max="15126" width="12" style="184" bestFit="1" customWidth="1"/>
    <col min="15127" max="15127" width="8.6640625" style="184" customWidth="1"/>
    <col min="15128" max="15129" width="8" style="184" customWidth="1"/>
    <col min="15130" max="15130" width="9.44140625" style="184" customWidth="1"/>
    <col min="15131" max="15131" width="10.88671875" style="184" customWidth="1"/>
    <col min="15132" max="15132" width="10.21875" style="184" customWidth="1"/>
    <col min="15133" max="15133" width="10" style="184" customWidth="1"/>
    <col min="15134" max="15134" width="11.109375" style="184" customWidth="1"/>
    <col min="15135" max="15135" width="9.77734375" style="184" customWidth="1"/>
    <col min="15136" max="15137" width="10.109375" style="184" customWidth="1"/>
    <col min="15138" max="15366" width="6.77734375" style="184"/>
    <col min="15367" max="15367" width="8" style="184" customWidth="1"/>
    <col min="15368" max="15368" width="11.77734375" style="184" customWidth="1"/>
    <col min="15369" max="15369" width="6.44140625" style="184" customWidth="1"/>
    <col min="15370" max="15370" width="7.21875" style="184" customWidth="1"/>
    <col min="15371" max="15371" width="8.44140625" style="184" customWidth="1"/>
    <col min="15372" max="15372" width="8.33203125" style="184" customWidth="1"/>
    <col min="15373" max="15373" width="8.88671875" style="184" customWidth="1"/>
    <col min="15374" max="15375" width="8.33203125" style="184" customWidth="1"/>
    <col min="15376" max="15376" width="8.44140625" style="184" customWidth="1"/>
    <col min="15377" max="15377" width="8.6640625" style="184" customWidth="1"/>
    <col min="15378" max="15378" width="8.21875" style="184" customWidth="1"/>
    <col min="15379" max="15379" width="9.109375" style="184" customWidth="1"/>
    <col min="15380" max="15380" width="9.21875" style="184" customWidth="1"/>
    <col min="15381" max="15381" width="7.44140625" style="184" customWidth="1"/>
    <col min="15382" max="15382" width="12" style="184" bestFit="1" customWidth="1"/>
    <col min="15383" max="15383" width="8.6640625" style="184" customWidth="1"/>
    <col min="15384" max="15385" width="8" style="184" customWidth="1"/>
    <col min="15386" max="15386" width="9.44140625" style="184" customWidth="1"/>
    <col min="15387" max="15387" width="10.88671875" style="184" customWidth="1"/>
    <col min="15388" max="15388" width="10.21875" style="184" customWidth="1"/>
    <col min="15389" max="15389" width="10" style="184" customWidth="1"/>
    <col min="15390" max="15390" width="11.109375" style="184" customWidth="1"/>
    <col min="15391" max="15391" width="9.77734375" style="184" customWidth="1"/>
    <col min="15392" max="15393" width="10.109375" style="184" customWidth="1"/>
    <col min="15394" max="15622" width="6.77734375" style="184"/>
    <col min="15623" max="15623" width="8" style="184" customWidth="1"/>
    <col min="15624" max="15624" width="11.77734375" style="184" customWidth="1"/>
    <col min="15625" max="15625" width="6.44140625" style="184" customWidth="1"/>
    <col min="15626" max="15626" width="7.21875" style="184" customWidth="1"/>
    <col min="15627" max="15627" width="8.44140625" style="184" customWidth="1"/>
    <col min="15628" max="15628" width="8.33203125" style="184" customWidth="1"/>
    <col min="15629" max="15629" width="8.88671875" style="184" customWidth="1"/>
    <col min="15630" max="15631" width="8.33203125" style="184" customWidth="1"/>
    <col min="15632" max="15632" width="8.44140625" style="184" customWidth="1"/>
    <col min="15633" max="15633" width="8.6640625" style="184" customWidth="1"/>
    <col min="15634" max="15634" width="8.21875" style="184" customWidth="1"/>
    <col min="15635" max="15635" width="9.109375" style="184" customWidth="1"/>
    <col min="15636" max="15636" width="9.21875" style="184" customWidth="1"/>
    <col min="15637" max="15637" width="7.44140625" style="184" customWidth="1"/>
    <col min="15638" max="15638" width="12" style="184" bestFit="1" customWidth="1"/>
    <col min="15639" max="15639" width="8.6640625" style="184" customWidth="1"/>
    <col min="15640" max="15641" width="8" style="184" customWidth="1"/>
    <col min="15642" max="15642" width="9.44140625" style="184" customWidth="1"/>
    <col min="15643" max="15643" width="10.88671875" style="184" customWidth="1"/>
    <col min="15644" max="15644" width="10.21875" style="184" customWidth="1"/>
    <col min="15645" max="15645" width="10" style="184" customWidth="1"/>
    <col min="15646" max="15646" width="11.109375" style="184" customWidth="1"/>
    <col min="15647" max="15647" width="9.77734375" style="184" customWidth="1"/>
    <col min="15648" max="15649" width="10.109375" style="184" customWidth="1"/>
    <col min="15650" max="15878" width="6.77734375" style="184"/>
    <col min="15879" max="15879" width="8" style="184" customWidth="1"/>
    <col min="15880" max="15880" width="11.77734375" style="184" customWidth="1"/>
    <col min="15881" max="15881" width="6.44140625" style="184" customWidth="1"/>
    <col min="15882" max="15882" width="7.21875" style="184" customWidth="1"/>
    <col min="15883" max="15883" width="8.44140625" style="184" customWidth="1"/>
    <col min="15884" max="15884" width="8.33203125" style="184" customWidth="1"/>
    <col min="15885" max="15885" width="8.88671875" style="184" customWidth="1"/>
    <col min="15886" max="15887" width="8.33203125" style="184" customWidth="1"/>
    <col min="15888" max="15888" width="8.44140625" style="184" customWidth="1"/>
    <col min="15889" max="15889" width="8.6640625" style="184" customWidth="1"/>
    <col min="15890" max="15890" width="8.21875" style="184" customWidth="1"/>
    <col min="15891" max="15891" width="9.109375" style="184" customWidth="1"/>
    <col min="15892" max="15892" width="9.21875" style="184" customWidth="1"/>
    <col min="15893" max="15893" width="7.44140625" style="184" customWidth="1"/>
    <col min="15894" max="15894" width="12" style="184" bestFit="1" customWidth="1"/>
    <col min="15895" max="15895" width="8.6640625" style="184" customWidth="1"/>
    <col min="15896" max="15897" width="8" style="184" customWidth="1"/>
    <col min="15898" max="15898" width="9.44140625" style="184" customWidth="1"/>
    <col min="15899" max="15899" width="10.88671875" style="184" customWidth="1"/>
    <col min="15900" max="15900" width="10.21875" style="184" customWidth="1"/>
    <col min="15901" max="15901" width="10" style="184" customWidth="1"/>
    <col min="15902" max="15902" width="11.109375" style="184" customWidth="1"/>
    <col min="15903" max="15903" width="9.77734375" style="184" customWidth="1"/>
    <col min="15904" max="15905" width="10.109375" style="184" customWidth="1"/>
    <col min="15906" max="16134" width="6.77734375" style="184"/>
    <col min="16135" max="16135" width="8" style="184" customWidth="1"/>
    <col min="16136" max="16136" width="11.77734375" style="184" customWidth="1"/>
    <col min="16137" max="16137" width="6.44140625" style="184" customWidth="1"/>
    <col min="16138" max="16138" width="7.21875" style="184" customWidth="1"/>
    <col min="16139" max="16139" width="8.44140625" style="184" customWidth="1"/>
    <col min="16140" max="16140" width="8.33203125" style="184" customWidth="1"/>
    <col min="16141" max="16141" width="8.88671875" style="184" customWidth="1"/>
    <col min="16142" max="16143" width="8.33203125" style="184" customWidth="1"/>
    <col min="16144" max="16144" width="8.44140625" style="184" customWidth="1"/>
    <col min="16145" max="16145" width="8.6640625" style="184" customWidth="1"/>
    <col min="16146" max="16146" width="8.21875" style="184" customWidth="1"/>
    <col min="16147" max="16147" width="9.109375" style="184" customWidth="1"/>
    <col min="16148" max="16148" width="9.21875" style="184" customWidth="1"/>
    <col min="16149" max="16149" width="7.44140625" style="184" customWidth="1"/>
    <col min="16150" max="16150" width="12" style="184" bestFit="1" customWidth="1"/>
    <col min="16151" max="16151" width="8.6640625" style="184" customWidth="1"/>
    <col min="16152" max="16153" width="8" style="184" customWidth="1"/>
    <col min="16154" max="16154" width="9.44140625" style="184" customWidth="1"/>
    <col min="16155" max="16155" width="10.88671875" style="184" customWidth="1"/>
    <col min="16156" max="16156" width="10.21875" style="184" customWidth="1"/>
    <col min="16157" max="16157" width="10" style="184" customWidth="1"/>
    <col min="16158" max="16158" width="11.109375" style="184" customWidth="1"/>
    <col min="16159" max="16159" width="9.77734375" style="184" customWidth="1"/>
    <col min="16160" max="16161" width="10.109375" style="184" customWidth="1"/>
    <col min="16162" max="16384" width="6.77734375" style="184"/>
  </cols>
  <sheetData>
    <row r="1" spans="1:36" ht="26.25" customHeight="1">
      <c r="A1" s="1"/>
      <c r="B1" s="1095" t="s">
        <v>2088</v>
      </c>
      <c r="C1" s="1096"/>
      <c r="D1" s="1096"/>
      <c r="E1" s="1096"/>
      <c r="F1" s="1096"/>
      <c r="G1" s="1096"/>
      <c r="H1" s="1096"/>
      <c r="I1" s="1096"/>
      <c r="J1" s="1096"/>
      <c r="K1" s="1096"/>
      <c r="L1" s="1096"/>
      <c r="M1" s="1096"/>
      <c r="N1" s="1096"/>
      <c r="O1" s="1097"/>
      <c r="P1" s="454"/>
    </row>
    <row r="2" spans="1:36" ht="18" customHeight="1">
      <c r="A2" s="1"/>
      <c r="B2" s="1098" t="str">
        <f>IF(Menu!$C$7="V","","LOADS AND ACTIONS ")</f>
        <v/>
      </c>
      <c r="C2" s="1099"/>
      <c r="D2" s="1099"/>
      <c r="E2" s="1099"/>
      <c r="F2" s="1099"/>
      <c r="G2" s="1099"/>
      <c r="H2" s="1099"/>
      <c r="I2" s="1099"/>
      <c r="J2" s="1099"/>
      <c r="K2" s="1099"/>
      <c r="L2" s="1099"/>
      <c r="M2" s="1099"/>
      <c r="N2" s="1099"/>
      <c r="O2" s="1100"/>
      <c r="P2" s="454"/>
      <c r="R2" s="460" t="s">
        <v>2066</v>
      </c>
    </row>
    <row r="3" spans="1:36" ht="20.25" customHeight="1">
      <c r="A3" s="1"/>
      <c r="B3" s="1183" t="str">
        <f>IF(Menu!$C$7="V"," Tải trọng động đất","Tải trọng động đất/Earthquake load ")</f>
        <v xml:space="preserve"> Tải trọng động đất</v>
      </c>
      <c r="C3" s="1184"/>
      <c r="D3" s="1184"/>
      <c r="E3" s="1184"/>
      <c r="F3" s="1184"/>
      <c r="G3" s="1184"/>
      <c r="H3" s="1184"/>
      <c r="I3" s="1184"/>
      <c r="J3" s="1184"/>
      <c r="K3" s="1184"/>
      <c r="L3" s="1184"/>
      <c r="M3" s="1184"/>
      <c r="N3" s="1184"/>
      <c r="O3" s="1185"/>
      <c r="P3" s="454"/>
    </row>
    <row r="4" spans="1:36" ht="20.100000000000001" customHeight="1">
      <c r="A4" s="1"/>
      <c r="B4" s="1104" t="str">
        <f>IF(Menu!C7="V","  Tiêu chuẩn áp dụng:",IF(Menu!C7="E", "   Standad in used:"," Tiêu chuẩn áp dụng/ Standard in used: "))</f>
        <v xml:space="preserve">  Tiêu chuẩn áp dụng:</v>
      </c>
      <c r="C4" s="1104"/>
      <c r="D4" s="1104"/>
      <c r="E4" s="1104"/>
      <c r="F4" s="1104"/>
      <c r="G4" s="1104" t="str">
        <f>Menu!B12</f>
        <v>TCVN  9386: 2012</v>
      </c>
      <c r="H4" s="1104"/>
      <c r="I4" s="1104"/>
      <c r="J4" s="1104"/>
      <c r="K4" s="1104"/>
      <c r="L4" s="1104"/>
      <c r="M4" s="1104"/>
      <c r="N4" s="1104"/>
      <c r="O4" s="1104"/>
      <c r="P4" s="454"/>
    </row>
    <row r="5" spans="1:36" ht="20.100000000000001" customHeight="1">
      <c r="A5" s="1"/>
      <c r="B5" s="611"/>
      <c r="C5" s="611"/>
      <c r="D5" s="611"/>
      <c r="E5" s="611"/>
      <c r="F5" s="611"/>
      <c r="G5" s="611"/>
      <c r="H5" s="611"/>
      <c r="I5" s="611"/>
      <c r="J5" s="611"/>
      <c r="K5" s="611"/>
      <c r="L5" s="611"/>
      <c r="M5" s="611"/>
      <c r="N5" s="611"/>
      <c r="O5" s="611"/>
      <c r="P5" s="454"/>
    </row>
    <row r="6" spans="1:36" ht="20.100000000000001" customHeight="1">
      <c r="A6" s="455"/>
      <c r="B6" s="723" t="s">
        <v>1788</v>
      </c>
      <c r="C6" s="725" t="str">
        <f>IF(Menu!$C$7="V","Tải trọng động đất","Tải trọng động đất / Earthquake load")</f>
        <v>Tải trọng động đất</v>
      </c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245"/>
    </row>
    <row r="7" spans="1:36" ht="20.100000000000001" customHeight="1">
      <c r="A7" s="455"/>
      <c r="B7" s="724" t="s">
        <v>1789</v>
      </c>
      <c r="C7" s="724" t="str">
        <f>IF(Menu!$C$7="V","Công thức tính toán"," Công thức tính toán/ Calculating expressions")</f>
        <v>Công thức tính toán</v>
      </c>
      <c r="D7" s="310"/>
      <c r="E7" s="310"/>
      <c r="F7" s="310"/>
      <c r="G7" s="310"/>
      <c r="H7" s="310"/>
      <c r="I7" s="310"/>
      <c r="J7" s="310"/>
      <c r="K7" s="425"/>
      <c r="L7" s="425"/>
      <c r="M7" s="426"/>
      <c r="N7" s="426"/>
      <c r="O7" s="426"/>
      <c r="P7" s="453"/>
      <c r="Q7" s="453"/>
      <c r="R7" s="449"/>
    </row>
    <row r="8" spans="1:36" ht="16.5" customHeight="1">
      <c r="A8" s="455"/>
      <c r="B8" s="1213" t="s">
        <v>1975</v>
      </c>
      <c r="C8" s="1214"/>
      <c r="D8" s="1214"/>
      <c r="E8" s="1214"/>
      <c r="F8" s="1214"/>
      <c r="G8" s="1214"/>
      <c r="H8" s="1214"/>
      <c r="I8" s="1214"/>
      <c r="J8" s="1214"/>
      <c r="K8" s="1214"/>
      <c r="L8" s="1214"/>
      <c r="M8" s="1215"/>
      <c r="N8" s="1212" t="s">
        <v>1790</v>
      </c>
      <c r="O8" s="1212"/>
      <c r="P8" s="245"/>
      <c r="Q8" s="245"/>
      <c r="R8" s="245"/>
      <c r="T8" s="296" t="s">
        <v>2067</v>
      </c>
    </row>
    <row r="9" spans="1:36" ht="16.5" customHeight="1">
      <c r="A9" s="455"/>
      <c r="B9" s="824" t="str">
        <f>IF(Menu!$C$7="V",""," For the horizontal components of the seismic action, the design spectrum, Sd (T), is defined by the following expressions:")</f>
        <v/>
      </c>
      <c r="C9" s="751"/>
      <c r="D9" s="751"/>
      <c r="E9" s="751"/>
      <c r="F9" s="751"/>
      <c r="G9" s="751"/>
      <c r="H9" s="751"/>
      <c r="I9" s="751"/>
      <c r="J9" s="751"/>
      <c r="K9" s="751"/>
      <c r="L9" s="751"/>
      <c r="M9" s="825"/>
      <c r="N9" s="1226" t="str">
        <f>IF(Menu!$C$7="V","","Design spectrum")</f>
        <v/>
      </c>
      <c r="O9" s="1227"/>
      <c r="P9" s="450"/>
      <c r="Q9" s="450"/>
      <c r="R9" s="450"/>
      <c r="W9" s="300"/>
      <c r="X9" s="300"/>
      <c r="Z9" s="1211" t="s">
        <v>1791</v>
      </c>
      <c r="AA9" s="1211"/>
      <c r="AB9" s="1211"/>
      <c r="AC9" s="1211"/>
      <c r="AD9" s="427"/>
      <c r="AF9" s="1208" t="s">
        <v>1792</v>
      </c>
      <c r="AG9" s="1209"/>
      <c r="AH9" s="1209"/>
      <c r="AI9" s="1209"/>
      <c r="AJ9" s="1210"/>
    </row>
    <row r="10" spans="1:36" ht="16.5" customHeight="1">
      <c r="A10" s="243"/>
      <c r="B10" s="727"/>
      <c r="C10" s="815"/>
      <c r="D10" s="779"/>
      <c r="E10" s="779"/>
      <c r="F10" s="816"/>
      <c r="G10" s="727" t="str">
        <f>IF(Menu!$C$7="V","","Trong đó/ There in :")</f>
        <v/>
      </c>
      <c r="H10" s="736"/>
      <c r="I10" s="736"/>
      <c r="J10" s="736"/>
      <c r="K10" s="736"/>
      <c r="L10" s="736"/>
      <c r="M10" s="728"/>
      <c r="N10" s="732" t="s">
        <v>1635</v>
      </c>
      <c r="O10" s="732" t="s">
        <v>1977</v>
      </c>
      <c r="P10" s="400"/>
      <c r="Q10" s="400"/>
      <c r="R10" s="732" t="s">
        <v>1995</v>
      </c>
      <c r="T10" s="301"/>
      <c r="U10" s="301"/>
      <c r="W10" s="300"/>
      <c r="X10" s="300"/>
      <c r="Z10" s="428" t="s">
        <v>901</v>
      </c>
      <c r="AA10" s="428" t="s">
        <v>902</v>
      </c>
      <c r="AB10" s="428" t="s">
        <v>894</v>
      </c>
      <c r="AC10" s="428" t="s">
        <v>903</v>
      </c>
      <c r="AD10" s="429" t="s">
        <v>1652</v>
      </c>
      <c r="AF10" s="428" t="s">
        <v>1647</v>
      </c>
      <c r="AG10" s="428" t="s">
        <v>1648</v>
      </c>
      <c r="AH10" s="428" t="s">
        <v>1649</v>
      </c>
      <c r="AI10" s="428" t="s">
        <v>1650</v>
      </c>
      <c r="AJ10" s="428" t="s">
        <v>1651</v>
      </c>
    </row>
    <row r="11" spans="1:36" ht="16.5" customHeight="1">
      <c r="A11" s="243"/>
      <c r="B11" s="731" t="s">
        <v>1976</v>
      </c>
      <c r="C11" s="753" t="s">
        <v>1653</v>
      </c>
      <c r="D11" s="754"/>
      <c r="E11" s="754"/>
      <c r="F11" s="755" t="s">
        <v>1787</v>
      </c>
      <c r="G11" s="730" t="s">
        <v>1978</v>
      </c>
      <c r="H11" s="737" t="s">
        <v>1588</v>
      </c>
      <c r="I11" s="737"/>
      <c r="J11" s="737"/>
      <c r="K11" s="737"/>
      <c r="L11" s="737"/>
      <c r="M11" s="738"/>
      <c r="N11" s="733">
        <v>0</v>
      </c>
      <c r="O11" s="734">
        <f t="shared" ref="O11:O42" si="0">MAX(VALUE(Z11&amp;AA11&amp;AB11&amp;AC11&amp;AD11),$M$44*$H$48)</f>
        <v>0.2798793</v>
      </c>
      <c r="P11" s="332"/>
      <c r="Q11" s="332"/>
      <c r="R11" s="735">
        <f t="shared" ref="R11:R42" si="1">VALUE(Z11&amp;AA11&amp;AB11&amp;AC11&amp;AD11)</f>
        <v>0.2798793</v>
      </c>
      <c r="T11" s="430"/>
      <c r="W11" s="431"/>
      <c r="X11" s="300"/>
      <c r="Y11" s="432">
        <f t="shared" ref="Y11:Y42" si="2">N11</f>
        <v>0</v>
      </c>
      <c r="Z11" s="433">
        <f t="shared" ref="Z11:Z49" si="3">IF(N11&lt;$E$33,$H$48*$D$33*(2/3+N11/$E$33*(2.5/$M$49-2/3)),"")</f>
        <v>0.2798793</v>
      </c>
      <c r="AA11" s="302" t="str">
        <f t="shared" ref="AA11:AA49" si="4">IF(N11&lt;$E$33,"",IF(N11&gt;$F$33,"",$H$48*$D$33*2.5/$M$49))</f>
        <v/>
      </c>
      <c r="AB11" s="302" t="str">
        <f t="shared" ref="AB11:AB42" si="5">IF(N11&lt;=$F$33,"",IF(N11&gt;$G$33,"",$H$48*$D$33*2.5*$F$33/($M$49*N11)))</f>
        <v/>
      </c>
      <c r="AC11" s="302" t="str">
        <f t="shared" ref="AC11:AC42" si="6">IF(N11&lt;=$G$33,"",IF(N11&gt;$H$33,"",$H$48*$D$33*2.5*$F$33*$G$33/($M$49*N11^2)))</f>
        <v/>
      </c>
      <c r="AD11" s="302"/>
      <c r="AF11" s="322">
        <f t="shared" ref="AF11:AF42" si="7">IF(N11&lt;$E$33,Z11*(N11/2/3.14)^2,"")</f>
        <v>0</v>
      </c>
      <c r="AG11" s="322" t="str">
        <f t="shared" ref="AG11:AG42" si="8">IF(N11&lt;$E$33,"",IF(N11&gt;$F$33,"",AA11*(N11/2/3.14)^2))</f>
        <v/>
      </c>
      <c r="AH11" s="322" t="str">
        <f t="shared" ref="AH11:AH42" si="9">IF(N11&lt;=$F$33,"",IF(N11&gt;$G$33,"",AB11*(N11/2/3.14)^2))</f>
        <v/>
      </c>
      <c r="AI11" s="322" t="str">
        <f t="shared" ref="AI11:AI42" si="10">IF(N11&lt;=$G$33,"",IF(N11&gt;$H$33,"",AC11*(N11/2/3.14)^2))</f>
        <v/>
      </c>
      <c r="AJ11" s="434" t="str">
        <f t="shared" ref="AJ11:AJ42" si="11">IF(N11&lt;=$H$33,"",MAX(0.025*$H$48*$D$33*$F$33*$G$33*(2.5+($N11-$H$33)/($I$33-$H$33)*(1-2.5))/$M$49,0.025*$H$48*$D$33*$F$33*$G$33/$M$49))</f>
        <v/>
      </c>
    </row>
    <row r="12" spans="1:36" ht="16.5" customHeight="1">
      <c r="A12" s="243"/>
      <c r="B12" s="756"/>
      <c r="C12" s="753"/>
      <c r="D12" s="754"/>
      <c r="E12" s="754"/>
      <c r="F12" s="757"/>
      <c r="G12" s="730"/>
      <c r="H12" s="739" t="str">
        <f>IF(Menu!$C$7="V","","Unitless design horizontal spectrum")</f>
        <v/>
      </c>
      <c r="I12" s="739"/>
      <c r="J12" s="737"/>
      <c r="K12" s="737"/>
      <c r="L12" s="737"/>
      <c r="M12" s="738"/>
      <c r="N12" s="733">
        <v>0.05</v>
      </c>
      <c r="O12" s="734">
        <f t="shared" si="0"/>
        <v>0.3848340375</v>
      </c>
      <c r="P12" s="332"/>
      <c r="Q12" s="332"/>
      <c r="R12" s="735">
        <f t="shared" si="1"/>
        <v>0.3848340375</v>
      </c>
      <c r="T12" s="301"/>
      <c r="W12" s="431"/>
      <c r="X12" s="300"/>
      <c r="Y12" s="432">
        <f t="shared" si="2"/>
        <v>0.05</v>
      </c>
      <c r="Z12" s="433">
        <f t="shared" si="3"/>
        <v>0.3848340375</v>
      </c>
      <c r="AA12" s="302" t="str">
        <f t="shared" si="4"/>
        <v/>
      </c>
      <c r="AB12" s="302" t="str">
        <f t="shared" si="5"/>
        <v/>
      </c>
      <c r="AC12" s="302" t="str">
        <f t="shared" si="6"/>
        <v/>
      </c>
      <c r="AD12" s="302"/>
      <c r="AF12" s="322">
        <f t="shared" si="7"/>
        <v>2.4394627919743196E-5</v>
      </c>
      <c r="AG12" s="322" t="str">
        <f t="shared" si="8"/>
        <v/>
      </c>
      <c r="AH12" s="322" t="str">
        <f t="shared" si="9"/>
        <v/>
      </c>
      <c r="AI12" s="322" t="str">
        <f t="shared" si="10"/>
        <v/>
      </c>
      <c r="AJ12" s="434" t="str">
        <f t="shared" si="11"/>
        <v/>
      </c>
    </row>
    <row r="13" spans="1:36" ht="16.5" customHeight="1">
      <c r="A13" s="243"/>
      <c r="B13" s="756"/>
      <c r="C13" s="758"/>
      <c r="D13" s="754"/>
      <c r="E13" s="754"/>
      <c r="F13" s="759"/>
      <c r="G13" s="730" t="s">
        <v>1979</v>
      </c>
      <c r="H13" s="737" t="s">
        <v>1997</v>
      </c>
      <c r="I13" s="737"/>
      <c r="J13" s="737"/>
      <c r="K13" s="737"/>
      <c r="L13" s="737"/>
      <c r="M13" s="738"/>
      <c r="N13" s="733">
        <v>0.1</v>
      </c>
      <c r="O13" s="734">
        <f t="shared" si="0"/>
        <v>0.48978877500000001</v>
      </c>
      <c r="P13" s="332"/>
      <c r="Q13" s="332"/>
      <c r="R13" s="735">
        <f t="shared" si="1"/>
        <v>0.48978877500000001</v>
      </c>
      <c r="T13" s="301"/>
      <c r="W13" s="431"/>
      <c r="X13" s="300"/>
      <c r="Y13" s="432">
        <f t="shared" si="2"/>
        <v>0.1</v>
      </c>
      <c r="Z13" s="433">
        <f t="shared" si="3"/>
        <v>0.48978877499999995</v>
      </c>
      <c r="AA13" s="302" t="str">
        <f t="shared" si="4"/>
        <v/>
      </c>
      <c r="AB13" s="302" t="str">
        <f t="shared" si="5"/>
        <v/>
      </c>
      <c r="AC13" s="302" t="str">
        <f t="shared" si="6"/>
        <v/>
      </c>
      <c r="AD13" s="302"/>
      <c r="AF13" s="322">
        <f t="shared" si="7"/>
        <v>1.2419083304596534E-4</v>
      </c>
      <c r="AG13" s="322" t="str">
        <f t="shared" si="8"/>
        <v/>
      </c>
      <c r="AH13" s="322" t="str">
        <f t="shared" si="9"/>
        <v/>
      </c>
      <c r="AI13" s="322" t="str">
        <f t="shared" si="10"/>
        <v/>
      </c>
      <c r="AJ13" s="434" t="str">
        <f t="shared" si="11"/>
        <v/>
      </c>
    </row>
    <row r="14" spans="1:36" ht="16.5" customHeight="1">
      <c r="A14" s="243"/>
      <c r="B14" s="731" t="s">
        <v>1982</v>
      </c>
      <c r="C14" s="753" t="s">
        <v>1653</v>
      </c>
      <c r="D14" s="754"/>
      <c r="E14" s="754"/>
      <c r="F14" s="757" t="s">
        <v>1793</v>
      </c>
      <c r="G14" s="730"/>
      <c r="H14" s="817" t="str">
        <f>IF(Menu!$C$7="V","","Upper limit of the period of the constant spectral acceleration branch")</f>
        <v/>
      </c>
      <c r="I14" s="737"/>
      <c r="J14" s="737"/>
      <c r="K14" s="737"/>
      <c r="L14" s="737"/>
      <c r="M14" s="738"/>
      <c r="N14" s="733">
        <v>0.15</v>
      </c>
      <c r="O14" s="734">
        <f t="shared" si="0"/>
        <v>0.59474351250000002</v>
      </c>
      <c r="P14" s="332"/>
      <c r="Q14" s="332"/>
      <c r="R14" s="735">
        <f t="shared" si="1"/>
        <v>0.59474351250000002</v>
      </c>
      <c r="T14" s="301"/>
      <c r="W14" s="431"/>
      <c r="X14" s="300"/>
      <c r="Y14" s="432">
        <f t="shared" si="2"/>
        <v>0.15</v>
      </c>
      <c r="Z14" s="433">
        <f t="shared" si="3"/>
        <v>0.59474351250000002</v>
      </c>
      <c r="AA14" s="302" t="str">
        <f t="shared" si="4"/>
        <v/>
      </c>
      <c r="AB14" s="302" t="str">
        <f t="shared" si="5"/>
        <v/>
      </c>
      <c r="AC14" s="302" t="str">
        <f t="shared" si="6"/>
        <v/>
      </c>
      <c r="AD14" s="302"/>
      <c r="AF14" s="322">
        <f t="shared" si="7"/>
        <v>3.3930709742915525E-4</v>
      </c>
      <c r="AG14" s="322" t="str">
        <f t="shared" si="8"/>
        <v/>
      </c>
      <c r="AH14" s="322" t="str">
        <f t="shared" si="9"/>
        <v/>
      </c>
      <c r="AI14" s="322" t="str">
        <f t="shared" si="10"/>
        <v/>
      </c>
      <c r="AJ14" s="434" t="str">
        <f t="shared" si="11"/>
        <v/>
      </c>
    </row>
    <row r="15" spans="1:36" ht="16.5" customHeight="1">
      <c r="A15" s="243"/>
      <c r="B15" s="748"/>
      <c r="C15" s="758"/>
      <c r="D15" s="754"/>
      <c r="E15" s="754"/>
      <c r="F15" s="759"/>
      <c r="G15" s="730"/>
      <c r="H15" s="739"/>
      <c r="I15" s="739"/>
      <c r="J15" s="737"/>
      <c r="K15" s="737"/>
      <c r="L15" s="737"/>
      <c r="M15" s="738"/>
      <c r="N15" s="733">
        <v>0.2</v>
      </c>
      <c r="O15" s="734">
        <f t="shared" si="0"/>
        <v>0.69969824999999997</v>
      </c>
      <c r="P15" s="332"/>
      <c r="Q15" s="332"/>
      <c r="R15" s="735">
        <f t="shared" si="1"/>
        <v>0.69969824999999997</v>
      </c>
      <c r="T15" s="301"/>
      <c r="W15" s="431"/>
      <c r="X15" s="300"/>
      <c r="Y15" s="432">
        <f t="shared" si="2"/>
        <v>0.2</v>
      </c>
      <c r="Z15" s="433" t="str">
        <f t="shared" si="3"/>
        <v/>
      </c>
      <c r="AA15" s="302">
        <f t="shared" si="4"/>
        <v>0.69969824999999997</v>
      </c>
      <c r="AB15" s="302" t="str">
        <f t="shared" si="5"/>
        <v/>
      </c>
      <c r="AC15" s="302" t="str">
        <f t="shared" si="6"/>
        <v/>
      </c>
      <c r="AD15" s="302"/>
      <c r="AF15" s="302" t="str">
        <f t="shared" si="7"/>
        <v/>
      </c>
      <c r="AG15" s="322">
        <f t="shared" si="8"/>
        <v>7.0966190311980203E-4</v>
      </c>
      <c r="AH15" s="322" t="str">
        <f t="shared" si="9"/>
        <v/>
      </c>
      <c r="AI15" s="322" t="str">
        <f t="shared" si="10"/>
        <v/>
      </c>
      <c r="AJ15" s="434" t="str">
        <f t="shared" si="11"/>
        <v/>
      </c>
    </row>
    <row r="16" spans="1:36" ht="16.5" customHeight="1">
      <c r="A16" s="243"/>
      <c r="B16" s="748"/>
      <c r="C16" s="758"/>
      <c r="D16" s="754"/>
      <c r="E16" s="754"/>
      <c r="F16" s="759"/>
      <c r="G16" s="730" t="s">
        <v>1980</v>
      </c>
      <c r="H16" s="737" t="s">
        <v>1998</v>
      </c>
      <c r="I16" s="737"/>
      <c r="J16" s="737"/>
      <c r="K16" s="737"/>
      <c r="L16" s="737"/>
      <c r="M16" s="738"/>
      <c r="N16" s="733">
        <v>0.3</v>
      </c>
      <c r="O16" s="734">
        <f t="shared" si="0"/>
        <v>0.69969824999999997</v>
      </c>
      <c r="P16" s="332"/>
      <c r="Q16" s="332"/>
      <c r="R16" s="735">
        <f t="shared" si="1"/>
        <v>0.69969824999999997</v>
      </c>
      <c r="T16" s="301"/>
      <c r="W16" s="431"/>
      <c r="X16" s="300"/>
      <c r="Y16" s="432">
        <f t="shared" si="2"/>
        <v>0.3</v>
      </c>
      <c r="Z16" s="433" t="str">
        <f t="shared" si="3"/>
        <v/>
      </c>
      <c r="AA16" s="302">
        <f t="shared" si="4"/>
        <v>0.69969824999999997</v>
      </c>
      <c r="AB16" s="302" t="str">
        <f t="shared" si="5"/>
        <v/>
      </c>
      <c r="AC16" s="302" t="str">
        <f t="shared" si="6"/>
        <v/>
      </c>
      <c r="AD16" s="302"/>
      <c r="AF16" s="302" t="str">
        <f t="shared" si="7"/>
        <v/>
      </c>
      <c r="AG16" s="322">
        <f t="shared" si="8"/>
        <v>1.5967392820195542E-3</v>
      </c>
      <c r="AH16" s="322" t="str">
        <f t="shared" si="9"/>
        <v/>
      </c>
      <c r="AI16" s="322" t="str">
        <f t="shared" si="10"/>
        <v/>
      </c>
      <c r="AJ16" s="434" t="str">
        <f t="shared" si="11"/>
        <v/>
      </c>
    </row>
    <row r="17" spans="1:36" ht="16.5" customHeight="1">
      <c r="A17" s="243"/>
      <c r="B17" s="748"/>
      <c r="C17" s="758"/>
      <c r="D17" s="754"/>
      <c r="E17" s="754"/>
      <c r="F17" s="759"/>
      <c r="G17" s="730"/>
      <c r="H17" s="817" t="str">
        <f>IF(Menu!$C$7="V","","Upper limit of the period of the constant spectral acceleration branch")</f>
        <v/>
      </c>
      <c r="I17" s="737"/>
      <c r="J17" s="737"/>
      <c r="K17" s="737"/>
      <c r="L17" s="737"/>
      <c r="M17" s="738"/>
      <c r="N17" s="733">
        <v>0.4</v>
      </c>
      <c r="O17" s="734">
        <f t="shared" si="0"/>
        <v>0.69969824999999997</v>
      </c>
      <c r="P17" s="332"/>
      <c r="Q17" s="332"/>
      <c r="R17" s="735">
        <f t="shared" si="1"/>
        <v>0.69969824999999997</v>
      </c>
      <c r="T17" s="301"/>
      <c r="W17" s="431"/>
      <c r="X17" s="300"/>
      <c r="Y17" s="432">
        <f t="shared" si="2"/>
        <v>0.4</v>
      </c>
      <c r="Z17" s="433" t="str">
        <f t="shared" si="3"/>
        <v/>
      </c>
      <c r="AA17" s="302">
        <f t="shared" si="4"/>
        <v>0.69969824999999997</v>
      </c>
      <c r="AB17" s="302" t="str">
        <f t="shared" si="5"/>
        <v/>
      </c>
      <c r="AC17" s="302" t="str">
        <f t="shared" si="6"/>
        <v/>
      </c>
      <c r="AD17" s="302"/>
      <c r="AF17" s="302" t="str">
        <f t="shared" si="7"/>
        <v/>
      </c>
      <c r="AG17" s="322">
        <f t="shared" si="8"/>
        <v>2.8386476124792081E-3</v>
      </c>
      <c r="AH17" s="322" t="str">
        <f t="shared" si="9"/>
        <v/>
      </c>
      <c r="AI17" s="322" t="str">
        <f t="shared" si="10"/>
        <v/>
      </c>
      <c r="AJ17" s="434" t="str">
        <f t="shared" si="11"/>
        <v/>
      </c>
    </row>
    <row r="18" spans="1:36" ht="16.5" customHeight="1">
      <c r="A18" s="243"/>
      <c r="B18" s="756" t="s">
        <v>1983</v>
      </c>
      <c r="C18" s="753" t="s">
        <v>1653</v>
      </c>
      <c r="D18" s="754"/>
      <c r="E18" s="754"/>
      <c r="F18" s="757" t="s">
        <v>1599</v>
      </c>
      <c r="G18" s="730"/>
      <c r="H18" s="739"/>
      <c r="I18" s="739"/>
      <c r="J18" s="737"/>
      <c r="K18" s="737"/>
      <c r="L18" s="737"/>
      <c r="M18" s="738"/>
      <c r="N18" s="733">
        <v>0.5</v>
      </c>
      <c r="O18" s="734">
        <f t="shared" si="0"/>
        <v>0.69969824999999997</v>
      </c>
      <c r="P18" s="332"/>
      <c r="Q18" s="332"/>
      <c r="R18" s="735">
        <f t="shared" si="1"/>
        <v>0.69969824999999997</v>
      </c>
      <c r="T18" s="301"/>
      <c r="W18" s="431"/>
      <c r="X18" s="300"/>
      <c r="Y18" s="432">
        <f t="shared" si="2"/>
        <v>0.5</v>
      </c>
      <c r="Z18" s="433" t="str">
        <f t="shared" si="3"/>
        <v/>
      </c>
      <c r="AA18" s="302">
        <f t="shared" si="4"/>
        <v>0.69969824999999997</v>
      </c>
      <c r="AB18" s="302" t="str">
        <f t="shared" si="5"/>
        <v/>
      </c>
      <c r="AC18" s="302" t="str">
        <f t="shared" si="6"/>
        <v/>
      </c>
      <c r="AD18" s="302"/>
      <c r="AF18" s="302" t="str">
        <f t="shared" si="7"/>
        <v/>
      </c>
      <c r="AG18" s="322">
        <f t="shared" si="8"/>
        <v>4.4353868944987619E-3</v>
      </c>
      <c r="AH18" s="322" t="str">
        <f t="shared" si="9"/>
        <v/>
      </c>
      <c r="AI18" s="322" t="str">
        <f t="shared" si="10"/>
        <v/>
      </c>
      <c r="AJ18" s="434" t="str">
        <f t="shared" si="11"/>
        <v/>
      </c>
    </row>
    <row r="19" spans="1:36" ht="16.5" customHeight="1">
      <c r="A19" s="243"/>
      <c r="B19" s="748"/>
      <c r="C19" s="758"/>
      <c r="D19" s="754"/>
      <c r="E19" s="754"/>
      <c r="F19" s="757"/>
      <c r="G19" s="730" t="s">
        <v>1981</v>
      </c>
      <c r="H19" s="737" t="s">
        <v>1999</v>
      </c>
      <c r="I19" s="737"/>
      <c r="J19" s="737"/>
      <c r="K19" s="737"/>
      <c r="L19" s="737"/>
      <c r="M19" s="738"/>
      <c r="N19" s="733">
        <v>0.6</v>
      </c>
      <c r="O19" s="734">
        <f t="shared" si="0"/>
        <v>0.69969824999999997</v>
      </c>
      <c r="P19" s="332"/>
      <c r="Q19" s="332"/>
      <c r="R19" s="735">
        <f t="shared" si="1"/>
        <v>0.69969824999999997</v>
      </c>
      <c r="T19" s="301"/>
      <c r="W19" s="431"/>
      <c r="X19" s="300"/>
      <c r="Y19" s="432">
        <f t="shared" si="2"/>
        <v>0.6</v>
      </c>
      <c r="Z19" s="433" t="str">
        <f t="shared" si="3"/>
        <v/>
      </c>
      <c r="AA19" s="302">
        <f t="shared" si="4"/>
        <v>0.69969824999999997</v>
      </c>
      <c r="AB19" s="302" t="str">
        <f t="shared" si="5"/>
        <v/>
      </c>
      <c r="AC19" s="302" t="str">
        <f t="shared" si="6"/>
        <v/>
      </c>
      <c r="AD19" s="302"/>
      <c r="AF19" s="302" t="str">
        <f t="shared" si="7"/>
        <v/>
      </c>
      <c r="AG19" s="322">
        <f t="shared" si="8"/>
        <v>6.3869571280782168E-3</v>
      </c>
      <c r="AH19" s="322" t="str">
        <f t="shared" si="9"/>
        <v/>
      </c>
      <c r="AI19" s="322" t="str">
        <f t="shared" si="10"/>
        <v/>
      </c>
      <c r="AJ19" s="434" t="str">
        <f t="shared" si="11"/>
        <v/>
      </c>
    </row>
    <row r="20" spans="1:36" ht="16.5" customHeight="1">
      <c r="A20" s="243"/>
      <c r="B20" s="748"/>
      <c r="C20" s="758"/>
      <c r="D20" s="754"/>
      <c r="E20" s="754"/>
      <c r="F20" s="759"/>
      <c r="G20" s="726"/>
      <c r="H20" s="817" t="str">
        <f>IF(Menu!$C$7="V","","Value defining the beginning of the constant displacement response range of the spectrum")</f>
        <v/>
      </c>
      <c r="I20" s="737"/>
      <c r="J20" s="737"/>
      <c r="K20" s="737"/>
      <c r="L20" s="737"/>
      <c r="M20" s="738"/>
      <c r="N20" s="733">
        <v>0.7</v>
      </c>
      <c r="O20" s="734">
        <f t="shared" si="0"/>
        <v>0.69969824999999997</v>
      </c>
      <c r="P20" s="332"/>
      <c r="Q20" s="332"/>
      <c r="R20" s="735">
        <f t="shared" si="1"/>
        <v>0.69969824999999997</v>
      </c>
      <c r="T20" s="301"/>
      <c r="W20" s="431"/>
      <c r="X20" s="300"/>
      <c r="Y20" s="432">
        <f t="shared" si="2"/>
        <v>0.7</v>
      </c>
      <c r="Z20" s="433" t="str">
        <f t="shared" si="3"/>
        <v/>
      </c>
      <c r="AA20" s="302">
        <f t="shared" si="4"/>
        <v>0.69969824999999997</v>
      </c>
      <c r="AB20" s="302" t="str">
        <f t="shared" si="5"/>
        <v/>
      </c>
      <c r="AC20" s="302" t="str">
        <f t="shared" si="6"/>
        <v/>
      </c>
      <c r="AD20" s="302"/>
      <c r="AF20" s="302" t="str">
        <f t="shared" si="7"/>
        <v/>
      </c>
      <c r="AG20" s="322">
        <f t="shared" si="8"/>
        <v>8.6933583132175717E-3</v>
      </c>
      <c r="AH20" s="322" t="str">
        <f t="shared" si="9"/>
        <v/>
      </c>
      <c r="AI20" s="322" t="str">
        <f t="shared" si="10"/>
        <v/>
      </c>
      <c r="AJ20" s="434" t="str">
        <f t="shared" si="11"/>
        <v/>
      </c>
    </row>
    <row r="21" spans="1:36" ht="16.5" customHeight="1">
      <c r="A21" s="243"/>
      <c r="B21" s="748"/>
      <c r="C21" s="758"/>
      <c r="D21" s="754"/>
      <c r="E21" s="754"/>
      <c r="F21" s="759"/>
      <c r="G21" s="730"/>
      <c r="H21" s="739"/>
      <c r="I21" s="739"/>
      <c r="J21" s="737"/>
      <c r="K21" s="737"/>
      <c r="L21" s="737"/>
      <c r="M21" s="738"/>
      <c r="N21" s="733">
        <v>0.8</v>
      </c>
      <c r="O21" s="734">
        <f t="shared" si="0"/>
        <v>0.69969824999999997</v>
      </c>
      <c r="P21" s="332"/>
      <c r="Q21" s="332"/>
      <c r="R21" s="735">
        <f t="shared" si="1"/>
        <v>0.69969824999999997</v>
      </c>
      <c r="T21" s="301"/>
      <c r="W21" s="431"/>
      <c r="X21" s="300"/>
      <c r="Y21" s="432">
        <f t="shared" si="2"/>
        <v>0.8</v>
      </c>
      <c r="Z21" s="433" t="str">
        <f t="shared" si="3"/>
        <v/>
      </c>
      <c r="AA21" s="302">
        <f t="shared" si="4"/>
        <v>0.69969824999999997</v>
      </c>
      <c r="AB21" s="302" t="str">
        <f t="shared" si="5"/>
        <v/>
      </c>
      <c r="AC21" s="302" t="str">
        <f t="shared" si="6"/>
        <v/>
      </c>
      <c r="AD21" s="302"/>
      <c r="AF21" s="302" t="str">
        <f t="shared" si="7"/>
        <v/>
      </c>
      <c r="AG21" s="322">
        <f t="shared" si="8"/>
        <v>1.1354590449916832E-2</v>
      </c>
      <c r="AH21" s="322" t="str">
        <f t="shared" si="9"/>
        <v/>
      </c>
      <c r="AI21" s="322" t="str">
        <f t="shared" si="10"/>
        <v/>
      </c>
      <c r="AJ21" s="434" t="str">
        <f t="shared" si="11"/>
        <v/>
      </c>
    </row>
    <row r="22" spans="1:36" ht="16.5" customHeight="1">
      <c r="A22" s="243"/>
      <c r="B22" s="748"/>
      <c r="C22" s="758"/>
      <c r="D22" s="754"/>
      <c r="E22" s="754"/>
      <c r="F22" s="757"/>
      <c r="G22" s="730" t="s">
        <v>896</v>
      </c>
      <c r="H22" s="737" t="str">
        <f>IF(Menu!$C$7="V","Hệ số nền","Hệ số nền/ Ground factor")</f>
        <v>Hệ số nền</v>
      </c>
      <c r="I22" s="737"/>
      <c r="J22" s="737"/>
      <c r="K22" s="737"/>
      <c r="L22" s="737"/>
      <c r="M22" s="738"/>
      <c r="N22" s="733">
        <v>0.9</v>
      </c>
      <c r="O22" s="734">
        <f t="shared" si="0"/>
        <v>0.62195400000000001</v>
      </c>
      <c r="P22" s="332"/>
      <c r="Q22" s="332"/>
      <c r="R22" s="735">
        <f t="shared" si="1"/>
        <v>0.62195400000000001</v>
      </c>
      <c r="T22" s="301"/>
      <c r="W22" s="431"/>
      <c r="X22" s="300"/>
      <c r="Y22" s="432">
        <f t="shared" si="2"/>
        <v>0.9</v>
      </c>
      <c r="Z22" s="433" t="str">
        <f t="shared" si="3"/>
        <v/>
      </c>
      <c r="AA22" s="302" t="str">
        <f t="shared" si="4"/>
        <v/>
      </c>
      <c r="AB22" s="302">
        <f t="shared" si="5"/>
        <v>0.62195400000000001</v>
      </c>
      <c r="AC22" s="302" t="str">
        <f t="shared" si="6"/>
        <v/>
      </c>
      <c r="AD22" s="302"/>
      <c r="AF22" s="302" t="str">
        <f t="shared" si="7"/>
        <v/>
      </c>
      <c r="AG22" s="322" t="str">
        <f t="shared" si="8"/>
        <v/>
      </c>
      <c r="AH22" s="322">
        <f t="shared" si="9"/>
        <v>1.2773914256156437E-2</v>
      </c>
      <c r="AI22" s="322" t="str">
        <f t="shared" si="10"/>
        <v/>
      </c>
      <c r="AJ22" s="434" t="str">
        <f t="shared" si="11"/>
        <v/>
      </c>
    </row>
    <row r="23" spans="1:36" ht="16.5" customHeight="1">
      <c r="A23" s="243"/>
      <c r="B23" s="756" t="s">
        <v>1984</v>
      </c>
      <c r="C23" s="753" t="s">
        <v>1653</v>
      </c>
      <c r="D23" s="754"/>
      <c r="E23" s="754"/>
      <c r="F23" s="757" t="s">
        <v>1600</v>
      </c>
      <c r="G23" s="746" t="s">
        <v>35</v>
      </c>
      <c r="H23" s="737" t="s">
        <v>2000</v>
      </c>
      <c r="I23" s="737"/>
      <c r="J23" s="737"/>
      <c r="K23" s="737"/>
      <c r="L23" s="737"/>
      <c r="M23" s="738"/>
      <c r="N23" s="733">
        <v>1</v>
      </c>
      <c r="O23" s="734">
        <f t="shared" si="0"/>
        <v>0.5597586</v>
      </c>
      <c r="P23" s="332"/>
      <c r="Q23" s="332"/>
      <c r="R23" s="735">
        <f t="shared" si="1"/>
        <v>0.5597586</v>
      </c>
      <c r="T23" s="301"/>
      <c r="W23" s="300"/>
      <c r="X23" s="300"/>
      <c r="Y23" s="432">
        <f t="shared" si="2"/>
        <v>1</v>
      </c>
      <c r="Z23" s="433" t="str">
        <f t="shared" si="3"/>
        <v/>
      </c>
      <c r="AA23" s="302" t="str">
        <f t="shared" si="4"/>
        <v/>
      </c>
      <c r="AB23" s="302">
        <f t="shared" si="5"/>
        <v>0.5597586</v>
      </c>
      <c r="AC23" s="302" t="str">
        <f t="shared" si="6"/>
        <v/>
      </c>
      <c r="AD23" s="302"/>
      <c r="AF23" s="302" t="str">
        <f t="shared" si="7"/>
        <v/>
      </c>
      <c r="AG23" s="322" t="str">
        <f t="shared" si="8"/>
        <v/>
      </c>
      <c r="AH23" s="322">
        <f t="shared" si="9"/>
        <v>1.4193238062396038E-2</v>
      </c>
      <c r="AI23" s="322" t="str">
        <f t="shared" si="10"/>
        <v/>
      </c>
      <c r="AJ23" s="434" t="str">
        <f t="shared" si="11"/>
        <v/>
      </c>
    </row>
    <row r="24" spans="1:36" ht="16.5" customHeight="1">
      <c r="A24" s="243"/>
      <c r="B24" s="748"/>
      <c r="C24" s="758"/>
      <c r="D24" s="754"/>
      <c r="E24" s="754"/>
      <c r="F24" s="760"/>
      <c r="G24" s="747"/>
      <c r="H24" s="817" t="str">
        <f>IF(Menu!$C$7="V","","The damping correction factor with a reference value of h = 1 for 5% viscous damping")</f>
        <v/>
      </c>
      <c r="I24" s="737"/>
      <c r="J24" s="737"/>
      <c r="K24" s="737"/>
      <c r="L24" s="737"/>
      <c r="M24" s="738"/>
      <c r="N24" s="733">
        <v>1.1000000000000001</v>
      </c>
      <c r="O24" s="734">
        <f t="shared" si="0"/>
        <v>0.50887145454545502</v>
      </c>
      <c r="P24" s="332"/>
      <c r="Q24" s="332"/>
      <c r="R24" s="735">
        <f t="shared" si="1"/>
        <v>0.50887145454545502</v>
      </c>
      <c r="T24" s="301"/>
      <c r="W24" s="300"/>
      <c r="X24" s="300"/>
      <c r="Y24" s="432">
        <f t="shared" si="2"/>
        <v>1.1000000000000001</v>
      </c>
      <c r="Z24" s="433" t="str">
        <f t="shared" si="3"/>
        <v/>
      </c>
      <c r="AA24" s="302" t="str">
        <f t="shared" si="4"/>
        <v/>
      </c>
      <c r="AB24" s="302">
        <f t="shared" si="5"/>
        <v>0.50887145454545457</v>
      </c>
      <c r="AC24" s="302" t="str">
        <f t="shared" si="6"/>
        <v/>
      </c>
      <c r="AD24" s="302"/>
      <c r="AF24" s="302" t="str">
        <f t="shared" si="7"/>
        <v/>
      </c>
      <c r="AG24" s="322" t="str">
        <f t="shared" si="8"/>
        <v/>
      </c>
      <c r="AH24" s="322">
        <f t="shared" si="9"/>
        <v>1.5612561868635648E-2</v>
      </c>
      <c r="AI24" s="322" t="str">
        <f t="shared" si="10"/>
        <v/>
      </c>
      <c r="AJ24" s="434" t="str">
        <f t="shared" si="11"/>
        <v/>
      </c>
    </row>
    <row r="25" spans="1:36" ht="16.5" customHeight="1">
      <c r="A25" s="243"/>
      <c r="B25" s="748"/>
      <c r="C25" s="758"/>
      <c r="D25" s="754"/>
      <c r="E25" s="754"/>
      <c r="F25" s="760"/>
      <c r="G25" s="748"/>
      <c r="H25" s="739"/>
      <c r="I25" s="739"/>
      <c r="J25" s="737"/>
      <c r="K25" s="737"/>
      <c r="L25" s="737"/>
      <c r="M25" s="749"/>
      <c r="N25" s="733">
        <v>1.2</v>
      </c>
      <c r="O25" s="734">
        <f t="shared" si="0"/>
        <v>0.46646549999999998</v>
      </c>
      <c r="P25" s="332"/>
      <c r="Q25" s="332"/>
      <c r="R25" s="735">
        <f t="shared" si="1"/>
        <v>0.46646549999999998</v>
      </c>
      <c r="W25" s="300"/>
      <c r="X25" s="300"/>
      <c r="Y25" s="432">
        <f t="shared" si="2"/>
        <v>1.2</v>
      </c>
      <c r="Z25" s="433" t="str">
        <f t="shared" si="3"/>
        <v/>
      </c>
      <c r="AA25" s="302" t="str">
        <f t="shared" si="4"/>
        <v/>
      </c>
      <c r="AB25" s="302">
        <f t="shared" si="5"/>
        <v>0.46646550000000009</v>
      </c>
      <c r="AC25" s="302" t="str">
        <f t="shared" si="6"/>
        <v/>
      </c>
      <c r="AD25" s="302"/>
      <c r="AF25" s="302" t="str">
        <f t="shared" si="7"/>
        <v/>
      </c>
      <c r="AG25" s="322" t="str">
        <f t="shared" si="8"/>
        <v/>
      </c>
      <c r="AH25" s="322">
        <f t="shared" si="9"/>
        <v>1.703188567487525E-2</v>
      </c>
      <c r="AI25" s="322" t="str">
        <f t="shared" si="10"/>
        <v/>
      </c>
      <c r="AJ25" s="434" t="str">
        <f t="shared" si="11"/>
        <v/>
      </c>
    </row>
    <row r="26" spans="1:36" ht="16.5" customHeight="1">
      <c r="A26" s="243"/>
      <c r="B26" s="748"/>
      <c r="C26" s="758"/>
      <c r="D26" s="754"/>
      <c r="E26" s="754"/>
      <c r="F26" s="760"/>
      <c r="G26" s="746" t="s">
        <v>1598</v>
      </c>
      <c r="H26" s="737" t="s">
        <v>2001</v>
      </c>
      <c r="I26" s="737"/>
      <c r="J26" s="737"/>
      <c r="K26" s="737"/>
      <c r="L26" s="737"/>
      <c r="M26" s="749"/>
      <c r="N26" s="733">
        <v>1.3</v>
      </c>
      <c r="O26" s="734">
        <f t="shared" si="0"/>
        <v>0.43058353846153802</v>
      </c>
      <c r="P26" s="332"/>
      <c r="Q26" s="332"/>
      <c r="R26" s="735">
        <f t="shared" si="1"/>
        <v>0.43058353846153802</v>
      </c>
      <c r="W26" s="300"/>
      <c r="X26" s="300"/>
      <c r="Y26" s="432">
        <f t="shared" si="2"/>
        <v>1.3</v>
      </c>
      <c r="Z26" s="433" t="str">
        <f t="shared" si="3"/>
        <v/>
      </c>
      <c r="AA26" s="302" t="str">
        <f t="shared" si="4"/>
        <v/>
      </c>
      <c r="AB26" s="302">
        <f t="shared" si="5"/>
        <v>0.43058353846153846</v>
      </c>
      <c r="AC26" s="302" t="str">
        <f t="shared" si="6"/>
        <v/>
      </c>
      <c r="AD26" s="302"/>
      <c r="AF26" s="302" t="str">
        <f t="shared" si="7"/>
        <v/>
      </c>
      <c r="AG26" s="322" t="str">
        <f t="shared" si="8"/>
        <v/>
      </c>
      <c r="AH26" s="322">
        <f t="shared" si="9"/>
        <v>1.8451209481114856E-2</v>
      </c>
      <c r="AI26" s="322" t="str">
        <f t="shared" si="10"/>
        <v/>
      </c>
      <c r="AJ26" s="434" t="str">
        <f t="shared" si="11"/>
        <v/>
      </c>
    </row>
    <row r="27" spans="1:36" ht="16.5" customHeight="1">
      <c r="A27" s="243"/>
      <c r="B27" s="750"/>
      <c r="C27" s="784"/>
      <c r="D27" s="785"/>
      <c r="E27" s="785"/>
      <c r="F27" s="786"/>
      <c r="G27" s="750"/>
      <c r="H27" s="818" t="str">
        <f>IF(Menu!$C$7="V","","The lower bound factor for the horizontal design spectrum")</f>
        <v/>
      </c>
      <c r="I27" s="751"/>
      <c r="J27" s="744"/>
      <c r="K27" s="744"/>
      <c r="L27" s="744"/>
      <c r="M27" s="752"/>
      <c r="N27" s="733">
        <v>1.4</v>
      </c>
      <c r="O27" s="734">
        <f t="shared" si="0"/>
        <v>0.399827571428572</v>
      </c>
      <c r="P27" s="332"/>
      <c r="Q27" s="332"/>
      <c r="R27" s="735">
        <f t="shared" si="1"/>
        <v>0.399827571428572</v>
      </c>
      <c r="W27" s="300"/>
      <c r="X27" s="300"/>
      <c r="Y27" s="432">
        <f t="shared" si="2"/>
        <v>1.4</v>
      </c>
      <c r="Z27" s="433" t="str">
        <f t="shared" si="3"/>
        <v/>
      </c>
      <c r="AA27" s="302" t="str">
        <f t="shared" si="4"/>
        <v/>
      </c>
      <c r="AB27" s="302">
        <f t="shared" si="5"/>
        <v>0.3998275714285715</v>
      </c>
      <c r="AC27" s="302" t="str">
        <f t="shared" si="6"/>
        <v/>
      </c>
      <c r="AD27" s="302"/>
      <c r="AF27" s="302" t="str">
        <f t="shared" si="7"/>
        <v/>
      </c>
      <c r="AG27" s="322" t="str">
        <f t="shared" si="8"/>
        <v/>
      </c>
      <c r="AH27" s="322">
        <f t="shared" si="9"/>
        <v>1.9870533287354455E-2</v>
      </c>
      <c r="AI27" s="322" t="str">
        <f t="shared" si="10"/>
        <v/>
      </c>
      <c r="AJ27" s="434" t="str">
        <f t="shared" si="11"/>
        <v/>
      </c>
    </row>
    <row r="28" spans="1:36" ht="16.5" customHeight="1">
      <c r="A28" s="455"/>
      <c r="B28" s="802" t="s">
        <v>1589</v>
      </c>
      <c r="C28" s="802" t="str">
        <f>IF(Menu!$C$7="V","Phổ phản ứng thiết kế"," Phổ phản ứng thiết kế đàn hồi Sd (T)/ Design elastic respond spectrum")</f>
        <v>Phổ phản ứng thiết kế</v>
      </c>
      <c r="D28" s="740"/>
      <c r="E28" s="740"/>
      <c r="F28" s="740"/>
      <c r="G28" s="740"/>
      <c r="H28" s="740"/>
      <c r="I28" s="740"/>
      <c r="J28" s="803"/>
      <c r="K28" s="804"/>
      <c r="L28" s="804"/>
      <c r="M28" s="805"/>
      <c r="N28" s="733">
        <v>1.5</v>
      </c>
      <c r="O28" s="734">
        <f t="shared" si="0"/>
        <v>0.37317240000000002</v>
      </c>
      <c r="P28" s="332"/>
      <c r="Q28" s="332"/>
      <c r="R28" s="735">
        <f t="shared" si="1"/>
        <v>0.37317240000000002</v>
      </c>
      <c r="W28" s="300"/>
      <c r="X28" s="300"/>
      <c r="Y28" s="432">
        <f t="shared" si="2"/>
        <v>1.5</v>
      </c>
      <c r="Z28" s="433" t="str">
        <f t="shared" si="3"/>
        <v/>
      </c>
      <c r="AA28" s="302" t="str">
        <f t="shared" si="4"/>
        <v/>
      </c>
      <c r="AB28" s="302">
        <f t="shared" si="5"/>
        <v>0.37317240000000002</v>
      </c>
      <c r="AC28" s="302" t="str">
        <f t="shared" si="6"/>
        <v/>
      </c>
      <c r="AD28" s="302"/>
      <c r="AF28" s="302" t="str">
        <f t="shared" si="7"/>
        <v/>
      </c>
      <c r="AG28" s="322" t="str">
        <f t="shared" si="8"/>
        <v/>
      </c>
      <c r="AH28" s="322">
        <f t="shared" si="9"/>
        <v>2.1289857093594062E-2</v>
      </c>
      <c r="AI28" s="322" t="str">
        <f t="shared" si="10"/>
        <v/>
      </c>
      <c r="AJ28" s="434" t="str">
        <f t="shared" si="11"/>
        <v/>
      </c>
    </row>
    <row r="29" spans="1:36" ht="16.5" customHeight="1">
      <c r="A29" s="455"/>
      <c r="B29" s="806" t="s">
        <v>1590</v>
      </c>
      <c r="C29" s="807" t="str">
        <f>IF(Menu!$C$7="V","Phân loại đất nền","Phân loại đất nền/ Classifying of soil")</f>
        <v>Phân loại đất nền</v>
      </c>
      <c r="D29" s="742"/>
      <c r="E29" s="742"/>
      <c r="F29" s="742"/>
      <c r="G29" s="742"/>
      <c r="H29" s="742"/>
      <c r="I29" s="742"/>
      <c r="J29" s="808"/>
      <c r="K29" s="808"/>
      <c r="L29" s="808"/>
      <c r="M29" s="809"/>
      <c r="N29" s="733">
        <v>1.6</v>
      </c>
      <c r="O29" s="734">
        <f t="shared" si="0"/>
        <v>0.34984912499999998</v>
      </c>
      <c r="P29" s="332"/>
      <c r="Q29" s="332"/>
      <c r="R29" s="735">
        <f t="shared" si="1"/>
        <v>0.34984912499999998</v>
      </c>
      <c r="W29" s="300"/>
      <c r="X29" s="300"/>
      <c r="Y29" s="432">
        <f t="shared" si="2"/>
        <v>1.6</v>
      </c>
      <c r="Z29" s="433" t="str">
        <f t="shared" si="3"/>
        <v/>
      </c>
      <c r="AA29" s="302" t="str">
        <f t="shared" si="4"/>
        <v/>
      </c>
      <c r="AB29" s="302">
        <f t="shared" si="5"/>
        <v>0.34984912499999998</v>
      </c>
      <c r="AC29" s="302" t="str">
        <f t="shared" si="6"/>
        <v/>
      </c>
      <c r="AD29" s="302"/>
      <c r="AF29" s="302" t="str">
        <f t="shared" si="7"/>
        <v/>
      </c>
      <c r="AG29" s="322" t="str">
        <f t="shared" si="8"/>
        <v/>
      </c>
      <c r="AH29" s="322">
        <f t="shared" si="9"/>
        <v>2.2709180899833665E-2</v>
      </c>
      <c r="AI29" s="322" t="str">
        <f t="shared" si="10"/>
        <v/>
      </c>
      <c r="AJ29" s="434" t="str">
        <f t="shared" si="11"/>
        <v/>
      </c>
    </row>
    <row r="30" spans="1:36" ht="16.5" customHeight="1">
      <c r="A30" s="455"/>
      <c r="B30" s="1216" t="s">
        <v>895</v>
      </c>
      <c r="C30" s="1217"/>
      <c r="D30" s="1218" t="s">
        <v>1646</v>
      </c>
      <c r="E30" s="1219"/>
      <c r="F30" s="1219"/>
      <c r="G30" s="1219"/>
      <c r="H30" s="1219"/>
      <c r="I30" s="1220"/>
      <c r="J30" s="801" t="s">
        <v>1654</v>
      </c>
      <c r="K30" s="741"/>
      <c r="L30" s="741"/>
      <c r="M30" s="741"/>
      <c r="N30" s="733">
        <v>1.7</v>
      </c>
      <c r="O30" s="734">
        <f t="shared" si="0"/>
        <v>0.32926976470588198</v>
      </c>
      <c r="P30" s="332"/>
      <c r="Q30" s="332"/>
      <c r="R30" s="735">
        <f t="shared" si="1"/>
        <v>0.32926976470588198</v>
      </c>
      <c r="U30" s="297"/>
      <c r="W30" s="300"/>
      <c r="X30" s="300"/>
      <c r="Y30" s="432">
        <f t="shared" si="2"/>
        <v>1.7</v>
      </c>
      <c r="Z30" s="433" t="str">
        <f t="shared" si="3"/>
        <v/>
      </c>
      <c r="AA30" s="302" t="str">
        <f t="shared" si="4"/>
        <v/>
      </c>
      <c r="AB30" s="302">
        <f t="shared" si="5"/>
        <v>0.32926976470588237</v>
      </c>
      <c r="AC30" s="302" t="str">
        <f t="shared" si="6"/>
        <v/>
      </c>
      <c r="AD30" s="302"/>
      <c r="AF30" s="302" t="str">
        <f t="shared" si="7"/>
        <v/>
      </c>
      <c r="AG30" s="322" t="str">
        <f t="shared" si="8"/>
        <v/>
      </c>
      <c r="AH30" s="322">
        <f t="shared" si="9"/>
        <v>2.4128504706073268E-2</v>
      </c>
      <c r="AI30" s="322" t="str">
        <f t="shared" si="10"/>
        <v/>
      </c>
      <c r="AJ30" s="434" t="str">
        <f t="shared" si="11"/>
        <v/>
      </c>
    </row>
    <row r="31" spans="1:36" ht="16.5" customHeight="1">
      <c r="A31" s="455"/>
      <c r="B31" s="1233" t="str">
        <f>IF(Menu!$C$7="V","","Ground type")</f>
        <v/>
      </c>
      <c r="C31" s="1234"/>
      <c r="D31" s="1223" t="str">
        <f>IF(Menu!$C$7="V","","Parameters describing the elastic response spectra (Table 3.2)")</f>
        <v/>
      </c>
      <c r="E31" s="1224"/>
      <c r="F31" s="1224"/>
      <c r="G31" s="1224"/>
      <c r="H31" s="1224"/>
      <c r="I31" s="1225"/>
      <c r="J31" s="810" t="str">
        <f>IF(Menu!$C$7="V","","Ground type (Refer Table 3.1)")</f>
        <v/>
      </c>
      <c r="K31" s="741"/>
      <c r="L31" s="741"/>
      <c r="M31" s="741"/>
      <c r="N31" s="733">
        <v>1.8</v>
      </c>
      <c r="O31" s="734">
        <f t="shared" si="0"/>
        <v>0.310977</v>
      </c>
      <c r="P31" s="332"/>
      <c r="Q31" s="332"/>
      <c r="R31" s="735">
        <f t="shared" si="1"/>
        <v>0.310977</v>
      </c>
      <c r="W31" s="300"/>
      <c r="X31" s="300"/>
      <c r="Y31" s="432">
        <f t="shared" si="2"/>
        <v>1.8</v>
      </c>
      <c r="Z31" s="433" t="str">
        <f t="shared" si="3"/>
        <v/>
      </c>
      <c r="AA31" s="302" t="str">
        <f t="shared" si="4"/>
        <v/>
      </c>
      <c r="AB31" s="302">
        <f t="shared" si="5"/>
        <v>0.310977</v>
      </c>
      <c r="AC31" s="302" t="str">
        <f t="shared" si="6"/>
        <v/>
      </c>
      <c r="AD31" s="302"/>
      <c r="AF31" s="302" t="str">
        <f t="shared" si="7"/>
        <v/>
      </c>
      <c r="AG31" s="322" t="str">
        <f t="shared" si="8"/>
        <v/>
      </c>
      <c r="AH31" s="322">
        <f t="shared" si="9"/>
        <v>2.5547828512312874E-2</v>
      </c>
      <c r="AI31" s="322" t="str">
        <f t="shared" si="10"/>
        <v/>
      </c>
      <c r="AJ31" s="434" t="str">
        <f t="shared" si="11"/>
        <v/>
      </c>
    </row>
    <row r="32" spans="1:36" ht="16.5" customHeight="1">
      <c r="A32" s="455"/>
      <c r="B32" s="1235"/>
      <c r="C32" s="1236"/>
      <c r="D32" s="811" t="s">
        <v>896</v>
      </c>
      <c r="E32" s="811" t="s">
        <v>1990</v>
      </c>
      <c r="F32" s="811" t="s">
        <v>1991</v>
      </c>
      <c r="G32" s="811" t="s">
        <v>1992</v>
      </c>
      <c r="H32" s="811" t="s">
        <v>1993</v>
      </c>
      <c r="I32" s="811" t="s">
        <v>1994</v>
      </c>
      <c r="J32" s="801"/>
      <c r="K32" s="741"/>
      <c r="L32" s="741"/>
      <c r="M32" s="741"/>
      <c r="N32" s="733">
        <v>1.9</v>
      </c>
      <c r="O32" s="734">
        <f t="shared" si="0"/>
        <v>0.29460978947368399</v>
      </c>
      <c r="P32" s="332"/>
      <c r="Q32" s="332"/>
      <c r="R32" s="735">
        <f t="shared" si="1"/>
        <v>0.29460978947368399</v>
      </c>
      <c r="T32" s="435" t="s">
        <v>1637</v>
      </c>
      <c r="W32" s="300"/>
      <c r="X32" s="300"/>
      <c r="Y32" s="432">
        <f t="shared" si="2"/>
        <v>1.9</v>
      </c>
      <c r="Z32" s="433" t="str">
        <f t="shared" si="3"/>
        <v/>
      </c>
      <c r="AA32" s="302" t="str">
        <f t="shared" si="4"/>
        <v/>
      </c>
      <c r="AB32" s="302">
        <f t="shared" si="5"/>
        <v>0.29460978947368427</v>
      </c>
      <c r="AC32" s="302" t="str">
        <f t="shared" si="6"/>
        <v/>
      </c>
      <c r="AD32" s="302"/>
      <c r="AF32" s="302" t="str">
        <f t="shared" si="7"/>
        <v/>
      </c>
      <c r="AG32" s="322" t="str">
        <f t="shared" si="8"/>
        <v/>
      </c>
      <c r="AH32" s="322">
        <f t="shared" si="9"/>
        <v>2.6967152318552481E-2</v>
      </c>
      <c r="AI32" s="322" t="str">
        <f t="shared" si="10"/>
        <v/>
      </c>
      <c r="AJ32" s="434" t="str">
        <f t="shared" si="11"/>
        <v/>
      </c>
    </row>
    <row r="33" spans="1:36" ht="16.5" customHeight="1">
      <c r="A33" s="455"/>
      <c r="B33" s="1231" t="str">
        <f>Menu!$B$25</f>
        <v>D</v>
      </c>
      <c r="C33" s="1232"/>
      <c r="D33" s="812">
        <f>INDEX('EarthQuake Base'!B22:G26,MATCH('3.Earthquake'!$B$33,LDN,0),1)</f>
        <v>1.35</v>
      </c>
      <c r="E33" s="812">
        <f>INDEX('EarthQuake Base'!B22:G26,MATCH('3.Earthquake'!$B$33,LDN,0),2)</f>
        <v>0.2</v>
      </c>
      <c r="F33" s="812">
        <f>INDEX('EarthQuake Base'!B22:G26,MATCH('3.Earthquake'!$B$33,LDN,0),3)</f>
        <v>0.8</v>
      </c>
      <c r="G33" s="812">
        <f>INDEX('EarthQuake Base'!B22:G26,MATCH('3.Earthquake'!$B$33,LDN,0),4)</f>
        <v>2</v>
      </c>
      <c r="H33" s="812">
        <f>INDEX('EarthQuake Base'!B22:G26,MATCH('3.Earthquake'!$B$33,LDN,0),5)</f>
        <v>6</v>
      </c>
      <c r="I33" s="812">
        <f>+INDEX('EarthQuake Base'!B22:G26,MATCH('3.Earthquake'!$B$33,LDN,0),6)</f>
        <v>10</v>
      </c>
      <c r="J33" s="810"/>
      <c r="K33" s="741"/>
      <c r="L33" s="741"/>
      <c r="M33" s="741"/>
      <c r="N33" s="733">
        <v>2</v>
      </c>
      <c r="O33" s="734">
        <f t="shared" si="0"/>
        <v>0.2798793</v>
      </c>
      <c r="P33" s="332"/>
      <c r="Q33" s="332"/>
      <c r="R33" s="735">
        <f t="shared" si="1"/>
        <v>0.2798793</v>
      </c>
      <c r="T33" s="435" t="s">
        <v>1645</v>
      </c>
      <c r="X33" s="296"/>
      <c r="Y33" s="432">
        <f t="shared" si="2"/>
        <v>2</v>
      </c>
      <c r="Z33" s="433" t="str">
        <f t="shared" si="3"/>
        <v/>
      </c>
      <c r="AA33" s="302" t="str">
        <f t="shared" si="4"/>
        <v/>
      </c>
      <c r="AB33" s="302">
        <f t="shared" si="5"/>
        <v>0.2798793</v>
      </c>
      <c r="AC33" s="302" t="str">
        <f t="shared" si="6"/>
        <v/>
      </c>
      <c r="AD33" s="302"/>
      <c r="AE33" s="303"/>
      <c r="AF33" s="302" t="str">
        <f t="shared" si="7"/>
        <v/>
      </c>
      <c r="AG33" s="322" t="str">
        <f t="shared" si="8"/>
        <v/>
      </c>
      <c r="AH33" s="322">
        <f t="shared" si="9"/>
        <v>2.8386476124792077E-2</v>
      </c>
      <c r="AI33" s="322" t="str">
        <f t="shared" si="10"/>
        <v/>
      </c>
      <c r="AJ33" s="434" t="str">
        <f t="shared" si="11"/>
        <v/>
      </c>
    </row>
    <row r="34" spans="1:36" ht="27" customHeight="1">
      <c r="A34" s="455"/>
      <c r="B34" s="778" t="s">
        <v>1591</v>
      </c>
      <c r="C34" s="761" t="str">
        <f>IF(Menu!$C$7="V","Các thông số đặc trưng kết cấu"," Các thông số đặc trưng kết cấu/ Structural charateristic parameters")</f>
        <v>Các thông số đặc trưng kết cấu</v>
      </c>
      <c r="D34" s="762"/>
      <c r="E34" s="762"/>
      <c r="F34" s="762"/>
      <c r="G34" s="762"/>
      <c r="H34" s="762"/>
      <c r="I34" s="762"/>
      <c r="J34" s="762"/>
      <c r="K34" s="762"/>
      <c r="L34" s="762"/>
      <c r="M34" s="763"/>
      <c r="N34" s="733">
        <v>2.1</v>
      </c>
      <c r="O34" s="734">
        <f t="shared" si="0"/>
        <v>0.25385877551020403</v>
      </c>
      <c r="P34" s="332"/>
      <c r="Q34" s="332"/>
      <c r="R34" s="735">
        <f t="shared" si="1"/>
        <v>0.25385877551020403</v>
      </c>
      <c r="T34" s="306" t="s">
        <v>1638</v>
      </c>
      <c r="X34" s="296"/>
      <c r="Y34" s="432">
        <f t="shared" si="2"/>
        <v>2.1</v>
      </c>
      <c r="Z34" s="433" t="str">
        <f t="shared" si="3"/>
        <v/>
      </c>
      <c r="AA34" s="302" t="str">
        <f t="shared" si="4"/>
        <v/>
      </c>
      <c r="AB34" s="302" t="str">
        <f t="shared" si="5"/>
        <v/>
      </c>
      <c r="AC34" s="302">
        <f t="shared" si="6"/>
        <v>0.25385877551020408</v>
      </c>
      <c r="AD34" s="302"/>
      <c r="AE34" s="303"/>
      <c r="AF34" s="302" t="str">
        <f t="shared" si="7"/>
        <v/>
      </c>
      <c r="AG34" s="322" t="str">
        <f t="shared" si="8"/>
        <v/>
      </c>
      <c r="AH34" s="322" t="str">
        <f t="shared" si="9"/>
        <v/>
      </c>
      <c r="AI34" s="322">
        <f t="shared" si="10"/>
        <v>2.838647612479208E-2</v>
      </c>
      <c r="AJ34" s="434" t="str">
        <f t="shared" si="11"/>
        <v/>
      </c>
    </row>
    <row r="35" spans="1:36" ht="16.5" customHeight="1">
      <c r="A35" s="455"/>
      <c r="B35" s="727" t="str">
        <f>IF(Menu!$C$7="V","Cấp dẻo thiết kế","Cấp dẻo thiết kế/ Designing ductility class")</f>
        <v>Cấp dẻo thiết kế</v>
      </c>
      <c r="C35" s="764"/>
      <c r="D35" s="736"/>
      <c r="E35" s="736"/>
      <c r="F35" s="736"/>
      <c r="G35" s="765" t="str">
        <f>Menu!$B$18</f>
        <v>DCL</v>
      </c>
      <c r="H35" s="766"/>
      <c r="I35" s="736"/>
      <c r="J35" s="767" t="str">
        <f>HLOOKUP(G35,'EarthQuake Base'!F30:H32,2,0)</f>
        <v>Cấp dẻo thấp</v>
      </c>
      <c r="K35" s="768" t="str">
        <f>IF(Menu!$C$7="V","","/"&amp;HLOOKUP(G35,'EarthQuake Base'!F30:H32,3,0))</f>
        <v/>
      </c>
      <c r="L35" s="736"/>
      <c r="M35" s="728"/>
      <c r="N35" s="733">
        <v>2.2000000000000002</v>
      </c>
      <c r="O35" s="734">
        <f t="shared" si="0"/>
        <v>0.23130520661157</v>
      </c>
      <c r="P35" s="332"/>
      <c r="Q35" s="332"/>
      <c r="R35" s="735">
        <f t="shared" si="1"/>
        <v>0.23130520661157</v>
      </c>
      <c r="T35" s="306" t="s">
        <v>1639</v>
      </c>
      <c r="X35" s="296"/>
      <c r="Y35" s="432">
        <f t="shared" si="2"/>
        <v>2.2000000000000002</v>
      </c>
      <c r="Z35" s="433" t="str">
        <f t="shared" si="3"/>
        <v/>
      </c>
      <c r="AA35" s="302" t="str">
        <f t="shared" si="4"/>
        <v/>
      </c>
      <c r="AB35" s="302" t="str">
        <f t="shared" si="5"/>
        <v/>
      </c>
      <c r="AC35" s="302">
        <f t="shared" si="6"/>
        <v>0.23130520661157022</v>
      </c>
      <c r="AD35" s="302"/>
      <c r="AE35" s="303"/>
      <c r="AF35" s="302" t="str">
        <f t="shared" si="7"/>
        <v/>
      </c>
      <c r="AG35" s="322" t="str">
        <f t="shared" si="8"/>
        <v/>
      </c>
      <c r="AH35" s="322" t="str">
        <f t="shared" si="9"/>
        <v/>
      </c>
      <c r="AI35" s="322">
        <f t="shared" si="10"/>
        <v>2.8386476124792084E-2</v>
      </c>
      <c r="AJ35" s="434" t="str">
        <f t="shared" si="11"/>
        <v/>
      </c>
    </row>
    <row r="36" spans="1:36" ht="16.5" customHeight="1">
      <c r="A36" s="455"/>
      <c r="B36" s="726" t="str">
        <f>IF(Menu!$C$7="V","Dạng kết cấu"," Dạng kết cấu/ Structural type")</f>
        <v>Dạng kết cấu</v>
      </c>
      <c r="C36" s="745"/>
      <c r="D36" s="737"/>
      <c r="E36" s="737"/>
      <c r="F36" s="737"/>
      <c r="G36" s="1228" t="str">
        <f>Menu!$A$20</f>
        <v>Hệ khung, hệ hỗn hợp, hệ tường kép</v>
      </c>
      <c r="H36" s="1228"/>
      <c r="I36" s="1228"/>
      <c r="J36" s="1228"/>
      <c r="K36" s="737"/>
      <c r="L36" s="737"/>
      <c r="M36" s="738"/>
      <c r="N36" s="733">
        <v>2.2999999999999998</v>
      </c>
      <c r="O36" s="734">
        <f t="shared" si="0"/>
        <v>0.21162896030245801</v>
      </c>
      <c r="P36" s="332"/>
      <c r="Q36" s="332"/>
      <c r="R36" s="735">
        <f t="shared" si="1"/>
        <v>0.21162896030245801</v>
      </c>
      <c r="X36" s="296"/>
      <c r="Y36" s="432">
        <f t="shared" si="2"/>
        <v>2.2999999999999998</v>
      </c>
      <c r="Z36" s="433" t="str">
        <f t="shared" si="3"/>
        <v/>
      </c>
      <c r="AA36" s="302" t="str">
        <f t="shared" si="4"/>
        <v/>
      </c>
      <c r="AB36" s="302" t="str">
        <f t="shared" si="5"/>
        <v/>
      </c>
      <c r="AC36" s="302">
        <f t="shared" si="6"/>
        <v>0.21162896030245751</v>
      </c>
      <c r="AD36" s="302"/>
      <c r="AE36" s="303"/>
      <c r="AF36" s="302" t="str">
        <f t="shared" si="7"/>
        <v/>
      </c>
      <c r="AG36" s="322" t="str">
        <f t="shared" si="8"/>
        <v/>
      </c>
      <c r="AH36" s="322" t="str">
        <f t="shared" si="9"/>
        <v/>
      </c>
      <c r="AI36" s="322">
        <f t="shared" si="10"/>
        <v>2.8386476124792084E-2</v>
      </c>
      <c r="AJ36" s="434" t="str">
        <f t="shared" si="11"/>
        <v/>
      </c>
    </row>
    <row r="37" spans="1:36" ht="16.5" customHeight="1">
      <c r="A37" s="243"/>
      <c r="B37" s="726"/>
      <c r="C37" s="745"/>
      <c r="D37" s="737"/>
      <c r="E37" s="737"/>
      <c r="F37" s="737"/>
      <c r="G37" s="769" t="str">
        <f>IF(Menu!$C$7="V","",VLOOKUP(G36,'EarthQuake Base'!A33:E36,5,0))</f>
        <v/>
      </c>
      <c r="H37" s="737"/>
      <c r="I37" s="737"/>
      <c r="J37" s="737"/>
      <c r="K37" s="737"/>
      <c r="L37" s="737"/>
      <c r="M37" s="738"/>
      <c r="N37" s="733">
        <v>2.4</v>
      </c>
      <c r="O37" s="734">
        <f t="shared" si="0"/>
        <v>0.19436062500000001</v>
      </c>
      <c r="P37" s="332"/>
      <c r="Q37" s="332"/>
      <c r="R37" s="735">
        <f t="shared" si="1"/>
        <v>0.19436062500000001</v>
      </c>
      <c r="X37" s="296"/>
      <c r="Y37" s="432">
        <f t="shared" si="2"/>
        <v>2.4</v>
      </c>
      <c r="Z37" s="433" t="str">
        <f t="shared" si="3"/>
        <v/>
      </c>
      <c r="AA37" s="302" t="str">
        <f t="shared" si="4"/>
        <v/>
      </c>
      <c r="AB37" s="302" t="str">
        <f t="shared" si="5"/>
        <v/>
      </c>
      <c r="AC37" s="302">
        <f t="shared" si="6"/>
        <v>0.19436062500000001</v>
      </c>
      <c r="AD37" s="302"/>
      <c r="AE37" s="303"/>
      <c r="AF37" s="302" t="str">
        <f t="shared" si="7"/>
        <v/>
      </c>
      <c r="AG37" s="322" t="str">
        <f t="shared" si="8"/>
        <v/>
      </c>
      <c r="AH37" s="322" t="str">
        <f t="shared" si="9"/>
        <v/>
      </c>
      <c r="AI37" s="322">
        <f t="shared" si="10"/>
        <v>2.8386476124792077E-2</v>
      </c>
      <c r="AJ37" s="434" t="str">
        <f t="shared" si="11"/>
        <v/>
      </c>
    </row>
    <row r="38" spans="1:36" ht="16.5" customHeight="1">
      <c r="A38" s="243"/>
      <c r="B38" s="726" t="s">
        <v>1629</v>
      </c>
      <c r="C38" s="745"/>
      <c r="D38" s="737"/>
      <c r="E38" s="737"/>
      <c r="F38" s="737"/>
      <c r="G38" s="770" t="str">
        <f>Menu!$A$22</f>
        <v>Hệ tường hoặc hệ kết cấu hỗn hợp tương đương với tường</v>
      </c>
      <c r="H38" s="771"/>
      <c r="I38" s="771"/>
      <c r="J38" s="771"/>
      <c r="K38" s="737"/>
      <c r="L38" s="737"/>
      <c r="M38" s="738"/>
      <c r="N38" s="733">
        <v>2.5</v>
      </c>
      <c r="O38" s="734">
        <f t="shared" si="0"/>
        <v>0.179122752</v>
      </c>
      <c r="P38" s="332"/>
      <c r="Q38" s="332"/>
      <c r="R38" s="735">
        <f t="shared" si="1"/>
        <v>0.179122752</v>
      </c>
      <c r="X38" s="296"/>
      <c r="Y38" s="432">
        <f t="shared" si="2"/>
        <v>2.5</v>
      </c>
      <c r="Z38" s="433" t="str">
        <f t="shared" si="3"/>
        <v/>
      </c>
      <c r="AA38" s="302" t="str">
        <f t="shared" si="4"/>
        <v/>
      </c>
      <c r="AB38" s="302" t="str">
        <f t="shared" si="5"/>
        <v/>
      </c>
      <c r="AC38" s="302">
        <f t="shared" si="6"/>
        <v>0.17912275200000002</v>
      </c>
      <c r="AD38" s="302"/>
      <c r="AE38" s="303"/>
      <c r="AF38" s="302" t="str">
        <f t="shared" si="7"/>
        <v/>
      </c>
      <c r="AG38" s="322" t="str">
        <f t="shared" si="8"/>
        <v/>
      </c>
      <c r="AH38" s="322" t="str">
        <f t="shared" si="9"/>
        <v/>
      </c>
      <c r="AI38" s="322">
        <f t="shared" si="10"/>
        <v>2.838647612479208E-2</v>
      </c>
      <c r="AJ38" s="434" t="str">
        <f t="shared" si="11"/>
        <v/>
      </c>
    </row>
    <row r="39" spans="1:36" ht="16.5" customHeight="1">
      <c r="A39" s="243"/>
      <c r="B39" s="772" t="str">
        <f>IF(Menu!$C$7="V","","Equivalent structural system")</f>
        <v/>
      </c>
      <c r="C39" s="745"/>
      <c r="D39" s="737"/>
      <c r="E39" s="737"/>
      <c r="F39" s="737"/>
      <c r="G39" s="819" t="str">
        <f>IF(Menu!$C$7="V","",VLOOKUP(ST_1,'EarthQuake Base'!J40:K41,2,0))</f>
        <v/>
      </c>
      <c r="H39" s="737"/>
      <c r="I39" s="737"/>
      <c r="J39" s="737"/>
      <c r="K39" s="737"/>
      <c r="L39" s="737"/>
      <c r="M39" s="738"/>
      <c r="N39" s="733">
        <v>2.6</v>
      </c>
      <c r="O39" s="734">
        <f t="shared" si="0"/>
        <v>0.165609053254438</v>
      </c>
      <c r="P39" s="332"/>
      <c r="Q39" s="332"/>
      <c r="R39" s="735">
        <f t="shared" si="1"/>
        <v>0.165609053254438</v>
      </c>
      <c r="U39" s="436"/>
      <c r="V39" s="437"/>
      <c r="W39" s="438"/>
      <c r="X39" s="296"/>
      <c r="Y39" s="432">
        <f t="shared" si="2"/>
        <v>2.6</v>
      </c>
      <c r="Z39" s="433" t="str">
        <f t="shared" si="3"/>
        <v/>
      </c>
      <c r="AA39" s="302" t="str">
        <f t="shared" si="4"/>
        <v/>
      </c>
      <c r="AB39" s="302" t="str">
        <f t="shared" si="5"/>
        <v/>
      </c>
      <c r="AC39" s="302">
        <f t="shared" si="6"/>
        <v>0.16560905325443787</v>
      </c>
      <c r="AD39" s="302"/>
      <c r="AE39" s="303"/>
      <c r="AF39" s="302" t="str">
        <f t="shared" si="7"/>
        <v/>
      </c>
      <c r="AG39" s="322" t="str">
        <f t="shared" si="8"/>
        <v/>
      </c>
      <c r="AH39" s="322" t="str">
        <f t="shared" si="9"/>
        <v/>
      </c>
      <c r="AI39" s="322">
        <f t="shared" si="10"/>
        <v>2.8386476124792084E-2</v>
      </c>
      <c r="AJ39" s="434" t="str">
        <f t="shared" si="11"/>
        <v/>
      </c>
    </row>
    <row r="40" spans="1:36" ht="16.5" customHeight="1">
      <c r="A40" s="243"/>
      <c r="B40" s="726" t="s">
        <v>1634</v>
      </c>
      <c r="C40" s="745"/>
      <c r="D40" s="737"/>
      <c r="E40" s="737"/>
      <c r="F40" s="737"/>
      <c r="G40" s="773" t="str">
        <f>Menu!$A$24</f>
        <v>Hệ kết cấu hỗn hợp tương đương với tường</v>
      </c>
      <c r="H40" s="737"/>
      <c r="I40" s="737"/>
      <c r="J40" s="737"/>
      <c r="K40" s="737"/>
      <c r="L40" s="737"/>
      <c r="M40" s="738"/>
      <c r="N40" s="733">
        <v>2.7</v>
      </c>
      <c r="O40" s="734">
        <f t="shared" si="0"/>
        <v>0.153568888888889</v>
      </c>
      <c r="P40" s="332"/>
      <c r="Q40" s="332"/>
      <c r="R40" s="735">
        <f t="shared" si="1"/>
        <v>0.153568888888889</v>
      </c>
      <c r="U40" s="436"/>
      <c r="V40" s="437"/>
      <c r="W40" s="438"/>
      <c r="X40" s="296"/>
      <c r="Y40" s="432">
        <f t="shared" si="2"/>
        <v>2.7</v>
      </c>
      <c r="Z40" s="433" t="str">
        <f t="shared" si="3"/>
        <v/>
      </c>
      <c r="AA40" s="302" t="str">
        <f t="shared" si="4"/>
        <v/>
      </c>
      <c r="AB40" s="302" t="str">
        <f t="shared" si="5"/>
        <v/>
      </c>
      <c r="AC40" s="302">
        <f t="shared" si="6"/>
        <v>0.15356888888888887</v>
      </c>
      <c r="AD40" s="302"/>
      <c r="AE40" s="303"/>
      <c r="AF40" s="302" t="str">
        <f t="shared" si="7"/>
        <v/>
      </c>
      <c r="AG40" s="322" t="str">
        <f t="shared" si="8"/>
        <v/>
      </c>
      <c r="AH40" s="322" t="str">
        <f t="shared" si="9"/>
        <v/>
      </c>
      <c r="AI40" s="322">
        <f t="shared" si="10"/>
        <v>2.838647612479208E-2</v>
      </c>
      <c r="AJ40" s="434" t="str">
        <f t="shared" si="11"/>
        <v/>
      </c>
    </row>
    <row r="41" spans="1:36" ht="16.5" customHeight="1">
      <c r="A41" s="243"/>
      <c r="B41" s="774" t="str">
        <f>IF(Menu!$C$7="V",""," Classification of structure")</f>
        <v/>
      </c>
      <c r="C41" s="775"/>
      <c r="D41" s="744"/>
      <c r="E41" s="744"/>
      <c r="F41" s="744"/>
      <c r="G41" s="776" t="str">
        <f>IF(Menu!$C$7="V","",VLOOKUP(G40,'EarthQuake Base'!B41:E48,4,0))</f>
        <v/>
      </c>
      <c r="H41" s="744"/>
      <c r="I41" s="744"/>
      <c r="J41" s="744"/>
      <c r="K41" s="744"/>
      <c r="L41" s="744"/>
      <c r="M41" s="777"/>
      <c r="N41" s="733">
        <v>2.8</v>
      </c>
      <c r="O41" s="734">
        <f t="shared" si="0"/>
        <v>0.14279556122449</v>
      </c>
      <c r="P41" s="332"/>
      <c r="Q41" s="332"/>
      <c r="R41" s="735">
        <f t="shared" si="1"/>
        <v>0.14279556122449</v>
      </c>
      <c r="U41" s="436"/>
      <c r="V41" s="437"/>
      <c r="W41" s="438"/>
      <c r="X41" s="296"/>
      <c r="Y41" s="432">
        <f t="shared" si="2"/>
        <v>2.8</v>
      </c>
      <c r="Z41" s="433" t="str">
        <f t="shared" si="3"/>
        <v/>
      </c>
      <c r="AA41" s="302" t="str">
        <f t="shared" si="4"/>
        <v/>
      </c>
      <c r="AB41" s="302" t="str">
        <f t="shared" si="5"/>
        <v/>
      </c>
      <c r="AC41" s="302">
        <f t="shared" si="6"/>
        <v>0.14279556122448983</v>
      </c>
      <c r="AD41" s="302"/>
      <c r="AE41" s="303"/>
      <c r="AF41" s="302" t="str">
        <f t="shared" si="7"/>
        <v/>
      </c>
      <c r="AG41" s="322" t="str">
        <f t="shared" si="8"/>
        <v/>
      </c>
      <c r="AH41" s="322" t="str">
        <f t="shared" si="9"/>
        <v/>
      </c>
      <c r="AI41" s="322">
        <f t="shared" si="10"/>
        <v>2.838647612479208E-2</v>
      </c>
      <c r="AJ41" s="434" t="str">
        <f t="shared" si="11"/>
        <v/>
      </c>
    </row>
    <row r="42" spans="1:36" ht="16.5" customHeight="1">
      <c r="A42" s="243"/>
      <c r="B42" s="778" t="s">
        <v>1794</v>
      </c>
      <c r="C42" s="761" t="str">
        <f>IF(Menu!$C$7="V","Các thông số thiết kế"," Các thông số thiết kế/ Design parameters")</f>
        <v>Các thông số thiết kế</v>
      </c>
      <c r="D42" s="762"/>
      <c r="E42" s="762"/>
      <c r="F42" s="762"/>
      <c r="G42" s="762"/>
      <c r="H42" s="762"/>
      <c r="I42" s="762"/>
      <c r="J42" s="762"/>
      <c r="K42" s="762"/>
      <c r="L42" s="762"/>
      <c r="M42" s="763"/>
      <c r="N42" s="733">
        <v>2.9</v>
      </c>
      <c r="O42" s="734">
        <f t="shared" si="0"/>
        <v>0.13311738406658699</v>
      </c>
      <c r="P42" s="332"/>
      <c r="Q42" s="332"/>
      <c r="R42" s="735">
        <f t="shared" si="1"/>
        <v>0.13311738406658699</v>
      </c>
      <c r="T42" s="439" t="s">
        <v>1596</v>
      </c>
      <c r="W42" s="300"/>
      <c r="X42" s="300"/>
      <c r="Y42" s="432">
        <f t="shared" si="2"/>
        <v>2.9</v>
      </c>
      <c r="Z42" s="433" t="str">
        <f t="shared" si="3"/>
        <v/>
      </c>
      <c r="AA42" s="302" t="str">
        <f t="shared" si="4"/>
        <v/>
      </c>
      <c r="AB42" s="302" t="str">
        <f t="shared" si="5"/>
        <v/>
      </c>
      <c r="AC42" s="302">
        <f t="shared" si="6"/>
        <v>0.13311738406658741</v>
      </c>
      <c r="AD42" s="302"/>
      <c r="AF42" s="302" t="str">
        <f t="shared" si="7"/>
        <v/>
      </c>
      <c r="AG42" s="322" t="str">
        <f t="shared" si="8"/>
        <v/>
      </c>
      <c r="AH42" s="322" t="str">
        <f t="shared" si="9"/>
        <v/>
      </c>
      <c r="AI42" s="322">
        <f t="shared" si="10"/>
        <v>2.8386476124792077E-2</v>
      </c>
      <c r="AJ42" s="434" t="str">
        <f t="shared" si="11"/>
        <v/>
      </c>
    </row>
    <row r="43" spans="1:36" ht="16.5" customHeight="1">
      <c r="A43" s="243"/>
      <c r="B43" s="787" t="str">
        <f>IF(Menu!$C$7="V","Tỉnh- Thành phố","Tỉnh - Thành phố/ City - Province")</f>
        <v>Tỉnh- Thành phố</v>
      </c>
      <c r="C43" s="743"/>
      <c r="D43" s="788"/>
      <c r="E43" s="788"/>
      <c r="F43" s="1229" t="str">
        <f>Menu!$B$14</f>
        <v>50. Quảng Trị</v>
      </c>
      <c r="G43" s="1229"/>
      <c r="H43" s="1230"/>
      <c r="I43" s="726" t="s">
        <v>1640</v>
      </c>
      <c r="J43" s="779"/>
      <c r="K43" s="780"/>
      <c r="L43" s="781" t="s">
        <v>1985</v>
      </c>
      <c r="M43" s="937">
        <f t="array" ref="M43">IFERROR(INDEX('EarthQuake Base'!$A$41:$F$48,MATCH(1,(ST_1=ST_All)*(G40='EarthQuake Base'!B41:B48),0),6),"")</f>
        <v>1.2</v>
      </c>
      <c r="N43" s="733">
        <v>3</v>
      </c>
      <c r="O43" s="734">
        <f t="shared" ref="O43:O46" si="12">MAX(VALUE(Z43&amp;AA43&amp;AB43&amp;AC43&amp;AD43),$M$44*$H$48)</f>
        <v>0.1243908</v>
      </c>
      <c r="P43" s="332"/>
      <c r="Q43" s="332"/>
      <c r="R43" s="735">
        <f t="shared" ref="R43:R70" si="13">VALUE(Z43&amp;AA43&amp;AB43&amp;AC43&amp;AD43)</f>
        <v>0.1243908</v>
      </c>
      <c r="T43" s="440" t="s">
        <v>964</v>
      </c>
      <c r="U43" s="441" t="s">
        <v>965</v>
      </c>
      <c r="V43" s="441" t="s">
        <v>966</v>
      </c>
      <c r="W43" s="300"/>
      <c r="X43" s="300"/>
      <c r="Y43" s="432">
        <f t="shared" ref="Y43:Y71" si="14">N43</f>
        <v>3</v>
      </c>
      <c r="Z43" s="433" t="str">
        <f t="shared" si="3"/>
        <v/>
      </c>
      <c r="AA43" s="302" t="str">
        <f t="shared" si="4"/>
        <v/>
      </c>
      <c r="AB43" s="302" t="str">
        <f t="shared" ref="AB43:AB70" si="15">IF(N43&lt;=$F$33,"",IF(N43&gt;$G$33,"",$H$48*$D$33*2.5*$F$33/($M$49*N43)))</f>
        <v/>
      </c>
      <c r="AC43" s="302">
        <f t="shared" ref="AC43:AC70" si="16">IF(N43&lt;=$G$33,"",IF(N43&gt;$H$33,"",$H$48*$D$33*2.5*$F$33*$G$33/($M$49*N43^2)))</f>
        <v>0.12439080000000001</v>
      </c>
      <c r="AD43" s="302"/>
      <c r="AF43" s="302" t="str">
        <f t="shared" ref="AF43:AF60" si="17">IF(N43&lt;$E$33,Z43*(N43/2/3.14)^2,"")</f>
        <v/>
      </c>
      <c r="AG43" s="322" t="str">
        <f t="shared" ref="AG43:AG60" si="18">IF(N43&lt;$E$33,"",IF(N43&gt;$F$33,"",AA43*(N43/2/3.14)^2))</f>
        <v/>
      </c>
      <c r="AH43" s="322" t="str">
        <f t="shared" ref="AH43:AH60" si="19">IF(N43&lt;=$F$33,"",IF(N43&gt;$G$33,"",AB43*(N43/2/3.14)^2))</f>
        <v/>
      </c>
      <c r="AI43" s="322">
        <f t="shared" ref="AI43:AI60" si="20">IF(N43&lt;=$G$33,"",IF(N43&gt;$H$33,"",AC43*(N43/2/3.14)^2))</f>
        <v>2.8386476124792084E-2</v>
      </c>
      <c r="AJ43" s="434" t="str">
        <f t="shared" ref="AJ43:AJ70" si="21">IF(N43&lt;=$H$33,"",MAX(0.025*$H$48*$D$33*$F$33*$G$33*(2.5+($N43-$H$33)/($I$33-$H$33)*(1-2.5))/$M$49,0.025*$H$48*$D$33*$F$33*$G$33/$M$49))</f>
        <v/>
      </c>
    </row>
    <row r="44" spans="1:36" ht="16.5" customHeight="1">
      <c r="A44" s="243"/>
      <c r="B44" s="789" t="str">
        <f>IF(Menu!$C$7="V","Địa điểm"," Địa điểm/ Location")</f>
        <v>Địa điểm</v>
      </c>
      <c r="C44" s="723"/>
      <c r="D44" s="790"/>
      <c r="E44" s="790"/>
      <c r="F44" s="1221" t="str">
        <f>Menu!$B$15</f>
        <v>Huyện Gio Linh</v>
      </c>
      <c r="G44" s="1221"/>
      <c r="H44" s="1222"/>
      <c r="I44" s="729" t="str">
        <f>IF(Menu!$C$7="V","","Related factors")</f>
        <v/>
      </c>
      <c r="J44" s="754"/>
      <c r="K44" s="780"/>
      <c r="L44" s="782" t="s">
        <v>1986</v>
      </c>
      <c r="M44" s="938">
        <v>0.2</v>
      </c>
      <c r="N44" s="733">
        <v>3.25</v>
      </c>
      <c r="O44" s="734">
        <f t="shared" si="12"/>
        <v>0.10598979408284</v>
      </c>
      <c r="P44" s="332"/>
      <c r="Q44" s="332"/>
      <c r="R44" s="735">
        <f t="shared" si="13"/>
        <v>0.10598979408284</v>
      </c>
      <c r="T44" s="442" t="s">
        <v>968</v>
      </c>
      <c r="U44" s="443">
        <f>3*$M$43</f>
        <v>3.5999999999999996</v>
      </c>
      <c r="V44" s="444">
        <f>4.5*$M$43</f>
        <v>5.3999999999999995</v>
      </c>
      <c r="W44" s="300"/>
      <c r="X44" s="300"/>
      <c r="Y44" s="432">
        <f t="shared" si="14"/>
        <v>3.25</v>
      </c>
      <c r="Z44" s="433" t="str">
        <f t="shared" si="3"/>
        <v/>
      </c>
      <c r="AA44" s="302" t="str">
        <f t="shared" si="4"/>
        <v/>
      </c>
      <c r="AB44" s="302" t="str">
        <f t="shared" si="15"/>
        <v/>
      </c>
      <c r="AC44" s="302">
        <f t="shared" si="16"/>
        <v>0.10598979408284025</v>
      </c>
      <c r="AD44" s="302"/>
      <c r="AF44" s="302" t="str">
        <f t="shared" si="17"/>
        <v/>
      </c>
      <c r="AG44" s="322" t="str">
        <f t="shared" si="18"/>
        <v/>
      </c>
      <c r="AH44" s="322" t="str">
        <f t="shared" si="19"/>
        <v/>
      </c>
      <c r="AI44" s="322">
        <f t="shared" si="20"/>
        <v>2.8386476124792077E-2</v>
      </c>
      <c r="AJ44" s="434" t="str">
        <f t="shared" si="21"/>
        <v/>
      </c>
    </row>
    <row r="45" spans="1:36" ht="16.5" customHeight="1">
      <c r="A45" s="243"/>
      <c r="B45" s="791" t="s">
        <v>1642</v>
      </c>
      <c r="C45" s="723"/>
      <c r="D45" s="737"/>
      <c r="E45" s="792"/>
      <c r="F45" s="793"/>
      <c r="G45" s="794" t="s">
        <v>1988</v>
      </c>
      <c r="H45" s="800">
        <f t="array" ref="H45">9.81*IFERROR(INDEX('Wind base'!$AO:$AU,MATCH(1,(F43='Wind base'!AO:AO)*(F44='Wind base'!AP:AP),0),7),"")</f>
        <v>0.310977</v>
      </c>
      <c r="I45" s="814"/>
      <c r="J45" s="783"/>
      <c r="K45" s="780"/>
      <c r="L45" s="782" t="s">
        <v>1987</v>
      </c>
      <c r="M45" s="938">
        <f>Menu!$B$26</f>
        <v>1</v>
      </c>
      <c r="N45" s="733">
        <v>3.5</v>
      </c>
      <c r="O45" s="734">
        <f t="shared" si="12"/>
        <v>9.1389159183673505E-2</v>
      </c>
      <c r="P45" s="332"/>
      <c r="Q45" s="332"/>
      <c r="R45" s="735">
        <f t="shared" si="13"/>
        <v>9.1389159183673505E-2</v>
      </c>
      <c r="T45" s="442" t="s">
        <v>970</v>
      </c>
      <c r="U45" s="445">
        <v>3</v>
      </c>
      <c r="V45" s="444">
        <f>4*$M$43</f>
        <v>4.8</v>
      </c>
      <c r="W45" s="300"/>
      <c r="X45" s="300"/>
      <c r="Y45" s="432">
        <f t="shared" si="14"/>
        <v>3.5</v>
      </c>
      <c r="Z45" s="433" t="str">
        <f t="shared" si="3"/>
        <v/>
      </c>
      <c r="AA45" s="302" t="str">
        <f t="shared" si="4"/>
        <v/>
      </c>
      <c r="AB45" s="302" t="str">
        <f t="shared" si="15"/>
        <v/>
      </c>
      <c r="AC45" s="302">
        <f t="shared" si="16"/>
        <v>9.1389159183673477E-2</v>
      </c>
      <c r="AD45" s="302"/>
      <c r="AF45" s="302" t="str">
        <f t="shared" si="17"/>
        <v/>
      </c>
      <c r="AG45" s="322" t="str">
        <f t="shared" si="18"/>
        <v/>
      </c>
      <c r="AH45" s="322" t="str">
        <f t="shared" si="19"/>
        <v/>
      </c>
      <c r="AI45" s="322">
        <f t="shared" si="20"/>
        <v>2.838647612479208E-2</v>
      </c>
      <c r="AJ45" s="434" t="str">
        <f t="shared" si="21"/>
        <v/>
      </c>
    </row>
    <row r="46" spans="1:36" ht="16.5" customHeight="1">
      <c r="A46" s="243"/>
      <c r="B46" s="729" t="str">
        <f>IF(Menu!$C$7="V",""," Reference peak ground acceleration")</f>
        <v/>
      </c>
      <c r="C46" s="723"/>
      <c r="D46" s="795"/>
      <c r="E46" s="790"/>
      <c r="F46" s="796"/>
      <c r="G46" s="796"/>
      <c r="H46" s="797"/>
      <c r="I46" s="737"/>
      <c r="J46" s="754"/>
      <c r="K46" s="780"/>
      <c r="L46" s="814" t="s">
        <v>2054</v>
      </c>
      <c r="M46" s="938">
        <f>Menu!$B$27</f>
        <v>1</v>
      </c>
      <c r="N46" s="733">
        <v>3.75</v>
      </c>
      <c r="O46" s="734">
        <f t="shared" si="12"/>
        <v>7.9610111999999997E-2</v>
      </c>
      <c r="P46" s="332"/>
      <c r="Q46" s="332"/>
      <c r="R46" s="735">
        <f t="shared" si="13"/>
        <v>7.9610111999999997E-2</v>
      </c>
      <c r="T46" s="442" t="s">
        <v>972</v>
      </c>
      <c r="U46" s="445">
        <v>2</v>
      </c>
      <c r="V46" s="446">
        <v>3</v>
      </c>
      <c r="W46" s="300"/>
      <c r="X46" s="300"/>
      <c r="Y46" s="432">
        <f t="shared" si="14"/>
        <v>3.75</v>
      </c>
      <c r="Z46" s="433" t="str">
        <f t="shared" si="3"/>
        <v/>
      </c>
      <c r="AA46" s="302" t="str">
        <f t="shared" si="4"/>
        <v/>
      </c>
      <c r="AB46" s="302" t="str">
        <f t="shared" si="15"/>
        <v/>
      </c>
      <c r="AC46" s="302">
        <f t="shared" si="16"/>
        <v>7.9610112000000011E-2</v>
      </c>
      <c r="AD46" s="302"/>
      <c r="AF46" s="302" t="str">
        <f t="shared" si="17"/>
        <v/>
      </c>
      <c r="AG46" s="322" t="str">
        <f t="shared" si="18"/>
        <v/>
      </c>
      <c r="AH46" s="322" t="str">
        <f t="shared" si="19"/>
        <v/>
      </c>
      <c r="AI46" s="322">
        <f t="shared" si="20"/>
        <v>2.838647612479208E-2</v>
      </c>
      <c r="AJ46" s="434" t="str">
        <f t="shared" si="21"/>
        <v/>
      </c>
    </row>
    <row r="47" spans="1:36" ht="16.5" customHeight="1">
      <c r="A47" s="243"/>
      <c r="B47" s="726" t="str">
        <f>IF(Menu!$C$7="V","Hệ số tầm quan trọng"," Hệ số tầm quan trọng/ Importance factor")</f>
        <v>Hệ số tầm quan trọng</v>
      </c>
      <c r="C47" s="745"/>
      <c r="D47" s="737"/>
      <c r="E47" s="737"/>
      <c r="F47" s="770"/>
      <c r="G47" s="798" t="s">
        <v>2053</v>
      </c>
      <c r="H47" s="799">
        <f>IF(Menu!$B$16="Cấp I",1.25,IF(Menu!$B$16="Cấp II",1,0.75))</f>
        <v>1</v>
      </c>
      <c r="I47" s="726" t="s">
        <v>1641</v>
      </c>
      <c r="J47" s="754"/>
      <c r="K47" s="780"/>
      <c r="L47" s="814" t="s">
        <v>2055</v>
      </c>
      <c r="M47" s="939">
        <f>IF(G35="DCL",1.5,INDEX($U$44:$V$47,MATCH($G$36,$T$44:$T$47,0),MATCH($G$35,$U$43:$V$43,0)))</f>
        <v>1.5</v>
      </c>
      <c r="N47" s="733">
        <v>4</v>
      </c>
      <c r="O47" s="734">
        <f>MAX(VALUE(AF47&amp;AG47&amp;AH47&amp;AI47&amp;AJ47),$M$44*$H$48)</f>
        <v>6.2195400000000005E-2</v>
      </c>
      <c r="P47" s="332"/>
      <c r="Q47" s="332"/>
      <c r="R47" s="735">
        <f t="shared" si="13"/>
        <v>6.9969824999999999E-2</v>
      </c>
      <c r="T47" s="442" t="s">
        <v>974</v>
      </c>
      <c r="U47" s="443">
        <v>1.5</v>
      </c>
      <c r="V47" s="446">
        <v>2</v>
      </c>
      <c r="W47" s="300"/>
      <c r="X47" s="300"/>
      <c r="Y47" s="432">
        <f t="shared" si="14"/>
        <v>4</v>
      </c>
      <c r="Z47" s="433" t="str">
        <f t="shared" si="3"/>
        <v/>
      </c>
      <c r="AA47" s="302" t="str">
        <f t="shared" si="4"/>
        <v/>
      </c>
      <c r="AB47" s="302" t="str">
        <f t="shared" si="15"/>
        <v/>
      </c>
      <c r="AC47" s="302">
        <f t="shared" si="16"/>
        <v>6.9969824999999999E-2</v>
      </c>
      <c r="AD47" s="325" t="str">
        <f t="shared" ref="AD47:AD71" si="22">IFERROR(AJ47*(2*3.14/N47)^2,"")</f>
        <v/>
      </c>
      <c r="AF47" s="302" t="str">
        <f t="shared" si="17"/>
        <v/>
      </c>
      <c r="AG47" s="322" t="str">
        <f t="shared" si="18"/>
        <v/>
      </c>
      <c r="AH47" s="322" t="str">
        <f t="shared" si="19"/>
        <v/>
      </c>
      <c r="AI47" s="322">
        <f t="shared" si="20"/>
        <v>2.8386476124792077E-2</v>
      </c>
      <c r="AJ47" s="434" t="str">
        <f t="shared" si="21"/>
        <v/>
      </c>
    </row>
    <row r="48" spans="1:36" ht="16.5" customHeight="1">
      <c r="A48" s="243"/>
      <c r="B48" s="726" t="str">
        <f>IF(Menu!$C$7="V","Gia tốc nền"," Gia tốc nền thiết kế/ Design ground acceleration")</f>
        <v>Gia tốc nền</v>
      </c>
      <c r="C48" s="723"/>
      <c r="D48" s="795"/>
      <c r="E48" s="790"/>
      <c r="F48" s="796"/>
      <c r="G48" s="794" t="s">
        <v>1989</v>
      </c>
      <c r="H48" s="800">
        <f>H45*H47</f>
        <v>0.310977</v>
      </c>
      <c r="I48" s="729" t="str">
        <f>IF(Menu!$C$7="V",""," Basic value of behaviour factor")</f>
        <v/>
      </c>
      <c r="J48" s="754"/>
      <c r="K48" s="780"/>
      <c r="L48" s="737"/>
      <c r="M48" s="940"/>
      <c r="N48" s="733">
        <v>4.25</v>
      </c>
      <c r="O48" s="734">
        <f t="shared" ref="O48:O70" si="23">MAX(VALUE(AF48&amp;AG48&amp;AH48&amp;AI48&amp;AJ48),$M$44*$H$48)</f>
        <v>6.2195400000000005E-2</v>
      </c>
      <c r="P48" s="332"/>
      <c r="Q48" s="332"/>
      <c r="R48" s="735">
        <f t="shared" si="13"/>
        <v>6.1980191003460201E-2</v>
      </c>
      <c r="W48" s="300"/>
      <c r="X48" s="300"/>
      <c r="Y48" s="432">
        <f t="shared" si="14"/>
        <v>4.25</v>
      </c>
      <c r="Z48" s="433" t="str">
        <f t="shared" si="3"/>
        <v/>
      </c>
      <c r="AA48" s="302" t="str">
        <f t="shared" si="4"/>
        <v/>
      </c>
      <c r="AB48" s="302" t="str">
        <f t="shared" si="15"/>
        <v/>
      </c>
      <c r="AC48" s="302">
        <f t="shared" si="16"/>
        <v>6.1980191003460208E-2</v>
      </c>
      <c r="AD48" s="325" t="str">
        <f t="shared" si="22"/>
        <v/>
      </c>
      <c r="AF48" s="302" t="str">
        <f t="shared" si="17"/>
        <v/>
      </c>
      <c r="AG48" s="322" t="str">
        <f t="shared" si="18"/>
        <v/>
      </c>
      <c r="AH48" s="322" t="str">
        <f t="shared" si="19"/>
        <v/>
      </c>
      <c r="AI48" s="322">
        <f t="shared" si="20"/>
        <v>2.8386476124792084E-2</v>
      </c>
      <c r="AJ48" s="434" t="str">
        <f t="shared" si="21"/>
        <v/>
      </c>
    </row>
    <row r="49" spans="1:36" ht="16.5" customHeight="1">
      <c r="A49" s="243"/>
      <c r="B49" s="890" t="str">
        <f>IF(Menu!$C$7="V","Nhận xét:","Nhận xét/remark:")</f>
        <v>Nhận xét:</v>
      </c>
      <c r="C49" s="758"/>
      <c r="D49" s="737" t="str">
        <f>IF($H$48&lt;0.04*9.81,"Không cần thiết kế kháng chấn",IF(AND($H$48&gt;=0.04*9.81,$H$48&lt;0.08*9.81),"Chỉ cần áp dụng các giải pháp kháng chấn giảm nhẹ","Phải tính toán và cấu tạo kháng chấn"))</f>
        <v>Không cần thiết kế kháng chấn</v>
      </c>
      <c r="E49" s="737"/>
      <c r="F49" s="737"/>
      <c r="G49" s="737"/>
      <c r="H49" s="738"/>
      <c r="I49" s="726" t="str">
        <f>IF(Menu!$C$7="V","Hệ số ứng xử","Hệ số ứng xử/ Behaviour factor")</f>
        <v>Hệ số ứng xử</v>
      </c>
      <c r="J49" s="754"/>
      <c r="K49" s="780"/>
      <c r="L49" s="814" t="s">
        <v>1597</v>
      </c>
      <c r="M49" s="939">
        <f>IF(G35="DCL",1.5,M47*M45*M46)</f>
        <v>1.5</v>
      </c>
      <c r="N49" s="733">
        <v>4.5</v>
      </c>
      <c r="O49" s="734">
        <f t="shared" si="23"/>
        <v>6.2195400000000005E-2</v>
      </c>
      <c r="P49" s="332"/>
      <c r="Q49" s="332"/>
      <c r="R49" s="735">
        <f t="shared" si="13"/>
        <v>5.5284800000000002E-2</v>
      </c>
      <c r="S49" s="329"/>
      <c r="T49" s="314"/>
      <c r="U49" s="314"/>
      <c r="V49" s="314"/>
      <c r="W49" s="315"/>
      <c r="X49" s="316"/>
      <c r="Y49" s="432">
        <f t="shared" si="14"/>
        <v>4.5</v>
      </c>
      <c r="Z49" s="433" t="str">
        <f t="shared" si="3"/>
        <v/>
      </c>
      <c r="AA49" s="302" t="str">
        <f t="shared" si="4"/>
        <v/>
      </c>
      <c r="AB49" s="302" t="str">
        <f t="shared" si="15"/>
        <v/>
      </c>
      <c r="AC49" s="302">
        <f t="shared" si="16"/>
        <v>5.5284800000000002E-2</v>
      </c>
      <c r="AD49" s="325" t="str">
        <f t="shared" si="22"/>
        <v/>
      </c>
      <c r="AF49" s="302" t="str">
        <f t="shared" si="17"/>
        <v/>
      </c>
      <c r="AG49" s="322" t="str">
        <f t="shared" si="18"/>
        <v/>
      </c>
      <c r="AH49" s="322" t="str">
        <f t="shared" si="19"/>
        <v/>
      </c>
      <c r="AI49" s="322">
        <f t="shared" si="20"/>
        <v>2.838647612479208E-2</v>
      </c>
      <c r="AJ49" s="434" t="str">
        <f t="shared" si="21"/>
        <v/>
      </c>
    </row>
    <row r="50" spans="1:36" ht="16.5" customHeight="1">
      <c r="A50" s="243"/>
      <c r="B50" s="893"/>
      <c r="C50" s="894"/>
      <c r="D50" s="751" t="str">
        <f>IF(Menu!$C$7="V","",IF($H$48&lt;0.04*9.81,"Don't need seismic design",IF(AND($H$48&gt;=0.04*9.81,$H$48&lt;0.08*9.81),"Reduced or simplified seismic design procedures for
certain types or categories of structures may be used","Design apply seismic standard")))</f>
        <v/>
      </c>
      <c r="E50" s="895"/>
      <c r="F50" s="895"/>
      <c r="G50" s="895"/>
      <c r="H50" s="896"/>
      <c r="I50" s="895"/>
      <c r="J50" s="895"/>
      <c r="K50" s="895"/>
      <c r="L50" s="895"/>
      <c r="M50" s="893"/>
      <c r="N50" s="733">
        <v>4.75</v>
      </c>
      <c r="O50" s="734">
        <f t="shared" si="23"/>
        <v>6.2195400000000005E-2</v>
      </c>
      <c r="P50" s="332"/>
      <c r="Q50" s="332"/>
      <c r="R50" s="735">
        <f t="shared" si="13"/>
        <v>4.96184908587258E-2</v>
      </c>
      <c r="W50" s="300"/>
      <c r="X50" s="300"/>
      <c r="Y50" s="432">
        <f t="shared" si="14"/>
        <v>4.75</v>
      </c>
      <c r="Z50" s="433"/>
      <c r="AA50" s="302"/>
      <c r="AB50" s="302" t="str">
        <f t="shared" si="15"/>
        <v/>
      </c>
      <c r="AC50" s="302">
        <f t="shared" si="16"/>
        <v>4.9618490858725765E-2</v>
      </c>
      <c r="AD50" s="325" t="str">
        <f t="shared" si="22"/>
        <v/>
      </c>
      <c r="AF50" s="302" t="str">
        <f t="shared" si="17"/>
        <v/>
      </c>
      <c r="AG50" s="322" t="str">
        <f t="shared" si="18"/>
        <v/>
      </c>
      <c r="AH50" s="322" t="str">
        <f t="shared" si="19"/>
        <v/>
      </c>
      <c r="AI50" s="322">
        <f t="shared" si="20"/>
        <v>2.8386476124792084E-2</v>
      </c>
      <c r="AJ50" s="434" t="str">
        <f t="shared" si="21"/>
        <v/>
      </c>
    </row>
    <row r="51" spans="1:36" ht="16.5" customHeight="1">
      <c r="A51" s="243"/>
      <c r="B51" s="813" t="str">
        <f>IF(Menu!$C$7="V","(*) Đỉnh gia tốc nền agR đã được quy đổi theo gia tốc trọng trường g","(*) Đỉnh gia tốc nền agR đã được quy đổi theo gia tốc trọng trường g/ Ref. peak ground acc. are converted to acc. due to gravity g")</f>
        <v>(*) Đỉnh gia tốc nền agR đã được quy đổi theo gia tốc trọng trường g</v>
      </c>
      <c r="C51" s="891"/>
      <c r="D51" s="892"/>
      <c r="E51" s="892"/>
      <c r="F51" s="737"/>
      <c r="G51" s="737"/>
      <c r="H51" s="737"/>
      <c r="I51" s="737"/>
      <c r="J51" s="737"/>
      <c r="K51" s="737"/>
      <c r="L51" s="737"/>
      <c r="M51" s="738"/>
      <c r="N51" s="733">
        <v>5</v>
      </c>
      <c r="O51" s="734">
        <f t="shared" si="23"/>
        <v>6.2195400000000005E-2</v>
      </c>
      <c r="P51" s="332"/>
      <c r="Q51" s="332"/>
      <c r="R51" s="735">
        <f t="shared" si="13"/>
        <v>4.4780687999999999E-2</v>
      </c>
      <c r="W51" s="300"/>
      <c r="X51" s="300"/>
      <c r="Y51" s="432">
        <f t="shared" si="14"/>
        <v>5</v>
      </c>
      <c r="Z51" s="433"/>
      <c r="AA51" s="302"/>
      <c r="AB51" s="302" t="str">
        <f t="shared" si="15"/>
        <v/>
      </c>
      <c r="AC51" s="302">
        <f t="shared" si="16"/>
        <v>4.4780688000000006E-2</v>
      </c>
      <c r="AD51" s="325" t="str">
        <f t="shared" si="22"/>
        <v/>
      </c>
      <c r="AF51" s="302" t="str">
        <f t="shared" si="17"/>
        <v/>
      </c>
      <c r="AG51" s="322" t="str">
        <f t="shared" si="18"/>
        <v/>
      </c>
      <c r="AH51" s="322" t="str">
        <f t="shared" si="19"/>
        <v/>
      </c>
      <c r="AI51" s="322">
        <f t="shared" si="20"/>
        <v>2.838647612479208E-2</v>
      </c>
      <c r="AJ51" s="434" t="str">
        <f t="shared" si="21"/>
        <v/>
      </c>
    </row>
    <row r="52" spans="1:36" ht="16.5" customHeight="1">
      <c r="A52" s="243"/>
      <c r="B52" s="813" t="s">
        <v>2052</v>
      </c>
      <c r="C52" s="737" t="str">
        <f>IF(Menu!$C$7="V",": Hệ số điểu chỉnh theo tính đều đặn của mặt đứng",": Hệ số điểu chỉnh theo tính đều đặn của mặt đứng/ Adjustment factor to the regularity in elevation of building")</f>
        <v>: Hệ số điểu chỉnh theo tính đều đặn của mặt đứng</v>
      </c>
      <c r="D52" s="737"/>
      <c r="E52" s="737"/>
      <c r="F52" s="737"/>
      <c r="G52" s="737"/>
      <c r="H52" s="737"/>
      <c r="I52" s="737"/>
      <c r="J52" s="737"/>
      <c r="K52" s="737"/>
      <c r="L52" s="814"/>
      <c r="M52" s="749"/>
      <c r="N52" s="733">
        <v>5.25</v>
      </c>
      <c r="O52" s="734">
        <f t="shared" si="23"/>
        <v>6.2195400000000005E-2</v>
      </c>
      <c r="P52" s="332"/>
      <c r="Q52" s="332"/>
      <c r="R52" s="735">
        <f t="shared" si="13"/>
        <v>4.0617404081632703E-2</v>
      </c>
      <c r="W52" s="300"/>
      <c r="X52" s="300"/>
      <c r="Y52" s="432">
        <f t="shared" si="14"/>
        <v>5.25</v>
      </c>
      <c r="Z52" s="433"/>
      <c r="AA52" s="302"/>
      <c r="AB52" s="302" t="str">
        <f t="shared" si="15"/>
        <v/>
      </c>
      <c r="AC52" s="302">
        <f t="shared" si="16"/>
        <v>4.0617404081632655E-2</v>
      </c>
      <c r="AD52" s="302" t="str">
        <f t="shared" si="22"/>
        <v/>
      </c>
      <c r="AF52" s="302" t="str">
        <f t="shared" si="17"/>
        <v/>
      </c>
      <c r="AG52" s="322" t="str">
        <f t="shared" si="18"/>
        <v/>
      </c>
      <c r="AH52" s="322" t="str">
        <f t="shared" si="19"/>
        <v/>
      </c>
      <c r="AI52" s="322">
        <f t="shared" si="20"/>
        <v>2.838647612479208E-2</v>
      </c>
      <c r="AJ52" s="434" t="str">
        <f t="shared" si="21"/>
        <v/>
      </c>
    </row>
    <row r="53" spans="1:36" ht="16.5" customHeight="1">
      <c r="A53" s="243"/>
      <c r="B53" s="813" t="s">
        <v>1996</v>
      </c>
      <c r="C53" s="737" t="str">
        <f>IF(Menu!$C$7="V",": Hệ số phản ánh dạng phá hoại chủ đạo trong hệ kết cấu có tường",": Hệ số phản ánh dạng phá hoại chủ đạo trong hệ kết cấu có tường/ Factor reflecting the prevailing failure mode in structural systems with wall")</f>
        <v>: Hệ số phản ánh dạng phá hoại chủ đạo trong hệ kết cấu có tường</v>
      </c>
      <c r="D53" s="737"/>
      <c r="E53" s="737"/>
      <c r="F53" s="790"/>
      <c r="G53" s="737"/>
      <c r="H53" s="737"/>
      <c r="I53" s="737"/>
      <c r="J53" s="737"/>
      <c r="K53" s="737"/>
      <c r="L53" s="737"/>
      <c r="M53" s="738"/>
      <c r="N53" s="733">
        <v>5.5</v>
      </c>
      <c r="O53" s="734">
        <f t="shared" si="23"/>
        <v>6.2195400000000005E-2</v>
      </c>
      <c r="P53" s="332"/>
      <c r="Q53" s="332"/>
      <c r="R53" s="735">
        <f t="shared" si="13"/>
        <v>3.7008833057851201E-2</v>
      </c>
      <c r="W53" s="300"/>
      <c r="X53" s="300"/>
      <c r="Y53" s="432">
        <f t="shared" si="14"/>
        <v>5.5</v>
      </c>
      <c r="Z53" s="433"/>
      <c r="AA53" s="302"/>
      <c r="AB53" s="302" t="str">
        <f t="shared" si="15"/>
        <v/>
      </c>
      <c r="AC53" s="302">
        <f t="shared" si="16"/>
        <v>3.7008833057851243E-2</v>
      </c>
      <c r="AD53" s="302" t="str">
        <f t="shared" si="22"/>
        <v/>
      </c>
      <c r="AF53" s="302" t="str">
        <f t="shared" si="17"/>
        <v/>
      </c>
      <c r="AG53" s="322" t="str">
        <f t="shared" si="18"/>
        <v/>
      </c>
      <c r="AH53" s="322" t="str">
        <f t="shared" si="19"/>
        <v/>
      </c>
      <c r="AI53" s="322">
        <f t="shared" si="20"/>
        <v>2.8386476124792077E-2</v>
      </c>
      <c r="AJ53" s="434" t="str">
        <f t="shared" si="21"/>
        <v/>
      </c>
    </row>
    <row r="54" spans="1:36" ht="15" customHeight="1">
      <c r="A54" s="243"/>
      <c r="B54" s="307"/>
      <c r="C54" s="308"/>
      <c r="D54" s="312"/>
      <c r="E54" s="301"/>
      <c r="F54" s="301"/>
      <c r="G54" s="301"/>
      <c r="H54" s="301"/>
      <c r="I54" s="301"/>
      <c r="J54" s="301"/>
      <c r="K54" s="301"/>
      <c r="L54" s="301"/>
      <c r="M54" s="311"/>
      <c r="N54" s="733">
        <v>5.75</v>
      </c>
      <c r="O54" s="734">
        <f t="shared" si="23"/>
        <v>6.2195400000000005E-2</v>
      </c>
      <c r="P54" s="332"/>
      <c r="Q54" s="332"/>
      <c r="R54" s="735">
        <f t="shared" si="13"/>
        <v>3.3860633648393201E-2</v>
      </c>
      <c r="W54" s="300"/>
      <c r="X54" s="300"/>
      <c r="Y54" s="432">
        <f t="shared" si="14"/>
        <v>5.75</v>
      </c>
      <c r="Z54" s="318"/>
      <c r="AA54" s="318"/>
      <c r="AB54" s="302" t="str">
        <f t="shared" si="15"/>
        <v/>
      </c>
      <c r="AC54" s="302">
        <f t="shared" si="16"/>
        <v>3.3860633648393194E-2</v>
      </c>
      <c r="AD54" s="302" t="str">
        <f t="shared" si="22"/>
        <v/>
      </c>
      <c r="AF54" s="302" t="str">
        <f t="shared" si="17"/>
        <v/>
      </c>
      <c r="AG54" s="322" t="str">
        <f t="shared" si="18"/>
        <v/>
      </c>
      <c r="AH54" s="322" t="str">
        <f t="shared" si="19"/>
        <v/>
      </c>
      <c r="AI54" s="322">
        <f t="shared" si="20"/>
        <v>2.838647612479208E-2</v>
      </c>
      <c r="AJ54" s="434" t="str">
        <f t="shared" si="21"/>
        <v/>
      </c>
    </row>
    <row r="55" spans="1:36" ht="15" customHeight="1">
      <c r="A55" s="243"/>
      <c r="B55" s="307"/>
      <c r="C55" s="308"/>
      <c r="D55" s="312"/>
      <c r="E55" s="301"/>
      <c r="F55" s="301"/>
      <c r="G55" s="301"/>
      <c r="H55" s="301"/>
      <c r="I55" s="301"/>
      <c r="J55" s="301"/>
      <c r="K55" s="301"/>
      <c r="L55" s="301"/>
      <c r="M55" s="311"/>
      <c r="N55" s="733">
        <v>6</v>
      </c>
      <c r="O55" s="734">
        <f t="shared" si="23"/>
        <v>6.2195400000000005E-2</v>
      </c>
      <c r="P55" s="332"/>
      <c r="Q55" s="332"/>
      <c r="R55" s="735">
        <f t="shared" si="13"/>
        <v>3.1097699999999999E-2</v>
      </c>
      <c r="W55" s="300"/>
      <c r="X55" s="300"/>
      <c r="Y55" s="432">
        <f t="shared" si="14"/>
        <v>6</v>
      </c>
      <c r="Z55" s="318"/>
      <c r="AA55" s="318"/>
      <c r="AB55" s="302" t="str">
        <f t="shared" si="15"/>
        <v/>
      </c>
      <c r="AC55" s="302">
        <f t="shared" si="16"/>
        <v>3.1097700000000002E-2</v>
      </c>
      <c r="AD55" s="302" t="str">
        <f t="shared" si="22"/>
        <v/>
      </c>
      <c r="AF55" s="302" t="str">
        <f t="shared" si="17"/>
        <v/>
      </c>
      <c r="AG55" s="322" t="str">
        <f t="shared" si="18"/>
        <v/>
      </c>
      <c r="AH55" s="322" t="str">
        <f t="shared" si="19"/>
        <v/>
      </c>
      <c r="AI55" s="322">
        <f t="shared" si="20"/>
        <v>2.8386476124792084E-2</v>
      </c>
      <c r="AJ55" s="434" t="str">
        <f t="shared" si="21"/>
        <v/>
      </c>
    </row>
    <row r="56" spans="1:36" ht="15" customHeight="1">
      <c r="A56" s="243"/>
      <c r="B56" s="333"/>
      <c r="C56" s="308"/>
      <c r="D56" s="312"/>
      <c r="E56" s="301"/>
      <c r="F56" s="301"/>
      <c r="G56" s="301"/>
      <c r="H56" s="301"/>
      <c r="I56" s="301"/>
      <c r="J56" s="301"/>
      <c r="K56" s="301"/>
      <c r="L56" s="301"/>
      <c r="M56" s="311"/>
      <c r="N56" s="733">
        <v>6.25</v>
      </c>
      <c r="O56" s="734">
        <f t="shared" si="23"/>
        <v>6.2195400000000005E-2</v>
      </c>
      <c r="P56" s="332"/>
      <c r="Q56" s="332"/>
      <c r="R56" s="735">
        <f t="shared" si="13"/>
        <v>2.71976117585357E-2</v>
      </c>
      <c r="W56" s="300"/>
      <c r="X56" s="300"/>
      <c r="Y56" s="432">
        <f t="shared" si="14"/>
        <v>6.25</v>
      </c>
      <c r="Z56" s="318"/>
      <c r="AA56" s="318"/>
      <c r="AB56" s="302" t="str">
        <f t="shared" si="15"/>
        <v/>
      </c>
      <c r="AC56" s="302" t="str">
        <f t="shared" si="16"/>
        <v/>
      </c>
      <c r="AD56" s="302">
        <f t="shared" si="22"/>
        <v>2.7197611758535693E-2</v>
      </c>
      <c r="AF56" s="302" t="str">
        <f t="shared" si="17"/>
        <v/>
      </c>
      <c r="AG56" s="322" t="str">
        <f t="shared" si="18"/>
        <v/>
      </c>
      <c r="AH56" s="322" t="str">
        <f t="shared" si="19"/>
        <v/>
      </c>
      <c r="AI56" s="322" t="str">
        <f t="shared" si="20"/>
        <v/>
      </c>
      <c r="AJ56" s="434">
        <f t="shared" si="21"/>
        <v>2.6938382625000003E-2</v>
      </c>
    </row>
    <row r="57" spans="1:36" ht="15" customHeight="1">
      <c r="A57" s="243"/>
      <c r="B57" s="333"/>
      <c r="C57" s="308"/>
      <c r="D57" s="312"/>
      <c r="E57" s="301"/>
      <c r="F57" s="301"/>
      <c r="G57" s="301"/>
      <c r="H57" s="301"/>
      <c r="I57" s="301"/>
      <c r="J57" s="301"/>
      <c r="K57" s="301"/>
      <c r="L57" s="301"/>
      <c r="M57" s="311"/>
      <c r="N57" s="733">
        <v>6.5</v>
      </c>
      <c r="O57" s="734">
        <f t="shared" si="23"/>
        <v>6.2195400000000005E-2</v>
      </c>
      <c r="P57" s="332"/>
      <c r="Q57" s="332"/>
      <c r="R57" s="735">
        <f t="shared" si="13"/>
        <v>2.41660175177183E-2</v>
      </c>
      <c r="W57" s="300"/>
      <c r="X57" s="300"/>
      <c r="Y57" s="432">
        <f t="shared" si="14"/>
        <v>6.5</v>
      </c>
      <c r="Z57" s="318"/>
      <c r="AA57" s="318"/>
      <c r="AB57" s="302" t="str">
        <f t="shared" si="15"/>
        <v/>
      </c>
      <c r="AC57" s="302" t="str">
        <f t="shared" si="16"/>
        <v/>
      </c>
      <c r="AD57" s="302">
        <f t="shared" si="22"/>
        <v>2.4166017517718342E-2</v>
      </c>
      <c r="AF57" s="302" t="str">
        <f t="shared" si="17"/>
        <v/>
      </c>
      <c r="AG57" s="322" t="str">
        <f t="shared" si="18"/>
        <v/>
      </c>
      <c r="AH57" s="322" t="str">
        <f t="shared" si="19"/>
        <v/>
      </c>
      <c r="AI57" s="322" t="str">
        <f t="shared" si="20"/>
        <v/>
      </c>
      <c r="AJ57" s="434">
        <f t="shared" si="21"/>
        <v>2.5888835250000002E-2</v>
      </c>
    </row>
    <row r="58" spans="1:36" ht="15" customHeight="1">
      <c r="A58" s="243"/>
      <c r="B58" s="333"/>
      <c r="C58" s="308"/>
      <c r="D58" s="312"/>
      <c r="E58" s="301"/>
      <c r="F58" s="301"/>
      <c r="G58" s="301"/>
      <c r="H58" s="301"/>
      <c r="I58" s="301"/>
      <c r="J58" s="301"/>
      <c r="K58" s="301"/>
      <c r="L58" s="301"/>
      <c r="M58" s="311"/>
      <c r="N58" s="733">
        <v>6.75</v>
      </c>
      <c r="O58" s="734">
        <f t="shared" si="23"/>
        <v>6.2195400000000005E-2</v>
      </c>
      <c r="P58" s="332"/>
      <c r="Q58" s="332"/>
      <c r="R58" s="735">
        <f t="shared" si="13"/>
        <v>2.1500614999822198E-2</v>
      </c>
      <c r="W58" s="300"/>
      <c r="X58" s="300"/>
      <c r="Y58" s="432">
        <f t="shared" si="14"/>
        <v>6.75</v>
      </c>
      <c r="Z58" s="318"/>
      <c r="AA58" s="318"/>
      <c r="AB58" s="302" t="str">
        <f t="shared" si="15"/>
        <v/>
      </c>
      <c r="AC58" s="302" t="str">
        <f t="shared" si="16"/>
        <v/>
      </c>
      <c r="AD58" s="302">
        <f t="shared" si="22"/>
        <v>2.1500614999822223E-2</v>
      </c>
      <c r="AF58" s="302" t="str">
        <f t="shared" si="17"/>
        <v/>
      </c>
      <c r="AG58" s="322" t="str">
        <f t="shared" si="18"/>
        <v/>
      </c>
      <c r="AH58" s="322" t="str">
        <f t="shared" si="19"/>
        <v/>
      </c>
      <c r="AI58" s="322" t="str">
        <f t="shared" si="20"/>
        <v/>
      </c>
      <c r="AJ58" s="434">
        <f t="shared" si="21"/>
        <v>2.4839287875000001E-2</v>
      </c>
    </row>
    <row r="59" spans="1:36" ht="15" customHeight="1">
      <c r="A59" s="243"/>
      <c r="B59" s="333"/>
      <c r="C59" s="308"/>
      <c r="D59" s="312"/>
      <c r="E59" s="301"/>
      <c r="F59" s="301"/>
      <c r="G59" s="301"/>
      <c r="H59" s="301"/>
      <c r="I59" s="301"/>
      <c r="J59" s="301"/>
      <c r="K59" s="301"/>
      <c r="L59" s="301"/>
      <c r="M59" s="311"/>
      <c r="N59" s="733">
        <v>7</v>
      </c>
      <c r="O59" s="734">
        <f t="shared" si="23"/>
        <v>6.2195400000000005E-2</v>
      </c>
      <c r="P59" s="332"/>
      <c r="Q59" s="332"/>
      <c r="R59" s="735">
        <f t="shared" si="13"/>
        <v>1.91475367701061E-2</v>
      </c>
      <c r="W59" s="300"/>
      <c r="X59" s="300"/>
      <c r="Y59" s="432">
        <f t="shared" si="14"/>
        <v>7</v>
      </c>
      <c r="Z59" s="318"/>
      <c r="AA59" s="318"/>
      <c r="AB59" s="302" t="str">
        <f t="shared" si="15"/>
        <v/>
      </c>
      <c r="AC59" s="302" t="str">
        <f t="shared" si="16"/>
        <v/>
      </c>
      <c r="AD59" s="302">
        <f t="shared" si="22"/>
        <v>1.9147536770106124E-2</v>
      </c>
      <c r="AF59" s="302" t="str">
        <f t="shared" si="17"/>
        <v/>
      </c>
      <c r="AG59" s="322" t="str">
        <f t="shared" si="18"/>
        <v/>
      </c>
      <c r="AH59" s="322" t="str">
        <f t="shared" si="19"/>
        <v/>
      </c>
      <c r="AI59" s="322" t="str">
        <f t="shared" si="20"/>
        <v/>
      </c>
      <c r="AJ59" s="434">
        <f t="shared" si="21"/>
        <v>2.3789740500000003E-2</v>
      </c>
    </row>
    <row r="60" spans="1:36" ht="15" customHeight="1">
      <c r="A60" s="243"/>
      <c r="B60" s="333"/>
      <c r="C60" s="308"/>
      <c r="D60" s="312"/>
      <c r="E60" s="301"/>
      <c r="F60" s="301"/>
      <c r="G60" s="301"/>
      <c r="H60" s="301"/>
      <c r="I60" s="301"/>
      <c r="J60" s="301"/>
      <c r="K60" s="301"/>
      <c r="L60" s="301"/>
      <c r="M60" s="311"/>
      <c r="N60" s="733">
        <v>7.25</v>
      </c>
      <c r="O60" s="734">
        <f t="shared" si="23"/>
        <v>6.2195400000000005E-2</v>
      </c>
      <c r="P60" s="332"/>
      <c r="Q60" s="332"/>
      <c r="R60" s="735">
        <f t="shared" si="13"/>
        <v>1.7062294079258002E-2</v>
      </c>
      <c r="W60" s="300"/>
      <c r="X60" s="300"/>
      <c r="Y60" s="432">
        <f t="shared" si="14"/>
        <v>7.25</v>
      </c>
      <c r="Z60" s="318"/>
      <c r="AA60" s="318"/>
      <c r="AB60" s="302" t="str">
        <f t="shared" si="15"/>
        <v/>
      </c>
      <c r="AC60" s="302" t="str">
        <f t="shared" si="16"/>
        <v/>
      </c>
      <c r="AD60" s="302">
        <f t="shared" si="22"/>
        <v>1.7062294079258029E-2</v>
      </c>
      <c r="AF60" s="302" t="str">
        <f t="shared" si="17"/>
        <v/>
      </c>
      <c r="AG60" s="322" t="str">
        <f t="shared" si="18"/>
        <v/>
      </c>
      <c r="AH60" s="322" t="str">
        <f t="shared" si="19"/>
        <v/>
      </c>
      <c r="AI60" s="322" t="str">
        <f t="shared" si="20"/>
        <v/>
      </c>
      <c r="AJ60" s="434">
        <f t="shared" si="21"/>
        <v>2.2740193125000002E-2</v>
      </c>
    </row>
    <row r="61" spans="1:36" ht="15" customHeight="1">
      <c r="A61" s="243"/>
      <c r="B61" s="333"/>
      <c r="C61" s="308"/>
      <c r="D61" s="312"/>
      <c r="E61" s="301"/>
      <c r="F61" s="301"/>
      <c r="G61" s="301"/>
      <c r="H61" s="301"/>
      <c r="I61" s="301"/>
      <c r="J61" s="301"/>
      <c r="K61" s="301"/>
      <c r="L61" s="301"/>
      <c r="M61" s="311"/>
      <c r="N61" s="733">
        <v>7.5</v>
      </c>
      <c r="O61" s="734">
        <f t="shared" si="23"/>
        <v>6.2195400000000005E-2</v>
      </c>
      <c r="P61" s="332"/>
      <c r="Q61" s="332"/>
      <c r="R61" s="735">
        <f t="shared" si="13"/>
        <v>1.5207899792832E-2</v>
      </c>
      <c r="W61" s="300"/>
      <c r="X61" s="300"/>
      <c r="Y61" s="432">
        <f t="shared" si="14"/>
        <v>7.5</v>
      </c>
      <c r="Z61" s="318"/>
      <c r="AA61" s="318"/>
      <c r="AB61" s="302" t="str">
        <f t="shared" si="15"/>
        <v/>
      </c>
      <c r="AC61" s="302" t="str">
        <f t="shared" si="16"/>
        <v/>
      </c>
      <c r="AD61" s="302">
        <f t="shared" si="22"/>
        <v>1.5207899792832002E-2</v>
      </c>
      <c r="AF61" s="320"/>
      <c r="AG61" s="321"/>
      <c r="AH61" s="321"/>
      <c r="AI61" s="321"/>
      <c r="AJ61" s="434">
        <f t="shared" si="21"/>
        <v>2.1690645750000001E-2</v>
      </c>
    </row>
    <row r="62" spans="1:36" ht="15" customHeight="1">
      <c r="A62" s="243"/>
      <c r="B62" s="333"/>
      <c r="C62" s="308"/>
      <c r="D62" s="312"/>
      <c r="E62" s="301"/>
      <c r="F62" s="301"/>
      <c r="G62" s="301"/>
      <c r="H62" s="301"/>
      <c r="I62" s="301"/>
      <c r="J62" s="301"/>
      <c r="K62" s="301"/>
      <c r="L62" s="301"/>
      <c r="M62" s="311"/>
      <c r="N62" s="733">
        <v>7.75</v>
      </c>
      <c r="O62" s="734">
        <f t="shared" si="23"/>
        <v>6.2195400000000005E-2</v>
      </c>
      <c r="P62" s="332"/>
      <c r="Q62" s="332"/>
      <c r="R62" s="735">
        <f t="shared" si="13"/>
        <v>1.35534134302202E-2</v>
      </c>
      <c r="W62" s="300"/>
      <c r="X62" s="300"/>
      <c r="Y62" s="432">
        <f t="shared" si="14"/>
        <v>7.75</v>
      </c>
      <c r="Z62" s="318"/>
      <c r="AA62" s="318"/>
      <c r="AB62" s="302" t="str">
        <f t="shared" si="15"/>
        <v/>
      </c>
      <c r="AC62" s="302" t="str">
        <f t="shared" si="16"/>
        <v/>
      </c>
      <c r="AD62" s="302">
        <f t="shared" si="22"/>
        <v>1.3553413430220188E-2</v>
      </c>
      <c r="AF62" s="320"/>
      <c r="AG62" s="321"/>
      <c r="AH62" s="321"/>
      <c r="AI62" s="321"/>
      <c r="AJ62" s="434">
        <f t="shared" si="21"/>
        <v>2.0641098375000003E-2</v>
      </c>
    </row>
    <row r="63" spans="1:36" ht="15" customHeight="1">
      <c r="A63" s="243"/>
      <c r="B63" s="333"/>
      <c r="C63" s="308"/>
      <c r="D63" s="312"/>
      <c r="E63" s="301"/>
      <c r="F63" s="301"/>
      <c r="G63" s="301"/>
      <c r="H63" s="301"/>
      <c r="I63" s="301"/>
      <c r="J63" s="301"/>
      <c r="K63" s="301"/>
      <c r="L63" s="301"/>
      <c r="M63" s="311"/>
      <c r="N63" s="733">
        <v>8</v>
      </c>
      <c r="O63" s="734">
        <f t="shared" si="23"/>
        <v>6.2195400000000005E-2</v>
      </c>
      <c r="P63" s="332"/>
      <c r="Q63" s="332"/>
      <c r="R63" s="735">
        <f t="shared" si="13"/>
        <v>1.2072803514975E-2</v>
      </c>
      <c r="W63" s="300"/>
      <c r="X63" s="300"/>
      <c r="Y63" s="432">
        <f t="shared" si="14"/>
        <v>8</v>
      </c>
      <c r="Z63" s="318"/>
      <c r="AA63" s="318"/>
      <c r="AB63" s="302" t="str">
        <f t="shared" si="15"/>
        <v/>
      </c>
      <c r="AC63" s="302" t="str">
        <f t="shared" si="16"/>
        <v/>
      </c>
      <c r="AD63" s="302">
        <f t="shared" si="22"/>
        <v>1.2072803514975002E-2</v>
      </c>
      <c r="AF63" s="320"/>
      <c r="AG63" s="321"/>
      <c r="AH63" s="321"/>
      <c r="AI63" s="321"/>
      <c r="AJ63" s="434">
        <f t="shared" si="21"/>
        <v>1.9591551000000002E-2</v>
      </c>
    </row>
    <row r="64" spans="1:36" ht="15" customHeight="1">
      <c r="A64" s="243"/>
      <c r="B64" s="333"/>
      <c r="C64" s="308"/>
      <c r="D64" s="312"/>
      <c r="E64" s="301"/>
      <c r="F64" s="301"/>
      <c r="G64" s="301"/>
      <c r="H64" s="301"/>
      <c r="I64" s="301"/>
      <c r="J64" s="301"/>
      <c r="K64" s="301"/>
      <c r="L64" s="301"/>
      <c r="M64" s="311"/>
      <c r="N64" s="733">
        <v>8.25</v>
      </c>
      <c r="O64" s="734">
        <f t="shared" si="23"/>
        <v>6.2195400000000005E-2</v>
      </c>
      <c r="P64" s="332"/>
      <c r="Q64" s="332"/>
      <c r="R64" s="735">
        <f t="shared" si="13"/>
        <v>1.0744050773395001E-2</v>
      </c>
      <c r="W64" s="300"/>
      <c r="X64" s="300"/>
      <c r="Y64" s="432">
        <f t="shared" si="14"/>
        <v>8.25</v>
      </c>
      <c r="Z64" s="318"/>
      <c r="AA64" s="318"/>
      <c r="AB64" s="302" t="str">
        <f t="shared" si="15"/>
        <v/>
      </c>
      <c r="AC64" s="302" t="str">
        <f t="shared" si="16"/>
        <v/>
      </c>
      <c r="AD64" s="302">
        <f t="shared" si="22"/>
        <v>1.0744050773395042E-2</v>
      </c>
      <c r="AF64" s="320"/>
      <c r="AG64" s="321"/>
      <c r="AH64" s="321"/>
      <c r="AI64" s="321"/>
      <c r="AJ64" s="434">
        <f t="shared" si="21"/>
        <v>1.8542003625000001E-2</v>
      </c>
    </row>
    <row r="65" spans="1:36" ht="15" customHeight="1">
      <c r="A65" s="243"/>
      <c r="B65" s="333"/>
      <c r="C65" s="308"/>
      <c r="D65" s="312"/>
      <c r="E65" s="301"/>
      <c r="F65" s="301"/>
      <c r="G65" s="301"/>
      <c r="H65" s="301"/>
      <c r="I65" s="301"/>
      <c r="J65" s="301"/>
      <c r="K65" s="301"/>
      <c r="L65" s="301"/>
      <c r="M65" s="311"/>
      <c r="N65" s="733">
        <v>8.5</v>
      </c>
      <c r="O65" s="734">
        <f t="shared" si="23"/>
        <v>6.2195400000000005E-2</v>
      </c>
      <c r="P65" s="332"/>
      <c r="Q65" s="332"/>
      <c r="R65" s="735">
        <f t="shared" si="13"/>
        <v>9.5484358002768197E-3</v>
      </c>
      <c r="W65" s="300"/>
      <c r="X65" s="300"/>
      <c r="Y65" s="432">
        <f t="shared" si="14"/>
        <v>8.5</v>
      </c>
      <c r="Z65" s="318"/>
      <c r="AA65" s="318"/>
      <c r="AB65" s="302" t="str">
        <f t="shared" si="15"/>
        <v/>
      </c>
      <c r="AC65" s="302" t="str">
        <f t="shared" si="16"/>
        <v/>
      </c>
      <c r="AD65" s="302">
        <f t="shared" si="22"/>
        <v>9.548435800276818E-3</v>
      </c>
      <c r="AF65" s="320"/>
      <c r="AG65" s="321"/>
      <c r="AH65" s="321"/>
      <c r="AI65" s="321"/>
      <c r="AJ65" s="434">
        <f t="shared" si="21"/>
        <v>1.749245625E-2</v>
      </c>
    </row>
    <row r="66" spans="1:36" ht="15" customHeight="1">
      <c r="A66" s="243"/>
      <c r="B66" s="333"/>
      <c r="C66" s="308"/>
      <c r="D66" s="312"/>
      <c r="E66" s="301"/>
      <c r="F66" s="301"/>
      <c r="G66" s="301"/>
      <c r="H66" s="301"/>
      <c r="I66" s="301"/>
      <c r="J66" s="301"/>
      <c r="K66" s="301"/>
      <c r="L66" s="301"/>
      <c r="M66" s="311"/>
      <c r="N66" s="733">
        <v>8.75</v>
      </c>
      <c r="O66" s="734">
        <f t="shared" si="23"/>
        <v>6.2195400000000005E-2</v>
      </c>
      <c r="P66" s="332"/>
      <c r="Q66" s="332"/>
      <c r="R66" s="735">
        <f t="shared" si="13"/>
        <v>8.4699692065410594E-3</v>
      </c>
      <c r="W66" s="300"/>
      <c r="X66" s="300"/>
      <c r="Y66" s="432">
        <f t="shared" si="14"/>
        <v>8.75</v>
      </c>
      <c r="Z66" s="318"/>
      <c r="AA66" s="318"/>
      <c r="AB66" s="302" t="str">
        <f t="shared" si="15"/>
        <v/>
      </c>
      <c r="AC66" s="302" t="str">
        <f t="shared" si="16"/>
        <v/>
      </c>
      <c r="AD66" s="302">
        <f t="shared" si="22"/>
        <v>8.4699692065410628E-3</v>
      </c>
      <c r="AF66" s="320"/>
      <c r="AG66" s="321"/>
      <c r="AH66" s="321"/>
      <c r="AI66" s="321"/>
      <c r="AJ66" s="434">
        <f t="shared" si="21"/>
        <v>1.6442908875000002E-2</v>
      </c>
    </row>
    <row r="67" spans="1:36" ht="15" customHeight="1">
      <c r="A67" s="243"/>
      <c r="B67" s="333"/>
      <c r="C67" s="308"/>
      <c r="D67" s="312"/>
      <c r="E67" s="301"/>
      <c r="F67" s="301"/>
      <c r="G67" s="301"/>
      <c r="H67" s="301"/>
      <c r="I67" s="301"/>
      <c r="J67" s="301"/>
      <c r="K67" s="301"/>
      <c r="L67" s="301"/>
      <c r="M67" s="311"/>
      <c r="N67" s="733">
        <v>9</v>
      </c>
      <c r="O67" s="734">
        <f t="shared" si="23"/>
        <v>6.2195400000000005E-2</v>
      </c>
      <c r="P67" s="332"/>
      <c r="Q67" s="332"/>
      <c r="R67" s="735">
        <f t="shared" si="13"/>
        <v>7.4949326935999996E-3</v>
      </c>
      <c r="W67" s="300"/>
      <c r="X67" s="300"/>
      <c r="Y67" s="432">
        <f t="shared" si="14"/>
        <v>9</v>
      </c>
      <c r="Z67" s="318"/>
      <c r="AA67" s="318"/>
      <c r="AB67" s="302" t="str">
        <f t="shared" si="15"/>
        <v/>
      </c>
      <c r="AC67" s="302" t="str">
        <f t="shared" si="16"/>
        <v/>
      </c>
      <c r="AD67" s="302">
        <f t="shared" si="22"/>
        <v>7.4949326936000014E-3</v>
      </c>
      <c r="AF67" s="320"/>
      <c r="AG67" s="321"/>
      <c r="AH67" s="321"/>
      <c r="AI67" s="321"/>
      <c r="AJ67" s="434">
        <f t="shared" si="21"/>
        <v>1.5393361500000001E-2</v>
      </c>
    </row>
    <row r="68" spans="1:36" ht="15" customHeight="1">
      <c r="A68" s="243"/>
      <c r="B68" s="333"/>
      <c r="C68" s="308"/>
      <c r="D68" s="312"/>
      <c r="E68" s="301"/>
      <c r="F68" s="301"/>
      <c r="G68" s="301"/>
      <c r="H68" s="301"/>
      <c r="I68" s="301"/>
      <c r="J68" s="301"/>
      <c r="K68" s="301"/>
      <c r="L68" s="301"/>
      <c r="M68" s="311"/>
      <c r="N68" s="733">
        <v>9.25</v>
      </c>
      <c r="O68" s="734">
        <f t="shared" si="23"/>
        <v>6.2195400000000005E-2</v>
      </c>
      <c r="P68" s="332"/>
      <c r="Q68" s="332"/>
      <c r="R68" s="735">
        <f t="shared" si="13"/>
        <v>6.6115071320660404E-3</v>
      </c>
      <c r="W68" s="300"/>
      <c r="X68" s="300"/>
      <c r="Y68" s="432">
        <f t="shared" si="14"/>
        <v>9.25</v>
      </c>
      <c r="Z68" s="318"/>
      <c r="AA68" s="318"/>
      <c r="AB68" s="302" t="str">
        <f t="shared" si="15"/>
        <v/>
      </c>
      <c r="AC68" s="302" t="str">
        <f t="shared" si="16"/>
        <v/>
      </c>
      <c r="AD68" s="302">
        <f t="shared" si="22"/>
        <v>6.6115071320660352E-3</v>
      </c>
      <c r="AF68" s="320"/>
      <c r="AG68" s="321"/>
      <c r="AH68" s="321"/>
      <c r="AI68" s="321"/>
      <c r="AJ68" s="434">
        <f t="shared" si="21"/>
        <v>1.4343814125000002E-2</v>
      </c>
    </row>
    <row r="69" spans="1:36" ht="15" customHeight="1">
      <c r="A69" s="243"/>
      <c r="B69" s="333"/>
      <c r="C69" s="308"/>
      <c r="D69" s="312"/>
      <c r="E69" s="301"/>
      <c r="F69" s="301"/>
      <c r="G69" s="301"/>
      <c r="H69" s="301"/>
      <c r="I69" s="301"/>
      <c r="J69" s="301"/>
      <c r="K69" s="301"/>
      <c r="L69" s="301"/>
      <c r="M69" s="311"/>
      <c r="N69" s="733">
        <v>9.5</v>
      </c>
      <c r="O69" s="734">
        <f t="shared" si="23"/>
        <v>6.2195400000000005E-2</v>
      </c>
      <c r="P69" s="332"/>
      <c r="Q69" s="332"/>
      <c r="R69" s="735">
        <f t="shared" si="13"/>
        <v>5.8094693605894804E-3</v>
      </c>
      <c r="W69" s="300"/>
      <c r="X69" s="300"/>
      <c r="Y69" s="447">
        <f t="shared" si="14"/>
        <v>9.5</v>
      </c>
      <c r="Z69" s="318"/>
      <c r="AA69" s="318"/>
      <c r="AB69" s="302" t="str">
        <f t="shared" si="15"/>
        <v/>
      </c>
      <c r="AC69" s="302" t="str">
        <f t="shared" si="16"/>
        <v/>
      </c>
      <c r="AD69" s="302">
        <f t="shared" si="22"/>
        <v>5.8094693605894752E-3</v>
      </c>
      <c r="AF69" s="320"/>
      <c r="AG69" s="321"/>
      <c r="AH69" s="321"/>
      <c r="AI69" s="321"/>
      <c r="AJ69" s="434">
        <f t="shared" si="21"/>
        <v>1.329426675E-2</v>
      </c>
    </row>
    <row r="70" spans="1:36" ht="15" customHeight="1">
      <c r="A70" s="243"/>
      <c r="B70" s="334"/>
      <c r="C70" s="309"/>
      <c r="D70" s="310"/>
      <c r="E70" s="310"/>
      <c r="F70" s="310"/>
      <c r="G70" s="310"/>
      <c r="H70" s="310"/>
      <c r="I70" s="310"/>
      <c r="J70" s="310"/>
      <c r="K70" s="310"/>
      <c r="L70" s="310"/>
      <c r="M70" s="313"/>
      <c r="N70" s="733">
        <v>9.75</v>
      </c>
      <c r="O70" s="734">
        <f t="shared" si="23"/>
        <v>6.2195400000000005E-2</v>
      </c>
      <c r="P70" s="332"/>
      <c r="Q70" s="332"/>
      <c r="R70" s="735">
        <f t="shared" si="13"/>
        <v>5.0799436223432004E-3</v>
      </c>
      <c r="S70" s="329"/>
      <c r="T70" s="314"/>
      <c r="U70" s="314"/>
      <c r="V70" s="318"/>
      <c r="W70" s="317"/>
      <c r="X70" s="317"/>
      <c r="Y70" s="448">
        <f t="shared" si="14"/>
        <v>9.75</v>
      </c>
      <c r="Z70" s="328"/>
      <c r="AA70" s="328"/>
      <c r="AB70" s="302" t="str">
        <f t="shared" si="15"/>
        <v/>
      </c>
      <c r="AC70" s="302" t="str">
        <f t="shared" si="16"/>
        <v/>
      </c>
      <c r="AD70" s="323">
        <f t="shared" si="22"/>
        <v>5.0799436223431978E-3</v>
      </c>
      <c r="AE70" s="324"/>
      <c r="AF70" s="326"/>
      <c r="AG70" s="327"/>
      <c r="AH70" s="327"/>
      <c r="AI70" s="327"/>
      <c r="AJ70" s="434">
        <f t="shared" si="21"/>
        <v>1.2244719375000003E-2</v>
      </c>
    </row>
    <row r="71" spans="1:36" ht="15" customHeight="1">
      <c r="A71" s="243"/>
      <c r="B71" s="821"/>
      <c r="C71" s="822"/>
      <c r="D71" s="399"/>
      <c r="E71" s="399"/>
      <c r="F71" s="399"/>
      <c r="G71" s="399"/>
      <c r="H71" s="399"/>
      <c r="I71" s="399"/>
      <c r="J71" s="399"/>
      <c r="K71" s="399"/>
      <c r="L71" s="399"/>
      <c r="M71" s="823"/>
      <c r="N71" s="331"/>
      <c r="O71" s="820"/>
      <c r="P71" s="332"/>
      <c r="Q71" s="332"/>
      <c r="R71" s="401"/>
      <c r="S71" s="329"/>
      <c r="T71" s="314"/>
      <c r="U71" s="314"/>
      <c r="V71" s="318"/>
      <c r="W71" s="317"/>
      <c r="X71" s="317"/>
      <c r="Y71" s="406">
        <f t="shared" si="14"/>
        <v>0</v>
      </c>
      <c r="Z71" s="328"/>
      <c r="AA71" s="328"/>
      <c r="AB71" s="302" t="str">
        <f>IF(N71&lt;=$F$34,"",IF(N71&gt;$G$34,"",$H$49*$D$34*2.5*$F$34/($M$51*N71)))</f>
        <v/>
      </c>
      <c r="AC71" s="302" t="str">
        <f>IF(N71&lt;=$G$34,"",IF(N71&gt;$H$34,"",$H$49*$D$34*2.5*$F$34*$G$34/($M$51*N71^2)))</f>
        <v/>
      </c>
      <c r="AD71" s="323" t="str">
        <f t="shared" si="22"/>
        <v/>
      </c>
      <c r="AE71" s="324"/>
      <c r="AF71" s="326"/>
      <c r="AG71" s="327"/>
      <c r="AH71" s="327"/>
      <c r="AI71" s="327"/>
      <c r="AJ71" s="405" t="str">
        <f>IF(N71&lt;=$H$34,"",MAX(0.025*$H$49*$D$34*$F$34*$G$34*(2.5+($N71-$H$34)/($I$34-$H$34)*(1-2.5))/$M$51,0.025*$H$49*$D$34*$F$34*$G$34/$M$51))</f>
        <v/>
      </c>
    </row>
    <row r="72" spans="1:36" ht="15" customHeight="1">
      <c r="M72" s="183"/>
      <c r="W72" s="300"/>
      <c r="X72" s="300"/>
    </row>
    <row r="73" spans="1:36" ht="15" customHeight="1">
      <c r="M73" s="183"/>
      <c r="W73" s="300"/>
      <c r="X73" s="300"/>
    </row>
    <row r="74" spans="1:36" ht="15" customHeight="1">
      <c r="C74" s="407"/>
      <c r="M74" s="183"/>
      <c r="W74" s="300"/>
      <c r="X74" s="300"/>
    </row>
    <row r="75" spans="1:36" ht="15" customHeight="1">
      <c r="D75" s="256"/>
      <c r="E75" s="255"/>
      <c r="M75" s="183"/>
      <c r="W75" s="300"/>
      <c r="X75" s="300"/>
    </row>
    <row r="76" spans="1:36" ht="15" customHeight="1">
      <c r="M76" s="183"/>
      <c r="W76" s="300"/>
      <c r="X76" s="300"/>
    </row>
    <row r="77" spans="1:36" ht="15" customHeight="1">
      <c r="C77" s="408"/>
      <c r="M77" s="183"/>
      <c r="W77" s="300"/>
      <c r="X77" s="300"/>
    </row>
    <row r="78" spans="1:36" ht="15" customHeight="1">
      <c r="M78" s="183"/>
      <c r="W78" s="300"/>
      <c r="X78" s="300"/>
    </row>
    <row r="79" spans="1:36" ht="15" customHeight="1">
      <c r="D79" s="409"/>
      <c r="M79" s="183"/>
      <c r="W79" s="300"/>
      <c r="X79" s="300"/>
    </row>
    <row r="80" spans="1:36" ht="15" customHeight="1">
      <c r="G80" s="409"/>
      <c r="M80" s="183"/>
      <c r="W80" s="300"/>
      <c r="X80" s="300"/>
    </row>
    <row r="81" spans="7:24" ht="15" customHeight="1">
      <c r="G81" s="409"/>
      <c r="M81" s="183"/>
      <c r="T81" s="304"/>
      <c r="U81" s="304"/>
      <c r="V81" s="304"/>
      <c r="W81" s="300"/>
      <c r="X81" s="300"/>
    </row>
    <row r="82" spans="7:24" ht="15" customHeight="1">
      <c r="M82" s="183"/>
      <c r="T82" s="304"/>
      <c r="U82" s="304"/>
      <c r="V82" s="304"/>
      <c r="W82" s="300"/>
      <c r="X82" s="300"/>
    </row>
    <row r="83" spans="7:24" ht="15" customHeight="1">
      <c r="M83" s="183"/>
      <c r="T83" s="304"/>
      <c r="U83" s="304"/>
      <c r="V83" s="304"/>
      <c r="W83" s="300"/>
      <c r="X83" s="300"/>
    </row>
    <row r="84" spans="7:24" ht="15" customHeight="1">
      <c r="M84" s="183"/>
      <c r="T84" s="304"/>
      <c r="U84" s="304"/>
      <c r="V84" s="304"/>
      <c r="W84" s="300"/>
      <c r="X84" s="300"/>
    </row>
    <row r="85" spans="7:24" ht="15" customHeight="1">
      <c r="M85" s="183"/>
      <c r="T85" s="304"/>
      <c r="U85" s="304"/>
      <c r="V85" s="304"/>
      <c r="W85" s="300"/>
      <c r="X85" s="300"/>
    </row>
    <row r="86" spans="7:24" ht="15" customHeight="1">
      <c r="M86" s="183"/>
      <c r="T86" s="304"/>
      <c r="U86" s="304"/>
      <c r="V86" s="304"/>
      <c r="W86" s="300"/>
      <c r="X86" s="300"/>
    </row>
    <row r="87" spans="7:24" ht="15" customHeight="1">
      <c r="M87" s="183"/>
      <c r="T87" s="304"/>
      <c r="U87" s="304"/>
      <c r="V87" s="304"/>
      <c r="W87" s="300"/>
      <c r="X87" s="300"/>
    </row>
    <row r="88" spans="7:24" ht="15" customHeight="1">
      <c r="M88" s="183"/>
      <c r="T88" s="304"/>
      <c r="U88" s="304"/>
      <c r="V88" s="304"/>
      <c r="W88" s="300"/>
      <c r="X88" s="300"/>
    </row>
    <row r="89" spans="7:24" ht="15" customHeight="1">
      <c r="M89" s="183"/>
      <c r="T89" s="304"/>
      <c r="U89" s="304"/>
      <c r="V89" s="304"/>
      <c r="W89" s="300"/>
      <c r="X89" s="300"/>
    </row>
    <row r="90" spans="7:24" ht="15" customHeight="1">
      <c r="M90" s="183"/>
      <c r="T90" s="304"/>
      <c r="U90" s="304"/>
      <c r="V90" s="304"/>
      <c r="W90" s="300"/>
      <c r="X90" s="300"/>
    </row>
    <row r="91" spans="7:24" ht="15" customHeight="1">
      <c r="M91" s="183"/>
      <c r="T91" s="304"/>
      <c r="U91" s="304"/>
      <c r="V91" s="304"/>
      <c r="W91" s="300"/>
      <c r="X91" s="300"/>
    </row>
    <row r="92" spans="7:24" ht="15" customHeight="1">
      <c r="M92" s="183"/>
      <c r="T92" s="304"/>
      <c r="U92" s="304"/>
      <c r="V92" s="304"/>
      <c r="W92" s="300"/>
      <c r="X92" s="300"/>
    </row>
    <row r="93" spans="7:24" ht="15" customHeight="1">
      <c r="M93" s="183"/>
      <c r="T93" s="304"/>
      <c r="U93" s="304"/>
      <c r="V93" s="304"/>
      <c r="W93" s="300"/>
      <c r="X93" s="300"/>
    </row>
    <row r="94" spans="7:24" ht="15" customHeight="1">
      <c r="M94" s="183"/>
      <c r="T94" s="304"/>
      <c r="U94" s="304"/>
      <c r="V94" s="304"/>
      <c r="W94" s="300"/>
      <c r="X94" s="300"/>
    </row>
    <row r="95" spans="7:24" ht="15" customHeight="1">
      <c r="M95" s="183"/>
      <c r="T95" s="304"/>
      <c r="U95" s="304"/>
      <c r="V95" s="304"/>
      <c r="W95" s="300"/>
      <c r="X95" s="300"/>
    </row>
    <row r="96" spans="7:24" ht="15" customHeight="1">
      <c r="M96" s="183"/>
      <c r="T96" s="304"/>
      <c r="U96" s="304"/>
      <c r="V96" s="304"/>
      <c r="W96" s="300"/>
      <c r="X96" s="300"/>
    </row>
    <row r="97" spans="13:24" ht="15" customHeight="1">
      <c r="M97" s="183"/>
      <c r="T97" s="304"/>
      <c r="U97" s="304"/>
      <c r="V97" s="304"/>
      <c r="W97" s="300"/>
      <c r="X97" s="300"/>
    </row>
    <row r="98" spans="13:24" ht="15" customHeight="1">
      <c r="M98" s="183"/>
      <c r="T98" s="304"/>
      <c r="U98" s="304"/>
      <c r="V98" s="304"/>
      <c r="W98" s="300"/>
      <c r="X98" s="300"/>
    </row>
    <row r="99" spans="13:24" ht="15" customHeight="1">
      <c r="M99" s="183"/>
      <c r="T99" s="304"/>
      <c r="U99" s="304"/>
      <c r="V99" s="304"/>
      <c r="W99" s="300"/>
      <c r="X99" s="300"/>
    </row>
    <row r="100" spans="13:24" ht="15" customHeight="1">
      <c r="M100" s="183"/>
      <c r="T100" s="304"/>
      <c r="U100" s="304"/>
      <c r="V100" s="304"/>
      <c r="W100" s="300"/>
      <c r="X100" s="300"/>
    </row>
    <row r="101" spans="13:24" ht="15" customHeight="1">
      <c r="M101" s="183"/>
      <c r="T101" s="304"/>
      <c r="U101" s="304"/>
      <c r="V101" s="304"/>
      <c r="W101" s="300"/>
      <c r="X101" s="300"/>
    </row>
    <row r="102" spans="13:24" ht="15" customHeight="1">
      <c r="M102" s="183"/>
      <c r="T102" s="304"/>
      <c r="U102" s="304"/>
      <c r="V102" s="304"/>
      <c r="W102" s="300"/>
      <c r="X102" s="300"/>
    </row>
    <row r="103" spans="13:24" ht="15" customHeight="1">
      <c r="M103" s="183"/>
      <c r="T103" s="304"/>
      <c r="U103" s="304"/>
      <c r="V103" s="304"/>
      <c r="W103" s="300"/>
      <c r="X103" s="300"/>
    </row>
    <row r="104" spans="13:24" ht="15" customHeight="1">
      <c r="M104" s="183"/>
      <c r="T104" s="304"/>
      <c r="U104" s="304"/>
      <c r="V104" s="304"/>
      <c r="W104" s="300"/>
      <c r="X104" s="300"/>
    </row>
    <row r="105" spans="13:24" ht="15" customHeight="1">
      <c r="M105" s="183"/>
      <c r="T105" s="304"/>
      <c r="U105" s="304"/>
      <c r="V105" s="304"/>
      <c r="W105" s="300"/>
      <c r="X105" s="300"/>
    </row>
    <row r="106" spans="13:24" ht="15" customHeight="1">
      <c r="M106" s="183"/>
      <c r="T106" s="304"/>
      <c r="U106" s="304"/>
      <c r="V106" s="304"/>
      <c r="W106" s="300"/>
      <c r="X106" s="300"/>
    </row>
    <row r="107" spans="13:24" ht="15" customHeight="1">
      <c r="M107" s="183"/>
      <c r="T107" s="304"/>
      <c r="U107" s="304"/>
      <c r="V107" s="304"/>
      <c r="W107" s="300"/>
      <c r="X107" s="300"/>
    </row>
    <row r="108" spans="13:24" ht="15" customHeight="1">
      <c r="M108" s="183"/>
      <c r="T108" s="304"/>
      <c r="U108" s="304"/>
      <c r="V108" s="304"/>
      <c r="W108" s="300"/>
      <c r="X108" s="300"/>
    </row>
    <row r="109" spans="13:24" ht="15" customHeight="1">
      <c r="M109" s="183"/>
      <c r="T109" s="304"/>
      <c r="U109" s="304"/>
      <c r="V109" s="304"/>
      <c r="W109" s="300"/>
      <c r="X109" s="300"/>
    </row>
    <row r="110" spans="13:24" ht="15" customHeight="1">
      <c r="M110" s="183"/>
      <c r="T110" s="304"/>
      <c r="U110" s="304"/>
      <c r="V110" s="304"/>
      <c r="W110" s="300"/>
      <c r="X110" s="300"/>
    </row>
    <row r="111" spans="13:24" ht="15" customHeight="1">
      <c r="M111" s="183"/>
      <c r="T111" s="304"/>
      <c r="U111" s="304"/>
      <c r="V111" s="304"/>
      <c r="W111" s="300"/>
      <c r="X111" s="300"/>
    </row>
    <row r="112" spans="13:24" ht="15" customHeight="1">
      <c r="M112" s="183"/>
      <c r="T112" s="304"/>
      <c r="U112" s="304"/>
      <c r="V112" s="304"/>
      <c r="W112" s="300"/>
      <c r="X112" s="300"/>
    </row>
    <row r="113" spans="13:24" ht="15" customHeight="1">
      <c r="M113" s="183"/>
      <c r="T113" s="304"/>
      <c r="U113" s="304"/>
      <c r="V113" s="304"/>
      <c r="W113" s="300"/>
      <c r="X113" s="300"/>
    </row>
    <row r="114" spans="13:24" ht="15" customHeight="1">
      <c r="M114" s="183"/>
      <c r="T114" s="304"/>
      <c r="U114" s="304"/>
      <c r="V114" s="304"/>
      <c r="W114" s="300"/>
      <c r="X114" s="300"/>
    </row>
    <row r="115" spans="13:24" ht="15" customHeight="1">
      <c r="M115" s="183"/>
      <c r="T115" s="304"/>
      <c r="U115" s="304"/>
      <c r="V115" s="304"/>
      <c r="W115" s="300"/>
      <c r="X115" s="300"/>
    </row>
    <row r="116" spans="13:24" ht="15" customHeight="1">
      <c r="M116" s="183"/>
      <c r="T116" s="304"/>
      <c r="U116" s="304"/>
      <c r="V116" s="304"/>
      <c r="W116" s="300"/>
      <c r="X116" s="300"/>
    </row>
    <row r="117" spans="13:24" ht="15" customHeight="1">
      <c r="M117" s="183"/>
      <c r="T117" s="304"/>
      <c r="U117" s="304"/>
      <c r="V117" s="304"/>
      <c r="W117" s="300"/>
      <c r="X117" s="300"/>
    </row>
    <row r="118" spans="13:24" ht="15" customHeight="1">
      <c r="M118" s="183"/>
      <c r="T118" s="304"/>
      <c r="U118" s="304"/>
      <c r="V118" s="304"/>
      <c r="W118" s="300"/>
      <c r="X118" s="300"/>
    </row>
    <row r="119" spans="13:24" ht="15" customHeight="1">
      <c r="M119" s="183"/>
      <c r="T119" s="304"/>
      <c r="U119" s="304"/>
      <c r="V119" s="304"/>
      <c r="W119" s="300"/>
      <c r="X119" s="300"/>
    </row>
    <row r="120" spans="13:24" ht="15" customHeight="1">
      <c r="M120" s="183"/>
      <c r="T120" s="304"/>
      <c r="U120" s="304"/>
      <c r="V120" s="304"/>
      <c r="W120" s="300"/>
      <c r="X120" s="300"/>
    </row>
    <row r="121" spans="13:24" ht="15" customHeight="1">
      <c r="M121" s="183"/>
      <c r="T121" s="304"/>
      <c r="U121" s="304"/>
      <c r="V121" s="304"/>
      <c r="W121" s="300"/>
      <c r="X121" s="300"/>
    </row>
    <row r="122" spans="13:24" ht="15" customHeight="1">
      <c r="M122" s="183"/>
      <c r="T122" s="304"/>
      <c r="U122" s="304"/>
      <c r="V122" s="304"/>
      <c r="W122" s="300"/>
      <c r="X122" s="300"/>
    </row>
    <row r="123" spans="13:24" ht="15" customHeight="1">
      <c r="M123" s="183"/>
      <c r="T123" s="304"/>
      <c r="U123" s="304"/>
      <c r="V123" s="304"/>
      <c r="W123" s="300"/>
      <c r="X123" s="300"/>
    </row>
    <row r="124" spans="13:24" ht="15" customHeight="1">
      <c r="M124" s="183"/>
      <c r="T124" s="304"/>
      <c r="U124" s="304"/>
      <c r="V124" s="304"/>
      <c r="W124" s="300"/>
      <c r="X124" s="300"/>
    </row>
    <row r="125" spans="13:24" ht="15" customHeight="1">
      <c r="M125" s="183"/>
      <c r="T125" s="304"/>
      <c r="U125" s="304"/>
      <c r="V125" s="304"/>
      <c r="W125" s="300"/>
      <c r="X125" s="300"/>
    </row>
    <row r="126" spans="13:24" ht="15" customHeight="1">
      <c r="M126" s="183"/>
      <c r="T126" s="304"/>
      <c r="U126" s="304"/>
      <c r="V126" s="304"/>
      <c r="W126" s="300"/>
      <c r="X126" s="300"/>
    </row>
    <row r="127" spans="13:24" ht="15" customHeight="1">
      <c r="M127" s="183"/>
      <c r="T127" s="304"/>
      <c r="U127" s="304"/>
      <c r="V127" s="304"/>
      <c r="W127" s="300"/>
      <c r="X127" s="300"/>
    </row>
    <row r="128" spans="13:24" ht="20.100000000000001" customHeight="1">
      <c r="M128" s="183"/>
      <c r="T128" s="304"/>
      <c r="U128" s="304"/>
      <c r="V128" s="304"/>
      <c r="W128" s="300"/>
      <c r="X128" s="300"/>
    </row>
    <row r="129" spans="13:24" ht="20.100000000000001" customHeight="1">
      <c r="M129" s="183"/>
      <c r="T129" s="304"/>
      <c r="U129" s="304"/>
      <c r="V129" s="304"/>
      <c r="W129" s="300"/>
      <c r="X129" s="300"/>
    </row>
    <row r="130" spans="13:24" ht="20.100000000000001" customHeight="1">
      <c r="M130" s="183"/>
      <c r="T130" s="304"/>
      <c r="U130" s="304"/>
      <c r="V130" s="304"/>
      <c r="W130" s="300"/>
      <c r="X130" s="300"/>
    </row>
    <row r="131" spans="13:24" ht="20.100000000000001" customHeight="1">
      <c r="M131" s="183"/>
      <c r="T131" s="304"/>
      <c r="U131" s="304"/>
      <c r="V131" s="304"/>
      <c r="W131" s="300"/>
      <c r="X131" s="300"/>
    </row>
    <row r="132" spans="13:24" ht="20.100000000000001" customHeight="1">
      <c r="M132" s="183"/>
      <c r="T132" s="304"/>
      <c r="U132" s="304"/>
      <c r="V132" s="304"/>
      <c r="W132" s="300"/>
      <c r="X132" s="300"/>
    </row>
    <row r="133" spans="13:24" ht="20.100000000000001" customHeight="1">
      <c r="M133" s="183"/>
      <c r="T133" s="304"/>
      <c r="U133" s="304"/>
      <c r="V133" s="304"/>
      <c r="W133" s="300"/>
      <c r="X133" s="300"/>
    </row>
    <row r="134" spans="13:24" ht="20.100000000000001" customHeight="1">
      <c r="M134" s="183"/>
      <c r="T134" s="304"/>
      <c r="U134" s="304"/>
      <c r="V134" s="304"/>
      <c r="W134" s="300"/>
      <c r="X134" s="300"/>
    </row>
    <row r="135" spans="13:24" ht="20.100000000000001" customHeight="1">
      <c r="M135" s="183"/>
      <c r="T135" s="304"/>
      <c r="U135" s="304"/>
      <c r="V135" s="304"/>
      <c r="W135" s="300"/>
      <c r="X135" s="300"/>
    </row>
    <row r="136" spans="13:24" ht="20.100000000000001" customHeight="1">
      <c r="M136" s="183"/>
      <c r="T136" s="304"/>
      <c r="U136" s="304"/>
      <c r="V136" s="304"/>
      <c r="W136" s="300"/>
      <c r="X136" s="300"/>
    </row>
    <row r="137" spans="13:24" ht="20.100000000000001" customHeight="1">
      <c r="M137" s="183"/>
      <c r="T137" s="304"/>
      <c r="U137" s="304"/>
      <c r="V137" s="304"/>
      <c r="W137" s="300"/>
      <c r="X137" s="300"/>
    </row>
    <row r="138" spans="13:24" ht="20.100000000000001" customHeight="1">
      <c r="M138" s="183"/>
      <c r="T138" s="304"/>
      <c r="U138" s="304"/>
      <c r="V138" s="304"/>
      <c r="W138" s="300"/>
      <c r="X138" s="300"/>
    </row>
    <row r="139" spans="13:24" ht="20.100000000000001" customHeight="1">
      <c r="M139" s="183"/>
      <c r="T139" s="304"/>
      <c r="U139" s="304"/>
      <c r="V139" s="304"/>
      <c r="W139" s="300"/>
      <c r="X139" s="300"/>
    </row>
    <row r="140" spans="13:24" ht="20.100000000000001" customHeight="1">
      <c r="M140" s="183"/>
      <c r="T140" s="304"/>
      <c r="U140" s="304"/>
      <c r="V140" s="304"/>
      <c r="W140" s="300"/>
      <c r="X140" s="300"/>
    </row>
    <row r="141" spans="13:24" ht="20.100000000000001" customHeight="1">
      <c r="M141" s="183"/>
      <c r="T141" s="304"/>
      <c r="U141" s="304"/>
      <c r="V141" s="304"/>
      <c r="W141" s="300"/>
      <c r="X141" s="300"/>
    </row>
    <row r="142" spans="13:24" ht="20.100000000000001" customHeight="1">
      <c r="M142" s="183"/>
      <c r="T142" s="304"/>
      <c r="U142" s="304"/>
      <c r="V142" s="304"/>
      <c r="W142" s="300"/>
      <c r="X142" s="300"/>
    </row>
    <row r="143" spans="13:24" ht="20.100000000000001" customHeight="1">
      <c r="M143" s="183"/>
      <c r="T143" s="304"/>
      <c r="U143" s="304"/>
      <c r="V143" s="304"/>
      <c r="W143" s="300"/>
      <c r="X143" s="300"/>
    </row>
    <row r="144" spans="13:24" ht="20.100000000000001" customHeight="1">
      <c r="M144" s="183"/>
      <c r="T144" s="304"/>
      <c r="U144" s="304"/>
      <c r="V144" s="304"/>
      <c r="W144" s="300"/>
      <c r="X144" s="300"/>
    </row>
    <row r="145" spans="13:24" ht="20.100000000000001" customHeight="1">
      <c r="M145" s="183"/>
      <c r="T145" s="304"/>
      <c r="U145" s="304"/>
      <c r="V145" s="304"/>
      <c r="W145" s="300"/>
      <c r="X145" s="300"/>
    </row>
    <row r="146" spans="13:24" ht="20.100000000000001" customHeight="1">
      <c r="M146" s="183"/>
      <c r="T146" s="304"/>
      <c r="U146" s="304"/>
      <c r="V146" s="304"/>
      <c r="W146" s="300"/>
      <c r="X146" s="300"/>
    </row>
    <row r="147" spans="13:24" ht="20.100000000000001" customHeight="1">
      <c r="M147" s="183"/>
      <c r="T147" s="304"/>
      <c r="U147" s="304"/>
      <c r="V147" s="304"/>
      <c r="W147" s="300"/>
      <c r="X147" s="300"/>
    </row>
    <row r="148" spans="13:24" ht="20.100000000000001" customHeight="1">
      <c r="M148" s="183"/>
      <c r="T148" s="304"/>
      <c r="U148" s="304"/>
      <c r="V148" s="304"/>
      <c r="W148" s="300"/>
      <c r="X148" s="300"/>
    </row>
    <row r="149" spans="13:24" ht="20.100000000000001" customHeight="1">
      <c r="M149" s="183"/>
      <c r="T149" s="304"/>
      <c r="U149" s="304"/>
      <c r="V149" s="304"/>
      <c r="W149" s="300"/>
      <c r="X149" s="300"/>
    </row>
    <row r="150" spans="13:24" ht="20.100000000000001" customHeight="1">
      <c r="M150" s="183"/>
      <c r="T150" s="304"/>
      <c r="U150" s="304"/>
      <c r="V150" s="304"/>
      <c r="W150" s="300"/>
      <c r="X150" s="300"/>
    </row>
    <row r="151" spans="13:24" ht="20.100000000000001" customHeight="1">
      <c r="M151" s="183"/>
      <c r="T151" s="304"/>
      <c r="U151" s="304"/>
      <c r="V151" s="304"/>
      <c r="W151" s="300"/>
      <c r="X151" s="300"/>
    </row>
    <row r="152" spans="13:24" ht="20.100000000000001" customHeight="1">
      <c r="M152" s="183"/>
      <c r="T152" s="304"/>
      <c r="U152" s="304"/>
      <c r="V152" s="304"/>
      <c r="W152" s="300"/>
      <c r="X152" s="300"/>
    </row>
    <row r="153" spans="13:24" ht="20.100000000000001" customHeight="1">
      <c r="M153" s="183"/>
      <c r="T153" s="304"/>
      <c r="U153" s="304"/>
      <c r="V153" s="304"/>
      <c r="W153" s="300"/>
      <c r="X153" s="300"/>
    </row>
    <row r="154" spans="13:24" ht="20.100000000000001" customHeight="1">
      <c r="M154" s="183"/>
      <c r="T154" s="304"/>
      <c r="U154" s="304"/>
      <c r="V154" s="304"/>
      <c r="W154" s="300"/>
      <c r="X154" s="300"/>
    </row>
    <row r="155" spans="13:24" ht="20.100000000000001" customHeight="1">
      <c r="M155" s="183"/>
      <c r="T155" s="304"/>
      <c r="U155" s="304"/>
      <c r="V155" s="304"/>
      <c r="W155" s="300"/>
      <c r="X155" s="300"/>
    </row>
    <row r="156" spans="13:24" ht="20.100000000000001" customHeight="1">
      <c r="M156" s="183"/>
      <c r="T156" s="304"/>
      <c r="U156" s="304"/>
      <c r="V156" s="304"/>
      <c r="W156" s="300"/>
      <c r="X156" s="300"/>
    </row>
    <row r="157" spans="13:24" ht="20.100000000000001" customHeight="1">
      <c r="M157" s="183"/>
      <c r="T157" s="304"/>
      <c r="U157" s="304"/>
      <c r="V157" s="304"/>
      <c r="W157" s="300"/>
      <c r="X157" s="300"/>
    </row>
    <row r="158" spans="13:24" ht="20.100000000000001" customHeight="1">
      <c r="M158" s="183"/>
      <c r="T158" s="304"/>
      <c r="U158" s="304"/>
      <c r="V158" s="304"/>
      <c r="W158" s="300"/>
      <c r="X158" s="300"/>
    </row>
    <row r="159" spans="13:24" ht="20.100000000000001" customHeight="1">
      <c r="M159" s="183"/>
      <c r="T159" s="304"/>
      <c r="U159" s="304"/>
      <c r="V159" s="304"/>
      <c r="W159" s="300"/>
      <c r="X159" s="300"/>
    </row>
    <row r="160" spans="13:24" ht="20.100000000000001" customHeight="1">
      <c r="M160" s="183"/>
      <c r="T160" s="304"/>
      <c r="U160" s="304"/>
      <c r="V160" s="304"/>
      <c r="W160" s="300"/>
      <c r="X160" s="300"/>
    </row>
    <row r="161" spans="13:24" ht="20.100000000000001" customHeight="1">
      <c r="M161" s="183"/>
      <c r="T161" s="304"/>
      <c r="U161" s="304"/>
      <c r="V161" s="304"/>
      <c r="W161" s="300"/>
      <c r="X161" s="300"/>
    </row>
    <row r="162" spans="13:24" ht="20.100000000000001" customHeight="1">
      <c r="M162" s="183"/>
      <c r="T162" s="304"/>
      <c r="U162" s="304"/>
      <c r="V162" s="304"/>
      <c r="W162" s="300"/>
      <c r="X162" s="300"/>
    </row>
    <row r="163" spans="13:24" ht="20.100000000000001" customHeight="1">
      <c r="M163" s="183"/>
      <c r="T163" s="304"/>
      <c r="U163" s="304"/>
      <c r="V163" s="304"/>
      <c r="W163" s="300"/>
      <c r="X163" s="300"/>
    </row>
    <row r="164" spans="13:24" ht="20.100000000000001" customHeight="1">
      <c r="M164" s="183"/>
      <c r="T164" s="304"/>
      <c r="U164" s="304"/>
      <c r="V164" s="304"/>
      <c r="W164" s="300"/>
      <c r="X164" s="300"/>
    </row>
    <row r="165" spans="13:24" ht="20.100000000000001" customHeight="1">
      <c r="M165" s="183"/>
      <c r="T165" s="304"/>
      <c r="U165" s="304"/>
      <c r="V165" s="304"/>
      <c r="W165" s="300"/>
      <c r="X165" s="300"/>
    </row>
    <row r="166" spans="13:24" ht="20.100000000000001" customHeight="1">
      <c r="M166" s="183"/>
      <c r="T166" s="304"/>
      <c r="U166" s="304"/>
      <c r="V166" s="304"/>
      <c r="W166" s="300"/>
      <c r="X166" s="300"/>
    </row>
    <row r="167" spans="13:24" ht="20.100000000000001" customHeight="1">
      <c r="M167" s="183"/>
      <c r="T167" s="304"/>
      <c r="U167" s="304"/>
      <c r="V167" s="304"/>
      <c r="W167" s="300"/>
      <c r="X167" s="300"/>
    </row>
    <row r="168" spans="13:24" ht="20.100000000000001" customHeight="1">
      <c r="M168" s="183"/>
      <c r="T168" s="304"/>
      <c r="U168" s="304"/>
      <c r="V168" s="304"/>
      <c r="W168" s="300"/>
      <c r="X168" s="300"/>
    </row>
    <row r="169" spans="13:24" ht="20.100000000000001" customHeight="1">
      <c r="M169" s="183"/>
      <c r="T169" s="304"/>
      <c r="U169" s="304"/>
      <c r="V169" s="304"/>
      <c r="W169" s="300"/>
      <c r="X169" s="300"/>
    </row>
    <row r="170" spans="13:24" ht="20.100000000000001" customHeight="1">
      <c r="M170" s="183"/>
      <c r="T170" s="304"/>
      <c r="U170" s="304"/>
      <c r="V170" s="304"/>
      <c r="W170" s="300"/>
      <c r="X170" s="300"/>
    </row>
    <row r="171" spans="13:24" ht="20.100000000000001" customHeight="1">
      <c r="M171" s="183"/>
      <c r="T171" s="304"/>
      <c r="U171" s="304"/>
      <c r="V171" s="304"/>
      <c r="W171" s="300"/>
      <c r="X171" s="300"/>
    </row>
    <row r="172" spans="13:24" ht="20.100000000000001" customHeight="1">
      <c r="M172" s="183"/>
      <c r="T172" s="304"/>
      <c r="U172" s="304"/>
      <c r="V172" s="304"/>
      <c r="W172" s="300"/>
      <c r="X172" s="300"/>
    </row>
    <row r="173" spans="13:24" ht="20.100000000000001" customHeight="1">
      <c r="M173" s="183"/>
      <c r="T173" s="304"/>
      <c r="U173" s="304"/>
      <c r="V173" s="304"/>
      <c r="W173" s="300"/>
      <c r="X173" s="300"/>
    </row>
    <row r="174" spans="13:24" ht="20.100000000000001" customHeight="1">
      <c r="M174" s="183"/>
      <c r="T174" s="304"/>
      <c r="U174" s="304"/>
      <c r="V174" s="304"/>
      <c r="W174" s="300"/>
      <c r="X174" s="300"/>
    </row>
    <row r="175" spans="13:24" ht="20.100000000000001" customHeight="1">
      <c r="M175" s="183"/>
      <c r="T175" s="304"/>
      <c r="U175" s="304"/>
      <c r="V175" s="304"/>
      <c r="W175" s="300"/>
      <c r="X175" s="300"/>
    </row>
    <row r="176" spans="13:24" ht="20.100000000000001" customHeight="1">
      <c r="M176" s="183"/>
      <c r="T176" s="304"/>
      <c r="U176" s="304"/>
      <c r="V176" s="304"/>
      <c r="W176" s="300"/>
      <c r="X176" s="300"/>
    </row>
    <row r="177" spans="13:24" ht="20.100000000000001" customHeight="1">
      <c r="M177" s="183"/>
      <c r="T177" s="304"/>
      <c r="U177" s="304"/>
      <c r="V177" s="304"/>
      <c r="W177" s="300"/>
      <c r="X177" s="300"/>
    </row>
    <row r="178" spans="13:24" ht="20.100000000000001" customHeight="1">
      <c r="M178" s="183"/>
      <c r="T178" s="304"/>
      <c r="U178" s="304"/>
      <c r="V178" s="304"/>
      <c r="W178" s="300"/>
      <c r="X178" s="300"/>
    </row>
    <row r="179" spans="13:24" ht="20.100000000000001" customHeight="1">
      <c r="M179" s="183"/>
      <c r="T179" s="304"/>
      <c r="U179" s="304"/>
      <c r="V179" s="304"/>
      <c r="W179" s="300"/>
      <c r="X179" s="300"/>
    </row>
    <row r="180" spans="13:24" ht="20.100000000000001" customHeight="1">
      <c r="M180" s="183"/>
      <c r="T180" s="304"/>
      <c r="U180" s="304"/>
      <c r="V180" s="304"/>
      <c r="W180" s="300"/>
      <c r="X180" s="300"/>
    </row>
    <row r="181" spans="13:24" ht="20.100000000000001" customHeight="1">
      <c r="M181" s="183"/>
      <c r="T181" s="304"/>
      <c r="U181" s="304"/>
      <c r="V181" s="304"/>
      <c r="W181" s="300"/>
      <c r="X181" s="300"/>
    </row>
    <row r="182" spans="13:24" ht="20.100000000000001" customHeight="1">
      <c r="M182" s="183"/>
      <c r="T182" s="304"/>
      <c r="U182" s="304"/>
      <c r="V182" s="304"/>
      <c r="W182" s="300"/>
      <c r="X182" s="300"/>
    </row>
    <row r="183" spans="13:24" ht="20.100000000000001" customHeight="1">
      <c r="M183" s="183"/>
      <c r="T183" s="304"/>
      <c r="U183" s="304"/>
      <c r="V183" s="304"/>
      <c r="W183" s="300"/>
      <c r="X183" s="300"/>
    </row>
    <row r="184" spans="13:24" ht="20.100000000000001" customHeight="1">
      <c r="M184" s="183"/>
      <c r="T184" s="304"/>
      <c r="U184" s="304"/>
      <c r="V184" s="304"/>
      <c r="W184" s="300"/>
      <c r="X184" s="300"/>
    </row>
    <row r="185" spans="13:24" ht="20.100000000000001" customHeight="1">
      <c r="M185" s="183"/>
      <c r="T185" s="304"/>
      <c r="U185" s="304"/>
      <c r="V185" s="304"/>
      <c r="W185" s="300"/>
      <c r="X185" s="300"/>
    </row>
    <row r="186" spans="13:24" ht="20.100000000000001" customHeight="1">
      <c r="M186" s="183"/>
      <c r="T186" s="304"/>
      <c r="U186" s="304"/>
      <c r="V186" s="304"/>
      <c r="W186" s="300"/>
      <c r="X186" s="300"/>
    </row>
    <row r="187" spans="13:24" ht="20.100000000000001" customHeight="1">
      <c r="M187" s="183"/>
      <c r="T187" s="304"/>
      <c r="U187" s="304"/>
      <c r="V187" s="304"/>
      <c r="W187" s="300"/>
      <c r="X187" s="300"/>
    </row>
    <row r="188" spans="13:24" ht="20.100000000000001" customHeight="1">
      <c r="M188" s="183"/>
      <c r="T188" s="304"/>
      <c r="U188" s="304"/>
      <c r="V188" s="304"/>
      <c r="W188" s="300"/>
      <c r="X188" s="300"/>
    </row>
    <row r="189" spans="13:24" ht="20.100000000000001" customHeight="1">
      <c r="M189" s="183"/>
      <c r="T189" s="304"/>
      <c r="U189" s="304"/>
      <c r="V189" s="304"/>
      <c r="W189" s="300"/>
      <c r="X189" s="300"/>
    </row>
    <row r="190" spans="13:24" ht="20.100000000000001" customHeight="1">
      <c r="M190" s="183"/>
      <c r="T190" s="304"/>
      <c r="U190" s="304"/>
      <c r="V190" s="304"/>
      <c r="W190" s="300"/>
      <c r="X190" s="300"/>
    </row>
    <row r="191" spans="13:24" ht="20.100000000000001" customHeight="1">
      <c r="M191" s="183"/>
      <c r="T191" s="304"/>
      <c r="U191" s="304"/>
      <c r="V191" s="304"/>
      <c r="W191" s="300"/>
      <c r="X191" s="300"/>
    </row>
    <row r="192" spans="13:24" ht="20.100000000000001" customHeight="1">
      <c r="M192" s="183"/>
      <c r="T192" s="304"/>
      <c r="U192" s="304"/>
      <c r="V192" s="304"/>
      <c r="W192" s="300"/>
      <c r="X192" s="300"/>
    </row>
    <row r="193" spans="13:31" ht="20.100000000000001" customHeight="1">
      <c r="M193" s="183"/>
      <c r="T193" s="304"/>
      <c r="U193" s="304"/>
      <c r="V193" s="304"/>
      <c r="W193" s="300"/>
      <c r="X193" s="300"/>
    </row>
    <row r="194" spans="13:31" ht="20.100000000000001" customHeight="1">
      <c r="M194" s="183"/>
      <c r="T194" s="304"/>
      <c r="U194" s="304"/>
      <c r="V194" s="304"/>
      <c r="W194" s="300"/>
      <c r="X194" s="300"/>
    </row>
    <row r="195" spans="13:31" ht="20.100000000000001" customHeight="1">
      <c r="M195" s="183"/>
      <c r="T195" s="304"/>
      <c r="U195" s="304"/>
      <c r="V195" s="304"/>
      <c r="W195" s="300"/>
      <c r="X195" s="300"/>
    </row>
    <row r="196" spans="13:31" ht="20.100000000000001" customHeight="1">
      <c r="M196" s="183"/>
      <c r="T196" s="304"/>
      <c r="U196" s="304"/>
      <c r="V196" s="304"/>
      <c r="W196" s="300"/>
      <c r="X196" s="300"/>
    </row>
    <row r="197" spans="13:31" ht="20.100000000000001" customHeight="1">
      <c r="M197" s="183"/>
      <c r="T197" s="304"/>
      <c r="U197" s="304"/>
      <c r="V197" s="304"/>
      <c r="W197" s="300"/>
      <c r="X197" s="300"/>
    </row>
    <row r="198" spans="13:31" ht="20.100000000000001" customHeight="1">
      <c r="M198" s="183"/>
      <c r="T198" s="304"/>
      <c r="U198" s="304"/>
      <c r="V198" s="304"/>
      <c r="W198" s="300"/>
      <c r="X198" s="300"/>
    </row>
    <row r="199" spans="13:31" ht="20.100000000000001" customHeight="1">
      <c r="M199" s="183"/>
      <c r="T199" s="304"/>
      <c r="U199" s="304"/>
      <c r="V199" s="304"/>
      <c r="W199" s="300"/>
      <c r="X199" s="300"/>
    </row>
    <row r="200" spans="13:31" ht="20.100000000000001" customHeight="1">
      <c r="M200" s="183"/>
      <c r="T200" s="304"/>
      <c r="U200" s="304"/>
      <c r="V200" s="304"/>
      <c r="W200" s="304"/>
      <c r="X200" s="305"/>
      <c r="Y200" s="304"/>
      <c r="Z200" s="304"/>
      <c r="AA200" s="304"/>
      <c r="AB200" s="304"/>
      <c r="AC200" s="304"/>
      <c r="AD200" s="304"/>
      <c r="AE200" s="304"/>
    </row>
    <row r="201" spans="13:31" ht="20.100000000000001" customHeight="1">
      <c r="M201" s="183"/>
      <c r="T201" s="304"/>
      <c r="U201" s="304"/>
      <c r="V201" s="304"/>
      <c r="W201" s="304"/>
      <c r="X201" s="305"/>
      <c r="Y201" s="304"/>
      <c r="Z201" s="304"/>
      <c r="AA201" s="304"/>
      <c r="AB201" s="304"/>
      <c r="AC201" s="304"/>
      <c r="AD201" s="304"/>
      <c r="AE201" s="304"/>
    </row>
    <row r="202" spans="13:31" ht="20.100000000000001" customHeight="1">
      <c r="M202" s="183"/>
      <c r="T202" s="304"/>
      <c r="U202" s="304"/>
      <c r="V202" s="304"/>
      <c r="W202" s="304"/>
      <c r="X202" s="305"/>
      <c r="Y202" s="304"/>
      <c r="Z202" s="304"/>
      <c r="AA202" s="304"/>
      <c r="AB202" s="304"/>
      <c r="AC202" s="304"/>
      <c r="AD202" s="304"/>
      <c r="AE202" s="304"/>
    </row>
    <row r="203" spans="13:31" ht="20.100000000000001" customHeight="1">
      <c r="M203" s="183"/>
      <c r="T203" s="304"/>
      <c r="U203" s="304"/>
      <c r="V203" s="304"/>
      <c r="W203" s="304"/>
      <c r="X203" s="305"/>
      <c r="Y203" s="304"/>
      <c r="Z203" s="304"/>
      <c r="AA203" s="304"/>
      <c r="AB203" s="304"/>
      <c r="AC203" s="304"/>
      <c r="AD203" s="304"/>
      <c r="AE203" s="304"/>
    </row>
    <row r="204" spans="13:31" ht="20.100000000000001" customHeight="1">
      <c r="M204" s="183"/>
      <c r="T204" s="304"/>
      <c r="U204" s="304"/>
      <c r="V204" s="304"/>
      <c r="W204" s="304"/>
      <c r="X204" s="305"/>
      <c r="Y204" s="304"/>
      <c r="Z204" s="304"/>
      <c r="AA204" s="304"/>
      <c r="AB204" s="304"/>
      <c r="AC204" s="304"/>
      <c r="AD204" s="304"/>
      <c r="AE204" s="304"/>
    </row>
    <row r="205" spans="13:31" ht="20.100000000000001" customHeight="1">
      <c r="M205" s="183"/>
      <c r="T205" s="304"/>
      <c r="U205" s="304"/>
      <c r="V205" s="304"/>
      <c r="W205" s="304"/>
      <c r="X205" s="305"/>
      <c r="Y205" s="304"/>
      <c r="Z205" s="304"/>
      <c r="AA205" s="304"/>
      <c r="AB205" s="304"/>
      <c r="AC205" s="304"/>
      <c r="AD205" s="304"/>
      <c r="AE205" s="304"/>
    </row>
    <row r="206" spans="13:31" ht="20.100000000000001" customHeight="1">
      <c r="M206" s="183"/>
      <c r="T206" s="304"/>
      <c r="U206" s="304"/>
      <c r="V206" s="304"/>
      <c r="W206" s="304"/>
      <c r="X206" s="305"/>
      <c r="Y206" s="304"/>
      <c r="Z206" s="304"/>
      <c r="AA206" s="304"/>
      <c r="AB206" s="304"/>
      <c r="AC206" s="304"/>
      <c r="AD206" s="304"/>
      <c r="AE206" s="304"/>
    </row>
    <row r="207" spans="13:31" ht="20.100000000000001" customHeight="1">
      <c r="M207" s="183"/>
      <c r="T207" s="304"/>
      <c r="U207" s="304"/>
      <c r="V207" s="304"/>
      <c r="W207" s="304"/>
      <c r="X207" s="305"/>
      <c r="Y207" s="304"/>
      <c r="Z207" s="304"/>
      <c r="AA207" s="304"/>
      <c r="AB207" s="304"/>
      <c r="AC207" s="304"/>
      <c r="AD207" s="304"/>
      <c r="AE207" s="304"/>
    </row>
    <row r="208" spans="13:31" ht="20.100000000000001" customHeight="1">
      <c r="M208" s="183"/>
      <c r="T208" s="304"/>
      <c r="U208" s="304"/>
      <c r="V208" s="304"/>
      <c r="W208" s="304"/>
      <c r="X208" s="305"/>
      <c r="Y208" s="304"/>
      <c r="Z208" s="304"/>
      <c r="AA208" s="304"/>
      <c r="AB208" s="304"/>
      <c r="AC208" s="304"/>
      <c r="AD208" s="304"/>
      <c r="AE208" s="304"/>
    </row>
    <row r="209" spans="13:31" ht="20.100000000000001" customHeight="1">
      <c r="M209" s="183"/>
      <c r="T209" s="304"/>
      <c r="U209" s="304"/>
      <c r="V209" s="304"/>
      <c r="W209" s="304"/>
      <c r="X209" s="305"/>
      <c r="Y209" s="304"/>
      <c r="Z209" s="304"/>
      <c r="AA209" s="304"/>
      <c r="AB209" s="304"/>
      <c r="AC209" s="304"/>
      <c r="AD209" s="304"/>
      <c r="AE209" s="304"/>
    </row>
    <row r="210" spans="13:31" ht="20.100000000000001" customHeight="1">
      <c r="M210" s="183"/>
      <c r="T210" s="304"/>
      <c r="U210" s="304"/>
      <c r="V210" s="304"/>
      <c r="W210" s="304"/>
      <c r="X210" s="305"/>
      <c r="Y210" s="304"/>
      <c r="Z210" s="304"/>
      <c r="AA210" s="304"/>
      <c r="AB210" s="304"/>
      <c r="AC210" s="304"/>
      <c r="AD210" s="304"/>
      <c r="AE210" s="304"/>
    </row>
    <row r="211" spans="13:31" ht="20.100000000000001" customHeight="1">
      <c r="M211" s="183"/>
      <c r="T211" s="304"/>
      <c r="U211" s="304"/>
      <c r="V211" s="304"/>
      <c r="W211" s="304"/>
      <c r="X211" s="305"/>
      <c r="Y211" s="304"/>
      <c r="Z211" s="304"/>
      <c r="AA211" s="304"/>
      <c r="AB211" s="304"/>
      <c r="AC211" s="304"/>
      <c r="AD211" s="304"/>
      <c r="AE211" s="304"/>
    </row>
    <row r="212" spans="13:31" ht="20.100000000000001" customHeight="1">
      <c r="M212" s="183"/>
      <c r="T212" s="304"/>
      <c r="U212" s="304"/>
      <c r="V212" s="304"/>
      <c r="W212" s="304"/>
      <c r="X212" s="305"/>
      <c r="Y212" s="304"/>
      <c r="Z212" s="304"/>
      <c r="AA212" s="304"/>
      <c r="AB212" s="304"/>
      <c r="AC212" s="304"/>
      <c r="AD212" s="304"/>
      <c r="AE212" s="304"/>
    </row>
    <row r="213" spans="13:31" ht="20.100000000000001" customHeight="1">
      <c r="M213" s="183"/>
      <c r="T213" s="304"/>
      <c r="U213" s="304"/>
      <c r="V213" s="304"/>
      <c r="W213" s="304"/>
      <c r="X213" s="305"/>
      <c r="Y213" s="304"/>
      <c r="Z213" s="304"/>
      <c r="AA213" s="304"/>
      <c r="AB213" s="304"/>
      <c r="AC213" s="304"/>
      <c r="AD213" s="304"/>
      <c r="AE213" s="304"/>
    </row>
    <row r="214" spans="13:31" ht="20.100000000000001" customHeight="1">
      <c r="M214" s="183"/>
      <c r="T214" s="304"/>
      <c r="U214" s="304"/>
      <c r="V214" s="304"/>
      <c r="W214" s="304"/>
      <c r="X214" s="305"/>
      <c r="Y214" s="304"/>
      <c r="Z214" s="304"/>
      <c r="AA214" s="304"/>
      <c r="AB214" s="304"/>
      <c r="AC214" s="304"/>
      <c r="AD214" s="304"/>
      <c r="AE214" s="304"/>
    </row>
    <row r="215" spans="13:31" ht="20.100000000000001" customHeight="1">
      <c r="M215" s="183"/>
      <c r="T215" s="304"/>
      <c r="U215" s="304"/>
      <c r="V215" s="304"/>
      <c r="W215" s="304"/>
      <c r="X215" s="305"/>
      <c r="Y215" s="304"/>
      <c r="Z215" s="304"/>
      <c r="AA215" s="304"/>
      <c r="AB215" s="304"/>
      <c r="AC215" s="304"/>
      <c r="AD215" s="304"/>
      <c r="AE215" s="304"/>
    </row>
    <row r="216" spans="13:31" ht="20.100000000000001" customHeight="1">
      <c r="M216" s="183"/>
      <c r="T216" s="304"/>
      <c r="U216" s="304"/>
      <c r="V216" s="304"/>
      <c r="W216" s="304"/>
      <c r="X216" s="305"/>
      <c r="Y216" s="304"/>
      <c r="Z216" s="304"/>
      <c r="AA216" s="304"/>
      <c r="AB216" s="304"/>
      <c r="AC216" s="304"/>
      <c r="AD216" s="304"/>
      <c r="AE216" s="304"/>
    </row>
    <row r="217" spans="13:31" ht="20.100000000000001" customHeight="1">
      <c r="M217" s="183"/>
      <c r="T217" s="304"/>
      <c r="U217" s="304"/>
      <c r="V217" s="304"/>
      <c r="W217" s="304"/>
      <c r="X217" s="305"/>
      <c r="Y217" s="304"/>
      <c r="Z217" s="304"/>
      <c r="AA217" s="304"/>
      <c r="AB217" s="304"/>
      <c r="AC217" s="304"/>
      <c r="AD217" s="304"/>
      <c r="AE217" s="304"/>
    </row>
    <row r="218" spans="13:31" ht="20.100000000000001" customHeight="1">
      <c r="M218" s="183"/>
      <c r="T218" s="304"/>
      <c r="U218" s="304"/>
      <c r="V218" s="304"/>
      <c r="W218" s="304"/>
      <c r="X218" s="305"/>
      <c r="Y218" s="304"/>
      <c r="Z218" s="304"/>
      <c r="AA218" s="304"/>
      <c r="AB218" s="304"/>
      <c r="AC218" s="304"/>
      <c r="AD218" s="304"/>
      <c r="AE218" s="304"/>
    </row>
    <row r="219" spans="13:31" ht="20.100000000000001" customHeight="1">
      <c r="M219" s="183"/>
      <c r="T219" s="304"/>
      <c r="U219" s="304"/>
      <c r="V219" s="304"/>
      <c r="W219" s="304"/>
      <c r="X219" s="305"/>
      <c r="Y219" s="304"/>
      <c r="Z219" s="304"/>
      <c r="AA219" s="304"/>
      <c r="AB219" s="304"/>
      <c r="AC219" s="304"/>
      <c r="AD219" s="304"/>
      <c r="AE219" s="304"/>
    </row>
    <row r="220" spans="13:31" ht="20.100000000000001" customHeight="1">
      <c r="M220" s="183"/>
      <c r="T220" s="304"/>
      <c r="U220" s="304"/>
      <c r="V220" s="304"/>
      <c r="W220" s="304"/>
      <c r="X220" s="305"/>
      <c r="Y220" s="304"/>
      <c r="Z220" s="304"/>
      <c r="AA220" s="304"/>
      <c r="AB220" s="304"/>
      <c r="AC220" s="304"/>
      <c r="AD220" s="304"/>
      <c r="AE220" s="304"/>
    </row>
    <row r="221" spans="13:31" ht="20.100000000000001" customHeight="1">
      <c r="M221" s="183"/>
      <c r="T221" s="304"/>
      <c r="U221" s="304"/>
      <c r="V221" s="304"/>
      <c r="W221" s="304"/>
      <c r="X221" s="305"/>
      <c r="Y221" s="304"/>
      <c r="Z221" s="304"/>
      <c r="AA221" s="304"/>
      <c r="AB221" s="304"/>
      <c r="AC221" s="304"/>
      <c r="AD221" s="304"/>
      <c r="AE221" s="304"/>
    </row>
    <row r="222" spans="13:31" ht="20.100000000000001" customHeight="1">
      <c r="M222" s="183"/>
      <c r="T222" s="304"/>
      <c r="U222" s="304"/>
      <c r="V222" s="304"/>
      <c r="W222" s="304"/>
      <c r="X222" s="305"/>
      <c r="Y222" s="304"/>
      <c r="Z222" s="304"/>
      <c r="AA222" s="304"/>
      <c r="AB222" s="304"/>
      <c r="AC222" s="304"/>
      <c r="AD222" s="304"/>
      <c r="AE222" s="304"/>
    </row>
    <row r="223" spans="13:31" ht="20.100000000000001" customHeight="1">
      <c r="M223" s="183"/>
      <c r="T223" s="304"/>
      <c r="U223" s="304"/>
      <c r="V223" s="304"/>
      <c r="W223" s="304"/>
      <c r="X223" s="305"/>
      <c r="Y223" s="304"/>
      <c r="Z223" s="304"/>
      <c r="AA223" s="304"/>
      <c r="AB223" s="304"/>
      <c r="AC223" s="304"/>
      <c r="AD223" s="304"/>
      <c r="AE223" s="304"/>
    </row>
    <row r="224" spans="13:31" ht="20.100000000000001" customHeight="1">
      <c r="M224" s="183"/>
      <c r="T224" s="304"/>
      <c r="U224" s="304"/>
      <c r="V224" s="304"/>
      <c r="W224" s="304"/>
      <c r="X224" s="305"/>
      <c r="Y224" s="304"/>
      <c r="Z224" s="304"/>
      <c r="AA224" s="304"/>
      <c r="AB224" s="304"/>
      <c r="AC224" s="304"/>
      <c r="AD224" s="304"/>
      <c r="AE224" s="304"/>
    </row>
    <row r="225" spans="13:31" ht="20.100000000000001" customHeight="1">
      <c r="M225" s="183"/>
      <c r="T225" s="304"/>
      <c r="U225" s="304"/>
      <c r="V225" s="304"/>
      <c r="W225" s="304"/>
      <c r="X225" s="305"/>
      <c r="Y225" s="304"/>
      <c r="Z225" s="304"/>
      <c r="AA225" s="304"/>
      <c r="AB225" s="304"/>
      <c r="AC225" s="304"/>
      <c r="AD225" s="304"/>
      <c r="AE225" s="304"/>
    </row>
    <row r="226" spans="13:31" ht="20.100000000000001" customHeight="1">
      <c r="M226" s="183"/>
      <c r="T226" s="304"/>
      <c r="U226" s="304"/>
      <c r="V226" s="304"/>
      <c r="W226" s="304"/>
      <c r="X226" s="305"/>
      <c r="Y226" s="304"/>
      <c r="Z226" s="304"/>
      <c r="AA226" s="304"/>
      <c r="AB226" s="304"/>
      <c r="AC226" s="304"/>
      <c r="AD226" s="304"/>
      <c r="AE226" s="304"/>
    </row>
    <row r="227" spans="13:31" ht="20.100000000000001" customHeight="1">
      <c r="M227" s="183"/>
      <c r="T227" s="304"/>
      <c r="U227" s="304"/>
      <c r="V227" s="304"/>
      <c r="W227" s="304"/>
      <c r="X227" s="305"/>
      <c r="Y227" s="304"/>
      <c r="Z227" s="304"/>
      <c r="AA227" s="304"/>
      <c r="AB227" s="304"/>
      <c r="AC227" s="304"/>
      <c r="AD227" s="304"/>
      <c r="AE227" s="304"/>
    </row>
    <row r="228" spans="13:31" ht="20.100000000000001" customHeight="1">
      <c r="M228" s="183"/>
      <c r="T228" s="304"/>
      <c r="U228" s="304"/>
      <c r="V228" s="304"/>
      <c r="W228" s="304"/>
      <c r="X228" s="305"/>
      <c r="Y228" s="304"/>
      <c r="Z228" s="304"/>
      <c r="AA228" s="304"/>
      <c r="AB228" s="304"/>
      <c r="AC228" s="304"/>
      <c r="AD228" s="304"/>
      <c r="AE228" s="304"/>
    </row>
    <row r="229" spans="13:31" ht="20.100000000000001" customHeight="1">
      <c r="M229" s="183"/>
      <c r="T229" s="304"/>
      <c r="U229" s="304"/>
      <c r="V229" s="304"/>
      <c r="W229" s="304"/>
      <c r="X229" s="305"/>
      <c r="Y229" s="304"/>
      <c r="Z229" s="304"/>
      <c r="AA229" s="304"/>
      <c r="AB229" s="304"/>
      <c r="AC229" s="304"/>
      <c r="AD229" s="304"/>
      <c r="AE229" s="304"/>
    </row>
    <row r="230" spans="13:31" ht="20.100000000000001" customHeight="1">
      <c r="M230" s="183"/>
      <c r="T230" s="304"/>
      <c r="U230" s="304"/>
      <c r="V230" s="304"/>
      <c r="W230" s="304"/>
      <c r="X230" s="305"/>
      <c r="Y230" s="304"/>
      <c r="Z230" s="304"/>
      <c r="AA230" s="304"/>
      <c r="AB230" s="304"/>
      <c r="AC230" s="304"/>
      <c r="AD230" s="304"/>
      <c r="AE230" s="304"/>
    </row>
    <row r="231" spans="13:31" ht="20.100000000000001" customHeight="1">
      <c r="M231" s="183"/>
      <c r="T231" s="304"/>
      <c r="U231" s="304"/>
      <c r="V231" s="304"/>
      <c r="W231" s="304"/>
      <c r="X231" s="305"/>
      <c r="Y231" s="304"/>
      <c r="Z231" s="304"/>
      <c r="AA231" s="304"/>
      <c r="AB231" s="304"/>
      <c r="AC231" s="304"/>
      <c r="AD231" s="304"/>
      <c r="AE231" s="304"/>
    </row>
    <row r="232" spans="13:31" ht="20.100000000000001" customHeight="1">
      <c r="M232" s="183"/>
      <c r="T232" s="304"/>
      <c r="U232" s="304"/>
      <c r="V232" s="304"/>
      <c r="W232" s="304"/>
      <c r="X232" s="305"/>
      <c r="Y232" s="304"/>
      <c r="Z232" s="304"/>
      <c r="AA232" s="304"/>
      <c r="AB232" s="304"/>
      <c r="AC232" s="304"/>
      <c r="AD232" s="304"/>
      <c r="AE232" s="304"/>
    </row>
    <row r="233" spans="13:31" ht="20.100000000000001" customHeight="1">
      <c r="M233" s="183"/>
      <c r="T233" s="304"/>
      <c r="U233" s="304"/>
      <c r="V233" s="304"/>
      <c r="W233" s="304"/>
      <c r="X233" s="305"/>
      <c r="Y233" s="304"/>
      <c r="Z233" s="304"/>
      <c r="AA233" s="304"/>
      <c r="AB233" s="304"/>
      <c r="AC233" s="304"/>
      <c r="AD233" s="304"/>
      <c r="AE233" s="304"/>
    </row>
    <row r="234" spans="13:31" ht="20.100000000000001" customHeight="1">
      <c r="M234" s="183"/>
      <c r="T234" s="304"/>
      <c r="U234" s="304"/>
      <c r="V234" s="304"/>
      <c r="W234" s="304"/>
      <c r="X234" s="305"/>
      <c r="Y234" s="304"/>
      <c r="Z234" s="304"/>
      <c r="AA234" s="304"/>
      <c r="AB234" s="304"/>
      <c r="AC234" s="304"/>
      <c r="AD234" s="304"/>
      <c r="AE234" s="304"/>
    </row>
    <row r="235" spans="13:31" ht="20.100000000000001" customHeight="1">
      <c r="M235" s="183"/>
      <c r="T235" s="304"/>
      <c r="U235" s="304"/>
      <c r="V235" s="304"/>
      <c r="W235" s="304"/>
      <c r="X235" s="305"/>
      <c r="Y235" s="304"/>
      <c r="Z235" s="304"/>
      <c r="AA235" s="304"/>
      <c r="AB235" s="304"/>
      <c r="AC235" s="304"/>
      <c r="AD235" s="304"/>
      <c r="AE235" s="304"/>
    </row>
    <row r="236" spans="13:31" ht="20.100000000000001" customHeight="1">
      <c r="M236" s="183"/>
      <c r="T236" s="304"/>
      <c r="U236" s="304"/>
      <c r="V236" s="304"/>
      <c r="W236" s="304"/>
      <c r="X236" s="305"/>
      <c r="Y236" s="304"/>
      <c r="Z236" s="304"/>
      <c r="AA236" s="304"/>
      <c r="AB236" s="304"/>
      <c r="AC236" s="304"/>
      <c r="AD236" s="304"/>
      <c r="AE236" s="304"/>
    </row>
    <row r="237" spans="13:31" ht="20.100000000000001" customHeight="1">
      <c r="M237" s="183"/>
      <c r="T237" s="304"/>
      <c r="U237" s="304"/>
      <c r="V237" s="304"/>
      <c r="W237" s="304"/>
      <c r="X237" s="305"/>
      <c r="Y237" s="304"/>
      <c r="Z237" s="304"/>
      <c r="AA237" s="304"/>
      <c r="AB237" s="304"/>
      <c r="AC237" s="304"/>
      <c r="AD237" s="304"/>
      <c r="AE237" s="304"/>
    </row>
    <row r="238" spans="13:31" ht="20.100000000000001" customHeight="1">
      <c r="M238" s="183"/>
      <c r="T238" s="304"/>
      <c r="U238" s="304"/>
      <c r="V238" s="304"/>
      <c r="W238" s="304"/>
      <c r="X238" s="305"/>
      <c r="Y238" s="304"/>
      <c r="Z238" s="304"/>
      <c r="AA238" s="304"/>
      <c r="AB238" s="304"/>
      <c r="AC238" s="304"/>
      <c r="AD238" s="304"/>
      <c r="AE238" s="304"/>
    </row>
    <row r="239" spans="13:31" ht="20.100000000000001" customHeight="1">
      <c r="M239" s="183"/>
      <c r="T239" s="304"/>
      <c r="U239" s="304"/>
      <c r="V239" s="304"/>
      <c r="W239" s="304"/>
      <c r="X239" s="305"/>
      <c r="Y239" s="304"/>
      <c r="Z239" s="304"/>
      <c r="AA239" s="304"/>
      <c r="AB239" s="304"/>
      <c r="AC239" s="304"/>
      <c r="AD239" s="304"/>
      <c r="AE239" s="304"/>
    </row>
    <row r="240" spans="13:31" ht="20.100000000000001" customHeight="1">
      <c r="M240" s="183"/>
      <c r="T240" s="304"/>
      <c r="U240" s="304"/>
      <c r="V240" s="304"/>
      <c r="W240" s="304"/>
      <c r="X240" s="305"/>
      <c r="Y240" s="304"/>
      <c r="Z240" s="304"/>
      <c r="AA240" s="304"/>
      <c r="AB240" s="304"/>
      <c r="AC240" s="304"/>
      <c r="AD240" s="304"/>
      <c r="AE240" s="304"/>
    </row>
    <row r="241" spans="13:31" ht="20.100000000000001" customHeight="1">
      <c r="M241" s="183"/>
      <c r="T241" s="304"/>
      <c r="U241" s="304"/>
      <c r="V241" s="304"/>
      <c r="W241" s="304"/>
      <c r="X241" s="305"/>
      <c r="Y241" s="304"/>
      <c r="Z241" s="304"/>
      <c r="AA241" s="304"/>
      <c r="AB241" s="304"/>
      <c r="AC241" s="304"/>
      <c r="AD241" s="304"/>
      <c r="AE241" s="304"/>
    </row>
    <row r="242" spans="13:31" ht="20.100000000000001" customHeight="1">
      <c r="M242" s="183"/>
      <c r="T242" s="304"/>
      <c r="U242" s="304"/>
      <c r="V242" s="304"/>
      <c r="W242" s="304"/>
      <c r="X242" s="305"/>
      <c r="Y242" s="304"/>
      <c r="Z242" s="304"/>
      <c r="AA242" s="304"/>
      <c r="AB242" s="304"/>
      <c r="AC242" s="304"/>
      <c r="AD242" s="304"/>
      <c r="AE242" s="304"/>
    </row>
    <row r="243" spans="13:31" ht="20.100000000000001" customHeight="1">
      <c r="M243" s="183"/>
      <c r="T243" s="304"/>
      <c r="U243" s="304"/>
      <c r="V243" s="304"/>
      <c r="W243" s="304"/>
      <c r="X243" s="305"/>
      <c r="Y243" s="304"/>
      <c r="Z243" s="304"/>
      <c r="AA243" s="304"/>
      <c r="AB243" s="304"/>
      <c r="AC243" s="304"/>
      <c r="AD243" s="304"/>
      <c r="AE243" s="304"/>
    </row>
    <row r="244" spans="13:31" ht="20.100000000000001" customHeight="1">
      <c r="M244" s="183"/>
      <c r="T244" s="304"/>
      <c r="U244" s="304"/>
      <c r="V244" s="304"/>
      <c r="W244" s="304"/>
      <c r="X244" s="305"/>
      <c r="Y244" s="304"/>
      <c r="Z244" s="304"/>
      <c r="AA244" s="304"/>
      <c r="AB244" s="304"/>
      <c r="AC244" s="304"/>
      <c r="AD244" s="304"/>
      <c r="AE244" s="304"/>
    </row>
    <row r="245" spans="13:31" ht="20.100000000000001" customHeight="1">
      <c r="M245" s="183"/>
      <c r="T245" s="304"/>
      <c r="U245" s="304"/>
      <c r="V245" s="304"/>
      <c r="W245" s="304"/>
      <c r="X245" s="305"/>
      <c r="Y245" s="304"/>
      <c r="Z245" s="304"/>
      <c r="AA245" s="304"/>
      <c r="AB245" s="304"/>
      <c r="AC245" s="304"/>
      <c r="AD245" s="304"/>
      <c r="AE245" s="304"/>
    </row>
    <row r="246" spans="13:31" ht="20.100000000000001" customHeight="1">
      <c r="M246" s="183"/>
      <c r="T246" s="304"/>
      <c r="U246" s="304"/>
      <c r="V246" s="304"/>
      <c r="W246" s="304"/>
      <c r="X246" s="305"/>
      <c r="Y246" s="304"/>
      <c r="Z246" s="304"/>
      <c r="AA246" s="304"/>
      <c r="AB246" s="304"/>
      <c r="AC246" s="304"/>
      <c r="AD246" s="304"/>
      <c r="AE246" s="304"/>
    </row>
    <row r="247" spans="13:31" ht="20.100000000000001" customHeight="1">
      <c r="M247" s="183"/>
      <c r="T247" s="304"/>
      <c r="U247" s="304"/>
      <c r="V247" s="304"/>
      <c r="W247" s="304"/>
      <c r="X247" s="305"/>
      <c r="Y247" s="304"/>
      <c r="Z247" s="304"/>
      <c r="AA247" s="304"/>
      <c r="AB247" s="304"/>
      <c r="AC247" s="304"/>
      <c r="AD247" s="304"/>
      <c r="AE247" s="304"/>
    </row>
    <row r="248" spans="13:31" ht="20.100000000000001" customHeight="1">
      <c r="M248" s="183"/>
      <c r="T248" s="304"/>
      <c r="U248" s="304"/>
      <c r="V248" s="304"/>
      <c r="W248" s="304"/>
      <c r="X248" s="305"/>
      <c r="Y248" s="304"/>
      <c r="Z248" s="304"/>
      <c r="AA248" s="304"/>
      <c r="AB248" s="304"/>
      <c r="AC248" s="304"/>
      <c r="AD248" s="304"/>
      <c r="AE248" s="304"/>
    </row>
    <row r="249" spans="13:31" ht="20.100000000000001" customHeight="1">
      <c r="M249" s="183"/>
      <c r="T249" s="304"/>
      <c r="U249" s="304"/>
      <c r="V249" s="304"/>
      <c r="W249" s="304"/>
      <c r="X249" s="305"/>
      <c r="Y249" s="304"/>
      <c r="Z249" s="304"/>
      <c r="AA249" s="304"/>
      <c r="AB249" s="304"/>
      <c r="AC249" s="304"/>
      <c r="AD249" s="304"/>
      <c r="AE249" s="304"/>
    </row>
    <row r="250" spans="13:31" ht="20.100000000000001" customHeight="1">
      <c r="M250" s="183"/>
      <c r="T250" s="304"/>
      <c r="U250" s="304"/>
      <c r="V250" s="304"/>
      <c r="W250" s="304"/>
      <c r="X250" s="305"/>
      <c r="Y250" s="304"/>
      <c r="Z250" s="304"/>
      <c r="AA250" s="304"/>
      <c r="AB250" s="304"/>
      <c r="AC250" s="304"/>
      <c r="AD250" s="304"/>
      <c r="AE250" s="304"/>
    </row>
    <row r="251" spans="13:31" ht="20.100000000000001" customHeight="1">
      <c r="M251" s="183"/>
      <c r="T251" s="304"/>
      <c r="U251" s="304"/>
      <c r="V251" s="304"/>
      <c r="W251" s="304"/>
      <c r="X251" s="305"/>
      <c r="Y251" s="304"/>
      <c r="Z251" s="304"/>
      <c r="AA251" s="304"/>
      <c r="AB251" s="304"/>
      <c r="AC251" s="304"/>
      <c r="AD251" s="304"/>
      <c r="AE251" s="304"/>
    </row>
    <row r="252" spans="13:31" ht="20.100000000000001" customHeight="1">
      <c r="M252" s="183"/>
      <c r="T252" s="304"/>
      <c r="U252" s="304"/>
      <c r="V252" s="304"/>
      <c r="W252" s="304"/>
      <c r="X252" s="305"/>
      <c r="Y252" s="304"/>
      <c r="Z252" s="304"/>
      <c r="AA252" s="304"/>
      <c r="AB252" s="304"/>
      <c r="AC252" s="304"/>
      <c r="AD252" s="304"/>
      <c r="AE252" s="304"/>
    </row>
    <row r="253" spans="13:31" ht="20.100000000000001" customHeight="1">
      <c r="M253" s="183"/>
      <c r="T253" s="304"/>
      <c r="U253" s="304"/>
      <c r="V253" s="304"/>
      <c r="W253" s="304"/>
      <c r="X253" s="305"/>
      <c r="Y253" s="304"/>
      <c r="Z253" s="304"/>
      <c r="AA253" s="304"/>
      <c r="AB253" s="304"/>
      <c r="AC253" s="304"/>
      <c r="AD253" s="304"/>
      <c r="AE253" s="304"/>
    </row>
    <row r="254" spans="13:31" ht="20.100000000000001" customHeight="1">
      <c r="M254" s="183"/>
      <c r="T254" s="304"/>
      <c r="U254" s="304"/>
      <c r="V254" s="304"/>
      <c r="W254" s="304"/>
      <c r="X254" s="305"/>
      <c r="Y254" s="304"/>
      <c r="Z254" s="304"/>
      <c r="AA254" s="304"/>
      <c r="AB254" s="304"/>
      <c r="AC254" s="304"/>
      <c r="AD254" s="304"/>
      <c r="AE254" s="304"/>
    </row>
    <row r="255" spans="13:31" ht="20.100000000000001" customHeight="1">
      <c r="M255" s="183"/>
      <c r="T255" s="304"/>
      <c r="U255" s="304"/>
      <c r="V255" s="304"/>
      <c r="W255" s="304"/>
      <c r="X255" s="305"/>
      <c r="Y255" s="304"/>
      <c r="Z255" s="304"/>
      <c r="AA255" s="304"/>
      <c r="AB255" s="304"/>
      <c r="AC255" s="304"/>
      <c r="AD255" s="304"/>
      <c r="AE255" s="304"/>
    </row>
    <row r="256" spans="13:31" ht="20.100000000000001" customHeight="1">
      <c r="M256" s="183"/>
      <c r="T256" s="304"/>
      <c r="U256" s="304"/>
      <c r="V256" s="304"/>
      <c r="W256" s="304"/>
      <c r="X256" s="305"/>
      <c r="Y256" s="304"/>
      <c r="Z256" s="304"/>
      <c r="AA256" s="304"/>
      <c r="AB256" s="304"/>
      <c r="AC256" s="304"/>
      <c r="AD256" s="304"/>
      <c r="AE256" s="304"/>
    </row>
    <row r="257" spans="13:31" ht="20.100000000000001" customHeight="1">
      <c r="M257" s="183"/>
      <c r="T257" s="304"/>
      <c r="U257" s="304"/>
      <c r="V257" s="304"/>
      <c r="W257" s="304"/>
      <c r="X257" s="305"/>
      <c r="Y257" s="304"/>
      <c r="Z257" s="304"/>
      <c r="AA257" s="304"/>
      <c r="AB257" s="304"/>
      <c r="AC257" s="304"/>
      <c r="AD257" s="304"/>
      <c r="AE257" s="304"/>
    </row>
    <row r="258" spans="13:31" ht="20.100000000000001" customHeight="1">
      <c r="M258" s="183"/>
      <c r="T258" s="304"/>
      <c r="U258" s="304"/>
      <c r="V258" s="304"/>
      <c r="W258" s="304"/>
      <c r="X258" s="305"/>
      <c r="Y258" s="304"/>
      <c r="Z258" s="304"/>
      <c r="AA258" s="304"/>
      <c r="AB258" s="304"/>
      <c r="AC258" s="304"/>
      <c r="AD258" s="304"/>
      <c r="AE258" s="304"/>
    </row>
    <row r="259" spans="13:31" ht="20.100000000000001" customHeight="1">
      <c r="M259" s="183"/>
      <c r="T259" s="304"/>
      <c r="U259" s="304"/>
      <c r="V259" s="304"/>
      <c r="W259" s="304"/>
      <c r="X259" s="305"/>
      <c r="Y259" s="304"/>
      <c r="Z259" s="304"/>
      <c r="AA259" s="304"/>
      <c r="AB259" s="304"/>
      <c r="AC259" s="304"/>
      <c r="AD259" s="304"/>
      <c r="AE259" s="304"/>
    </row>
    <row r="260" spans="13:31" ht="20.100000000000001" customHeight="1">
      <c r="M260" s="183"/>
      <c r="T260" s="304"/>
      <c r="U260" s="304"/>
      <c r="V260" s="304"/>
      <c r="W260" s="304"/>
      <c r="X260" s="305"/>
      <c r="Y260" s="304"/>
      <c r="Z260" s="304"/>
      <c r="AA260" s="304"/>
      <c r="AB260" s="304"/>
      <c r="AC260" s="304"/>
      <c r="AD260" s="304"/>
      <c r="AE260" s="304"/>
    </row>
    <row r="261" spans="13:31" ht="20.100000000000001" customHeight="1">
      <c r="M261" s="183"/>
      <c r="T261" s="304"/>
      <c r="U261" s="304"/>
      <c r="V261" s="304"/>
      <c r="W261" s="304"/>
      <c r="X261" s="305"/>
      <c r="Y261" s="304"/>
      <c r="Z261" s="304"/>
      <c r="AA261" s="304"/>
      <c r="AB261" s="304"/>
      <c r="AC261" s="304"/>
      <c r="AD261" s="304"/>
      <c r="AE261" s="304"/>
    </row>
    <row r="262" spans="13:31" ht="20.100000000000001" customHeight="1">
      <c r="M262" s="183"/>
      <c r="T262" s="304"/>
      <c r="U262" s="304"/>
      <c r="V262" s="304"/>
      <c r="W262" s="304"/>
      <c r="X262" s="305"/>
      <c r="Y262" s="304"/>
      <c r="Z262" s="304"/>
      <c r="AA262" s="304"/>
      <c r="AB262" s="304"/>
      <c r="AC262" s="304"/>
      <c r="AD262" s="304"/>
      <c r="AE262" s="304"/>
    </row>
    <row r="263" spans="13:31" ht="20.100000000000001" customHeight="1">
      <c r="M263" s="183"/>
      <c r="T263" s="304"/>
      <c r="U263" s="304"/>
      <c r="V263" s="304"/>
      <c r="W263" s="304"/>
      <c r="X263" s="305"/>
      <c r="Y263" s="304"/>
      <c r="Z263" s="304"/>
      <c r="AA263" s="304"/>
      <c r="AB263" s="304"/>
      <c r="AC263" s="304"/>
      <c r="AD263" s="304"/>
      <c r="AE263" s="304"/>
    </row>
    <row r="264" spans="13:31" ht="20.100000000000001" customHeight="1">
      <c r="M264" s="183"/>
      <c r="T264" s="304"/>
      <c r="U264" s="304"/>
      <c r="V264" s="304"/>
      <c r="W264" s="304"/>
      <c r="X264" s="305"/>
      <c r="Y264" s="304"/>
      <c r="Z264" s="304"/>
      <c r="AA264" s="304"/>
      <c r="AB264" s="304"/>
      <c r="AC264" s="304"/>
      <c r="AD264" s="304"/>
      <c r="AE264" s="304"/>
    </row>
    <row r="265" spans="13:31" ht="20.100000000000001" customHeight="1">
      <c r="M265" s="183"/>
      <c r="T265" s="304"/>
      <c r="U265" s="304"/>
      <c r="V265" s="304"/>
      <c r="W265" s="304"/>
      <c r="X265" s="305"/>
      <c r="Y265" s="304"/>
      <c r="Z265" s="304"/>
      <c r="AA265" s="304"/>
      <c r="AB265" s="304"/>
      <c r="AC265" s="304"/>
      <c r="AD265" s="304"/>
      <c r="AE265" s="304"/>
    </row>
    <row r="266" spans="13:31" ht="20.100000000000001" customHeight="1">
      <c r="T266" s="304"/>
      <c r="U266" s="304"/>
      <c r="V266" s="304"/>
      <c r="W266" s="304"/>
      <c r="X266" s="305"/>
      <c r="Y266" s="304"/>
      <c r="Z266" s="304"/>
      <c r="AA266" s="304"/>
      <c r="AB266" s="304"/>
      <c r="AC266" s="304"/>
      <c r="AD266" s="304"/>
      <c r="AE266" s="304"/>
    </row>
    <row r="267" spans="13:31" ht="20.100000000000001" customHeight="1">
      <c r="T267" s="304"/>
      <c r="U267" s="304"/>
      <c r="V267" s="304"/>
      <c r="W267" s="304"/>
      <c r="X267" s="305"/>
      <c r="Y267" s="304"/>
      <c r="Z267" s="304"/>
      <c r="AA267" s="304"/>
      <c r="AB267" s="304"/>
      <c r="AC267" s="304"/>
      <c r="AD267" s="304"/>
      <c r="AE267" s="304"/>
    </row>
    <row r="268" spans="13:31" ht="20.100000000000001" customHeight="1">
      <c r="T268" s="304"/>
      <c r="U268" s="304"/>
      <c r="V268" s="304"/>
      <c r="W268" s="304"/>
      <c r="X268" s="305"/>
      <c r="Y268" s="304"/>
      <c r="Z268" s="304"/>
      <c r="AA268" s="304"/>
      <c r="AB268" s="304"/>
      <c r="AC268" s="304"/>
      <c r="AD268" s="304"/>
      <c r="AE268" s="304"/>
    </row>
  </sheetData>
  <mergeCells count="19">
    <mergeCell ref="B30:C30"/>
    <mergeCell ref="D30:I30"/>
    <mergeCell ref="F44:H44"/>
    <mergeCell ref="D31:I31"/>
    <mergeCell ref="N9:O9"/>
    <mergeCell ref="G36:J36"/>
    <mergeCell ref="F43:H43"/>
    <mergeCell ref="B33:C33"/>
    <mergeCell ref="B31:C31"/>
    <mergeCell ref="B32:C32"/>
    <mergeCell ref="B1:O1"/>
    <mergeCell ref="B2:O2"/>
    <mergeCell ref="B3:O3"/>
    <mergeCell ref="AF9:AJ9"/>
    <mergeCell ref="Z9:AC9"/>
    <mergeCell ref="B4:F4"/>
    <mergeCell ref="G4:O4"/>
    <mergeCell ref="N8:O8"/>
    <mergeCell ref="B8:M8"/>
  </mergeCells>
  <printOptions horizontalCentered="1"/>
  <pageMargins left="0.90551181102362199" right="0.511811024" top="0.98425196850393704" bottom="0.86614173228346503" header="0.511811023622047" footer="0.511811023622047"/>
  <pageSetup paperSize="9" scale="75" fitToHeight="0" orientation="landscape" r:id="rId1"/>
  <headerFooter scaleWithDoc="0" alignWithMargins="0"/>
  <drawing r:id="rId2"/>
  <legacyDrawing r:id="rId3"/>
  <oleObjects>
    <mc:AlternateContent xmlns:mc="http://schemas.openxmlformats.org/markup-compatibility/2006">
      <mc:Choice Requires="x14">
        <oleObject progId="Equation.3" shapeId="493572" r:id="rId4">
          <objectPr defaultSize="0" autoPict="0" r:id="rId5">
            <anchor moveWithCells="1">
              <from>
                <xdr:col>2</xdr:col>
                <xdr:colOff>200025</xdr:colOff>
                <xdr:row>20</xdr:row>
                <xdr:rowOff>104775</xdr:rowOff>
              </from>
              <to>
                <xdr:col>5</xdr:col>
                <xdr:colOff>123825</xdr:colOff>
                <xdr:row>24</xdr:row>
                <xdr:rowOff>180975</xdr:rowOff>
              </to>
            </anchor>
          </objectPr>
        </oleObject>
      </mc:Choice>
      <mc:Fallback>
        <oleObject progId="Equation.3" shapeId="493572" r:id="rId4"/>
      </mc:Fallback>
    </mc:AlternateContent>
    <mc:AlternateContent xmlns:mc="http://schemas.openxmlformats.org/markup-compatibility/2006">
      <mc:Choice Requires="x14">
        <oleObject progId="Equation.3" shapeId="493577" r:id="rId6">
          <objectPr defaultSize="0" autoPict="0" r:id="rId7">
            <anchor moveWithCells="1">
              <from>
                <xdr:col>2</xdr:col>
                <xdr:colOff>276225</xdr:colOff>
                <xdr:row>9</xdr:row>
                <xdr:rowOff>85725</xdr:rowOff>
              </from>
              <to>
                <xdr:col>5</xdr:col>
                <xdr:colOff>114300</xdr:colOff>
                <xdr:row>12</xdr:row>
                <xdr:rowOff>57150</xdr:rowOff>
              </to>
            </anchor>
          </objectPr>
        </oleObject>
      </mc:Choice>
      <mc:Fallback>
        <oleObject progId="Equation.3" shapeId="493577" r:id="rId6"/>
      </mc:Fallback>
    </mc:AlternateContent>
    <mc:AlternateContent xmlns:mc="http://schemas.openxmlformats.org/markup-compatibility/2006">
      <mc:Choice Requires="x14">
        <oleObject progId="Equation.3" shapeId="493578" r:id="rId8">
          <objectPr defaultSize="0" autoPict="0" r:id="rId9">
            <anchor moveWithCells="1">
              <from>
                <xdr:col>2</xdr:col>
                <xdr:colOff>257175</xdr:colOff>
                <xdr:row>12</xdr:row>
                <xdr:rowOff>104775</xdr:rowOff>
              </from>
              <to>
                <xdr:col>4</xdr:col>
                <xdr:colOff>371475</xdr:colOff>
                <xdr:row>15</xdr:row>
                <xdr:rowOff>38100</xdr:rowOff>
              </to>
            </anchor>
          </objectPr>
        </oleObject>
      </mc:Choice>
      <mc:Fallback>
        <oleObject progId="Equation.3" shapeId="493578" r:id="rId8"/>
      </mc:Fallback>
    </mc:AlternateContent>
    <mc:AlternateContent xmlns:mc="http://schemas.openxmlformats.org/markup-compatibility/2006">
      <mc:Choice Requires="x14">
        <oleObject progId="Equation.3" shapeId="493619" r:id="rId10">
          <objectPr defaultSize="0" autoPict="0" r:id="rId11">
            <anchor moveWithCells="1">
              <from>
                <xdr:col>2</xdr:col>
                <xdr:colOff>266700</xdr:colOff>
                <xdr:row>15</xdr:row>
                <xdr:rowOff>190500</xdr:rowOff>
              </from>
              <to>
                <xdr:col>5</xdr:col>
                <xdr:colOff>76200</xdr:colOff>
                <xdr:row>19</xdr:row>
                <xdr:rowOff>76200</xdr:rowOff>
              </to>
            </anchor>
          </objectPr>
        </oleObject>
      </mc:Choice>
      <mc:Fallback>
        <oleObject progId="Equation.3" shapeId="493619" r:id="rId10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/>
  </sheetPr>
  <dimension ref="B1:AE299"/>
  <sheetViews>
    <sheetView view="pageBreakPreview" topLeftCell="A10" zoomScale="70" zoomScaleNormal="100" zoomScaleSheetLayoutView="70" zoomScalePageLayoutView="84" workbookViewId="0">
      <selection activeCell="Q39" sqref="Q39"/>
    </sheetView>
  </sheetViews>
  <sheetFormatPr defaultColWidth="2.77734375" defaultRowHeight="16.5"/>
  <cols>
    <col min="1" max="1" width="2.77734375" style="913"/>
    <col min="2" max="2" width="19.109375" style="913" customWidth="1"/>
    <col min="3" max="10" width="11.109375" style="913" customWidth="1"/>
    <col min="11" max="11" width="9.33203125" style="913" customWidth="1"/>
    <col min="12" max="16384" width="2.77734375" style="913"/>
  </cols>
  <sheetData>
    <row r="1" spans="2:31" s="916" customFormat="1" ht="18" customHeight="1">
      <c r="B1" s="912" t="str">
        <f>IF(Menu!$C$4="V","VII. Tổ hợp tải trọng", "VII. Tổ hợp tải trọng/Load Combinations")</f>
        <v>VII. Tổ hợp tải trọng/Load Combinations</v>
      </c>
      <c r="C1" s="913"/>
      <c r="D1" s="913"/>
      <c r="E1" s="913"/>
      <c r="F1" s="913"/>
      <c r="G1" s="913"/>
      <c r="H1" s="913"/>
      <c r="I1" s="913"/>
      <c r="J1" s="913"/>
      <c r="K1" s="914"/>
      <c r="L1" s="913"/>
      <c r="M1" s="914"/>
      <c r="N1" s="914"/>
      <c r="O1" s="914"/>
      <c r="P1" s="914"/>
      <c r="Q1" s="914"/>
      <c r="R1" s="915"/>
      <c r="S1" s="915"/>
    </row>
    <row r="2" spans="2:31" ht="16.5" customHeight="1">
      <c r="B2" s="917" t="str">
        <f>IF(Menu!$C$4="V","1. Các trường hợp tải trọng","1. Các trường hợp tải trọng/Load cases")</f>
        <v>1. Các trường hợp tải trọng/Load cases</v>
      </c>
      <c r="M2" s="918" t="s">
        <v>2066</v>
      </c>
    </row>
    <row r="3" spans="2:31" ht="16.5" customHeight="1">
      <c r="B3" s="919" t="str">
        <f>IF(Menu!$C$4="V","a. Tĩnh tải","a. Tĩnh tải/Dead Loads")</f>
        <v>a. Tĩnh tải/Dead Loads</v>
      </c>
    </row>
    <row r="4" spans="2:31" ht="19.5">
      <c r="B4" s="920" t="s">
        <v>2033</v>
      </c>
      <c r="L4" s="1237" t="s">
        <v>2024</v>
      </c>
      <c r="M4" s="1238"/>
      <c r="N4" s="1238"/>
      <c r="O4" s="1238"/>
      <c r="P4" s="1238"/>
      <c r="Q4" s="1238"/>
      <c r="R4" s="1238"/>
      <c r="S4" s="1238"/>
      <c r="T4" s="1238"/>
      <c r="U4" s="1238"/>
      <c r="V4" s="1238"/>
      <c r="W4" s="1238"/>
      <c r="X4" s="1238"/>
      <c r="Y4" s="1238"/>
      <c r="Z4" s="1238"/>
      <c r="AA4" s="1238"/>
      <c r="AB4" s="1238"/>
      <c r="AC4" s="1238"/>
      <c r="AD4" s="1238"/>
      <c r="AE4" s="1239"/>
    </row>
    <row r="5" spans="2:31">
      <c r="B5" s="921" t="str">
        <f>IF([3]Menu!$C$4="V","","        : self weight (define in Etabs with self weight multiplier by 1.1)")</f>
        <v xml:space="preserve">        : self weight (define in Etabs with self weight multiplier by 1.1)</v>
      </c>
      <c r="L5" s="1240" t="s">
        <v>2026</v>
      </c>
      <c r="M5" s="1241"/>
      <c r="N5" s="1241"/>
      <c r="O5" s="1241"/>
      <c r="P5" s="1241"/>
      <c r="Q5" s="1241"/>
      <c r="R5" s="1241"/>
      <c r="S5" s="1241"/>
      <c r="T5" s="1241"/>
      <c r="U5" s="1241"/>
      <c r="V5" s="1241"/>
      <c r="W5" s="1241"/>
      <c r="X5" s="1241"/>
      <c r="Y5" s="1241"/>
      <c r="Z5" s="1241"/>
      <c r="AA5" s="1241"/>
      <c r="AB5" s="1241"/>
      <c r="AC5" s="1241"/>
      <c r="AD5" s="1241"/>
      <c r="AE5" s="1242"/>
    </row>
    <row r="6" spans="2:31">
      <c r="B6" s="920" t="str">
        <f>IF(Menu!$C$4="V","- SDL: tải trọng hoàn thiện sàn tính toán","- SDL: tải trọng hoàn thiện sàn tính toán/Super dead load")</f>
        <v>- SDL: tải trọng hoàn thiện sàn tính toán/Super dead load</v>
      </c>
    </row>
    <row r="7" spans="2:31">
      <c r="B7" s="920" t="str">
        <f>IF(Menu!$C$4="V","- Wall : tải trọng tường xây tính toán","- Wall : tải trọng tường xây tính toán/Static dead load of wall")</f>
        <v>- Wall : tải trọng tường xây tính toán/Static dead load of wall</v>
      </c>
    </row>
    <row r="8" spans="2:31">
      <c r="B8" s="922" t="str">
        <f>IF(Menu!$C$4="V","DL : Tĩnh tải toàn phần tính toán; DL = SW + SDL + Wall","DL : Tĩnh tải toàn phần tính toán/Dead loads; DL = SW + SDL + Wall")</f>
        <v>DL : Tĩnh tải toàn phần tính toán/Dead loads; DL = SW + SDL + Wall</v>
      </c>
    </row>
    <row r="9" spans="2:31" ht="16.5" customHeight="1">
      <c r="B9" s="919" t="str">
        <f>IF(Menu!$C$4="V","b. Hoạt tải","b. Hoạt tải/Live Loads")</f>
        <v>b. Hoạt tải/Live Loads</v>
      </c>
    </row>
    <row r="10" spans="2:31" ht="16.5" customHeight="1">
      <c r="B10" s="920" t="str">
        <f>IF(Menu!$C$4="V","- LL1 : hoạt tải ngắn hạn tính toán","- LL1 : hoạt tải ngắn hạn tính toán/Short-term live loads")</f>
        <v>- LL1 : hoạt tải ngắn hạn tính toán/Short-term live loads</v>
      </c>
    </row>
    <row r="11" spans="2:31">
      <c r="B11" s="920" t="str">
        <f>IF(Menu!$C$4="V","- LL2 : hoạt tải dài hạn tính toán","- LL2 : hoạt tải dài hạn tính toán/Long-term live loads")</f>
        <v>- LL2 : hoạt tải dài hạn tính toán/Long-term live loads</v>
      </c>
    </row>
    <row r="12" spans="2:31">
      <c r="B12" s="922" t="str">
        <f>IF(Menu!$C$4="V","LL : hoạt tải toàn phần tính toán; LL = LL1+LL2","LL : hoạt tải toàn phần tính toán/Live loads; LL = LL1+LL2")</f>
        <v>LL : hoạt tải toàn phần tính toán/Live loads; LL = LL1+LL2</v>
      </c>
    </row>
    <row r="13" spans="2:31">
      <c r="B13" s="922" t="str">
        <f>IF(Menu!$C$4="V","c. Gió","c. Gió/Wind Loads")</f>
        <v>c. Gió/Wind Loads</v>
      </c>
    </row>
    <row r="14" spans="2:31">
      <c r="B14" s="920" t="str">
        <f>IF(Menu!$C$4="V","- WSX+ : tải trọng gió tĩnh tính toán theo phương X","- WSX+ : tải trọng gió tĩnh tính toán theo phương X/Static component of wind load to direction X")</f>
        <v>- WSX+ : tải trọng gió tĩnh tính toán theo phương X/Static component of wind load to direction X</v>
      </c>
    </row>
    <row r="15" spans="2:31">
      <c r="B15" s="920" t="str">
        <f>IF(Menu!$C$4="V","- WSX- : tải trọng gió tĩnh tính toán theo phương (-X )","- WSX- : tải trọng gió tĩnh tính toán theo phương (-X )/Static component of wind load to direction (-X)")</f>
        <v>- WSX- : tải trọng gió tĩnh tính toán theo phương (-X )/Static component of wind load to direction (-X)</v>
      </c>
    </row>
    <row r="16" spans="2:31" ht="19.5">
      <c r="B16" s="920" t="s">
        <v>2034</v>
      </c>
    </row>
    <row r="17" spans="2:3">
      <c r="C17" s="921" t="str">
        <f>+IF([3]Menu!$C$4="V","","        :Dynamic component of wind load to direction X of mode 1, mode2… mode n")</f>
        <v xml:space="preserve">        :Dynamic component of wind load to direction X of mode 1, mode2… mode n</v>
      </c>
    </row>
    <row r="18" spans="2:3" ht="19.5">
      <c r="B18" s="920" t="s">
        <v>2018</v>
      </c>
    </row>
    <row r="19" spans="2:3">
      <c r="B19" s="920"/>
    </row>
    <row r="20" spans="2:3">
      <c r="B20" s="920"/>
    </row>
    <row r="21" spans="2:3">
      <c r="B21" s="922" t="str">
        <f>IF(Menu!$C$4="V","WX+ : tải trọng gió tính toán theo phương X; WX+ = (WSX+) + WDX","WX+ : tải trọng gió tính toán theo phương X/Component of wind load to direction X; WX+ = (WSX+) + WDX")</f>
        <v>WX+ : tải trọng gió tính toán theo phương X/Component of wind load to direction X; WX+ = (WSX+) + WDX</v>
      </c>
    </row>
    <row r="22" spans="2:3">
      <c r="B22" s="922" t="str">
        <f>IF(Menu!$C$4="V","WX- : tải trọng gió tính toán theo phương (-X ); WX- = (WSX-) + WDX","WX- : tải trọng gió tính toán theo phương (-X )/Component of wind load to direction (-X); WX- = (WSX-) + WDX")</f>
        <v>WX- : tải trọng gió tính toán theo phương (-X )/Component of wind load to direction (-X); WX- = (WSX-) + WDX</v>
      </c>
    </row>
    <row r="23" spans="2:3">
      <c r="B23" s="920" t="str">
        <f>IF(Menu!$C$4="V","- WSY+ : tải trọng gió tĩnh tính toán theo phương Y","- WSY+ : tải trọng gió tĩnh tính toán theo phương Y/Static component of wind load to direction Y")</f>
        <v>- WSY+ : tải trọng gió tĩnh tính toán theo phương Y/Static component of wind load to direction Y</v>
      </c>
    </row>
    <row r="24" spans="2:3">
      <c r="B24" s="920" t="str">
        <f>IF(Menu!$C$4="V","- WSY- : tải trọng gió tĩnh tính toán theo phương (-Y)","- WSY- : tải trọng gió tĩnh tính toán theo phương (-Y)/Static component of wind load to direction (-Y)")</f>
        <v>- WSY- : tải trọng gió tĩnh tính toán theo phương (-Y)/Static component of wind load to direction (-Y)</v>
      </c>
    </row>
    <row r="25" spans="2:3" ht="19.5">
      <c r="B25" s="920" t="s">
        <v>2035</v>
      </c>
    </row>
    <row r="26" spans="2:3">
      <c r="B26" s="921" t="s">
        <v>2036</v>
      </c>
      <c r="C26" s="921" t="str">
        <f>+IF([3]Menu!$C$4="V","","        :Dynamic component of wind load to direction Y of mode 1, mode2… mode n")</f>
        <v xml:space="preserve">        :Dynamic component of wind load to direction Y of mode 1, mode2… mode n</v>
      </c>
    </row>
    <row r="27" spans="2:3" ht="19.5">
      <c r="B27" s="920" t="s">
        <v>2019</v>
      </c>
    </row>
    <row r="28" spans="2:3">
      <c r="B28" s="920"/>
    </row>
    <row r="29" spans="2:3">
      <c r="B29" s="920"/>
    </row>
    <row r="30" spans="2:3">
      <c r="B30" s="922" t="str">
        <f>IF(Menu!$C$4="V","WY+ : tải trọng gió tính toán theo phương Y; WY+ = (WSY+) + WDY","WY+ : tải trọng gió tính toán theo phương Y/Component of wind load to direction Y; WY+ = (WSY+) + WDY")</f>
        <v>WY+ : tải trọng gió tính toán theo phương Y/Component of wind load to direction Y; WY+ = (WSY+) + WDY</v>
      </c>
    </row>
    <row r="31" spans="2:3">
      <c r="B31" s="922" t="str">
        <f>IF(Menu!$C$4="V","WY- : tải trọng gió tính toán theo phương (-Y); WY- = (WSY-) + WDY","WY- : tải trọng gió tính toán theo phương (-Y)/Component of wind load to direction (-Y); WY- = (WSY-) + WDY")</f>
        <v>WY- : tải trọng gió tính toán theo phương (-Y)/Component of wind load to direction (-Y); WY- = (WSY-) + WDY</v>
      </c>
    </row>
    <row r="32" spans="2:3">
      <c r="B32" s="922" t="str">
        <f>IF(Menu!$C$4="V","d. Động đất","d. Động đất/EarthQuake Loads")</f>
        <v>d. Động đất/EarthQuake Loads</v>
      </c>
    </row>
    <row r="33" spans="2:19">
      <c r="B33" s="920" t="str">
        <f>IF(Menu!$C$4="V","- EQX : tải trọng động đất theo phương X","- EQX : tải trọng động đất theo phương X/EarthQuake load to direction X")</f>
        <v>- EQX : tải trọng động đất theo phương X/EarthQuake load to direction X</v>
      </c>
    </row>
    <row r="34" spans="2:19">
      <c r="B34" s="920" t="str">
        <f>IF(Menu!$C$4="V","- EQY : tải trọng động đất theo phương Y","- EQY : tải trọng động đất theo phương Y/EarthQuake load to direction Y")</f>
        <v>- EQY : tải trọng động đất theo phương Y/EarthQuake load to direction Y</v>
      </c>
    </row>
    <row r="35" spans="2:19">
      <c r="B35" s="922" t="str">
        <f>IF(Menu!$C$4="V","e. Tổ hợp bao","e. Tổ hợp bao/Envenlope combination")</f>
        <v>e. Tổ hợp bao/Envenlope combination</v>
      </c>
    </row>
    <row r="36" spans="2:19">
      <c r="B36" s="920" t="s">
        <v>2020</v>
      </c>
    </row>
    <row r="37" spans="2:19">
      <c r="B37" s="920" t="s">
        <v>2037</v>
      </c>
    </row>
    <row r="38" spans="2:19">
      <c r="B38" s="920" t="s">
        <v>2017</v>
      </c>
    </row>
    <row r="39" spans="2:19">
      <c r="B39" s="920" t="s">
        <v>2038</v>
      </c>
    </row>
    <row r="40" spans="2:19">
      <c r="B40" s="922" t="str">
        <f>IF(Menu!$C$4="V","2. Các tổ hợp tải trọng áp dụng tính toán độ bền","2. Các tổ hợp tải trọng áp dụng tính toán độ bền/Combinations to apply for ULS")</f>
        <v>2. Các tổ hợp tải trọng áp dụng tính toán độ bền/Combinations to apply for ULS</v>
      </c>
    </row>
    <row r="41" spans="2:19" s="916" customFormat="1" ht="18" customHeight="1">
      <c r="B41" s="923" t="str">
        <f>IF(Menu!$C$4="V","Tổ hợp","Tổ hợp/Combinations")</f>
        <v>Tổ hợp/Combinations</v>
      </c>
      <c r="C41" s="924" t="s">
        <v>2009</v>
      </c>
      <c r="D41" s="925" t="s">
        <v>2010</v>
      </c>
      <c r="E41" s="925" t="s">
        <v>2011</v>
      </c>
      <c r="F41" s="925" t="s">
        <v>2012</v>
      </c>
      <c r="G41" s="925" t="s">
        <v>2013</v>
      </c>
      <c r="H41" s="925" t="s">
        <v>2014</v>
      </c>
      <c r="I41" s="925" t="s">
        <v>2015</v>
      </c>
      <c r="J41" s="925" t="s">
        <v>2016</v>
      </c>
      <c r="K41" s="914"/>
      <c r="L41" s="914"/>
      <c r="M41" s="914"/>
      <c r="N41" s="914"/>
      <c r="O41" s="914"/>
      <c r="P41" s="914"/>
      <c r="Q41" s="914"/>
      <c r="R41" s="915"/>
      <c r="S41" s="915"/>
    </row>
    <row r="42" spans="2:19" s="916" customFormat="1" ht="18" customHeight="1">
      <c r="B42" s="926" t="s">
        <v>2002</v>
      </c>
      <c r="C42" s="927">
        <v>1</v>
      </c>
      <c r="D42" s="927">
        <v>1</v>
      </c>
      <c r="E42" s="927"/>
      <c r="F42" s="927"/>
      <c r="G42" s="927"/>
      <c r="H42" s="927"/>
      <c r="I42" s="927"/>
      <c r="J42" s="927"/>
      <c r="K42" s="914"/>
      <c r="L42" s="914"/>
      <c r="M42" s="914"/>
      <c r="N42" s="914"/>
      <c r="O42" s="914"/>
      <c r="P42" s="914"/>
      <c r="Q42" s="914"/>
      <c r="R42" s="915"/>
      <c r="S42" s="915"/>
    </row>
    <row r="43" spans="2:19" s="916" customFormat="1" ht="18" customHeight="1">
      <c r="B43" s="926" t="s">
        <v>2003</v>
      </c>
      <c r="C43" s="927">
        <v>1</v>
      </c>
      <c r="D43" s="927">
        <v>0.9</v>
      </c>
      <c r="E43" s="927">
        <v>0.9</v>
      </c>
      <c r="F43" s="927"/>
      <c r="G43" s="927"/>
      <c r="H43" s="927"/>
      <c r="I43" s="927"/>
      <c r="J43" s="927"/>
      <c r="K43" s="914"/>
      <c r="L43" s="914"/>
      <c r="M43" s="914"/>
      <c r="N43" s="914"/>
      <c r="O43" s="914"/>
      <c r="P43" s="914"/>
      <c r="Q43" s="914"/>
      <c r="R43" s="915"/>
      <c r="S43" s="915"/>
    </row>
    <row r="44" spans="2:19" s="916" customFormat="1" ht="18" customHeight="1">
      <c r="B44" s="926" t="s">
        <v>2004</v>
      </c>
      <c r="C44" s="927">
        <v>1</v>
      </c>
      <c r="D44" s="927">
        <v>0.9</v>
      </c>
      <c r="E44" s="928"/>
      <c r="F44" s="927">
        <v>0.9</v>
      </c>
      <c r="G44" s="927"/>
      <c r="H44" s="927"/>
      <c r="I44" s="927"/>
      <c r="J44" s="927"/>
      <c r="K44" s="914"/>
      <c r="L44" s="929"/>
      <c r="M44" s="914"/>
      <c r="N44" s="914"/>
      <c r="O44" s="914"/>
      <c r="P44" s="914"/>
      <c r="Q44" s="914"/>
      <c r="R44" s="915"/>
      <c r="S44" s="915"/>
    </row>
    <row r="45" spans="2:19" s="916" customFormat="1" ht="18" customHeight="1">
      <c r="B45" s="926" t="s">
        <v>2005</v>
      </c>
      <c r="C45" s="927">
        <v>1</v>
      </c>
      <c r="D45" s="927">
        <v>0.9</v>
      </c>
      <c r="E45" s="927"/>
      <c r="F45" s="927"/>
      <c r="G45" s="927">
        <v>0.9</v>
      </c>
      <c r="H45" s="927"/>
      <c r="I45" s="927"/>
      <c r="J45" s="927"/>
      <c r="K45" s="914"/>
      <c r="L45" s="914"/>
      <c r="M45" s="914"/>
      <c r="N45" s="914"/>
      <c r="O45" s="914"/>
      <c r="P45" s="914"/>
      <c r="Q45" s="914"/>
      <c r="R45" s="915"/>
      <c r="S45" s="915"/>
    </row>
    <row r="46" spans="2:19" s="916" customFormat="1" ht="18" customHeight="1">
      <c r="B46" s="926" t="s">
        <v>2006</v>
      </c>
      <c r="C46" s="927">
        <v>1</v>
      </c>
      <c r="D46" s="927">
        <v>0.9</v>
      </c>
      <c r="E46" s="927"/>
      <c r="F46" s="927"/>
      <c r="G46" s="927"/>
      <c r="H46" s="927">
        <v>0.9</v>
      </c>
      <c r="I46" s="927"/>
      <c r="J46" s="927"/>
      <c r="K46" s="914"/>
      <c r="L46" s="914"/>
      <c r="M46" s="914"/>
      <c r="N46" s="914"/>
      <c r="O46" s="914"/>
      <c r="P46" s="914"/>
      <c r="Q46" s="914"/>
      <c r="R46" s="915"/>
      <c r="S46" s="915"/>
    </row>
    <row r="47" spans="2:19" s="916" customFormat="1" ht="18" customHeight="1">
      <c r="B47" s="926" t="s">
        <v>2007</v>
      </c>
      <c r="C47" s="927">
        <v>1</v>
      </c>
      <c r="D47" s="927">
        <f>INDEX(Hesotohop,MATCH($L$5,Loainha,0),2)</f>
        <v>0.3</v>
      </c>
      <c r="E47" s="927"/>
      <c r="F47" s="927"/>
      <c r="G47" s="927"/>
      <c r="H47" s="927"/>
      <c r="I47" s="927">
        <v>1</v>
      </c>
      <c r="J47" s="927">
        <v>0.3</v>
      </c>
      <c r="K47" s="914"/>
      <c r="L47" s="914"/>
      <c r="M47" s="914"/>
      <c r="N47" s="914"/>
      <c r="O47" s="914"/>
      <c r="P47" s="914"/>
      <c r="Q47" s="914"/>
      <c r="R47" s="915"/>
      <c r="S47" s="915"/>
    </row>
    <row r="48" spans="2:19">
      <c r="B48" s="926" t="s">
        <v>2008</v>
      </c>
      <c r="C48" s="927">
        <v>1</v>
      </c>
      <c r="D48" s="927">
        <f>INDEX(Hesotohop,MATCH($L$5,Loainha,0),2)</f>
        <v>0.3</v>
      </c>
      <c r="E48" s="927"/>
      <c r="F48" s="927"/>
      <c r="G48" s="927"/>
      <c r="H48" s="927"/>
      <c r="I48" s="927">
        <v>0.3</v>
      </c>
      <c r="J48" s="927">
        <v>1</v>
      </c>
      <c r="K48" s="930"/>
      <c r="L48" s="930"/>
      <c r="M48" s="930"/>
      <c r="N48" s="930"/>
      <c r="O48" s="930"/>
      <c r="P48" s="930"/>
      <c r="Q48" s="930"/>
    </row>
    <row r="49" spans="2:30">
      <c r="B49" s="922" t="str">
        <f>IF(Menu!$C$4="V","3. Các tổ hợp tải trọng áp dụng tính toán theo biến dạng","3. Các tổ hợp tải trọng áp dụng tính toán theo biến dạng/Combinations to apply for SLS")</f>
        <v>3. Các tổ hợp tải trọng áp dụng tính toán theo biến dạng/Combinations to apply for SLS</v>
      </c>
    </row>
    <row r="50" spans="2:30" s="916" customFormat="1" ht="18" customHeight="1">
      <c r="B50" s="923" t="str">
        <f>IF([3]Menu!$C$4="V","Tổ hợp","Tổ hợp/Combinations")</f>
        <v>Tổ hợp/Combinations</v>
      </c>
      <c r="C50" s="924" t="s">
        <v>2009</v>
      </c>
      <c r="D50" s="925" t="s">
        <v>2010</v>
      </c>
      <c r="E50" s="925" t="s">
        <v>2011</v>
      </c>
      <c r="F50" s="925" t="s">
        <v>2012</v>
      </c>
      <c r="G50" s="925" t="s">
        <v>2013</v>
      </c>
      <c r="H50" s="925" t="s">
        <v>2014</v>
      </c>
      <c r="I50" s="925" t="s">
        <v>2015</v>
      </c>
      <c r="J50" s="925" t="s">
        <v>2016</v>
      </c>
      <c r="K50" s="914"/>
      <c r="L50" s="914"/>
      <c r="M50" s="914"/>
      <c r="N50" s="914"/>
      <c r="O50" s="914"/>
      <c r="P50" s="914"/>
      <c r="Q50" s="914"/>
      <c r="R50" s="915"/>
      <c r="S50" s="915"/>
    </row>
    <row r="51" spans="2:30" s="916" customFormat="1" ht="18" customHeight="1">
      <c r="B51" s="926" t="s">
        <v>2039</v>
      </c>
      <c r="C51" s="927">
        <f>+C42/1.1</f>
        <v>0.90909090909090906</v>
      </c>
      <c r="D51" s="927">
        <f>D42/1.2</f>
        <v>0.83333333333333337</v>
      </c>
      <c r="E51" s="927"/>
      <c r="F51" s="927"/>
      <c r="G51" s="927"/>
      <c r="H51" s="927"/>
      <c r="I51" s="927"/>
      <c r="J51" s="927"/>
      <c r="K51" s="914"/>
      <c r="L51" s="914"/>
      <c r="M51" s="914"/>
      <c r="N51" s="914"/>
      <c r="O51" s="914"/>
      <c r="P51" s="914"/>
      <c r="Q51" s="914"/>
      <c r="R51" s="915"/>
      <c r="S51" s="915"/>
    </row>
    <row r="52" spans="2:30" s="916" customFormat="1" ht="18" customHeight="1">
      <c r="B52" s="926" t="s">
        <v>2040</v>
      </c>
      <c r="C52" s="927">
        <f t="shared" ref="C52:C57" si="0">+C43/1.1</f>
        <v>0.90909090909090906</v>
      </c>
      <c r="D52" s="927">
        <f t="shared" ref="D52:D57" si="1">D43/1.2</f>
        <v>0.75</v>
      </c>
      <c r="E52" s="927">
        <f>E43</f>
        <v>0.9</v>
      </c>
      <c r="F52" s="927"/>
      <c r="G52" s="927"/>
      <c r="H52" s="927"/>
      <c r="I52" s="927"/>
      <c r="J52" s="927"/>
      <c r="K52" s="914"/>
      <c r="L52" s="914"/>
      <c r="M52" s="914"/>
      <c r="N52" s="914"/>
      <c r="O52" s="914"/>
      <c r="P52" s="914"/>
      <c r="Q52" s="914"/>
      <c r="R52" s="915"/>
      <c r="S52" s="915"/>
    </row>
    <row r="53" spans="2:30" s="916" customFormat="1" ht="18" customHeight="1">
      <c r="B53" s="926" t="s">
        <v>2041</v>
      </c>
      <c r="C53" s="927">
        <f t="shared" si="0"/>
        <v>0.90909090909090906</v>
      </c>
      <c r="D53" s="927">
        <f t="shared" si="1"/>
        <v>0.75</v>
      </c>
      <c r="E53" s="928"/>
      <c r="F53" s="927">
        <f>+F44</f>
        <v>0.9</v>
      </c>
      <c r="G53" s="927"/>
      <c r="H53" s="927"/>
      <c r="I53" s="927"/>
      <c r="J53" s="927"/>
      <c r="K53" s="914"/>
      <c r="L53" s="929"/>
      <c r="M53" s="914"/>
      <c r="N53" s="914"/>
      <c r="O53" s="914"/>
      <c r="P53" s="914"/>
      <c r="Q53" s="914"/>
      <c r="R53" s="915"/>
      <c r="S53" s="915"/>
    </row>
    <row r="54" spans="2:30" s="916" customFormat="1" ht="18" customHeight="1">
      <c r="B54" s="926" t="s">
        <v>2042</v>
      </c>
      <c r="C54" s="927">
        <f t="shared" si="0"/>
        <v>0.90909090909090906</v>
      </c>
      <c r="D54" s="927">
        <f t="shared" si="1"/>
        <v>0.75</v>
      </c>
      <c r="E54" s="927"/>
      <c r="F54" s="927"/>
      <c r="G54" s="927">
        <f>+G45</f>
        <v>0.9</v>
      </c>
      <c r="H54" s="927"/>
      <c r="I54" s="927"/>
      <c r="J54" s="927"/>
      <c r="K54" s="914"/>
      <c r="L54" s="914"/>
      <c r="M54" s="914"/>
      <c r="N54" s="914"/>
      <c r="O54" s="914"/>
      <c r="P54" s="914"/>
      <c r="Q54" s="914"/>
      <c r="R54" s="915"/>
      <c r="S54" s="915"/>
    </row>
    <row r="55" spans="2:30" s="916" customFormat="1" ht="18" customHeight="1">
      <c r="B55" s="926" t="s">
        <v>2043</v>
      </c>
      <c r="C55" s="927">
        <f t="shared" si="0"/>
        <v>0.90909090909090906</v>
      </c>
      <c r="D55" s="927">
        <f t="shared" si="1"/>
        <v>0.75</v>
      </c>
      <c r="E55" s="927"/>
      <c r="F55" s="927"/>
      <c r="G55" s="927"/>
      <c r="H55" s="927">
        <f>+H46</f>
        <v>0.9</v>
      </c>
      <c r="I55" s="927"/>
      <c r="J55" s="927"/>
      <c r="K55" s="914"/>
      <c r="L55" s="914"/>
      <c r="M55" s="914"/>
      <c r="N55" s="914"/>
      <c r="O55" s="914"/>
      <c r="P55" s="914"/>
      <c r="Q55" s="914"/>
      <c r="R55" s="915"/>
      <c r="S55" s="915"/>
    </row>
    <row r="56" spans="2:30" s="916" customFormat="1" ht="18" customHeight="1">
      <c r="B56" s="926" t="s">
        <v>2044</v>
      </c>
      <c r="C56" s="927">
        <f t="shared" si="0"/>
        <v>0.90909090909090906</v>
      </c>
      <c r="D56" s="927">
        <f t="shared" si="1"/>
        <v>0.25</v>
      </c>
      <c r="E56" s="927"/>
      <c r="F56" s="927"/>
      <c r="G56" s="927"/>
      <c r="H56" s="927"/>
      <c r="I56" s="927">
        <v>1</v>
      </c>
      <c r="J56" s="927">
        <v>0.3</v>
      </c>
      <c r="K56" s="914"/>
      <c r="L56" s="914"/>
      <c r="M56" s="914"/>
      <c r="N56" s="914"/>
      <c r="O56" s="914"/>
      <c r="P56" s="914"/>
      <c r="Q56" s="914"/>
      <c r="R56" s="915"/>
      <c r="S56" s="915"/>
    </row>
    <row r="57" spans="2:30">
      <c r="B57" s="926" t="s">
        <v>2045</v>
      </c>
      <c r="C57" s="927">
        <f t="shared" si="0"/>
        <v>0.90909090909090906</v>
      </c>
      <c r="D57" s="927">
        <f t="shared" si="1"/>
        <v>0.25</v>
      </c>
      <c r="E57" s="927"/>
      <c r="F57" s="927"/>
      <c r="G57" s="927"/>
      <c r="H57" s="927"/>
      <c r="I57" s="927">
        <v>0.3</v>
      </c>
      <c r="J57" s="931">
        <v>1</v>
      </c>
      <c r="K57" s="1237" t="s">
        <v>2141</v>
      </c>
      <c r="L57" s="1238"/>
      <c r="M57" s="1238"/>
      <c r="N57" s="1238"/>
      <c r="O57" s="1239"/>
      <c r="P57" s="932"/>
      <c r="Q57" s="932"/>
      <c r="R57" s="932"/>
      <c r="S57" s="932"/>
      <c r="T57" s="932"/>
      <c r="U57" s="932"/>
      <c r="V57" s="932"/>
      <c r="W57" s="932"/>
      <c r="X57" s="932"/>
      <c r="Y57" s="932"/>
      <c r="Z57" s="932"/>
      <c r="AA57" s="932"/>
      <c r="AB57" s="932"/>
      <c r="AC57" s="932"/>
      <c r="AD57" s="932"/>
    </row>
    <row r="58" spans="2:30" hidden="1">
      <c r="B58" s="922" t="str">
        <f>IF([3]Menu!$C$4="V","4. Các tổ hợp tải trọng áp dụng tính toán cho Cọc","4. Các tổ hợp tải trọng áp dụng tính toán cho Cọc/Combinations to apply for Foundation Design")</f>
        <v>4. Các tổ hợp tải trọng áp dụng tính toán cho Cọc/Combinations to apply for Foundation Design</v>
      </c>
      <c r="K58" s="933">
        <v>0.5</v>
      </c>
      <c r="L58" s="934"/>
      <c r="M58" s="934"/>
      <c r="N58" s="934"/>
      <c r="O58" s="935"/>
    </row>
    <row r="59" spans="2:30" s="916" customFormat="1" ht="18" hidden="1" customHeight="1">
      <c r="B59" s="923" t="str">
        <f>IF([3]Menu!$C$4="V","Tổ hợp","Tổ hợp/Combinations")</f>
        <v>Tổ hợp/Combinations</v>
      </c>
      <c r="C59" s="924" t="s">
        <v>2009</v>
      </c>
      <c r="D59" s="925" t="s">
        <v>2010</v>
      </c>
      <c r="E59" s="925" t="s">
        <v>2011</v>
      </c>
      <c r="F59" s="925" t="s">
        <v>2012</v>
      </c>
      <c r="G59" s="925" t="s">
        <v>2013</v>
      </c>
      <c r="H59" s="925" t="s">
        <v>2014</v>
      </c>
      <c r="I59" s="925" t="s">
        <v>2015</v>
      </c>
      <c r="J59" s="925" t="s">
        <v>2016</v>
      </c>
      <c r="K59" s="914"/>
      <c r="L59" s="914"/>
      <c r="M59" s="914"/>
      <c r="N59" s="914"/>
      <c r="O59" s="914"/>
      <c r="P59" s="914"/>
      <c r="Q59" s="914"/>
      <c r="R59" s="915"/>
      <c r="S59" s="915"/>
    </row>
    <row r="60" spans="2:30" s="916" customFormat="1" ht="18" hidden="1" customHeight="1">
      <c r="B60" s="926" t="s">
        <v>2127</v>
      </c>
      <c r="C60" s="927">
        <f>C42</f>
        <v>1</v>
      </c>
      <c r="D60" s="927">
        <f>D42*$K$58</f>
        <v>0.5</v>
      </c>
      <c r="E60" s="927"/>
      <c r="F60" s="927"/>
      <c r="G60" s="927"/>
      <c r="H60" s="927"/>
      <c r="I60" s="927"/>
      <c r="J60" s="927"/>
      <c r="K60" s="914"/>
      <c r="L60" s="914"/>
      <c r="M60" s="914"/>
      <c r="N60" s="914"/>
      <c r="O60" s="914"/>
      <c r="P60" s="914"/>
      <c r="Q60" s="914"/>
      <c r="R60" s="915"/>
      <c r="S60" s="915"/>
    </row>
    <row r="61" spans="2:30" s="916" customFormat="1" ht="18" hidden="1" customHeight="1">
      <c r="B61" s="926" t="s">
        <v>2128</v>
      </c>
      <c r="C61" s="927">
        <f t="shared" ref="C61:C66" si="2">C43</f>
        <v>1</v>
      </c>
      <c r="D61" s="927">
        <f t="shared" ref="D61:D66" si="3">D43*$K$58</f>
        <v>0.45</v>
      </c>
      <c r="E61" s="927">
        <f>E43</f>
        <v>0.9</v>
      </c>
      <c r="F61" s="927"/>
      <c r="G61" s="927"/>
      <c r="H61" s="927"/>
      <c r="I61" s="927"/>
      <c r="J61" s="927"/>
      <c r="K61" s="914"/>
      <c r="L61" s="914"/>
      <c r="M61" s="914"/>
      <c r="N61" s="914"/>
      <c r="O61" s="914"/>
      <c r="P61" s="914"/>
      <c r="Q61" s="914"/>
      <c r="R61" s="915"/>
      <c r="S61" s="915"/>
    </row>
    <row r="62" spans="2:30" s="916" customFormat="1" ht="18" hidden="1" customHeight="1">
      <c r="B62" s="926" t="s">
        <v>2129</v>
      </c>
      <c r="C62" s="927">
        <f t="shared" si="2"/>
        <v>1</v>
      </c>
      <c r="D62" s="927">
        <f t="shared" si="3"/>
        <v>0.45</v>
      </c>
      <c r="E62" s="928"/>
      <c r="F62" s="927">
        <f>F44</f>
        <v>0.9</v>
      </c>
      <c r="G62" s="927"/>
      <c r="H62" s="927"/>
      <c r="I62" s="927"/>
      <c r="J62" s="927"/>
      <c r="K62" s="914"/>
      <c r="L62" s="929"/>
      <c r="M62" s="914"/>
      <c r="N62" s="914"/>
      <c r="O62" s="914"/>
      <c r="P62" s="914"/>
      <c r="Q62" s="914"/>
      <c r="R62" s="915"/>
      <c r="S62" s="915"/>
    </row>
    <row r="63" spans="2:30" s="916" customFormat="1" ht="18" hidden="1" customHeight="1">
      <c r="B63" s="926" t="s">
        <v>2130</v>
      </c>
      <c r="C63" s="927">
        <f t="shared" si="2"/>
        <v>1</v>
      </c>
      <c r="D63" s="927">
        <f t="shared" si="3"/>
        <v>0.45</v>
      </c>
      <c r="E63" s="927"/>
      <c r="F63" s="927"/>
      <c r="G63" s="927">
        <f>G45</f>
        <v>0.9</v>
      </c>
      <c r="H63" s="927"/>
      <c r="I63" s="927"/>
      <c r="J63" s="927"/>
      <c r="K63" s="914"/>
      <c r="L63" s="914"/>
      <c r="M63" s="914"/>
      <c r="N63" s="914"/>
      <c r="O63" s="914"/>
      <c r="P63" s="914"/>
      <c r="Q63" s="914"/>
      <c r="R63" s="915"/>
      <c r="S63" s="915"/>
    </row>
    <row r="64" spans="2:30" s="916" customFormat="1" ht="18" hidden="1" customHeight="1">
      <c r="B64" s="926" t="s">
        <v>2131</v>
      </c>
      <c r="C64" s="927">
        <f t="shared" si="2"/>
        <v>1</v>
      </c>
      <c r="D64" s="927">
        <f t="shared" si="3"/>
        <v>0.45</v>
      </c>
      <c r="E64" s="927"/>
      <c r="F64" s="927"/>
      <c r="G64" s="927"/>
      <c r="H64" s="927">
        <f>H46</f>
        <v>0.9</v>
      </c>
      <c r="I64" s="927"/>
      <c r="J64" s="927"/>
      <c r="K64" s="914"/>
      <c r="L64" s="914"/>
      <c r="M64" s="914"/>
      <c r="N64" s="914"/>
      <c r="O64" s="914"/>
      <c r="P64" s="914"/>
      <c r="Q64" s="914"/>
      <c r="R64" s="915"/>
      <c r="S64" s="915"/>
    </row>
    <row r="65" spans="2:19" s="916" customFormat="1" ht="18" hidden="1" customHeight="1">
      <c r="B65" s="926" t="s">
        <v>2132</v>
      </c>
      <c r="C65" s="927">
        <f t="shared" si="2"/>
        <v>1</v>
      </c>
      <c r="D65" s="927">
        <f t="shared" si="3"/>
        <v>0.15</v>
      </c>
      <c r="E65" s="927"/>
      <c r="F65" s="927"/>
      <c r="G65" s="927"/>
      <c r="H65" s="927"/>
      <c r="I65" s="927">
        <f>I47</f>
        <v>1</v>
      </c>
      <c r="J65" s="927">
        <f>J47</f>
        <v>0.3</v>
      </c>
      <c r="K65" s="914"/>
      <c r="L65" s="914"/>
      <c r="M65" s="914"/>
      <c r="N65" s="914"/>
      <c r="O65" s="914"/>
      <c r="P65" s="914"/>
      <c r="Q65" s="914"/>
      <c r="R65" s="915"/>
      <c r="S65" s="915"/>
    </row>
    <row r="66" spans="2:19" hidden="1">
      <c r="B66" s="926" t="s">
        <v>2133</v>
      </c>
      <c r="C66" s="927">
        <f t="shared" si="2"/>
        <v>1</v>
      </c>
      <c r="D66" s="927">
        <f t="shared" si="3"/>
        <v>0.15</v>
      </c>
      <c r="E66" s="927"/>
      <c r="F66" s="927"/>
      <c r="G66" s="927"/>
      <c r="H66" s="927"/>
      <c r="I66" s="927">
        <f>I48</f>
        <v>0.3</v>
      </c>
      <c r="J66" s="931">
        <f>J48</f>
        <v>1</v>
      </c>
      <c r="K66" s="1237" t="s">
        <v>2141</v>
      </c>
      <c r="L66" s="1238"/>
      <c r="M66" s="1238"/>
      <c r="N66" s="1238"/>
      <c r="O66" s="1239"/>
      <c r="P66" s="930"/>
      <c r="Q66" s="930"/>
    </row>
    <row r="67" spans="2:19" hidden="1">
      <c r="B67" s="922" t="str">
        <f>IF([3]Menu!$C$4="V","5. Các tổ hợp tải trọng áp dụng tính toán cho Cột-Vách","5. Các tổ hợp tải trọng áp dụng tính toán cho Cột-Vách/Combinations to apply for Column-Wall Design")</f>
        <v>5. Các tổ hợp tải trọng áp dụng tính toán cho Cột-Vách/Combinations to apply for Column-Wall Design</v>
      </c>
      <c r="K67" s="933">
        <v>0.7</v>
      </c>
      <c r="L67" s="934"/>
      <c r="M67" s="934"/>
      <c r="N67" s="934"/>
      <c r="O67" s="935"/>
    </row>
    <row r="68" spans="2:19" s="916" customFormat="1" ht="18" hidden="1" customHeight="1">
      <c r="B68" s="923" t="str">
        <f>IF([3]Menu!$C$4="V","Tổ hợp","Tổ hợp/Combinations")</f>
        <v>Tổ hợp/Combinations</v>
      </c>
      <c r="C68" s="924" t="s">
        <v>2009</v>
      </c>
      <c r="D68" s="925" t="s">
        <v>2010</v>
      </c>
      <c r="E68" s="925" t="s">
        <v>2011</v>
      </c>
      <c r="F68" s="925" t="s">
        <v>2012</v>
      </c>
      <c r="G68" s="925" t="s">
        <v>2013</v>
      </c>
      <c r="H68" s="925" t="s">
        <v>2014</v>
      </c>
      <c r="I68" s="925" t="s">
        <v>2015</v>
      </c>
      <c r="J68" s="925" t="s">
        <v>2016</v>
      </c>
      <c r="K68" s="914"/>
      <c r="L68" s="914"/>
      <c r="M68" s="914"/>
      <c r="N68" s="914"/>
      <c r="O68" s="914"/>
      <c r="P68" s="914"/>
      <c r="Q68" s="914"/>
      <c r="R68" s="915"/>
      <c r="S68" s="915"/>
    </row>
    <row r="69" spans="2:19" s="916" customFormat="1" ht="18" hidden="1" customHeight="1">
      <c r="B69" s="926" t="s">
        <v>2134</v>
      </c>
      <c r="C69" s="927">
        <f>C42</f>
        <v>1</v>
      </c>
      <c r="D69" s="927">
        <f>D42*$K$67</f>
        <v>0.7</v>
      </c>
      <c r="E69" s="927"/>
      <c r="F69" s="927"/>
      <c r="G69" s="927"/>
      <c r="H69" s="927"/>
      <c r="I69" s="927"/>
      <c r="J69" s="927"/>
      <c r="K69" s="914"/>
      <c r="L69" s="914"/>
      <c r="M69" s="914"/>
      <c r="N69" s="914"/>
      <c r="O69" s="914"/>
      <c r="P69" s="914"/>
      <c r="Q69" s="914"/>
      <c r="R69" s="915"/>
      <c r="S69" s="915"/>
    </row>
    <row r="70" spans="2:19" s="916" customFormat="1" ht="18" hidden="1" customHeight="1">
      <c r="B70" s="926" t="s">
        <v>2135</v>
      </c>
      <c r="C70" s="927">
        <f t="shared" ref="C70:C75" si="4">C43</f>
        <v>1</v>
      </c>
      <c r="D70" s="927">
        <f t="shared" ref="D70:D75" si="5">D43*$K$67</f>
        <v>0.63</v>
      </c>
      <c r="E70" s="927">
        <f>E43</f>
        <v>0.9</v>
      </c>
      <c r="F70" s="927"/>
      <c r="G70" s="927"/>
      <c r="H70" s="927"/>
      <c r="I70" s="927"/>
      <c r="J70" s="927"/>
      <c r="K70" s="914"/>
      <c r="L70" s="914"/>
      <c r="M70" s="914"/>
      <c r="N70" s="914"/>
      <c r="O70" s="914"/>
      <c r="P70" s="914"/>
      <c r="Q70" s="914"/>
      <c r="R70" s="915"/>
      <c r="S70" s="915"/>
    </row>
    <row r="71" spans="2:19" s="916" customFormat="1" ht="18" hidden="1" customHeight="1">
      <c r="B71" s="926" t="s">
        <v>2136</v>
      </c>
      <c r="C71" s="927">
        <f t="shared" si="4"/>
        <v>1</v>
      </c>
      <c r="D71" s="927">
        <f t="shared" si="5"/>
        <v>0.63</v>
      </c>
      <c r="E71" s="928"/>
      <c r="F71" s="927">
        <f>F44</f>
        <v>0.9</v>
      </c>
      <c r="G71" s="927"/>
      <c r="H71" s="927"/>
      <c r="I71" s="927"/>
      <c r="J71" s="927"/>
      <c r="K71" s="914"/>
      <c r="L71" s="929"/>
      <c r="M71" s="914"/>
      <c r="N71" s="914"/>
      <c r="O71" s="914"/>
      <c r="P71" s="914"/>
      <c r="Q71" s="914"/>
      <c r="R71" s="915"/>
      <c r="S71" s="915"/>
    </row>
    <row r="72" spans="2:19" s="916" customFormat="1" ht="18" hidden="1" customHeight="1">
      <c r="B72" s="926" t="s">
        <v>2137</v>
      </c>
      <c r="C72" s="927">
        <f t="shared" si="4"/>
        <v>1</v>
      </c>
      <c r="D72" s="927">
        <f t="shared" si="5"/>
        <v>0.63</v>
      </c>
      <c r="E72" s="927"/>
      <c r="F72" s="927"/>
      <c r="G72" s="927">
        <f>G45</f>
        <v>0.9</v>
      </c>
      <c r="H72" s="927"/>
      <c r="I72" s="927"/>
      <c r="J72" s="927"/>
      <c r="K72" s="914"/>
      <c r="L72" s="914"/>
      <c r="M72" s="914"/>
      <c r="N72" s="914"/>
      <c r="O72" s="914"/>
      <c r="P72" s="914"/>
      <c r="Q72" s="914"/>
      <c r="R72" s="915"/>
      <c r="S72" s="915"/>
    </row>
    <row r="73" spans="2:19" s="916" customFormat="1" ht="18" hidden="1" customHeight="1">
      <c r="B73" s="926" t="s">
        <v>2138</v>
      </c>
      <c r="C73" s="927">
        <f t="shared" si="4"/>
        <v>1</v>
      </c>
      <c r="D73" s="927">
        <f t="shared" si="5"/>
        <v>0.63</v>
      </c>
      <c r="E73" s="927"/>
      <c r="F73" s="927"/>
      <c r="G73" s="927"/>
      <c r="H73" s="927">
        <f>H46</f>
        <v>0.9</v>
      </c>
      <c r="I73" s="927"/>
      <c r="J73" s="927"/>
      <c r="K73" s="914"/>
      <c r="L73" s="914"/>
      <c r="M73" s="914"/>
      <c r="N73" s="914"/>
      <c r="O73" s="914"/>
      <c r="P73" s="914"/>
      <c r="Q73" s="914"/>
      <c r="R73" s="915"/>
      <c r="S73" s="915"/>
    </row>
    <row r="74" spans="2:19" s="916" customFormat="1" ht="18" hidden="1" customHeight="1">
      <c r="B74" s="926" t="s">
        <v>2139</v>
      </c>
      <c r="C74" s="927">
        <f t="shared" si="4"/>
        <v>1</v>
      </c>
      <c r="D74" s="927">
        <f t="shared" si="5"/>
        <v>0.21</v>
      </c>
      <c r="E74" s="927"/>
      <c r="F74" s="927"/>
      <c r="G74" s="927"/>
      <c r="H74" s="927"/>
      <c r="I74" s="927">
        <f>I47</f>
        <v>1</v>
      </c>
      <c r="J74" s="927">
        <f>J47</f>
        <v>0.3</v>
      </c>
      <c r="K74" s="914"/>
      <c r="L74" s="914"/>
      <c r="M74" s="914"/>
      <c r="N74" s="914"/>
      <c r="O74" s="914"/>
      <c r="P74" s="914"/>
      <c r="Q74" s="914"/>
      <c r="R74" s="915"/>
      <c r="S74" s="915"/>
    </row>
    <row r="75" spans="2:19" hidden="1">
      <c r="B75" s="926" t="s">
        <v>2140</v>
      </c>
      <c r="C75" s="927">
        <f t="shared" si="4"/>
        <v>1</v>
      </c>
      <c r="D75" s="927">
        <f t="shared" si="5"/>
        <v>0.21</v>
      </c>
      <c r="E75" s="927"/>
      <c r="F75" s="927"/>
      <c r="G75" s="927"/>
      <c r="H75" s="927"/>
      <c r="I75" s="927">
        <f>I48</f>
        <v>0.3</v>
      </c>
      <c r="J75" s="927">
        <f>J48</f>
        <v>1</v>
      </c>
      <c r="K75" s="930"/>
      <c r="L75" s="930"/>
      <c r="M75" s="930"/>
      <c r="N75" s="930"/>
      <c r="O75" s="930"/>
      <c r="P75" s="930"/>
      <c r="Q75" s="930"/>
    </row>
    <row r="76" spans="2:19" hidden="1">
      <c r="B76" s="930"/>
      <c r="C76" s="930"/>
      <c r="D76" s="930"/>
      <c r="E76" s="930"/>
      <c r="F76" s="930"/>
      <c r="G76" s="930"/>
      <c r="H76" s="930"/>
      <c r="I76" s="930"/>
      <c r="J76" s="930"/>
      <c r="K76" s="930"/>
      <c r="L76" s="930"/>
      <c r="M76" s="930"/>
      <c r="N76" s="930"/>
      <c r="O76" s="930"/>
      <c r="P76" s="930"/>
      <c r="Q76" s="930"/>
    </row>
    <row r="77" spans="2:19" hidden="1">
      <c r="B77" s="930"/>
      <c r="C77" s="930"/>
      <c r="D77" s="930"/>
      <c r="E77" s="930"/>
      <c r="F77" s="930"/>
      <c r="G77" s="930"/>
      <c r="H77" s="930"/>
      <c r="I77" s="930"/>
      <c r="J77" s="930"/>
      <c r="K77" s="930"/>
      <c r="L77" s="930"/>
      <c r="M77" s="930"/>
      <c r="N77" s="930"/>
      <c r="O77" s="930"/>
      <c r="P77" s="930"/>
      <c r="Q77" s="930"/>
    </row>
    <row r="78" spans="2:19" hidden="1">
      <c r="B78" s="930"/>
      <c r="C78" s="930"/>
      <c r="D78" s="930"/>
      <c r="E78" s="930"/>
      <c r="F78" s="930"/>
      <c r="G78" s="930"/>
      <c r="H78" s="930"/>
      <c r="I78" s="930"/>
      <c r="J78" s="930"/>
      <c r="K78" s="930"/>
      <c r="L78" s="930"/>
      <c r="M78" s="930"/>
      <c r="N78" s="930"/>
      <c r="O78" s="930"/>
      <c r="P78" s="930"/>
      <c r="Q78" s="930"/>
    </row>
    <row r="79" spans="2:19" hidden="1">
      <c r="B79" s="930"/>
      <c r="C79" s="930"/>
      <c r="D79" s="930"/>
      <c r="E79" s="930"/>
      <c r="F79" s="930"/>
      <c r="G79" s="930"/>
      <c r="H79" s="930"/>
      <c r="I79" s="930"/>
      <c r="J79" s="930"/>
      <c r="K79" s="930"/>
      <c r="L79" s="930"/>
      <c r="M79" s="930"/>
      <c r="N79" s="930"/>
      <c r="O79" s="930"/>
      <c r="P79" s="930"/>
      <c r="Q79" s="930"/>
    </row>
    <row r="80" spans="2:19" hidden="1">
      <c r="B80" s="930"/>
      <c r="C80" s="930"/>
      <c r="D80" s="930"/>
      <c r="E80" s="930"/>
      <c r="F80" s="930"/>
      <c r="G80" s="930"/>
      <c r="H80" s="930"/>
      <c r="I80" s="930"/>
      <c r="J80" s="930"/>
      <c r="K80" s="930"/>
      <c r="L80" s="930"/>
      <c r="M80" s="930"/>
      <c r="N80" s="930"/>
      <c r="O80" s="930"/>
      <c r="P80" s="930"/>
      <c r="Q80" s="930"/>
    </row>
    <row r="81" spans="2:17" hidden="1">
      <c r="B81" s="930"/>
      <c r="C81" s="930"/>
      <c r="D81" s="930"/>
      <c r="E81" s="930"/>
      <c r="F81" s="930"/>
      <c r="G81" s="930"/>
      <c r="H81" s="930"/>
      <c r="I81" s="930"/>
      <c r="J81" s="930"/>
      <c r="K81" s="930"/>
      <c r="L81" s="930"/>
      <c r="M81" s="930"/>
      <c r="N81" s="930"/>
      <c r="O81" s="930"/>
      <c r="P81" s="930"/>
      <c r="Q81" s="930"/>
    </row>
    <row r="82" spans="2:17" hidden="1">
      <c r="B82" s="930"/>
      <c r="C82" s="930"/>
      <c r="D82" s="930"/>
      <c r="E82" s="930"/>
      <c r="F82" s="930"/>
      <c r="G82" s="930"/>
      <c r="H82" s="930"/>
      <c r="I82" s="930"/>
      <c r="J82" s="930"/>
      <c r="K82" s="930"/>
      <c r="L82" s="930"/>
      <c r="M82" s="930"/>
      <c r="N82" s="930"/>
      <c r="O82" s="930"/>
      <c r="P82" s="930"/>
      <c r="Q82" s="930"/>
    </row>
    <row r="83" spans="2:17" hidden="1">
      <c r="B83" s="930"/>
      <c r="C83" s="930"/>
      <c r="D83" s="930"/>
      <c r="E83" s="930"/>
      <c r="F83" s="930"/>
      <c r="G83" s="930"/>
      <c r="H83" s="930"/>
      <c r="I83" s="930"/>
      <c r="J83" s="930"/>
      <c r="K83" s="930"/>
      <c r="L83" s="930"/>
      <c r="M83" s="930"/>
      <c r="N83" s="930"/>
      <c r="O83" s="930"/>
      <c r="P83" s="930"/>
      <c r="Q83" s="930"/>
    </row>
    <row r="84" spans="2:17" hidden="1">
      <c r="B84" s="930"/>
      <c r="C84" s="930"/>
      <c r="D84" s="930"/>
      <c r="E84" s="930"/>
      <c r="F84" s="930"/>
      <c r="G84" s="930"/>
      <c r="H84" s="930"/>
      <c r="I84" s="930"/>
      <c r="J84" s="930"/>
      <c r="K84" s="930"/>
      <c r="L84" s="930"/>
      <c r="M84" s="930"/>
      <c r="N84" s="930"/>
      <c r="O84" s="930"/>
      <c r="P84" s="930"/>
      <c r="Q84" s="930"/>
    </row>
    <row r="85" spans="2:17" hidden="1">
      <c r="B85" s="930"/>
      <c r="C85" s="930"/>
      <c r="D85" s="930"/>
      <c r="E85" s="930"/>
      <c r="F85" s="930"/>
      <c r="G85" s="930"/>
      <c r="H85" s="930"/>
      <c r="I85" s="930"/>
      <c r="J85" s="930"/>
      <c r="K85" s="930"/>
      <c r="L85" s="930"/>
      <c r="M85" s="930"/>
      <c r="N85" s="930"/>
      <c r="O85" s="930"/>
      <c r="P85" s="930"/>
      <c r="Q85" s="930"/>
    </row>
    <row r="86" spans="2:17" hidden="1">
      <c r="B86" s="930"/>
      <c r="C86" s="930"/>
      <c r="D86" s="930"/>
      <c r="E86" s="930"/>
      <c r="F86" s="930"/>
      <c r="G86" s="930"/>
      <c r="H86" s="930"/>
      <c r="I86" s="930"/>
      <c r="J86" s="930"/>
      <c r="K86" s="930"/>
      <c r="L86" s="930"/>
      <c r="M86" s="930"/>
      <c r="N86" s="930"/>
      <c r="O86" s="930"/>
      <c r="P86" s="930"/>
      <c r="Q86" s="930"/>
    </row>
    <row r="87" spans="2:17" hidden="1">
      <c r="B87" s="930"/>
      <c r="C87" s="930"/>
      <c r="D87" s="930"/>
      <c r="E87" s="930"/>
      <c r="F87" s="930"/>
      <c r="G87" s="930"/>
      <c r="H87" s="930"/>
      <c r="I87" s="930"/>
      <c r="J87" s="930"/>
      <c r="K87" s="930"/>
      <c r="L87" s="930"/>
      <c r="M87" s="930"/>
      <c r="N87" s="930"/>
      <c r="O87" s="930"/>
      <c r="P87" s="930"/>
      <c r="Q87" s="930"/>
    </row>
    <row r="88" spans="2:17" hidden="1">
      <c r="B88" s="930"/>
      <c r="C88" s="930"/>
      <c r="D88" s="930"/>
      <c r="E88" s="930"/>
      <c r="F88" s="930"/>
      <c r="G88" s="930"/>
      <c r="H88" s="930"/>
      <c r="I88" s="930"/>
      <c r="J88" s="930"/>
      <c r="K88" s="930"/>
      <c r="L88" s="930"/>
      <c r="M88" s="930"/>
      <c r="N88" s="930"/>
      <c r="O88" s="930"/>
      <c r="P88" s="930"/>
      <c r="Q88" s="930"/>
    </row>
    <row r="89" spans="2:17" hidden="1">
      <c r="B89" s="930"/>
      <c r="C89" s="930"/>
      <c r="D89" s="930"/>
      <c r="E89" s="930"/>
      <c r="F89" s="930"/>
      <c r="G89" s="930"/>
      <c r="H89" s="930"/>
      <c r="I89" s="930"/>
      <c r="J89" s="930"/>
      <c r="K89" s="930"/>
      <c r="L89" s="930"/>
      <c r="M89" s="930"/>
      <c r="N89" s="930"/>
      <c r="O89" s="930"/>
      <c r="P89" s="930"/>
      <c r="Q89" s="930"/>
    </row>
    <row r="90" spans="2:17" hidden="1">
      <c r="B90" s="930"/>
      <c r="C90" s="930"/>
      <c r="D90" s="930"/>
      <c r="E90" s="930"/>
      <c r="F90" s="930"/>
      <c r="G90" s="930"/>
      <c r="H90" s="930"/>
      <c r="I90" s="930"/>
      <c r="J90" s="930"/>
      <c r="K90" s="930"/>
      <c r="L90" s="930"/>
      <c r="M90" s="930"/>
      <c r="N90" s="930"/>
      <c r="O90" s="930"/>
      <c r="P90" s="930"/>
      <c r="Q90" s="930"/>
    </row>
    <row r="91" spans="2:17" hidden="1">
      <c r="B91" s="930"/>
      <c r="C91" s="930"/>
      <c r="D91" s="930"/>
      <c r="E91" s="930"/>
      <c r="F91" s="930"/>
      <c r="G91" s="930"/>
      <c r="H91" s="930"/>
      <c r="I91" s="930"/>
      <c r="J91" s="930"/>
      <c r="K91" s="930"/>
      <c r="L91" s="930"/>
      <c r="M91" s="930"/>
      <c r="N91" s="930"/>
      <c r="O91" s="930"/>
      <c r="P91" s="930"/>
      <c r="Q91" s="930"/>
    </row>
    <row r="92" spans="2:17" hidden="1">
      <c r="B92" s="930"/>
      <c r="C92" s="930"/>
      <c r="D92" s="930"/>
      <c r="E92" s="930"/>
      <c r="F92" s="930"/>
      <c r="G92" s="930"/>
      <c r="H92" s="930"/>
      <c r="I92" s="930"/>
      <c r="J92" s="930"/>
      <c r="K92" s="930"/>
      <c r="L92" s="930"/>
      <c r="M92" s="930"/>
      <c r="N92" s="930"/>
      <c r="O92" s="930"/>
      <c r="P92" s="930"/>
      <c r="Q92" s="930"/>
    </row>
    <row r="93" spans="2:17" hidden="1">
      <c r="B93" s="930"/>
      <c r="C93" s="930"/>
      <c r="D93" s="930"/>
      <c r="E93" s="930"/>
      <c r="F93" s="930"/>
      <c r="G93" s="930"/>
      <c r="H93" s="930"/>
      <c r="I93" s="930"/>
      <c r="J93" s="930"/>
      <c r="K93" s="930"/>
      <c r="L93" s="930"/>
      <c r="M93" s="930"/>
      <c r="N93" s="930"/>
      <c r="O93" s="930"/>
      <c r="P93" s="930"/>
      <c r="Q93" s="930"/>
    </row>
    <row r="94" spans="2:17" hidden="1">
      <c r="B94" s="930"/>
      <c r="C94" s="930"/>
      <c r="D94" s="930"/>
      <c r="E94" s="930"/>
      <c r="F94" s="930"/>
      <c r="G94" s="930"/>
      <c r="H94" s="930"/>
      <c r="I94" s="930"/>
      <c r="J94" s="930"/>
      <c r="K94" s="930"/>
      <c r="L94" s="930"/>
      <c r="M94" s="930"/>
      <c r="N94" s="930"/>
      <c r="O94" s="930"/>
      <c r="P94" s="930"/>
      <c r="Q94" s="930"/>
    </row>
    <row r="95" spans="2:17" hidden="1">
      <c r="B95" s="930"/>
      <c r="C95" s="930"/>
      <c r="D95" s="930"/>
      <c r="E95" s="930"/>
      <c r="F95" s="930"/>
      <c r="G95" s="930"/>
      <c r="H95" s="930"/>
      <c r="I95" s="930"/>
      <c r="J95" s="930"/>
      <c r="K95" s="930"/>
      <c r="L95" s="930"/>
      <c r="M95" s="930"/>
      <c r="N95" s="930"/>
      <c r="O95" s="930"/>
      <c r="P95" s="930"/>
      <c r="Q95" s="930"/>
    </row>
    <row r="96" spans="2:17" hidden="1">
      <c r="B96" s="930"/>
      <c r="C96" s="930"/>
      <c r="D96" s="930"/>
      <c r="E96" s="930"/>
      <c r="F96" s="930"/>
      <c r="G96" s="930"/>
      <c r="H96" s="930"/>
      <c r="I96" s="930"/>
      <c r="J96" s="930"/>
      <c r="K96" s="930"/>
      <c r="L96" s="930"/>
      <c r="M96" s="930"/>
      <c r="N96" s="930"/>
      <c r="O96" s="930"/>
      <c r="P96" s="930"/>
      <c r="Q96" s="930"/>
    </row>
    <row r="97" spans="2:17" hidden="1">
      <c r="B97" s="930"/>
      <c r="C97" s="930"/>
      <c r="D97" s="930"/>
      <c r="E97" s="930"/>
      <c r="F97" s="930"/>
      <c r="G97" s="930"/>
      <c r="H97" s="930"/>
      <c r="I97" s="930"/>
      <c r="J97" s="930"/>
      <c r="K97" s="930"/>
      <c r="L97" s="930"/>
      <c r="M97" s="930"/>
      <c r="N97" s="930"/>
      <c r="O97" s="930"/>
      <c r="P97" s="930"/>
      <c r="Q97" s="930"/>
    </row>
    <row r="98" spans="2:17" hidden="1">
      <c r="B98" s="930"/>
      <c r="C98" s="930"/>
      <c r="D98" s="930"/>
      <c r="E98" s="930"/>
      <c r="F98" s="930"/>
      <c r="G98" s="930"/>
      <c r="H98" s="930"/>
      <c r="I98" s="930"/>
      <c r="J98" s="930"/>
      <c r="K98" s="930"/>
      <c r="L98" s="930"/>
      <c r="M98" s="930"/>
      <c r="N98" s="930"/>
      <c r="O98" s="930"/>
      <c r="P98" s="930"/>
      <c r="Q98" s="930"/>
    </row>
    <row r="99" spans="2:17" hidden="1">
      <c r="B99" s="930"/>
      <c r="C99" s="930"/>
      <c r="D99" s="930"/>
      <c r="E99" s="930"/>
      <c r="F99" s="930"/>
      <c r="G99" s="930"/>
      <c r="H99" s="930"/>
      <c r="I99" s="930"/>
      <c r="J99" s="930"/>
      <c r="K99" s="930"/>
      <c r="L99" s="930"/>
      <c r="M99" s="930"/>
      <c r="N99" s="930"/>
      <c r="O99" s="930"/>
      <c r="P99" s="930"/>
      <c r="Q99" s="930"/>
    </row>
    <row r="100" spans="2:17" hidden="1">
      <c r="B100" s="930"/>
      <c r="C100" s="930"/>
      <c r="D100" s="930"/>
      <c r="E100" s="930"/>
      <c r="F100" s="930"/>
      <c r="G100" s="930"/>
      <c r="H100" s="930"/>
      <c r="I100" s="930"/>
      <c r="J100" s="930"/>
      <c r="K100" s="930"/>
      <c r="L100" s="930"/>
      <c r="M100" s="930"/>
      <c r="N100" s="930"/>
      <c r="O100" s="930"/>
      <c r="P100" s="930"/>
      <c r="Q100" s="930"/>
    </row>
    <row r="101" spans="2:17" hidden="1">
      <c r="B101" s="930"/>
      <c r="C101" s="930"/>
      <c r="D101" s="930"/>
      <c r="E101" s="930"/>
      <c r="F101" s="930"/>
      <c r="G101" s="930"/>
      <c r="H101" s="930"/>
      <c r="I101" s="930"/>
      <c r="J101" s="930"/>
      <c r="K101" s="930"/>
      <c r="L101" s="930"/>
      <c r="M101" s="930"/>
      <c r="N101" s="930"/>
      <c r="O101" s="930"/>
      <c r="P101" s="930"/>
      <c r="Q101" s="930"/>
    </row>
    <row r="102" spans="2:17" hidden="1">
      <c r="B102" s="930"/>
      <c r="C102" s="930"/>
      <c r="D102" s="930"/>
      <c r="E102" s="930"/>
      <c r="F102" s="930"/>
      <c r="G102" s="930"/>
      <c r="H102" s="930"/>
      <c r="I102" s="930"/>
      <c r="J102" s="930"/>
      <c r="K102" s="930"/>
      <c r="L102" s="930"/>
      <c r="M102" s="930"/>
      <c r="N102" s="930"/>
      <c r="O102" s="930"/>
      <c r="P102" s="930"/>
      <c r="Q102" s="930"/>
    </row>
    <row r="103" spans="2:17" hidden="1">
      <c r="B103" s="930"/>
      <c r="C103" s="930"/>
      <c r="D103" s="930"/>
      <c r="E103" s="930"/>
      <c r="F103" s="930"/>
      <c r="G103" s="930"/>
      <c r="H103" s="930"/>
      <c r="I103" s="930"/>
      <c r="J103" s="930"/>
      <c r="K103" s="930"/>
      <c r="L103" s="930"/>
      <c r="M103" s="930"/>
      <c r="N103" s="930"/>
      <c r="O103" s="930"/>
      <c r="P103" s="930"/>
      <c r="Q103" s="930"/>
    </row>
    <row r="104" spans="2:17" hidden="1">
      <c r="B104" s="930"/>
      <c r="C104" s="930"/>
      <c r="D104" s="930"/>
      <c r="E104" s="930"/>
      <c r="F104" s="930"/>
      <c r="G104" s="930"/>
      <c r="H104" s="930"/>
      <c r="I104" s="930"/>
      <c r="J104" s="930"/>
      <c r="K104" s="930"/>
      <c r="L104" s="930"/>
      <c r="M104" s="930"/>
      <c r="N104" s="930"/>
      <c r="O104" s="930"/>
      <c r="P104" s="930"/>
      <c r="Q104" s="930"/>
    </row>
    <row r="105" spans="2:17" hidden="1">
      <c r="B105" s="930"/>
      <c r="C105" s="930"/>
      <c r="D105" s="930"/>
      <c r="E105" s="930"/>
      <c r="F105" s="930"/>
      <c r="G105" s="930"/>
      <c r="H105" s="930"/>
      <c r="I105" s="930"/>
      <c r="J105" s="930"/>
      <c r="K105" s="930"/>
      <c r="L105" s="930"/>
      <c r="M105" s="930"/>
      <c r="N105" s="930"/>
      <c r="O105" s="930"/>
      <c r="P105" s="930"/>
      <c r="Q105" s="930"/>
    </row>
    <row r="106" spans="2:17" hidden="1">
      <c r="B106" s="930"/>
      <c r="C106" s="930"/>
      <c r="D106" s="930"/>
      <c r="E106" s="930"/>
      <c r="F106" s="930"/>
      <c r="G106" s="930"/>
      <c r="H106" s="930"/>
      <c r="I106" s="930"/>
      <c r="J106" s="930"/>
      <c r="K106" s="930"/>
      <c r="L106" s="930"/>
      <c r="M106" s="930"/>
      <c r="N106" s="930"/>
      <c r="O106" s="930"/>
      <c r="P106" s="930"/>
      <c r="Q106" s="930"/>
    </row>
    <row r="107" spans="2:17" hidden="1">
      <c r="B107" s="930"/>
      <c r="C107" s="930"/>
      <c r="D107" s="930"/>
      <c r="E107" s="930"/>
      <c r="F107" s="930"/>
      <c r="G107" s="930"/>
      <c r="H107" s="930"/>
      <c r="I107" s="930"/>
      <c r="J107" s="930"/>
      <c r="K107" s="930"/>
      <c r="L107" s="930"/>
      <c r="M107" s="930"/>
      <c r="N107" s="930"/>
      <c r="O107" s="930"/>
      <c r="P107" s="930"/>
      <c r="Q107" s="930"/>
    </row>
    <row r="108" spans="2:17" hidden="1">
      <c r="B108" s="930"/>
      <c r="C108" s="930"/>
      <c r="D108" s="930"/>
      <c r="E108" s="930"/>
      <c r="F108" s="930"/>
      <c r="G108" s="930"/>
      <c r="H108" s="930"/>
      <c r="I108" s="930"/>
      <c r="J108" s="930"/>
      <c r="K108" s="930"/>
      <c r="L108" s="930"/>
      <c r="M108" s="930"/>
      <c r="N108" s="930"/>
      <c r="O108" s="930"/>
      <c r="P108" s="930"/>
      <c r="Q108" s="930"/>
    </row>
    <row r="109" spans="2:17" hidden="1">
      <c r="B109" s="930"/>
      <c r="C109" s="930"/>
      <c r="D109" s="930"/>
      <c r="E109" s="930"/>
      <c r="F109" s="930"/>
      <c r="G109" s="930"/>
      <c r="H109" s="930"/>
      <c r="I109" s="930"/>
      <c r="J109" s="930"/>
      <c r="K109" s="930"/>
      <c r="L109" s="930"/>
      <c r="M109" s="930"/>
      <c r="N109" s="930"/>
      <c r="O109" s="930"/>
      <c r="P109" s="930"/>
      <c r="Q109" s="930"/>
    </row>
    <row r="110" spans="2:17" hidden="1">
      <c r="B110" s="930"/>
      <c r="C110" s="930"/>
      <c r="D110" s="930"/>
      <c r="E110" s="930"/>
      <c r="F110" s="930"/>
      <c r="G110" s="930"/>
      <c r="H110" s="930"/>
      <c r="I110" s="930"/>
      <c r="J110" s="930"/>
      <c r="K110" s="930"/>
      <c r="L110" s="930"/>
      <c r="M110" s="930"/>
      <c r="N110" s="930"/>
      <c r="O110" s="930"/>
      <c r="P110" s="930"/>
      <c r="Q110" s="930"/>
    </row>
    <row r="111" spans="2:17" hidden="1">
      <c r="B111" s="930"/>
      <c r="C111" s="930"/>
      <c r="D111" s="930"/>
      <c r="E111" s="930"/>
      <c r="F111" s="930"/>
      <c r="G111" s="930"/>
      <c r="H111" s="930"/>
      <c r="I111" s="930"/>
      <c r="J111" s="930"/>
      <c r="K111" s="930"/>
      <c r="L111" s="930"/>
      <c r="M111" s="930"/>
      <c r="N111" s="930"/>
      <c r="O111" s="930"/>
      <c r="P111" s="930"/>
      <c r="Q111" s="930"/>
    </row>
    <row r="112" spans="2:17" hidden="1">
      <c r="B112" s="930"/>
      <c r="C112" s="930"/>
      <c r="D112" s="930"/>
      <c r="E112" s="930"/>
      <c r="F112" s="930"/>
      <c r="G112" s="930"/>
      <c r="H112" s="930"/>
      <c r="I112" s="930"/>
      <c r="J112" s="930"/>
      <c r="K112" s="930"/>
      <c r="L112" s="930"/>
      <c r="M112" s="930"/>
      <c r="N112" s="930"/>
      <c r="O112" s="930"/>
      <c r="P112" s="930"/>
      <c r="Q112" s="930"/>
    </row>
    <row r="113" spans="2:17" hidden="1">
      <c r="B113" s="930"/>
      <c r="C113" s="930"/>
      <c r="D113" s="930"/>
      <c r="E113" s="930"/>
      <c r="F113" s="930"/>
      <c r="G113" s="930"/>
      <c r="H113" s="930"/>
      <c r="I113" s="930"/>
      <c r="J113" s="930"/>
      <c r="K113" s="930"/>
      <c r="L113" s="930"/>
      <c r="M113" s="930"/>
      <c r="N113" s="930"/>
      <c r="O113" s="930"/>
      <c r="P113" s="930"/>
      <c r="Q113" s="930"/>
    </row>
    <row r="114" spans="2:17" hidden="1">
      <c r="B114" s="930"/>
      <c r="C114" s="930"/>
      <c r="D114" s="930"/>
      <c r="E114" s="930"/>
      <c r="F114" s="930"/>
      <c r="G114" s="930"/>
      <c r="H114" s="930"/>
      <c r="I114" s="930"/>
      <c r="J114" s="930"/>
      <c r="K114" s="930"/>
      <c r="L114" s="930"/>
      <c r="M114" s="930"/>
      <c r="N114" s="930"/>
      <c r="O114" s="930"/>
      <c r="P114" s="930"/>
      <c r="Q114" s="930"/>
    </row>
    <row r="115" spans="2:17" hidden="1">
      <c r="B115" s="930"/>
      <c r="C115" s="930"/>
      <c r="D115" s="930"/>
      <c r="E115" s="930"/>
      <c r="F115" s="930"/>
      <c r="G115" s="930"/>
      <c r="H115" s="930"/>
      <c r="I115" s="930"/>
      <c r="J115" s="930"/>
      <c r="K115" s="930"/>
      <c r="L115" s="930"/>
      <c r="M115" s="930"/>
      <c r="N115" s="930"/>
      <c r="O115" s="930"/>
      <c r="P115" s="930"/>
      <c r="Q115" s="930"/>
    </row>
    <row r="116" spans="2:17">
      <c r="B116" s="930"/>
      <c r="C116" s="930"/>
      <c r="D116" s="930"/>
      <c r="E116" s="930"/>
      <c r="F116" s="930"/>
      <c r="G116" s="930"/>
      <c r="H116" s="930"/>
      <c r="I116" s="930"/>
      <c r="J116" s="930"/>
      <c r="K116" s="930"/>
      <c r="L116" s="930"/>
      <c r="M116" s="930"/>
      <c r="N116" s="930"/>
      <c r="O116" s="930"/>
      <c r="P116" s="930"/>
      <c r="Q116" s="930"/>
    </row>
    <row r="117" spans="2:17">
      <c r="B117" s="930"/>
      <c r="C117" s="930"/>
      <c r="D117" s="930"/>
      <c r="E117" s="930"/>
      <c r="F117" s="930"/>
      <c r="G117" s="930"/>
      <c r="H117" s="930"/>
      <c r="I117" s="930"/>
      <c r="J117" s="930"/>
      <c r="K117" s="930"/>
      <c r="L117" s="930"/>
      <c r="M117" s="930"/>
      <c r="N117" s="930"/>
      <c r="O117" s="930"/>
      <c r="P117" s="930"/>
      <c r="Q117" s="930"/>
    </row>
    <row r="118" spans="2:17">
      <c r="B118" s="930"/>
      <c r="C118" s="930"/>
      <c r="D118" s="930"/>
      <c r="E118" s="930"/>
      <c r="F118" s="930"/>
      <c r="G118" s="930"/>
      <c r="H118" s="930"/>
      <c r="I118" s="930"/>
      <c r="J118" s="930"/>
      <c r="K118" s="930"/>
      <c r="L118" s="930"/>
      <c r="M118" s="930"/>
      <c r="N118" s="930"/>
      <c r="O118" s="930"/>
      <c r="P118" s="930"/>
      <c r="Q118" s="930"/>
    </row>
    <row r="119" spans="2:17">
      <c r="B119" s="930"/>
      <c r="C119" s="930"/>
      <c r="D119" s="930"/>
      <c r="E119" s="930"/>
      <c r="F119" s="930"/>
      <c r="G119" s="930"/>
      <c r="H119" s="930"/>
      <c r="I119" s="930"/>
      <c r="J119" s="930"/>
      <c r="K119" s="930"/>
      <c r="L119" s="930"/>
      <c r="M119" s="930"/>
      <c r="N119" s="930"/>
      <c r="O119" s="930"/>
      <c r="P119" s="930"/>
      <c r="Q119" s="930"/>
    </row>
    <row r="120" spans="2:17">
      <c r="B120" s="930"/>
      <c r="C120" s="930"/>
      <c r="D120" s="930"/>
      <c r="E120" s="930"/>
      <c r="F120" s="930"/>
      <c r="G120" s="930"/>
      <c r="H120" s="930"/>
      <c r="I120" s="930"/>
      <c r="J120" s="930"/>
      <c r="K120" s="930"/>
      <c r="L120" s="930"/>
      <c r="M120" s="930"/>
      <c r="N120" s="930"/>
      <c r="O120" s="930"/>
      <c r="P120" s="930"/>
      <c r="Q120" s="930"/>
    </row>
    <row r="121" spans="2:17">
      <c r="B121" s="930"/>
      <c r="C121" s="930"/>
      <c r="D121" s="930"/>
      <c r="E121" s="930"/>
      <c r="F121" s="930"/>
      <c r="G121" s="930"/>
      <c r="H121" s="930"/>
      <c r="I121" s="930"/>
      <c r="J121" s="930"/>
      <c r="K121" s="930"/>
      <c r="L121" s="930"/>
      <c r="M121" s="930"/>
      <c r="N121" s="930"/>
      <c r="O121" s="930"/>
      <c r="P121" s="930"/>
      <c r="Q121" s="930"/>
    </row>
    <row r="122" spans="2:17">
      <c r="B122" s="930"/>
      <c r="C122" s="930"/>
      <c r="D122" s="930"/>
      <c r="E122" s="930"/>
      <c r="F122" s="930"/>
      <c r="G122" s="930"/>
      <c r="H122" s="930"/>
      <c r="I122" s="930"/>
      <c r="J122" s="930"/>
      <c r="K122" s="930"/>
      <c r="L122" s="930"/>
      <c r="M122" s="930"/>
      <c r="N122" s="930"/>
      <c r="O122" s="930"/>
      <c r="P122" s="930"/>
      <c r="Q122" s="930"/>
    </row>
    <row r="123" spans="2:17">
      <c r="B123" s="930"/>
      <c r="C123" s="930"/>
      <c r="D123" s="930"/>
      <c r="E123" s="930"/>
      <c r="F123" s="930"/>
      <c r="G123" s="930"/>
      <c r="H123" s="930"/>
      <c r="I123" s="930"/>
      <c r="J123" s="930"/>
      <c r="K123" s="930"/>
      <c r="L123" s="930"/>
      <c r="M123" s="930"/>
      <c r="N123" s="930"/>
      <c r="O123" s="930"/>
      <c r="P123" s="930"/>
      <c r="Q123" s="930"/>
    </row>
    <row r="124" spans="2:17">
      <c r="B124" s="930"/>
      <c r="C124" s="930"/>
      <c r="D124" s="930"/>
      <c r="E124" s="930"/>
      <c r="F124" s="930"/>
      <c r="G124" s="930"/>
      <c r="H124" s="930"/>
      <c r="I124" s="930"/>
      <c r="J124" s="930"/>
      <c r="K124" s="930"/>
      <c r="L124" s="930"/>
      <c r="M124" s="930"/>
      <c r="N124" s="930"/>
      <c r="O124" s="930"/>
      <c r="P124" s="930"/>
      <c r="Q124" s="930"/>
    </row>
    <row r="125" spans="2:17">
      <c r="B125" s="930"/>
      <c r="C125" s="930"/>
      <c r="D125" s="930"/>
      <c r="E125" s="930"/>
      <c r="F125" s="930"/>
      <c r="G125" s="930"/>
      <c r="H125" s="930"/>
      <c r="I125" s="930"/>
      <c r="J125" s="930"/>
      <c r="K125" s="930"/>
      <c r="L125" s="930"/>
      <c r="M125" s="930"/>
      <c r="N125" s="930"/>
      <c r="O125" s="930"/>
      <c r="P125" s="930"/>
      <c r="Q125" s="930"/>
    </row>
    <row r="126" spans="2:17">
      <c r="B126" s="930"/>
      <c r="C126" s="930"/>
      <c r="D126" s="930"/>
      <c r="E126" s="930"/>
      <c r="F126" s="930"/>
      <c r="G126" s="930"/>
      <c r="H126" s="930"/>
      <c r="I126" s="930"/>
      <c r="J126" s="930"/>
      <c r="K126" s="930"/>
      <c r="L126" s="930"/>
      <c r="M126" s="930"/>
      <c r="N126" s="930"/>
      <c r="O126" s="930"/>
      <c r="P126" s="930"/>
      <c r="Q126" s="930"/>
    </row>
    <row r="127" spans="2:17">
      <c r="B127" s="930"/>
      <c r="C127" s="930"/>
      <c r="D127" s="930"/>
      <c r="E127" s="930"/>
      <c r="F127" s="930"/>
      <c r="G127" s="930"/>
      <c r="H127" s="930"/>
      <c r="I127" s="930"/>
      <c r="J127" s="930"/>
      <c r="K127" s="930"/>
      <c r="L127" s="930"/>
      <c r="M127" s="930"/>
      <c r="N127" s="930"/>
      <c r="O127" s="930"/>
      <c r="P127" s="930"/>
      <c r="Q127" s="930"/>
    </row>
    <row r="128" spans="2:17">
      <c r="B128" s="930"/>
      <c r="C128" s="930"/>
      <c r="D128" s="930"/>
      <c r="E128" s="930"/>
      <c r="F128" s="930"/>
      <c r="G128" s="930"/>
      <c r="H128" s="930"/>
      <c r="I128" s="930"/>
      <c r="J128" s="930"/>
      <c r="K128" s="930"/>
      <c r="L128" s="930"/>
      <c r="M128" s="930"/>
      <c r="N128" s="930"/>
      <c r="O128" s="930"/>
      <c r="P128" s="930"/>
      <c r="Q128" s="930"/>
    </row>
    <row r="129" spans="2:17">
      <c r="B129" s="930"/>
      <c r="C129" s="930"/>
      <c r="D129" s="930"/>
      <c r="E129" s="930"/>
      <c r="F129" s="930"/>
      <c r="G129" s="930"/>
      <c r="H129" s="930"/>
      <c r="I129" s="930"/>
      <c r="J129" s="930"/>
      <c r="K129" s="930"/>
      <c r="L129" s="930"/>
      <c r="M129" s="930"/>
      <c r="N129" s="930"/>
      <c r="O129" s="930"/>
      <c r="P129" s="930"/>
      <c r="Q129" s="930"/>
    </row>
    <row r="130" spans="2:17">
      <c r="B130" s="930"/>
      <c r="C130" s="930"/>
      <c r="D130" s="930"/>
      <c r="E130" s="930"/>
      <c r="F130" s="930"/>
      <c r="G130" s="930"/>
      <c r="H130" s="930"/>
      <c r="I130" s="930"/>
      <c r="J130" s="930"/>
      <c r="K130" s="930"/>
      <c r="L130" s="930"/>
      <c r="M130" s="930"/>
      <c r="N130" s="930"/>
      <c r="O130" s="930"/>
      <c r="P130" s="930"/>
      <c r="Q130" s="930"/>
    </row>
    <row r="131" spans="2:17">
      <c r="B131" s="930"/>
      <c r="C131" s="930"/>
      <c r="D131" s="930"/>
      <c r="E131" s="930"/>
      <c r="F131" s="930"/>
      <c r="G131" s="930"/>
      <c r="H131" s="930"/>
      <c r="I131" s="930"/>
      <c r="J131" s="930"/>
      <c r="K131" s="930"/>
      <c r="L131" s="930"/>
      <c r="M131" s="930"/>
      <c r="N131" s="930"/>
      <c r="O131" s="930"/>
      <c r="P131" s="930"/>
      <c r="Q131" s="930"/>
    </row>
    <row r="132" spans="2:17">
      <c r="B132" s="930"/>
      <c r="C132" s="930"/>
      <c r="D132" s="930"/>
      <c r="E132" s="930"/>
      <c r="F132" s="930"/>
      <c r="G132" s="930"/>
      <c r="H132" s="930"/>
      <c r="I132" s="930"/>
      <c r="J132" s="930"/>
      <c r="K132" s="930"/>
      <c r="L132" s="930"/>
      <c r="M132" s="930"/>
      <c r="N132" s="930"/>
      <c r="O132" s="930"/>
      <c r="P132" s="930"/>
      <c r="Q132" s="930"/>
    </row>
    <row r="133" spans="2:17">
      <c r="B133" s="930"/>
      <c r="C133" s="930"/>
      <c r="D133" s="930"/>
      <c r="E133" s="930"/>
      <c r="F133" s="930"/>
      <c r="G133" s="930"/>
      <c r="H133" s="930"/>
      <c r="I133" s="930"/>
      <c r="J133" s="930"/>
      <c r="K133" s="930"/>
      <c r="L133" s="930"/>
      <c r="M133" s="930"/>
      <c r="N133" s="930"/>
      <c r="O133" s="930"/>
      <c r="P133" s="930"/>
      <c r="Q133" s="930"/>
    </row>
    <row r="134" spans="2:17">
      <c r="B134" s="930"/>
      <c r="C134" s="930"/>
      <c r="D134" s="930"/>
      <c r="E134" s="930"/>
      <c r="F134" s="930"/>
      <c r="G134" s="930"/>
      <c r="H134" s="930"/>
      <c r="I134" s="930"/>
      <c r="J134" s="930"/>
      <c r="K134" s="930"/>
      <c r="L134" s="930"/>
      <c r="M134" s="930"/>
      <c r="N134" s="930"/>
      <c r="O134" s="930"/>
      <c r="P134" s="930"/>
      <c r="Q134" s="930"/>
    </row>
    <row r="135" spans="2:17">
      <c r="B135" s="930"/>
      <c r="C135" s="930"/>
      <c r="D135" s="930"/>
      <c r="E135" s="930"/>
      <c r="F135" s="930"/>
      <c r="G135" s="930"/>
      <c r="H135" s="930"/>
      <c r="I135" s="930"/>
      <c r="J135" s="930"/>
      <c r="K135" s="930"/>
      <c r="L135" s="930"/>
      <c r="M135" s="930"/>
      <c r="N135" s="930"/>
      <c r="O135" s="930"/>
      <c r="P135" s="930"/>
      <c r="Q135" s="930"/>
    </row>
    <row r="136" spans="2:17">
      <c r="B136" s="930"/>
      <c r="C136" s="930"/>
      <c r="D136" s="930"/>
      <c r="E136" s="930"/>
      <c r="F136" s="930"/>
      <c r="G136" s="930"/>
      <c r="H136" s="930"/>
      <c r="I136" s="930"/>
      <c r="J136" s="930"/>
      <c r="K136" s="930"/>
      <c r="L136" s="930"/>
      <c r="M136" s="930"/>
      <c r="N136" s="930"/>
      <c r="O136" s="930"/>
      <c r="P136" s="930"/>
      <c r="Q136" s="930"/>
    </row>
    <row r="137" spans="2:17">
      <c r="B137" s="930"/>
      <c r="C137" s="930"/>
      <c r="D137" s="930"/>
      <c r="E137" s="930"/>
      <c r="F137" s="930"/>
      <c r="G137" s="930"/>
      <c r="H137" s="930"/>
      <c r="I137" s="930"/>
      <c r="J137" s="930"/>
      <c r="K137" s="930"/>
      <c r="L137" s="930"/>
      <c r="M137" s="930"/>
      <c r="N137" s="930"/>
      <c r="O137" s="930"/>
      <c r="P137" s="930"/>
      <c r="Q137" s="930"/>
    </row>
    <row r="138" spans="2:17">
      <c r="B138" s="930"/>
      <c r="C138" s="930"/>
      <c r="D138" s="930"/>
      <c r="E138" s="930"/>
      <c r="F138" s="930"/>
      <c r="G138" s="930"/>
      <c r="H138" s="930"/>
      <c r="I138" s="930"/>
      <c r="J138" s="930"/>
      <c r="K138" s="930"/>
      <c r="L138" s="930"/>
      <c r="M138" s="930"/>
      <c r="N138" s="930"/>
      <c r="O138" s="930"/>
      <c r="P138" s="930"/>
      <c r="Q138" s="930"/>
    </row>
    <row r="139" spans="2:17">
      <c r="B139" s="930"/>
      <c r="C139" s="930"/>
      <c r="D139" s="930"/>
      <c r="E139" s="930"/>
      <c r="F139" s="930"/>
      <c r="G139" s="930"/>
      <c r="H139" s="930"/>
      <c r="I139" s="930"/>
      <c r="J139" s="930"/>
      <c r="K139" s="930"/>
      <c r="L139" s="930"/>
      <c r="M139" s="930"/>
      <c r="N139" s="930"/>
      <c r="O139" s="930"/>
      <c r="P139" s="930"/>
      <c r="Q139" s="930"/>
    </row>
    <row r="140" spans="2:17">
      <c r="B140" s="930"/>
      <c r="C140" s="930"/>
      <c r="D140" s="930"/>
      <c r="E140" s="930"/>
      <c r="F140" s="930"/>
      <c r="G140" s="930"/>
      <c r="H140" s="930"/>
      <c r="I140" s="930"/>
      <c r="J140" s="930"/>
      <c r="K140" s="930"/>
      <c r="L140" s="930"/>
      <c r="M140" s="930"/>
      <c r="N140" s="930"/>
      <c r="O140" s="930"/>
      <c r="P140" s="930"/>
      <c r="Q140" s="930"/>
    </row>
    <row r="141" spans="2:17">
      <c r="B141" s="930"/>
      <c r="C141" s="930"/>
      <c r="D141" s="930"/>
      <c r="E141" s="930"/>
      <c r="F141" s="930"/>
      <c r="G141" s="930"/>
      <c r="H141" s="930"/>
      <c r="I141" s="930"/>
      <c r="J141" s="930"/>
      <c r="K141" s="930"/>
      <c r="L141" s="930"/>
      <c r="M141" s="930"/>
      <c r="N141" s="930"/>
      <c r="O141" s="930"/>
      <c r="P141" s="930"/>
      <c r="Q141" s="930"/>
    </row>
    <row r="142" spans="2:17">
      <c r="B142" s="930"/>
      <c r="C142" s="930"/>
      <c r="D142" s="930"/>
      <c r="E142" s="930"/>
      <c r="F142" s="930"/>
      <c r="G142" s="930"/>
      <c r="H142" s="930"/>
      <c r="I142" s="930"/>
      <c r="J142" s="930"/>
      <c r="K142" s="930"/>
      <c r="L142" s="930"/>
      <c r="M142" s="930"/>
      <c r="N142" s="930"/>
      <c r="O142" s="930"/>
      <c r="P142" s="930"/>
      <c r="Q142" s="930"/>
    </row>
    <row r="143" spans="2:17">
      <c r="B143" s="930"/>
      <c r="C143" s="930"/>
      <c r="D143" s="930"/>
      <c r="E143" s="930"/>
      <c r="F143" s="930"/>
      <c r="G143" s="930"/>
      <c r="H143" s="930"/>
      <c r="I143" s="930"/>
      <c r="J143" s="930"/>
      <c r="K143" s="930"/>
      <c r="L143" s="930"/>
      <c r="M143" s="930"/>
      <c r="N143" s="930"/>
      <c r="O143" s="930"/>
      <c r="P143" s="930"/>
      <c r="Q143" s="930"/>
    </row>
    <row r="144" spans="2:17">
      <c r="B144" s="930"/>
      <c r="C144" s="930"/>
      <c r="D144" s="930"/>
      <c r="E144" s="930"/>
      <c r="F144" s="930"/>
      <c r="G144" s="930"/>
      <c r="H144" s="930"/>
      <c r="I144" s="930"/>
      <c r="J144" s="930"/>
      <c r="K144" s="930"/>
      <c r="L144" s="930"/>
      <c r="M144" s="930"/>
      <c r="N144" s="930"/>
      <c r="O144" s="930"/>
      <c r="P144" s="930"/>
      <c r="Q144" s="930"/>
    </row>
    <row r="145" spans="2:17">
      <c r="B145" s="930"/>
      <c r="C145" s="930"/>
      <c r="D145" s="930"/>
      <c r="E145" s="930"/>
      <c r="F145" s="930"/>
      <c r="G145" s="930"/>
      <c r="H145" s="930"/>
      <c r="I145" s="930"/>
      <c r="J145" s="930"/>
      <c r="K145" s="930"/>
      <c r="L145" s="930"/>
      <c r="M145" s="930"/>
      <c r="N145" s="930"/>
      <c r="O145" s="930"/>
      <c r="P145" s="930"/>
      <c r="Q145" s="930"/>
    </row>
    <row r="146" spans="2:17">
      <c r="B146" s="930"/>
      <c r="C146" s="930"/>
      <c r="D146" s="930"/>
      <c r="E146" s="930"/>
      <c r="F146" s="930"/>
      <c r="G146" s="930"/>
      <c r="H146" s="930"/>
      <c r="I146" s="930"/>
      <c r="J146" s="930"/>
      <c r="K146" s="930"/>
      <c r="L146" s="930"/>
      <c r="M146" s="930"/>
      <c r="N146" s="930"/>
      <c r="O146" s="930"/>
      <c r="P146" s="930"/>
      <c r="Q146" s="930"/>
    </row>
    <row r="147" spans="2:17">
      <c r="B147" s="930"/>
      <c r="C147" s="930"/>
      <c r="D147" s="930"/>
      <c r="E147" s="930"/>
      <c r="F147" s="930"/>
      <c r="G147" s="930"/>
      <c r="H147" s="930"/>
      <c r="I147" s="930"/>
      <c r="J147" s="930"/>
      <c r="K147" s="930"/>
      <c r="L147" s="930"/>
      <c r="M147" s="930"/>
      <c r="N147" s="930"/>
      <c r="O147" s="930"/>
      <c r="P147" s="930"/>
      <c r="Q147" s="930"/>
    </row>
    <row r="148" spans="2:17">
      <c r="B148" s="930"/>
      <c r="C148" s="930"/>
      <c r="D148" s="930"/>
      <c r="E148" s="930"/>
      <c r="F148" s="930"/>
      <c r="G148" s="930"/>
      <c r="H148" s="930"/>
      <c r="I148" s="930"/>
      <c r="J148" s="930"/>
      <c r="K148" s="930"/>
      <c r="L148" s="930"/>
      <c r="M148" s="930"/>
      <c r="N148" s="930"/>
      <c r="O148" s="930"/>
      <c r="P148" s="930"/>
      <c r="Q148" s="930"/>
    </row>
    <row r="149" spans="2:17">
      <c r="B149" s="930"/>
      <c r="C149" s="930"/>
      <c r="D149" s="930"/>
      <c r="E149" s="930"/>
      <c r="F149" s="930"/>
      <c r="G149" s="930"/>
      <c r="H149" s="930"/>
      <c r="I149" s="930"/>
      <c r="J149" s="930"/>
      <c r="K149" s="930"/>
      <c r="L149" s="930"/>
      <c r="M149" s="930"/>
      <c r="N149" s="930"/>
      <c r="O149" s="930"/>
      <c r="P149" s="930"/>
      <c r="Q149" s="930"/>
    </row>
    <row r="150" spans="2:17">
      <c r="B150" s="930"/>
      <c r="C150" s="930"/>
      <c r="D150" s="930"/>
      <c r="E150" s="930"/>
      <c r="F150" s="930"/>
      <c r="G150" s="930"/>
      <c r="H150" s="930"/>
      <c r="I150" s="930"/>
      <c r="J150" s="930"/>
      <c r="K150" s="930"/>
      <c r="L150" s="930"/>
      <c r="M150" s="930"/>
      <c r="N150" s="930"/>
      <c r="O150" s="930"/>
      <c r="P150" s="930"/>
      <c r="Q150" s="930"/>
    </row>
    <row r="151" spans="2:17">
      <c r="B151" s="930"/>
      <c r="C151" s="930"/>
      <c r="D151" s="930"/>
      <c r="E151" s="930"/>
      <c r="F151" s="930"/>
      <c r="G151" s="930"/>
      <c r="H151" s="930"/>
      <c r="I151" s="930"/>
      <c r="J151" s="930"/>
      <c r="K151" s="930"/>
      <c r="L151" s="930"/>
      <c r="M151" s="930"/>
      <c r="N151" s="930"/>
      <c r="O151" s="930"/>
      <c r="P151" s="930"/>
      <c r="Q151" s="930"/>
    </row>
    <row r="152" spans="2:17">
      <c r="B152" s="930"/>
      <c r="C152" s="930"/>
      <c r="D152" s="930"/>
      <c r="E152" s="930"/>
      <c r="F152" s="930"/>
      <c r="G152" s="930"/>
      <c r="H152" s="930"/>
      <c r="I152" s="930"/>
      <c r="J152" s="930"/>
      <c r="K152" s="930"/>
      <c r="L152" s="930"/>
      <c r="M152" s="930"/>
      <c r="N152" s="930"/>
      <c r="O152" s="930"/>
      <c r="P152" s="930"/>
      <c r="Q152" s="930"/>
    </row>
    <row r="153" spans="2:17">
      <c r="B153" s="930"/>
      <c r="C153" s="930"/>
      <c r="D153" s="930"/>
      <c r="E153" s="930"/>
      <c r="F153" s="930"/>
      <c r="G153" s="930"/>
      <c r="H153" s="930"/>
      <c r="I153" s="930"/>
      <c r="J153" s="930"/>
      <c r="K153" s="930"/>
      <c r="L153" s="930"/>
      <c r="M153" s="930"/>
      <c r="N153" s="930"/>
      <c r="O153" s="930"/>
      <c r="P153" s="930"/>
      <c r="Q153" s="930"/>
    </row>
    <row r="154" spans="2:17">
      <c r="B154" s="930"/>
      <c r="C154" s="930"/>
      <c r="D154" s="930"/>
      <c r="E154" s="930"/>
      <c r="F154" s="930"/>
      <c r="G154" s="930"/>
      <c r="H154" s="930"/>
      <c r="I154" s="930"/>
      <c r="J154" s="930"/>
      <c r="K154" s="930"/>
      <c r="L154" s="930"/>
      <c r="M154" s="930"/>
      <c r="N154" s="930"/>
      <c r="O154" s="930"/>
      <c r="P154" s="930"/>
      <c r="Q154" s="930"/>
    </row>
    <row r="155" spans="2:17">
      <c r="B155" s="930"/>
      <c r="C155" s="930"/>
      <c r="D155" s="930"/>
      <c r="E155" s="930"/>
      <c r="F155" s="930"/>
      <c r="G155" s="930"/>
      <c r="H155" s="930"/>
      <c r="I155" s="930"/>
      <c r="J155" s="930"/>
      <c r="K155" s="930"/>
      <c r="L155" s="930"/>
      <c r="M155" s="930"/>
      <c r="N155" s="930"/>
      <c r="O155" s="930"/>
      <c r="P155" s="930"/>
      <c r="Q155" s="930"/>
    </row>
    <row r="156" spans="2:17">
      <c r="B156" s="930"/>
      <c r="C156" s="930"/>
      <c r="D156" s="930"/>
      <c r="E156" s="930"/>
      <c r="F156" s="930"/>
      <c r="G156" s="930"/>
      <c r="H156" s="930"/>
      <c r="I156" s="930"/>
      <c r="J156" s="930"/>
      <c r="K156" s="930"/>
      <c r="L156" s="930"/>
      <c r="M156" s="930"/>
      <c r="N156" s="930"/>
      <c r="O156" s="930"/>
      <c r="P156" s="930"/>
      <c r="Q156" s="930"/>
    </row>
    <row r="157" spans="2:17">
      <c r="B157" s="930"/>
      <c r="C157" s="930"/>
      <c r="D157" s="930"/>
      <c r="E157" s="930"/>
      <c r="F157" s="930"/>
      <c r="G157" s="930"/>
      <c r="H157" s="930"/>
      <c r="I157" s="930"/>
      <c r="J157" s="930"/>
      <c r="K157" s="930"/>
      <c r="L157" s="930"/>
      <c r="M157" s="930"/>
      <c r="N157" s="930"/>
      <c r="O157" s="930"/>
      <c r="P157" s="930"/>
      <c r="Q157" s="930"/>
    </row>
    <row r="158" spans="2:17">
      <c r="B158" s="930"/>
      <c r="C158" s="930"/>
      <c r="D158" s="930"/>
      <c r="E158" s="930"/>
      <c r="F158" s="930"/>
      <c r="G158" s="930"/>
      <c r="H158" s="930"/>
      <c r="I158" s="930"/>
      <c r="J158" s="930"/>
      <c r="K158" s="930"/>
      <c r="L158" s="930"/>
      <c r="M158" s="930"/>
      <c r="N158" s="930"/>
      <c r="O158" s="930"/>
      <c r="P158" s="930"/>
      <c r="Q158" s="930"/>
    </row>
    <row r="159" spans="2:17">
      <c r="B159" s="930"/>
      <c r="C159" s="930"/>
      <c r="D159" s="930"/>
      <c r="E159" s="930"/>
      <c r="F159" s="930"/>
      <c r="G159" s="930"/>
      <c r="H159" s="930"/>
      <c r="I159" s="930"/>
      <c r="J159" s="930"/>
      <c r="K159" s="930"/>
      <c r="L159" s="930"/>
      <c r="M159" s="930"/>
      <c r="N159" s="930"/>
      <c r="O159" s="930"/>
      <c r="P159" s="930"/>
      <c r="Q159" s="930"/>
    </row>
    <row r="160" spans="2:17">
      <c r="B160" s="930"/>
      <c r="C160" s="930"/>
      <c r="D160" s="930"/>
      <c r="E160" s="930"/>
      <c r="F160" s="930"/>
      <c r="G160" s="930"/>
      <c r="H160" s="930"/>
      <c r="I160" s="930"/>
      <c r="J160" s="930"/>
      <c r="K160" s="930"/>
      <c r="L160" s="930"/>
      <c r="M160" s="930"/>
      <c r="N160" s="930"/>
      <c r="O160" s="930"/>
      <c r="P160" s="930"/>
      <c r="Q160" s="930"/>
    </row>
    <row r="161" spans="2:17">
      <c r="B161" s="930"/>
      <c r="C161" s="930"/>
      <c r="D161" s="930"/>
      <c r="E161" s="930"/>
      <c r="F161" s="930"/>
      <c r="G161" s="930"/>
      <c r="H161" s="930"/>
      <c r="I161" s="930"/>
      <c r="J161" s="930"/>
      <c r="K161" s="930"/>
      <c r="L161" s="930"/>
      <c r="M161" s="930"/>
      <c r="N161" s="930"/>
      <c r="O161" s="930"/>
      <c r="P161" s="930"/>
      <c r="Q161" s="930"/>
    </row>
    <row r="162" spans="2:17">
      <c r="B162" s="930"/>
      <c r="C162" s="930"/>
      <c r="D162" s="930"/>
      <c r="E162" s="930"/>
      <c r="F162" s="930"/>
      <c r="G162" s="930"/>
      <c r="H162" s="930"/>
      <c r="I162" s="930"/>
      <c r="J162" s="930"/>
      <c r="K162" s="930"/>
      <c r="L162" s="930"/>
      <c r="M162" s="930"/>
      <c r="N162" s="930"/>
      <c r="O162" s="930"/>
      <c r="P162" s="930"/>
      <c r="Q162" s="930"/>
    </row>
    <row r="163" spans="2:17">
      <c r="B163" s="930"/>
      <c r="C163" s="930"/>
      <c r="D163" s="930"/>
      <c r="E163" s="930"/>
      <c r="F163" s="930"/>
      <c r="G163" s="930"/>
      <c r="H163" s="930"/>
      <c r="I163" s="930"/>
      <c r="J163" s="930"/>
      <c r="K163" s="930"/>
      <c r="L163" s="930"/>
      <c r="M163" s="930"/>
      <c r="N163" s="930"/>
      <c r="O163" s="930"/>
      <c r="P163" s="930"/>
      <c r="Q163" s="930"/>
    </row>
    <row r="164" spans="2:17">
      <c r="B164" s="930"/>
      <c r="C164" s="930"/>
      <c r="D164" s="930"/>
      <c r="E164" s="930"/>
      <c r="F164" s="930"/>
      <c r="G164" s="930"/>
      <c r="H164" s="930"/>
      <c r="I164" s="930"/>
      <c r="J164" s="930"/>
      <c r="K164" s="930"/>
      <c r="L164" s="930"/>
      <c r="M164" s="930"/>
      <c r="N164" s="930"/>
      <c r="O164" s="930"/>
      <c r="P164" s="930"/>
      <c r="Q164" s="930"/>
    </row>
    <row r="165" spans="2:17">
      <c r="B165" s="930"/>
      <c r="C165" s="930"/>
      <c r="D165" s="930"/>
      <c r="E165" s="930"/>
      <c r="F165" s="930"/>
      <c r="G165" s="930"/>
      <c r="H165" s="930"/>
      <c r="I165" s="930"/>
      <c r="J165" s="930"/>
      <c r="K165" s="930"/>
      <c r="L165" s="930"/>
      <c r="M165" s="930"/>
      <c r="N165" s="930"/>
      <c r="O165" s="930"/>
      <c r="P165" s="930"/>
      <c r="Q165" s="930"/>
    </row>
    <row r="166" spans="2:17">
      <c r="B166" s="930"/>
      <c r="C166" s="930"/>
      <c r="D166" s="930"/>
      <c r="E166" s="930"/>
      <c r="F166" s="930"/>
      <c r="G166" s="930"/>
      <c r="H166" s="930"/>
      <c r="I166" s="930"/>
      <c r="J166" s="930"/>
      <c r="K166" s="930"/>
      <c r="L166" s="930"/>
      <c r="M166" s="930"/>
      <c r="N166" s="930"/>
      <c r="O166" s="930"/>
      <c r="P166" s="930"/>
      <c r="Q166" s="930"/>
    </row>
    <row r="167" spans="2:17">
      <c r="B167" s="930"/>
      <c r="C167" s="930"/>
      <c r="D167" s="930"/>
      <c r="E167" s="930"/>
      <c r="F167" s="930"/>
      <c r="G167" s="930"/>
      <c r="H167" s="930"/>
      <c r="I167" s="930"/>
      <c r="J167" s="930"/>
      <c r="K167" s="930"/>
      <c r="L167" s="930"/>
      <c r="M167" s="930"/>
      <c r="N167" s="930"/>
      <c r="O167" s="930"/>
      <c r="P167" s="930"/>
      <c r="Q167" s="930"/>
    </row>
    <row r="168" spans="2:17">
      <c r="B168" s="930"/>
      <c r="C168" s="930"/>
      <c r="D168" s="930"/>
      <c r="E168" s="930"/>
      <c r="F168" s="930"/>
      <c r="G168" s="930"/>
      <c r="H168" s="930"/>
      <c r="I168" s="930"/>
      <c r="J168" s="930"/>
      <c r="K168" s="930"/>
      <c r="L168" s="930"/>
      <c r="M168" s="930"/>
      <c r="N168" s="930"/>
      <c r="O168" s="930"/>
      <c r="P168" s="930"/>
      <c r="Q168" s="930"/>
    </row>
    <row r="169" spans="2:17">
      <c r="B169" s="930"/>
      <c r="C169" s="930"/>
      <c r="D169" s="930"/>
      <c r="E169" s="930"/>
      <c r="F169" s="930"/>
      <c r="G169" s="930"/>
      <c r="H169" s="930"/>
      <c r="I169" s="930"/>
      <c r="J169" s="930"/>
      <c r="K169" s="930"/>
      <c r="L169" s="930"/>
      <c r="M169" s="930"/>
      <c r="N169" s="930"/>
      <c r="O169" s="930"/>
      <c r="P169" s="930"/>
      <c r="Q169" s="930"/>
    </row>
    <row r="170" spans="2:17">
      <c r="B170" s="930"/>
      <c r="C170" s="930"/>
      <c r="D170" s="930"/>
      <c r="E170" s="930"/>
      <c r="F170" s="930"/>
      <c r="G170" s="930"/>
      <c r="H170" s="930"/>
      <c r="I170" s="930"/>
      <c r="J170" s="930"/>
      <c r="K170" s="930"/>
      <c r="L170" s="930"/>
      <c r="M170" s="930"/>
      <c r="N170" s="930"/>
      <c r="O170" s="930"/>
      <c r="P170" s="930"/>
      <c r="Q170" s="930"/>
    </row>
    <row r="171" spans="2:17">
      <c r="B171" s="930"/>
      <c r="C171" s="930"/>
      <c r="D171" s="930"/>
      <c r="E171" s="930"/>
      <c r="F171" s="930"/>
      <c r="G171" s="930"/>
      <c r="H171" s="930"/>
      <c r="I171" s="930"/>
      <c r="J171" s="930"/>
      <c r="K171" s="930"/>
      <c r="L171" s="930"/>
      <c r="M171" s="930"/>
      <c r="N171" s="930"/>
      <c r="O171" s="930"/>
      <c r="P171" s="930"/>
      <c r="Q171" s="930"/>
    </row>
    <row r="172" spans="2:17">
      <c r="B172" s="930"/>
      <c r="C172" s="930"/>
      <c r="D172" s="930"/>
      <c r="E172" s="930"/>
      <c r="F172" s="930"/>
      <c r="G172" s="930"/>
      <c r="H172" s="930"/>
      <c r="I172" s="930"/>
      <c r="J172" s="930"/>
      <c r="K172" s="930"/>
      <c r="L172" s="930"/>
      <c r="M172" s="930"/>
      <c r="N172" s="930"/>
      <c r="O172" s="930"/>
      <c r="P172" s="930"/>
      <c r="Q172" s="930"/>
    </row>
    <row r="173" spans="2:17">
      <c r="B173" s="930"/>
      <c r="C173" s="930"/>
      <c r="D173" s="930"/>
      <c r="E173" s="930"/>
      <c r="F173" s="930"/>
      <c r="G173" s="930"/>
      <c r="H173" s="930"/>
      <c r="I173" s="930"/>
      <c r="J173" s="930"/>
      <c r="K173" s="930"/>
      <c r="L173" s="930"/>
      <c r="M173" s="930"/>
      <c r="N173" s="930"/>
      <c r="O173" s="930"/>
      <c r="P173" s="930"/>
      <c r="Q173" s="930"/>
    </row>
    <row r="174" spans="2:17">
      <c r="B174" s="930"/>
      <c r="C174" s="93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</row>
    <row r="175" spans="2:17">
      <c r="B175" s="930"/>
      <c r="C175" s="930"/>
      <c r="D175" s="930"/>
      <c r="E175" s="930"/>
      <c r="F175" s="930"/>
      <c r="G175" s="930"/>
      <c r="H175" s="930"/>
      <c r="I175" s="930"/>
      <c r="J175" s="930"/>
      <c r="K175" s="930"/>
      <c r="L175" s="930"/>
      <c r="M175" s="930"/>
      <c r="N175" s="930"/>
      <c r="O175" s="930"/>
      <c r="P175" s="930"/>
      <c r="Q175" s="930"/>
    </row>
    <row r="176" spans="2:17">
      <c r="B176" s="930"/>
      <c r="C176" s="930"/>
      <c r="D176" s="930"/>
      <c r="E176" s="930"/>
      <c r="F176" s="930"/>
      <c r="G176" s="930"/>
      <c r="H176" s="930"/>
      <c r="I176" s="930"/>
      <c r="J176" s="930"/>
      <c r="K176" s="930"/>
      <c r="L176" s="930"/>
      <c r="M176" s="930"/>
      <c r="N176" s="930"/>
      <c r="O176" s="930"/>
      <c r="P176" s="930"/>
      <c r="Q176" s="930"/>
    </row>
    <row r="177" spans="2:17">
      <c r="B177" s="930"/>
      <c r="C177" s="930"/>
      <c r="D177" s="930"/>
      <c r="E177" s="930"/>
      <c r="F177" s="930"/>
      <c r="G177" s="930"/>
      <c r="H177" s="930"/>
      <c r="I177" s="930"/>
      <c r="J177" s="930"/>
      <c r="K177" s="930"/>
      <c r="L177" s="930"/>
      <c r="M177" s="930"/>
      <c r="N177" s="930"/>
      <c r="O177" s="930"/>
      <c r="P177" s="930"/>
      <c r="Q177" s="930"/>
    </row>
    <row r="178" spans="2:17">
      <c r="B178" s="930"/>
      <c r="C178" s="930"/>
      <c r="D178" s="930"/>
      <c r="E178" s="930"/>
      <c r="F178" s="930"/>
      <c r="G178" s="930"/>
      <c r="H178" s="930"/>
      <c r="I178" s="930"/>
      <c r="J178" s="930"/>
      <c r="K178" s="930"/>
      <c r="L178" s="930"/>
      <c r="M178" s="930"/>
      <c r="N178" s="930"/>
      <c r="O178" s="930"/>
      <c r="P178" s="930"/>
      <c r="Q178" s="930"/>
    </row>
    <row r="179" spans="2:17">
      <c r="B179" s="930"/>
      <c r="C179" s="930"/>
      <c r="D179" s="930"/>
      <c r="E179" s="930"/>
      <c r="F179" s="930"/>
      <c r="G179" s="930"/>
      <c r="H179" s="930"/>
      <c r="I179" s="930"/>
      <c r="J179" s="930"/>
      <c r="K179" s="930"/>
      <c r="L179" s="930"/>
      <c r="M179" s="930"/>
      <c r="N179" s="930"/>
      <c r="O179" s="930"/>
      <c r="P179" s="930"/>
      <c r="Q179" s="930"/>
    </row>
    <row r="180" spans="2:17">
      <c r="B180" s="930"/>
      <c r="C180" s="930"/>
      <c r="D180" s="930"/>
      <c r="E180" s="930"/>
      <c r="F180" s="930"/>
      <c r="G180" s="930"/>
      <c r="H180" s="930"/>
      <c r="I180" s="930"/>
      <c r="J180" s="930"/>
      <c r="K180" s="930"/>
      <c r="L180" s="930"/>
      <c r="M180" s="930"/>
      <c r="N180" s="930"/>
      <c r="O180" s="930"/>
      <c r="P180" s="930"/>
      <c r="Q180" s="930"/>
    </row>
    <row r="181" spans="2:17">
      <c r="B181" s="930"/>
      <c r="C181" s="930"/>
      <c r="D181" s="930"/>
      <c r="E181" s="930"/>
      <c r="F181" s="930"/>
      <c r="G181" s="930"/>
      <c r="H181" s="930"/>
      <c r="I181" s="930"/>
      <c r="J181" s="930"/>
      <c r="K181" s="930"/>
      <c r="L181" s="930"/>
      <c r="M181" s="930"/>
      <c r="N181" s="930"/>
      <c r="O181" s="930"/>
      <c r="P181" s="930"/>
      <c r="Q181" s="930"/>
    </row>
    <row r="182" spans="2:17">
      <c r="B182" s="930"/>
      <c r="C182" s="930"/>
      <c r="D182" s="930"/>
      <c r="E182" s="930"/>
      <c r="F182" s="930"/>
      <c r="G182" s="930"/>
      <c r="H182" s="930"/>
      <c r="I182" s="930"/>
      <c r="J182" s="930"/>
      <c r="K182" s="930"/>
      <c r="L182" s="930"/>
      <c r="M182" s="930"/>
      <c r="N182" s="930"/>
      <c r="O182" s="930"/>
      <c r="P182" s="930"/>
      <c r="Q182" s="930"/>
    </row>
    <row r="183" spans="2:17">
      <c r="B183" s="930"/>
      <c r="C183" s="930"/>
      <c r="D183" s="930"/>
      <c r="E183" s="930"/>
      <c r="F183" s="930"/>
      <c r="G183" s="930"/>
      <c r="H183" s="930"/>
      <c r="I183" s="930"/>
      <c r="J183" s="930"/>
      <c r="K183" s="930"/>
      <c r="L183" s="930"/>
      <c r="M183" s="930"/>
      <c r="N183" s="930"/>
      <c r="O183" s="930"/>
      <c r="P183" s="930"/>
      <c r="Q183" s="930"/>
    </row>
    <row r="184" spans="2:17">
      <c r="B184" s="930"/>
      <c r="C184" s="930"/>
      <c r="D184" s="930"/>
      <c r="E184" s="930"/>
      <c r="F184" s="930"/>
      <c r="G184" s="930"/>
      <c r="H184" s="930"/>
      <c r="I184" s="930"/>
      <c r="J184" s="930"/>
      <c r="K184" s="930"/>
      <c r="L184" s="930"/>
      <c r="M184" s="930"/>
      <c r="N184" s="930"/>
      <c r="O184" s="930"/>
      <c r="P184" s="930"/>
      <c r="Q184" s="930"/>
    </row>
    <row r="185" spans="2:17">
      <c r="B185" s="930"/>
      <c r="C185" s="930"/>
      <c r="D185" s="930"/>
      <c r="E185" s="930"/>
      <c r="F185" s="930"/>
      <c r="G185" s="930"/>
      <c r="H185" s="930"/>
      <c r="I185" s="930"/>
      <c r="J185" s="930"/>
      <c r="K185" s="930"/>
      <c r="L185" s="930"/>
      <c r="M185" s="930"/>
      <c r="N185" s="930"/>
      <c r="O185" s="930"/>
      <c r="P185" s="930"/>
      <c r="Q185" s="930"/>
    </row>
    <row r="186" spans="2:17">
      <c r="B186" s="930"/>
      <c r="C186" s="930"/>
      <c r="D186" s="930"/>
      <c r="E186" s="930"/>
      <c r="F186" s="930"/>
      <c r="G186" s="930"/>
      <c r="H186" s="930"/>
      <c r="I186" s="930"/>
      <c r="J186" s="930"/>
      <c r="K186" s="930"/>
      <c r="L186" s="930"/>
      <c r="M186" s="930"/>
      <c r="N186" s="930"/>
      <c r="O186" s="930"/>
      <c r="P186" s="930"/>
      <c r="Q186" s="930"/>
    </row>
    <row r="187" spans="2:17">
      <c r="B187" s="930"/>
      <c r="C187" s="930"/>
      <c r="D187" s="930"/>
      <c r="E187" s="930"/>
      <c r="F187" s="930"/>
      <c r="G187" s="930"/>
      <c r="H187" s="930"/>
      <c r="I187" s="930"/>
      <c r="J187" s="930"/>
      <c r="K187" s="930"/>
      <c r="L187" s="930"/>
      <c r="M187" s="930"/>
      <c r="N187" s="930"/>
      <c r="O187" s="930"/>
      <c r="P187" s="930"/>
      <c r="Q187" s="930"/>
    </row>
    <row r="188" spans="2:17">
      <c r="B188" s="930"/>
      <c r="C188" s="930"/>
      <c r="D188" s="930"/>
      <c r="E188" s="930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</row>
    <row r="189" spans="2:17">
      <c r="B189" s="930"/>
      <c r="C189" s="930"/>
      <c r="D189" s="930"/>
      <c r="E189" s="930"/>
      <c r="F189" s="930"/>
      <c r="G189" s="930"/>
      <c r="H189" s="930"/>
      <c r="I189" s="930"/>
      <c r="J189" s="930"/>
      <c r="K189" s="930"/>
      <c r="L189" s="930"/>
      <c r="M189" s="930"/>
      <c r="N189" s="930"/>
      <c r="O189" s="930"/>
      <c r="P189" s="930"/>
      <c r="Q189" s="930"/>
    </row>
    <row r="190" spans="2:17">
      <c r="B190" s="930"/>
      <c r="C190" s="930"/>
      <c r="D190" s="930"/>
      <c r="E190" s="930"/>
      <c r="F190" s="930"/>
      <c r="G190" s="930"/>
      <c r="H190" s="930"/>
      <c r="I190" s="930"/>
      <c r="J190" s="930"/>
      <c r="K190" s="930"/>
      <c r="L190" s="930"/>
      <c r="M190" s="930"/>
      <c r="N190" s="930"/>
      <c r="O190" s="930"/>
      <c r="P190" s="930"/>
      <c r="Q190" s="930"/>
    </row>
    <row r="191" spans="2:17">
      <c r="B191" s="930"/>
      <c r="C191" s="930"/>
      <c r="D191" s="930"/>
      <c r="E191" s="930"/>
      <c r="F191" s="930"/>
      <c r="G191" s="930"/>
      <c r="H191" s="930"/>
      <c r="I191" s="930"/>
      <c r="J191" s="930"/>
      <c r="K191" s="930"/>
      <c r="L191" s="930"/>
      <c r="M191" s="930"/>
      <c r="N191" s="930"/>
      <c r="O191" s="930"/>
      <c r="P191" s="930"/>
      <c r="Q191" s="930"/>
    </row>
    <row r="192" spans="2:17">
      <c r="B192" s="930"/>
      <c r="C192" s="930"/>
      <c r="D192" s="930"/>
      <c r="E192" s="930"/>
      <c r="F192" s="930"/>
      <c r="G192" s="930"/>
      <c r="H192" s="930"/>
      <c r="I192" s="930"/>
      <c r="J192" s="930"/>
      <c r="K192" s="930"/>
      <c r="L192" s="930"/>
      <c r="M192" s="930"/>
      <c r="N192" s="930"/>
      <c r="O192" s="930"/>
      <c r="P192" s="930"/>
      <c r="Q192" s="930"/>
    </row>
    <row r="193" spans="2:17">
      <c r="B193" s="930"/>
      <c r="C193" s="930"/>
      <c r="D193" s="930"/>
      <c r="E193" s="930"/>
      <c r="F193" s="930"/>
      <c r="G193" s="930"/>
      <c r="H193" s="930"/>
      <c r="I193" s="930"/>
      <c r="J193" s="930"/>
      <c r="K193" s="930"/>
      <c r="L193" s="930"/>
      <c r="M193" s="930"/>
      <c r="N193" s="930"/>
      <c r="O193" s="930"/>
      <c r="P193" s="930"/>
      <c r="Q193" s="930"/>
    </row>
    <row r="194" spans="2:17">
      <c r="B194" s="930"/>
      <c r="C194" s="930"/>
      <c r="D194" s="930"/>
      <c r="E194" s="930"/>
      <c r="F194" s="930"/>
      <c r="G194" s="930"/>
      <c r="H194" s="930"/>
      <c r="I194" s="930"/>
      <c r="J194" s="930"/>
      <c r="K194" s="930"/>
      <c r="L194" s="930"/>
      <c r="M194" s="930"/>
      <c r="N194" s="930"/>
      <c r="O194" s="930"/>
      <c r="P194" s="930"/>
      <c r="Q194" s="930"/>
    </row>
    <row r="195" spans="2:17">
      <c r="B195" s="930"/>
      <c r="C195" s="930"/>
      <c r="D195" s="930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</row>
    <row r="196" spans="2:17">
      <c r="B196" s="930"/>
      <c r="C196" s="930"/>
      <c r="D196" s="930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</row>
    <row r="197" spans="2:17">
      <c r="B197" s="930"/>
      <c r="C197" s="930"/>
      <c r="D197" s="930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</row>
    <row r="198" spans="2:17">
      <c r="B198" s="930"/>
      <c r="C198" s="930"/>
      <c r="D198" s="930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</row>
    <row r="199" spans="2:17">
      <c r="B199" s="930"/>
      <c r="C199" s="930"/>
      <c r="D199" s="930"/>
      <c r="E199" s="930"/>
      <c r="F199" s="930"/>
      <c r="G199" s="930"/>
      <c r="H199" s="930"/>
      <c r="I199" s="930"/>
      <c r="J199" s="930"/>
      <c r="K199" s="930"/>
      <c r="L199" s="930"/>
      <c r="M199" s="930"/>
      <c r="N199" s="930"/>
      <c r="O199" s="930"/>
      <c r="P199" s="930"/>
      <c r="Q199" s="930"/>
    </row>
    <row r="200" spans="2:17">
      <c r="B200" s="930"/>
      <c r="C200" s="930"/>
      <c r="D200" s="930"/>
      <c r="E200" s="930"/>
      <c r="F200" s="930"/>
      <c r="G200" s="930"/>
      <c r="H200" s="930"/>
      <c r="I200" s="930"/>
      <c r="J200" s="930"/>
      <c r="K200" s="930"/>
      <c r="L200" s="930"/>
      <c r="M200" s="930"/>
      <c r="N200" s="930"/>
      <c r="O200" s="930"/>
      <c r="P200" s="930"/>
      <c r="Q200" s="930"/>
    </row>
    <row r="201" spans="2:17">
      <c r="B201" s="930"/>
      <c r="C201" s="930"/>
      <c r="D201" s="930"/>
      <c r="E201" s="930"/>
      <c r="F201" s="930"/>
      <c r="G201" s="930"/>
      <c r="H201" s="930"/>
      <c r="I201" s="930"/>
      <c r="J201" s="930"/>
      <c r="K201" s="930"/>
      <c r="L201" s="930"/>
      <c r="M201" s="930"/>
      <c r="N201" s="930"/>
      <c r="O201" s="930"/>
      <c r="P201" s="930"/>
      <c r="Q201" s="930"/>
    </row>
    <row r="202" spans="2:17">
      <c r="B202" s="930"/>
      <c r="C202" s="930"/>
      <c r="D202" s="930"/>
      <c r="E202" s="930"/>
      <c r="F202" s="930"/>
      <c r="G202" s="930"/>
      <c r="H202" s="930"/>
      <c r="I202" s="930"/>
      <c r="J202" s="930"/>
      <c r="K202" s="930"/>
      <c r="L202" s="930"/>
      <c r="M202" s="930"/>
      <c r="N202" s="930"/>
      <c r="O202" s="930"/>
      <c r="P202" s="930"/>
      <c r="Q202" s="930"/>
    </row>
    <row r="203" spans="2:17">
      <c r="B203" s="930"/>
      <c r="C203" s="930"/>
      <c r="D203" s="930"/>
      <c r="E203" s="930"/>
      <c r="F203" s="930"/>
      <c r="G203" s="930"/>
      <c r="H203" s="930"/>
      <c r="I203" s="930"/>
      <c r="J203" s="930"/>
      <c r="K203" s="930"/>
      <c r="L203" s="930"/>
      <c r="M203" s="930"/>
      <c r="N203" s="930"/>
      <c r="O203" s="930"/>
      <c r="P203" s="930"/>
      <c r="Q203" s="930"/>
    </row>
    <row r="204" spans="2:17">
      <c r="B204" s="930"/>
      <c r="C204" s="930"/>
      <c r="D204" s="930"/>
      <c r="E204" s="930"/>
      <c r="F204" s="930"/>
      <c r="G204" s="930"/>
      <c r="H204" s="930"/>
      <c r="I204" s="930"/>
      <c r="J204" s="930"/>
      <c r="K204" s="930"/>
      <c r="L204" s="930"/>
      <c r="M204" s="930"/>
      <c r="N204" s="930"/>
      <c r="O204" s="930"/>
      <c r="P204" s="930"/>
      <c r="Q204" s="930"/>
    </row>
    <row r="205" spans="2:17">
      <c r="B205" s="930"/>
      <c r="C205" s="930"/>
      <c r="D205" s="930"/>
      <c r="E205" s="930"/>
      <c r="F205" s="930"/>
      <c r="G205" s="930"/>
      <c r="H205" s="930"/>
      <c r="I205" s="930"/>
      <c r="J205" s="930"/>
      <c r="K205" s="930"/>
      <c r="L205" s="930"/>
      <c r="M205" s="930"/>
      <c r="N205" s="930"/>
      <c r="O205" s="930"/>
      <c r="P205" s="930"/>
      <c r="Q205" s="930"/>
    </row>
    <row r="206" spans="2:17">
      <c r="B206" s="930"/>
      <c r="C206" s="930"/>
      <c r="D206" s="930"/>
      <c r="E206" s="930"/>
      <c r="F206" s="930"/>
      <c r="G206" s="930"/>
      <c r="H206" s="930"/>
      <c r="I206" s="930"/>
      <c r="J206" s="930"/>
      <c r="K206" s="930"/>
      <c r="L206" s="930"/>
      <c r="M206" s="930"/>
      <c r="N206" s="930"/>
      <c r="O206" s="930"/>
      <c r="P206" s="930"/>
      <c r="Q206" s="930"/>
    </row>
    <row r="207" spans="2:17">
      <c r="B207" s="930"/>
      <c r="C207" s="930"/>
      <c r="D207" s="930"/>
      <c r="E207" s="930"/>
      <c r="F207" s="930"/>
      <c r="G207" s="930"/>
      <c r="H207" s="930"/>
      <c r="I207" s="930"/>
      <c r="J207" s="930"/>
      <c r="K207" s="930"/>
      <c r="L207" s="930"/>
      <c r="M207" s="930"/>
      <c r="N207" s="930"/>
      <c r="O207" s="930"/>
      <c r="P207" s="930"/>
      <c r="Q207" s="930"/>
    </row>
    <row r="208" spans="2:17">
      <c r="B208" s="930"/>
      <c r="C208" s="930"/>
      <c r="D208" s="930"/>
      <c r="E208" s="930"/>
      <c r="F208" s="930"/>
      <c r="G208" s="930"/>
      <c r="H208" s="930"/>
      <c r="I208" s="930"/>
      <c r="J208" s="930"/>
      <c r="K208" s="930"/>
      <c r="L208" s="930"/>
      <c r="M208" s="930"/>
      <c r="N208" s="930"/>
      <c r="O208" s="930"/>
      <c r="P208" s="930"/>
      <c r="Q208" s="930"/>
    </row>
    <row r="209" spans="2:17">
      <c r="B209" s="930"/>
      <c r="C209" s="930"/>
      <c r="D209" s="930"/>
      <c r="E209" s="930"/>
      <c r="F209" s="930"/>
      <c r="G209" s="930"/>
      <c r="H209" s="930"/>
      <c r="I209" s="930"/>
      <c r="J209" s="930"/>
      <c r="K209" s="930"/>
      <c r="L209" s="930"/>
      <c r="M209" s="930"/>
      <c r="N209" s="930"/>
      <c r="O209" s="930"/>
      <c r="P209" s="930"/>
      <c r="Q209" s="930"/>
    </row>
    <row r="210" spans="2:17">
      <c r="B210" s="930"/>
      <c r="C210" s="930"/>
      <c r="D210" s="930"/>
      <c r="E210" s="930"/>
      <c r="F210" s="930"/>
      <c r="G210" s="930"/>
      <c r="H210" s="930"/>
      <c r="I210" s="930"/>
      <c r="J210" s="930"/>
      <c r="K210" s="930"/>
      <c r="L210" s="930"/>
      <c r="M210" s="930"/>
      <c r="N210" s="930"/>
      <c r="O210" s="930"/>
      <c r="P210" s="930"/>
      <c r="Q210" s="930"/>
    </row>
    <row r="211" spans="2:17">
      <c r="B211" s="930"/>
      <c r="C211" s="930"/>
      <c r="D211" s="930"/>
      <c r="E211" s="930"/>
      <c r="F211" s="930"/>
      <c r="G211" s="930"/>
      <c r="H211" s="930"/>
      <c r="I211" s="930"/>
      <c r="J211" s="930"/>
      <c r="K211" s="930"/>
      <c r="L211" s="930"/>
      <c r="M211" s="930"/>
      <c r="N211" s="930"/>
      <c r="O211" s="930"/>
      <c r="P211" s="930"/>
      <c r="Q211" s="930"/>
    </row>
    <row r="212" spans="2:17">
      <c r="B212" s="930"/>
      <c r="C212" s="930"/>
      <c r="D212" s="930"/>
      <c r="E212" s="930"/>
      <c r="F212" s="930"/>
      <c r="G212" s="930"/>
      <c r="H212" s="930"/>
      <c r="I212" s="930"/>
      <c r="J212" s="930"/>
      <c r="K212" s="930"/>
      <c r="L212" s="930"/>
      <c r="M212" s="930"/>
      <c r="N212" s="930"/>
      <c r="O212" s="930"/>
      <c r="P212" s="930"/>
      <c r="Q212" s="930"/>
    </row>
    <row r="213" spans="2:17">
      <c r="B213" s="930"/>
      <c r="C213" s="930"/>
      <c r="D213" s="930"/>
      <c r="E213" s="930"/>
      <c r="F213" s="930"/>
      <c r="G213" s="930"/>
      <c r="H213" s="930"/>
      <c r="I213" s="930"/>
      <c r="J213" s="930"/>
      <c r="K213" s="930"/>
      <c r="L213" s="930"/>
      <c r="M213" s="930"/>
      <c r="N213" s="930"/>
      <c r="O213" s="930"/>
      <c r="P213" s="930"/>
      <c r="Q213" s="930"/>
    </row>
    <row r="214" spans="2:17">
      <c r="B214" s="930"/>
      <c r="C214" s="930"/>
      <c r="D214" s="930"/>
      <c r="E214" s="930"/>
      <c r="F214" s="930"/>
      <c r="G214" s="930"/>
      <c r="H214" s="930"/>
      <c r="I214" s="930"/>
      <c r="J214" s="930"/>
      <c r="K214" s="930"/>
      <c r="L214" s="930"/>
      <c r="M214" s="930"/>
      <c r="N214" s="930"/>
      <c r="O214" s="930"/>
      <c r="P214" s="930"/>
      <c r="Q214" s="930"/>
    </row>
    <row r="215" spans="2:17">
      <c r="B215" s="930"/>
      <c r="C215" s="930"/>
      <c r="D215" s="930"/>
      <c r="E215" s="930"/>
      <c r="F215" s="930"/>
      <c r="G215" s="930"/>
      <c r="H215" s="930"/>
      <c r="I215" s="930"/>
      <c r="J215" s="930"/>
      <c r="K215" s="930"/>
      <c r="L215" s="930"/>
      <c r="M215" s="930"/>
      <c r="N215" s="930"/>
      <c r="O215" s="930"/>
      <c r="P215" s="930"/>
      <c r="Q215" s="930"/>
    </row>
    <row r="216" spans="2:17">
      <c r="B216" s="930"/>
      <c r="C216" s="930"/>
      <c r="D216" s="930"/>
      <c r="E216" s="930"/>
      <c r="F216" s="930"/>
      <c r="G216" s="930"/>
      <c r="H216" s="930"/>
      <c r="I216" s="930"/>
      <c r="J216" s="930"/>
      <c r="K216" s="930"/>
      <c r="L216" s="930"/>
      <c r="M216" s="930"/>
      <c r="N216" s="930"/>
      <c r="O216" s="930"/>
      <c r="P216" s="930"/>
      <c r="Q216" s="930"/>
    </row>
    <row r="217" spans="2:17">
      <c r="B217" s="930"/>
      <c r="C217" s="930"/>
      <c r="D217" s="930"/>
      <c r="E217" s="930"/>
      <c r="F217" s="930"/>
      <c r="G217" s="930"/>
      <c r="H217" s="930"/>
      <c r="I217" s="930"/>
      <c r="J217" s="930"/>
      <c r="K217" s="930"/>
      <c r="L217" s="930"/>
      <c r="M217" s="930"/>
      <c r="N217" s="930"/>
      <c r="O217" s="930"/>
      <c r="P217" s="930"/>
      <c r="Q217" s="930"/>
    </row>
    <row r="218" spans="2:17">
      <c r="B218" s="930"/>
      <c r="C218" s="930"/>
      <c r="D218" s="930"/>
      <c r="E218" s="930"/>
      <c r="F218" s="930"/>
      <c r="G218" s="930"/>
      <c r="H218" s="930"/>
      <c r="I218" s="930"/>
      <c r="J218" s="930"/>
      <c r="K218" s="930"/>
      <c r="L218" s="930"/>
      <c r="M218" s="930"/>
      <c r="N218" s="930"/>
      <c r="O218" s="930"/>
      <c r="P218" s="930"/>
      <c r="Q218" s="930"/>
    </row>
    <row r="219" spans="2:17">
      <c r="B219" s="930"/>
      <c r="C219" s="930"/>
      <c r="D219" s="930"/>
      <c r="E219" s="930"/>
      <c r="F219" s="930"/>
      <c r="G219" s="930"/>
      <c r="H219" s="930"/>
      <c r="I219" s="930"/>
      <c r="J219" s="930"/>
      <c r="K219" s="930"/>
      <c r="L219" s="930"/>
      <c r="M219" s="930"/>
      <c r="N219" s="930"/>
      <c r="O219" s="930"/>
      <c r="P219" s="930"/>
      <c r="Q219" s="930"/>
    </row>
    <row r="220" spans="2:17">
      <c r="B220" s="930"/>
      <c r="C220" s="930"/>
      <c r="D220" s="930"/>
      <c r="E220" s="930"/>
      <c r="F220" s="930"/>
      <c r="G220" s="930"/>
      <c r="H220" s="930"/>
      <c r="I220" s="930"/>
      <c r="J220" s="930"/>
      <c r="K220" s="930"/>
      <c r="L220" s="930"/>
      <c r="M220" s="930"/>
      <c r="N220" s="930"/>
      <c r="O220" s="930"/>
      <c r="P220" s="930"/>
      <c r="Q220" s="930"/>
    </row>
    <row r="221" spans="2:17">
      <c r="B221" s="930"/>
      <c r="C221" s="930"/>
      <c r="D221" s="930"/>
      <c r="E221" s="930"/>
      <c r="F221" s="930"/>
      <c r="G221" s="930"/>
      <c r="H221" s="930"/>
      <c r="I221" s="930"/>
      <c r="J221" s="930"/>
      <c r="K221" s="930"/>
      <c r="L221" s="930"/>
      <c r="M221" s="930"/>
      <c r="N221" s="930"/>
      <c r="O221" s="930"/>
      <c r="P221" s="930"/>
      <c r="Q221" s="930"/>
    </row>
    <row r="222" spans="2:17">
      <c r="B222" s="930"/>
      <c r="C222" s="930"/>
      <c r="D222" s="930"/>
      <c r="E222" s="930"/>
      <c r="F222" s="930"/>
      <c r="G222" s="930"/>
      <c r="H222" s="930"/>
      <c r="I222" s="930"/>
      <c r="J222" s="930"/>
      <c r="K222" s="930"/>
      <c r="L222" s="930"/>
      <c r="M222" s="930"/>
      <c r="N222" s="930"/>
      <c r="O222" s="930"/>
      <c r="P222" s="930"/>
      <c r="Q222" s="930"/>
    </row>
    <row r="223" spans="2:17">
      <c r="B223" s="930"/>
      <c r="C223" s="930"/>
      <c r="D223" s="930"/>
      <c r="E223" s="930"/>
      <c r="F223" s="930"/>
      <c r="G223" s="930"/>
      <c r="H223" s="930"/>
      <c r="I223" s="930"/>
      <c r="J223" s="930"/>
      <c r="K223" s="930"/>
      <c r="L223" s="930"/>
      <c r="M223" s="930"/>
      <c r="N223" s="930"/>
      <c r="O223" s="930"/>
      <c r="P223" s="930"/>
      <c r="Q223" s="930"/>
    </row>
    <row r="224" spans="2:17">
      <c r="B224" s="930"/>
      <c r="C224" s="930"/>
      <c r="D224" s="930"/>
      <c r="E224" s="930"/>
      <c r="F224" s="930"/>
      <c r="G224" s="930"/>
      <c r="H224" s="930"/>
      <c r="I224" s="930"/>
      <c r="J224" s="930"/>
      <c r="K224" s="930"/>
      <c r="L224" s="930"/>
      <c r="M224" s="930"/>
      <c r="N224" s="930"/>
      <c r="O224" s="930"/>
      <c r="P224" s="930"/>
      <c r="Q224" s="930"/>
    </row>
    <row r="225" spans="2:17">
      <c r="B225" s="930"/>
      <c r="C225" s="930"/>
      <c r="D225" s="930"/>
      <c r="E225" s="930"/>
      <c r="F225" s="930"/>
      <c r="G225" s="930"/>
      <c r="H225" s="930"/>
      <c r="I225" s="930"/>
      <c r="J225" s="930"/>
      <c r="K225" s="930"/>
      <c r="L225" s="930"/>
      <c r="M225" s="930"/>
      <c r="N225" s="930"/>
      <c r="O225" s="930"/>
      <c r="P225" s="930"/>
      <c r="Q225" s="930"/>
    </row>
    <row r="226" spans="2:17">
      <c r="B226" s="930"/>
      <c r="C226" s="930"/>
      <c r="D226" s="930"/>
      <c r="E226" s="930"/>
      <c r="F226" s="930"/>
      <c r="G226" s="930"/>
      <c r="H226" s="930"/>
      <c r="I226" s="930"/>
      <c r="J226" s="930"/>
      <c r="K226" s="930"/>
      <c r="L226" s="930"/>
      <c r="M226" s="930"/>
      <c r="N226" s="930"/>
      <c r="O226" s="930"/>
      <c r="P226" s="930"/>
      <c r="Q226" s="930"/>
    </row>
    <row r="227" spans="2:17">
      <c r="B227" s="930"/>
      <c r="C227" s="930"/>
      <c r="D227" s="930"/>
      <c r="E227" s="930"/>
      <c r="F227" s="930"/>
      <c r="G227" s="930"/>
      <c r="H227" s="930"/>
      <c r="I227" s="930"/>
      <c r="J227" s="930"/>
      <c r="K227" s="930"/>
      <c r="L227" s="930"/>
      <c r="M227" s="930"/>
      <c r="N227" s="930"/>
      <c r="O227" s="930"/>
      <c r="P227" s="930"/>
      <c r="Q227" s="930"/>
    </row>
    <row r="228" spans="2:17">
      <c r="B228" s="930"/>
      <c r="C228" s="930"/>
      <c r="D228" s="930"/>
      <c r="E228" s="930"/>
      <c r="F228" s="930"/>
      <c r="G228" s="930"/>
      <c r="H228" s="930"/>
      <c r="I228" s="930"/>
      <c r="J228" s="930"/>
      <c r="K228" s="930"/>
      <c r="L228" s="930"/>
      <c r="M228" s="930"/>
      <c r="N228" s="930"/>
      <c r="O228" s="930"/>
      <c r="P228" s="930"/>
      <c r="Q228" s="930"/>
    </row>
    <row r="229" spans="2:17">
      <c r="B229" s="930"/>
      <c r="C229" s="930"/>
      <c r="D229" s="930"/>
      <c r="E229" s="930"/>
      <c r="F229" s="930"/>
      <c r="G229" s="930"/>
      <c r="H229" s="930"/>
      <c r="I229" s="930"/>
      <c r="J229" s="930"/>
      <c r="K229" s="930"/>
      <c r="L229" s="930"/>
      <c r="M229" s="930"/>
      <c r="N229" s="930"/>
      <c r="O229" s="930"/>
      <c r="P229" s="930"/>
      <c r="Q229" s="930"/>
    </row>
    <row r="230" spans="2:17">
      <c r="B230" s="930"/>
      <c r="C230" s="930"/>
      <c r="D230" s="930"/>
      <c r="E230" s="930"/>
      <c r="F230" s="930"/>
      <c r="G230" s="930"/>
      <c r="H230" s="930"/>
      <c r="I230" s="930"/>
      <c r="J230" s="930"/>
      <c r="K230" s="930"/>
      <c r="L230" s="930"/>
      <c r="M230" s="930"/>
      <c r="N230" s="930"/>
      <c r="O230" s="930"/>
      <c r="P230" s="930"/>
      <c r="Q230" s="930"/>
    </row>
    <row r="231" spans="2:17">
      <c r="B231" s="930"/>
      <c r="C231" s="930"/>
      <c r="D231" s="930"/>
      <c r="E231" s="930"/>
      <c r="F231" s="930"/>
      <c r="G231" s="930"/>
      <c r="H231" s="930"/>
      <c r="I231" s="930"/>
      <c r="J231" s="930"/>
      <c r="K231" s="930"/>
      <c r="L231" s="930"/>
      <c r="M231" s="930"/>
      <c r="N231" s="930"/>
      <c r="O231" s="930"/>
      <c r="P231" s="930"/>
      <c r="Q231" s="930"/>
    </row>
    <row r="232" spans="2:17">
      <c r="B232" s="930"/>
      <c r="C232" s="930"/>
      <c r="D232" s="930"/>
      <c r="E232" s="930"/>
      <c r="F232" s="930"/>
      <c r="G232" s="930"/>
      <c r="H232" s="930"/>
      <c r="I232" s="930"/>
      <c r="J232" s="930"/>
      <c r="K232" s="930"/>
      <c r="L232" s="930"/>
      <c r="M232" s="930"/>
      <c r="N232" s="930"/>
      <c r="O232" s="930"/>
      <c r="P232" s="930"/>
      <c r="Q232" s="930"/>
    </row>
    <row r="233" spans="2:17">
      <c r="B233" s="930"/>
      <c r="C233" s="930"/>
      <c r="D233" s="930"/>
      <c r="E233" s="930"/>
      <c r="F233" s="930"/>
      <c r="G233" s="930"/>
      <c r="H233" s="930"/>
      <c r="I233" s="930"/>
      <c r="J233" s="930"/>
      <c r="K233" s="930"/>
      <c r="L233" s="930"/>
      <c r="M233" s="930"/>
      <c r="N233" s="930"/>
      <c r="O233" s="930"/>
      <c r="P233" s="930"/>
      <c r="Q233" s="930"/>
    </row>
    <row r="234" spans="2:17">
      <c r="B234" s="930"/>
      <c r="C234" s="930"/>
      <c r="D234" s="930"/>
      <c r="E234" s="930"/>
      <c r="F234" s="930"/>
      <c r="G234" s="930"/>
      <c r="H234" s="930"/>
      <c r="I234" s="930"/>
      <c r="J234" s="930"/>
      <c r="K234" s="930"/>
      <c r="L234" s="930"/>
      <c r="M234" s="930"/>
      <c r="N234" s="930"/>
      <c r="O234" s="930"/>
      <c r="P234" s="930"/>
      <c r="Q234" s="930"/>
    </row>
    <row r="235" spans="2:17">
      <c r="B235" s="930"/>
      <c r="C235" s="930"/>
      <c r="D235" s="930"/>
      <c r="E235" s="930"/>
      <c r="F235" s="930"/>
      <c r="G235" s="930"/>
      <c r="H235" s="930"/>
      <c r="I235" s="930"/>
      <c r="J235" s="930"/>
      <c r="K235" s="930"/>
      <c r="L235" s="930"/>
      <c r="M235" s="930"/>
      <c r="N235" s="930"/>
      <c r="O235" s="930"/>
      <c r="P235" s="930"/>
      <c r="Q235" s="930"/>
    </row>
    <row r="236" spans="2:17">
      <c r="B236" s="930"/>
      <c r="C236" s="930"/>
      <c r="D236" s="930"/>
      <c r="E236" s="930"/>
      <c r="F236" s="930"/>
      <c r="G236" s="930"/>
      <c r="H236" s="930"/>
      <c r="I236" s="930"/>
      <c r="J236" s="930"/>
      <c r="K236" s="930"/>
      <c r="L236" s="930"/>
      <c r="M236" s="930"/>
      <c r="N236" s="930"/>
      <c r="O236" s="930"/>
      <c r="P236" s="930"/>
      <c r="Q236" s="930"/>
    </row>
    <row r="237" spans="2:17">
      <c r="B237" s="930"/>
      <c r="C237" s="930"/>
      <c r="D237" s="930"/>
      <c r="E237" s="930"/>
      <c r="F237" s="930"/>
      <c r="G237" s="930"/>
      <c r="H237" s="930"/>
      <c r="I237" s="930"/>
      <c r="J237" s="930"/>
      <c r="K237" s="930"/>
      <c r="L237" s="930"/>
      <c r="M237" s="930"/>
      <c r="N237" s="930"/>
      <c r="O237" s="930"/>
      <c r="P237" s="930"/>
      <c r="Q237" s="930"/>
    </row>
    <row r="238" spans="2:17">
      <c r="B238" s="930"/>
      <c r="C238" s="930"/>
      <c r="D238" s="930"/>
      <c r="E238" s="930"/>
      <c r="F238" s="930"/>
      <c r="G238" s="930"/>
      <c r="H238" s="930"/>
      <c r="I238" s="930"/>
      <c r="J238" s="930"/>
      <c r="K238" s="930"/>
      <c r="L238" s="930"/>
      <c r="M238" s="930"/>
      <c r="N238" s="930"/>
      <c r="O238" s="930"/>
      <c r="P238" s="930"/>
      <c r="Q238" s="930"/>
    </row>
    <row r="239" spans="2:17">
      <c r="B239" s="930"/>
      <c r="C239" s="930"/>
      <c r="D239" s="930"/>
      <c r="E239" s="930"/>
      <c r="F239" s="930"/>
      <c r="G239" s="930"/>
      <c r="H239" s="930"/>
      <c r="I239" s="930"/>
      <c r="J239" s="930"/>
      <c r="K239" s="930"/>
      <c r="L239" s="930"/>
      <c r="M239" s="930"/>
      <c r="N239" s="930"/>
      <c r="O239" s="930"/>
      <c r="P239" s="930"/>
      <c r="Q239" s="930"/>
    </row>
    <row r="240" spans="2:17">
      <c r="B240" s="930"/>
      <c r="C240" s="930"/>
      <c r="D240" s="930"/>
      <c r="E240" s="930"/>
      <c r="F240" s="930"/>
      <c r="G240" s="930"/>
      <c r="H240" s="930"/>
      <c r="I240" s="930"/>
      <c r="J240" s="930"/>
      <c r="K240" s="930"/>
      <c r="L240" s="930"/>
      <c r="M240" s="930"/>
      <c r="N240" s="930"/>
      <c r="O240" s="930"/>
      <c r="P240" s="930"/>
      <c r="Q240" s="930"/>
    </row>
    <row r="241" spans="2:17">
      <c r="B241" s="930"/>
      <c r="C241" s="930"/>
      <c r="D241" s="930"/>
      <c r="E241" s="930"/>
      <c r="F241" s="930"/>
      <c r="G241" s="930"/>
      <c r="H241" s="930"/>
      <c r="I241" s="930"/>
      <c r="J241" s="930"/>
      <c r="K241" s="930"/>
      <c r="L241" s="930"/>
      <c r="M241" s="930"/>
      <c r="N241" s="930"/>
      <c r="O241" s="930"/>
      <c r="P241" s="930"/>
      <c r="Q241" s="930"/>
    </row>
    <row r="242" spans="2:17">
      <c r="B242" s="930"/>
      <c r="C242" s="930"/>
      <c r="D242" s="930"/>
      <c r="E242" s="930"/>
      <c r="F242" s="930"/>
      <c r="G242" s="930"/>
      <c r="H242" s="930"/>
      <c r="I242" s="930"/>
      <c r="J242" s="930"/>
      <c r="K242" s="930"/>
      <c r="L242" s="930"/>
      <c r="M242" s="930"/>
      <c r="N242" s="930"/>
      <c r="O242" s="930"/>
      <c r="P242" s="930"/>
      <c r="Q242" s="930"/>
    </row>
    <row r="243" spans="2:17">
      <c r="B243" s="930"/>
      <c r="C243" s="930"/>
      <c r="D243" s="930"/>
      <c r="E243" s="930"/>
      <c r="F243" s="930"/>
      <c r="G243" s="930"/>
      <c r="H243" s="930"/>
      <c r="I243" s="930"/>
      <c r="J243" s="930"/>
      <c r="K243" s="930"/>
      <c r="L243" s="930"/>
      <c r="M243" s="930"/>
      <c r="N243" s="930"/>
      <c r="O243" s="930"/>
      <c r="P243" s="930"/>
      <c r="Q243" s="930"/>
    </row>
    <row r="244" spans="2:17">
      <c r="B244" s="930"/>
      <c r="C244" s="930"/>
      <c r="D244" s="930"/>
      <c r="E244" s="930"/>
      <c r="F244" s="930"/>
      <c r="G244" s="930"/>
      <c r="H244" s="930"/>
      <c r="I244" s="930"/>
      <c r="J244" s="930"/>
      <c r="K244" s="930"/>
      <c r="L244" s="930"/>
      <c r="M244" s="930"/>
      <c r="N244" s="930"/>
      <c r="O244" s="930"/>
      <c r="P244" s="930"/>
      <c r="Q244" s="930"/>
    </row>
    <row r="245" spans="2:17">
      <c r="B245" s="930"/>
      <c r="C245" s="930"/>
      <c r="D245" s="930"/>
      <c r="E245" s="930"/>
      <c r="F245" s="930"/>
      <c r="G245" s="930"/>
      <c r="H245" s="930"/>
      <c r="I245" s="930"/>
      <c r="J245" s="930"/>
      <c r="K245" s="930"/>
      <c r="L245" s="930"/>
      <c r="M245" s="930"/>
      <c r="N245" s="930"/>
      <c r="O245" s="930"/>
      <c r="P245" s="930"/>
      <c r="Q245" s="930"/>
    </row>
    <row r="246" spans="2:17">
      <c r="B246" s="930"/>
      <c r="C246" s="930"/>
      <c r="D246" s="930"/>
      <c r="E246" s="930"/>
      <c r="F246" s="930"/>
      <c r="G246" s="930"/>
      <c r="H246" s="930"/>
      <c r="I246" s="930"/>
      <c r="J246" s="930"/>
      <c r="K246" s="930"/>
      <c r="L246" s="930"/>
      <c r="M246" s="930"/>
      <c r="N246" s="930"/>
      <c r="O246" s="930"/>
      <c r="P246" s="930"/>
      <c r="Q246" s="930"/>
    </row>
    <row r="247" spans="2:17">
      <c r="B247" s="930"/>
      <c r="C247" s="930"/>
      <c r="D247" s="930"/>
      <c r="E247" s="930"/>
      <c r="F247" s="930"/>
      <c r="G247" s="930"/>
      <c r="H247" s="930"/>
      <c r="I247" s="930"/>
      <c r="J247" s="930"/>
      <c r="K247" s="930"/>
      <c r="L247" s="930"/>
      <c r="M247" s="930"/>
      <c r="N247" s="930"/>
      <c r="O247" s="930"/>
      <c r="P247" s="930"/>
      <c r="Q247" s="930"/>
    </row>
    <row r="248" spans="2:17">
      <c r="B248" s="930"/>
      <c r="C248" s="930"/>
      <c r="D248" s="930"/>
      <c r="E248" s="930"/>
      <c r="F248" s="930"/>
      <c r="G248" s="930"/>
      <c r="H248" s="930"/>
      <c r="I248" s="930"/>
      <c r="J248" s="930"/>
      <c r="K248" s="930"/>
      <c r="L248" s="930"/>
      <c r="M248" s="930"/>
      <c r="N248" s="930"/>
      <c r="O248" s="930"/>
      <c r="P248" s="930"/>
      <c r="Q248" s="930"/>
    </row>
    <row r="249" spans="2:17">
      <c r="B249" s="930"/>
      <c r="C249" s="930"/>
      <c r="D249" s="930"/>
      <c r="E249" s="930"/>
      <c r="F249" s="930"/>
      <c r="G249" s="930"/>
      <c r="H249" s="930"/>
      <c r="I249" s="930"/>
      <c r="J249" s="930"/>
      <c r="K249" s="930"/>
      <c r="L249" s="930"/>
      <c r="M249" s="930"/>
      <c r="N249" s="930"/>
      <c r="O249" s="930"/>
      <c r="P249" s="930"/>
      <c r="Q249" s="930"/>
    </row>
    <row r="250" spans="2:17">
      <c r="B250" s="930"/>
      <c r="C250" s="930"/>
      <c r="D250" s="930"/>
      <c r="E250" s="930"/>
      <c r="F250" s="930"/>
      <c r="G250" s="930"/>
      <c r="H250" s="930"/>
      <c r="I250" s="930"/>
      <c r="J250" s="930"/>
      <c r="K250" s="930"/>
      <c r="L250" s="930"/>
      <c r="M250" s="930"/>
      <c r="N250" s="930"/>
      <c r="O250" s="930"/>
      <c r="P250" s="930"/>
      <c r="Q250" s="930"/>
    </row>
    <row r="251" spans="2:17">
      <c r="B251" s="930"/>
      <c r="C251" s="930"/>
      <c r="D251" s="930"/>
      <c r="E251" s="930"/>
      <c r="F251" s="930"/>
      <c r="G251" s="930"/>
      <c r="H251" s="930"/>
      <c r="I251" s="930"/>
      <c r="J251" s="930"/>
      <c r="K251" s="930"/>
      <c r="L251" s="930"/>
      <c r="M251" s="930"/>
      <c r="N251" s="930"/>
      <c r="O251" s="930"/>
      <c r="P251" s="930"/>
      <c r="Q251" s="930"/>
    </row>
    <row r="252" spans="2:17">
      <c r="B252" s="930"/>
      <c r="C252" s="930"/>
      <c r="D252" s="930"/>
      <c r="E252" s="930"/>
      <c r="F252" s="930"/>
      <c r="G252" s="930"/>
      <c r="H252" s="930"/>
      <c r="I252" s="930"/>
      <c r="J252" s="930"/>
      <c r="K252" s="930"/>
      <c r="L252" s="930"/>
      <c r="M252" s="930"/>
      <c r="N252" s="930"/>
      <c r="O252" s="930"/>
      <c r="P252" s="930"/>
      <c r="Q252" s="930"/>
    </row>
    <row r="253" spans="2:17">
      <c r="B253" s="930"/>
      <c r="C253" s="930"/>
      <c r="D253" s="930"/>
      <c r="E253" s="930"/>
      <c r="F253" s="930"/>
      <c r="G253" s="930"/>
      <c r="H253" s="930"/>
      <c r="I253" s="930"/>
      <c r="J253" s="930"/>
      <c r="K253" s="930"/>
      <c r="L253" s="930"/>
      <c r="M253" s="930"/>
      <c r="N253" s="930"/>
      <c r="O253" s="930"/>
      <c r="P253" s="930"/>
      <c r="Q253" s="930"/>
    </row>
    <row r="254" spans="2:17">
      <c r="B254" s="930"/>
      <c r="C254" s="930"/>
      <c r="D254" s="930"/>
      <c r="E254" s="930"/>
      <c r="F254" s="930"/>
      <c r="G254" s="930"/>
      <c r="H254" s="930"/>
      <c r="I254" s="930"/>
      <c r="J254" s="930"/>
      <c r="K254" s="930"/>
      <c r="L254" s="930"/>
      <c r="M254" s="930"/>
      <c r="N254" s="930"/>
      <c r="O254" s="930"/>
      <c r="P254" s="930"/>
      <c r="Q254" s="930"/>
    </row>
    <row r="255" spans="2:17">
      <c r="B255" s="930"/>
      <c r="C255" s="930"/>
      <c r="D255" s="930"/>
      <c r="E255" s="930"/>
      <c r="F255" s="930"/>
      <c r="G255" s="930"/>
      <c r="H255" s="930"/>
      <c r="I255" s="930"/>
      <c r="J255" s="930"/>
      <c r="K255" s="930"/>
      <c r="L255" s="930"/>
      <c r="M255" s="930"/>
      <c r="N255" s="930"/>
      <c r="O255" s="930"/>
      <c r="P255" s="930"/>
      <c r="Q255" s="930"/>
    </row>
    <row r="256" spans="2:17">
      <c r="B256" s="930"/>
      <c r="C256" s="930"/>
      <c r="D256" s="930"/>
      <c r="E256" s="930"/>
      <c r="F256" s="930"/>
      <c r="G256" s="930"/>
      <c r="H256" s="930"/>
      <c r="I256" s="930"/>
      <c r="J256" s="930"/>
      <c r="K256" s="930"/>
      <c r="L256" s="930"/>
      <c r="M256" s="930"/>
      <c r="N256" s="930"/>
      <c r="O256" s="930"/>
      <c r="P256" s="930"/>
      <c r="Q256" s="930"/>
    </row>
    <row r="257" spans="2:17">
      <c r="B257" s="930"/>
      <c r="C257" s="930"/>
      <c r="D257" s="930"/>
      <c r="E257" s="930"/>
      <c r="F257" s="930"/>
      <c r="G257" s="930"/>
      <c r="H257" s="930"/>
      <c r="I257" s="930"/>
      <c r="J257" s="930"/>
      <c r="K257" s="930"/>
      <c r="L257" s="930"/>
      <c r="M257" s="930"/>
      <c r="N257" s="930"/>
      <c r="O257" s="930"/>
      <c r="P257" s="930"/>
      <c r="Q257" s="930"/>
    </row>
    <row r="258" spans="2:17">
      <c r="B258" s="930"/>
      <c r="C258" s="930"/>
      <c r="D258" s="930"/>
      <c r="E258" s="930"/>
      <c r="F258" s="930"/>
      <c r="G258" s="930"/>
      <c r="H258" s="930"/>
      <c r="I258" s="930"/>
      <c r="J258" s="930"/>
      <c r="K258" s="930"/>
      <c r="L258" s="930"/>
      <c r="M258" s="930"/>
      <c r="N258" s="930"/>
      <c r="O258" s="930"/>
      <c r="P258" s="930"/>
      <c r="Q258" s="930"/>
    </row>
    <row r="259" spans="2:17">
      <c r="B259" s="930"/>
      <c r="C259" s="930"/>
      <c r="D259" s="930"/>
      <c r="E259" s="930"/>
      <c r="F259" s="930"/>
      <c r="G259" s="930"/>
      <c r="H259" s="930"/>
      <c r="I259" s="930"/>
      <c r="J259" s="930"/>
      <c r="K259" s="930"/>
      <c r="L259" s="930"/>
      <c r="M259" s="930"/>
      <c r="N259" s="930"/>
      <c r="O259" s="930"/>
      <c r="P259" s="930"/>
      <c r="Q259" s="930"/>
    </row>
    <row r="260" spans="2:17">
      <c r="B260" s="930"/>
      <c r="C260" s="930"/>
      <c r="D260" s="930"/>
      <c r="E260" s="930"/>
      <c r="F260" s="930"/>
      <c r="G260" s="930"/>
      <c r="H260" s="930"/>
      <c r="I260" s="930"/>
      <c r="J260" s="930"/>
      <c r="K260" s="930"/>
      <c r="L260" s="930"/>
      <c r="M260" s="930"/>
      <c r="N260" s="930"/>
      <c r="O260" s="930"/>
      <c r="P260" s="930"/>
      <c r="Q260" s="930"/>
    </row>
    <row r="261" spans="2:17">
      <c r="B261" s="930"/>
      <c r="C261" s="930"/>
      <c r="D261" s="930"/>
      <c r="E261" s="930"/>
      <c r="F261" s="930"/>
      <c r="G261" s="930"/>
      <c r="H261" s="930"/>
      <c r="I261" s="930"/>
      <c r="J261" s="930"/>
      <c r="K261" s="930"/>
      <c r="L261" s="930"/>
      <c r="M261" s="930"/>
      <c r="N261" s="930"/>
      <c r="O261" s="930"/>
      <c r="P261" s="930"/>
      <c r="Q261" s="930"/>
    </row>
    <row r="262" spans="2:17">
      <c r="B262" s="930"/>
      <c r="C262" s="930"/>
      <c r="D262" s="930"/>
      <c r="E262" s="930"/>
      <c r="F262" s="930"/>
      <c r="G262" s="930"/>
      <c r="H262" s="930"/>
      <c r="I262" s="930"/>
      <c r="J262" s="930"/>
      <c r="K262" s="930"/>
      <c r="L262" s="930"/>
      <c r="M262" s="930"/>
      <c r="N262" s="930"/>
      <c r="O262" s="930"/>
      <c r="P262" s="930"/>
      <c r="Q262" s="930"/>
    </row>
    <row r="263" spans="2:17">
      <c r="B263" s="930"/>
      <c r="C263" s="930"/>
      <c r="D263" s="930"/>
      <c r="E263" s="930"/>
      <c r="F263" s="930"/>
      <c r="G263" s="930"/>
      <c r="H263" s="930"/>
      <c r="I263" s="930"/>
      <c r="J263" s="930"/>
      <c r="K263" s="930"/>
      <c r="L263" s="930"/>
      <c r="M263" s="930"/>
      <c r="N263" s="930"/>
      <c r="O263" s="930"/>
      <c r="P263" s="930"/>
      <c r="Q263" s="930"/>
    </row>
    <row r="264" spans="2:17">
      <c r="B264" s="930"/>
      <c r="C264" s="930"/>
      <c r="D264" s="930"/>
      <c r="E264" s="930"/>
      <c r="F264" s="930"/>
      <c r="G264" s="930"/>
      <c r="H264" s="930"/>
      <c r="I264" s="930"/>
      <c r="J264" s="930"/>
      <c r="K264" s="930"/>
      <c r="L264" s="930"/>
      <c r="M264" s="930"/>
      <c r="N264" s="930"/>
      <c r="O264" s="930"/>
      <c r="P264" s="930"/>
      <c r="Q264" s="930"/>
    </row>
    <row r="265" spans="2:17">
      <c r="B265" s="930"/>
      <c r="C265" s="930"/>
      <c r="D265" s="930"/>
      <c r="E265" s="930"/>
      <c r="F265" s="930"/>
      <c r="G265" s="930"/>
      <c r="H265" s="930"/>
      <c r="I265" s="930"/>
      <c r="J265" s="930"/>
      <c r="K265" s="930"/>
      <c r="L265" s="930"/>
      <c r="M265" s="930"/>
      <c r="N265" s="930"/>
      <c r="O265" s="930"/>
      <c r="P265" s="930"/>
      <c r="Q265" s="930"/>
    </row>
    <row r="266" spans="2:17">
      <c r="B266" s="930"/>
      <c r="C266" s="930"/>
      <c r="D266" s="930"/>
      <c r="E266" s="930"/>
      <c r="F266" s="930"/>
      <c r="G266" s="930"/>
      <c r="H266" s="930"/>
      <c r="I266" s="930"/>
      <c r="J266" s="930"/>
      <c r="K266" s="930"/>
      <c r="L266" s="930"/>
      <c r="M266" s="930"/>
      <c r="N266" s="930"/>
      <c r="O266" s="930"/>
      <c r="P266" s="930"/>
      <c r="Q266" s="930"/>
    </row>
    <row r="267" spans="2:17">
      <c r="B267" s="930"/>
      <c r="C267" s="930"/>
      <c r="D267" s="930"/>
      <c r="E267" s="930"/>
      <c r="F267" s="930"/>
      <c r="G267" s="930"/>
      <c r="H267" s="930"/>
      <c r="I267" s="930"/>
      <c r="J267" s="930"/>
      <c r="K267" s="930"/>
      <c r="L267" s="930"/>
      <c r="M267" s="930"/>
      <c r="N267" s="930"/>
      <c r="O267" s="930"/>
      <c r="P267" s="930"/>
      <c r="Q267" s="930"/>
    </row>
    <row r="268" spans="2:17">
      <c r="B268" s="930"/>
      <c r="C268" s="930"/>
      <c r="D268" s="930"/>
      <c r="E268" s="930"/>
      <c r="F268" s="930"/>
      <c r="G268" s="930"/>
      <c r="H268" s="930"/>
      <c r="I268" s="930"/>
      <c r="J268" s="930"/>
      <c r="K268" s="930"/>
      <c r="L268" s="930"/>
      <c r="M268" s="930"/>
      <c r="N268" s="930"/>
      <c r="O268" s="930"/>
      <c r="P268" s="930"/>
      <c r="Q268" s="930"/>
    </row>
    <row r="269" spans="2:17">
      <c r="B269" s="930"/>
      <c r="C269" s="930"/>
      <c r="D269" s="930"/>
      <c r="E269" s="930"/>
      <c r="F269" s="930"/>
      <c r="G269" s="930"/>
      <c r="H269" s="930"/>
      <c r="I269" s="930"/>
      <c r="J269" s="930"/>
      <c r="K269" s="930"/>
      <c r="L269" s="930"/>
      <c r="M269" s="930"/>
      <c r="N269" s="930"/>
      <c r="O269" s="930"/>
      <c r="P269" s="930"/>
      <c r="Q269" s="930"/>
    </row>
    <row r="270" spans="2:17">
      <c r="B270" s="930"/>
      <c r="C270" s="930"/>
      <c r="D270" s="930"/>
      <c r="E270" s="930"/>
      <c r="F270" s="930"/>
      <c r="G270" s="930"/>
      <c r="H270" s="930"/>
      <c r="I270" s="930"/>
      <c r="J270" s="930"/>
      <c r="K270" s="930"/>
      <c r="L270" s="930"/>
      <c r="M270" s="930"/>
      <c r="N270" s="930"/>
      <c r="O270" s="930"/>
      <c r="P270" s="930"/>
      <c r="Q270" s="930"/>
    </row>
    <row r="271" spans="2:17">
      <c r="B271" s="930"/>
      <c r="C271" s="930"/>
      <c r="D271" s="930"/>
      <c r="E271" s="930"/>
      <c r="F271" s="930"/>
      <c r="G271" s="930"/>
      <c r="H271" s="930"/>
      <c r="I271" s="930"/>
      <c r="J271" s="930"/>
      <c r="K271" s="930"/>
      <c r="L271" s="930"/>
      <c r="M271" s="930"/>
      <c r="N271" s="930"/>
      <c r="O271" s="930"/>
      <c r="P271" s="930"/>
      <c r="Q271" s="930"/>
    </row>
    <row r="272" spans="2:17">
      <c r="B272" s="930"/>
      <c r="C272" s="930"/>
      <c r="D272" s="930"/>
      <c r="E272" s="930"/>
      <c r="F272" s="930"/>
      <c r="G272" s="930"/>
      <c r="H272" s="930"/>
      <c r="I272" s="930"/>
      <c r="J272" s="930"/>
      <c r="K272" s="930"/>
      <c r="L272" s="930"/>
      <c r="M272" s="930"/>
      <c r="N272" s="930"/>
      <c r="O272" s="930"/>
      <c r="P272" s="930"/>
      <c r="Q272" s="930"/>
    </row>
    <row r="273" spans="2:17">
      <c r="B273" s="930"/>
      <c r="C273" s="930"/>
      <c r="D273" s="930"/>
      <c r="E273" s="930"/>
      <c r="F273" s="930"/>
      <c r="G273" s="930"/>
      <c r="H273" s="930"/>
      <c r="I273" s="930"/>
      <c r="J273" s="930"/>
      <c r="K273" s="930"/>
      <c r="L273" s="930"/>
      <c r="M273" s="930"/>
      <c r="N273" s="930"/>
      <c r="O273" s="930"/>
      <c r="P273" s="930"/>
      <c r="Q273" s="930"/>
    </row>
    <row r="274" spans="2:17">
      <c r="B274" s="930"/>
      <c r="C274" s="930"/>
      <c r="D274" s="930"/>
      <c r="E274" s="930"/>
      <c r="F274" s="930"/>
      <c r="G274" s="930"/>
      <c r="H274" s="930"/>
      <c r="I274" s="930"/>
      <c r="J274" s="930"/>
      <c r="K274" s="930"/>
      <c r="L274" s="930"/>
      <c r="M274" s="930"/>
      <c r="N274" s="930"/>
      <c r="O274" s="930"/>
      <c r="P274" s="930"/>
      <c r="Q274" s="930"/>
    </row>
    <row r="275" spans="2:17">
      <c r="B275" s="930"/>
      <c r="C275" s="930"/>
      <c r="D275" s="930"/>
      <c r="E275" s="930"/>
      <c r="F275" s="930"/>
      <c r="G275" s="930"/>
      <c r="H275" s="930"/>
      <c r="I275" s="930"/>
      <c r="J275" s="930"/>
      <c r="K275" s="930"/>
      <c r="L275" s="930"/>
      <c r="M275" s="930"/>
      <c r="N275" s="930"/>
      <c r="O275" s="930"/>
      <c r="P275" s="930"/>
      <c r="Q275" s="930"/>
    </row>
    <row r="276" spans="2:17">
      <c r="B276" s="930"/>
      <c r="C276" s="930"/>
      <c r="D276" s="930"/>
      <c r="E276" s="930"/>
      <c r="F276" s="930"/>
      <c r="G276" s="930"/>
      <c r="H276" s="930"/>
      <c r="I276" s="930"/>
      <c r="J276" s="930"/>
      <c r="K276" s="930"/>
      <c r="L276" s="930"/>
      <c r="M276" s="930"/>
      <c r="N276" s="930"/>
      <c r="O276" s="930"/>
      <c r="P276" s="930"/>
      <c r="Q276" s="930"/>
    </row>
    <row r="277" spans="2:17">
      <c r="B277" s="930"/>
      <c r="C277" s="930"/>
      <c r="D277" s="930"/>
      <c r="E277" s="930"/>
      <c r="F277" s="930"/>
      <c r="G277" s="930"/>
      <c r="H277" s="930"/>
      <c r="I277" s="930"/>
      <c r="J277" s="930"/>
      <c r="K277" s="930"/>
      <c r="L277" s="930"/>
      <c r="M277" s="930"/>
      <c r="N277" s="930"/>
      <c r="O277" s="930"/>
      <c r="P277" s="930"/>
      <c r="Q277" s="930"/>
    </row>
    <row r="278" spans="2:17">
      <c r="B278" s="930"/>
      <c r="C278" s="930"/>
      <c r="D278" s="930"/>
      <c r="E278" s="930"/>
      <c r="F278" s="930"/>
      <c r="G278" s="930"/>
      <c r="H278" s="930"/>
      <c r="I278" s="930"/>
      <c r="J278" s="930"/>
      <c r="K278" s="930"/>
      <c r="L278" s="930"/>
      <c r="M278" s="930"/>
      <c r="N278" s="930"/>
      <c r="O278" s="930"/>
      <c r="P278" s="930"/>
      <c r="Q278" s="930"/>
    </row>
    <row r="279" spans="2:17">
      <c r="B279" s="930"/>
      <c r="C279" s="930"/>
      <c r="D279" s="930"/>
      <c r="E279" s="930"/>
      <c r="F279" s="930"/>
      <c r="G279" s="930"/>
      <c r="H279" s="930"/>
      <c r="I279" s="930"/>
      <c r="J279" s="930"/>
      <c r="K279" s="930"/>
      <c r="L279" s="930"/>
      <c r="M279" s="930"/>
      <c r="N279" s="930"/>
      <c r="O279" s="930"/>
      <c r="P279" s="930"/>
      <c r="Q279" s="930"/>
    </row>
    <row r="280" spans="2:17">
      <c r="B280" s="930"/>
      <c r="C280" s="930"/>
      <c r="D280" s="930"/>
      <c r="E280" s="930"/>
      <c r="F280" s="930"/>
      <c r="G280" s="930"/>
      <c r="H280" s="930"/>
      <c r="I280" s="930"/>
      <c r="J280" s="930"/>
      <c r="K280" s="930"/>
      <c r="L280" s="930"/>
      <c r="M280" s="930"/>
      <c r="N280" s="930"/>
      <c r="O280" s="930"/>
      <c r="P280" s="930"/>
      <c r="Q280" s="930"/>
    </row>
    <row r="281" spans="2:17">
      <c r="B281" s="930"/>
      <c r="C281" s="930"/>
      <c r="D281" s="930"/>
      <c r="E281" s="930"/>
      <c r="F281" s="930"/>
      <c r="G281" s="930"/>
      <c r="H281" s="930"/>
      <c r="I281" s="930"/>
      <c r="J281" s="930"/>
      <c r="K281" s="930"/>
      <c r="L281" s="930"/>
      <c r="M281" s="930"/>
      <c r="N281" s="930"/>
      <c r="O281" s="930"/>
      <c r="P281" s="930"/>
      <c r="Q281" s="930"/>
    </row>
    <row r="282" spans="2:17">
      <c r="B282" s="930"/>
      <c r="C282" s="930"/>
      <c r="D282" s="930"/>
      <c r="E282" s="930"/>
      <c r="F282" s="930"/>
      <c r="G282" s="930"/>
      <c r="H282" s="930"/>
      <c r="I282" s="930"/>
      <c r="J282" s="930"/>
      <c r="K282" s="930"/>
      <c r="L282" s="930"/>
      <c r="M282" s="930"/>
      <c r="N282" s="930"/>
      <c r="O282" s="930"/>
      <c r="P282" s="930"/>
      <c r="Q282" s="930"/>
    </row>
    <row r="283" spans="2:17">
      <c r="B283" s="930"/>
      <c r="C283" s="930"/>
      <c r="D283" s="930"/>
      <c r="E283" s="930"/>
      <c r="F283" s="930"/>
      <c r="G283" s="930"/>
      <c r="H283" s="930"/>
      <c r="I283" s="930"/>
      <c r="J283" s="930"/>
      <c r="K283" s="930"/>
      <c r="L283" s="930"/>
      <c r="M283" s="930"/>
      <c r="N283" s="930"/>
      <c r="O283" s="930"/>
      <c r="P283" s="930"/>
      <c r="Q283" s="930"/>
    </row>
    <row r="284" spans="2:17">
      <c r="B284" s="930"/>
      <c r="C284" s="930"/>
      <c r="D284" s="930"/>
      <c r="E284" s="930"/>
      <c r="F284" s="930"/>
      <c r="G284" s="930"/>
      <c r="H284" s="930"/>
      <c r="I284" s="930"/>
      <c r="J284" s="930"/>
      <c r="K284" s="930"/>
      <c r="L284" s="930"/>
      <c r="M284" s="930"/>
      <c r="N284" s="930"/>
      <c r="O284" s="930"/>
      <c r="P284" s="930"/>
      <c r="Q284" s="930"/>
    </row>
    <row r="285" spans="2:17">
      <c r="B285" s="930"/>
      <c r="C285" s="930"/>
      <c r="D285" s="930"/>
      <c r="E285" s="930"/>
      <c r="F285" s="930"/>
      <c r="G285" s="930"/>
      <c r="H285" s="930"/>
      <c r="I285" s="930"/>
      <c r="J285" s="930"/>
      <c r="K285" s="930"/>
      <c r="L285" s="930"/>
      <c r="M285" s="930"/>
      <c r="N285" s="930"/>
      <c r="O285" s="930"/>
      <c r="P285" s="930"/>
      <c r="Q285" s="930"/>
    </row>
    <row r="286" spans="2:17">
      <c r="B286" s="930"/>
      <c r="C286" s="930"/>
      <c r="D286" s="930"/>
      <c r="E286" s="930"/>
      <c r="F286" s="930"/>
      <c r="G286" s="930"/>
      <c r="H286" s="930"/>
      <c r="I286" s="930"/>
      <c r="J286" s="930"/>
      <c r="K286" s="930"/>
      <c r="L286" s="930"/>
      <c r="M286" s="930"/>
      <c r="N286" s="930"/>
      <c r="O286" s="930"/>
      <c r="P286" s="930"/>
      <c r="Q286" s="930"/>
    </row>
    <row r="287" spans="2:17">
      <c r="B287" s="930"/>
      <c r="C287" s="930"/>
      <c r="D287" s="930"/>
      <c r="E287" s="930"/>
      <c r="F287" s="930"/>
      <c r="G287" s="930"/>
      <c r="H287" s="930"/>
      <c r="I287" s="930"/>
      <c r="J287" s="930"/>
      <c r="K287" s="930"/>
      <c r="L287" s="930"/>
      <c r="M287" s="930"/>
      <c r="N287" s="930"/>
      <c r="O287" s="930"/>
      <c r="P287" s="930"/>
      <c r="Q287" s="930"/>
    </row>
    <row r="288" spans="2:17">
      <c r="B288" s="930"/>
      <c r="C288" s="930"/>
      <c r="D288" s="930"/>
      <c r="E288" s="930"/>
      <c r="F288" s="930"/>
      <c r="G288" s="930"/>
      <c r="H288" s="930"/>
      <c r="I288" s="930"/>
      <c r="J288" s="930"/>
      <c r="K288" s="930"/>
      <c r="L288" s="930"/>
      <c r="M288" s="930"/>
      <c r="N288" s="930"/>
      <c r="O288" s="930"/>
      <c r="P288" s="930"/>
      <c r="Q288" s="930"/>
    </row>
    <row r="289" spans="2:17">
      <c r="B289" s="930"/>
      <c r="C289" s="930"/>
      <c r="D289" s="930"/>
      <c r="E289" s="930"/>
      <c r="F289" s="930"/>
      <c r="G289" s="930"/>
      <c r="H289" s="930"/>
      <c r="I289" s="930"/>
      <c r="J289" s="930"/>
      <c r="K289" s="930"/>
      <c r="L289" s="930"/>
      <c r="M289" s="930"/>
      <c r="N289" s="930"/>
      <c r="O289" s="930"/>
      <c r="P289" s="930"/>
      <c r="Q289" s="930"/>
    </row>
    <row r="290" spans="2:17">
      <c r="B290" s="930"/>
      <c r="C290" s="930"/>
      <c r="D290" s="930"/>
      <c r="E290" s="930"/>
      <c r="F290" s="930"/>
      <c r="G290" s="930"/>
      <c r="H290" s="930"/>
      <c r="I290" s="930"/>
      <c r="J290" s="930"/>
      <c r="K290" s="930"/>
      <c r="L290" s="930"/>
      <c r="M290" s="930"/>
      <c r="N290" s="930"/>
      <c r="O290" s="930"/>
      <c r="P290" s="930"/>
      <c r="Q290" s="930"/>
    </row>
    <row r="291" spans="2:17">
      <c r="B291" s="930"/>
      <c r="C291" s="930"/>
      <c r="D291" s="930"/>
      <c r="E291" s="930"/>
      <c r="F291" s="930"/>
      <c r="G291" s="930"/>
      <c r="H291" s="930"/>
      <c r="I291" s="930"/>
      <c r="J291" s="930"/>
      <c r="K291" s="930"/>
      <c r="L291" s="930"/>
      <c r="M291" s="930"/>
      <c r="N291" s="930"/>
      <c r="O291" s="930"/>
      <c r="P291" s="930"/>
      <c r="Q291" s="930"/>
    </row>
    <row r="292" spans="2:17">
      <c r="B292" s="930"/>
      <c r="C292" s="930"/>
      <c r="D292" s="930"/>
      <c r="E292" s="930"/>
      <c r="F292" s="930"/>
      <c r="G292" s="930"/>
      <c r="H292" s="930"/>
      <c r="I292" s="930"/>
      <c r="J292" s="930"/>
      <c r="K292" s="930"/>
      <c r="L292" s="930"/>
      <c r="M292" s="930"/>
      <c r="N292" s="930"/>
      <c r="O292" s="930"/>
      <c r="P292" s="930"/>
      <c r="Q292" s="930"/>
    </row>
    <row r="293" spans="2:17">
      <c r="B293" s="930"/>
      <c r="C293" s="930"/>
      <c r="D293" s="930"/>
      <c r="E293" s="930"/>
      <c r="F293" s="930"/>
      <c r="G293" s="930"/>
      <c r="H293" s="930"/>
      <c r="I293" s="930"/>
      <c r="J293" s="930"/>
      <c r="K293" s="930"/>
      <c r="L293" s="930"/>
      <c r="M293" s="930"/>
      <c r="N293" s="930"/>
      <c r="O293" s="930"/>
      <c r="P293" s="930"/>
      <c r="Q293" s="930"/>
    </row>
    <row r="294" spans="2:17">
      <c r="B294" s="930"/>
      <c r="C294" s="930"/>
      <c r="D294" s="930"/>
      <c r="E294" s="930"/>
      <c r="F294" s="930"/>
      <c r="G294" s="930"/>
      <c r="H294" s="930"/>
      <c r="I294" s="930"/>
      <c r="J294" s="930"/>
      <c r="K294" s="930"/>
      <c r="L294" s="930"/>
      <c r="M294" s="930"/>
      <c r="N294" s="930"/>
      <c r="O294" s="930"/>
      <c r="P294" s="930"/>
      <c r="Q294" s="930"/>
    </row>
    <row r="295" spans="2:17">
      <c r="B295" s="930"/>
      <c r="C295" s="930"/>
      <c r="D295" s="930"/>
      <c r="E295" s="930"/>
      <c r="F295" s="930"/>
      <c r="G295" s="930"/>
      <c r="H295" s="930"/>
      <c r="I295" s="930"/>
      <c r="J295" s="930"/>
      <c r="K295" s="930"/>
      <c r="L295" s="930"/>
      <c r="M295" s="930"/>
      <c r="N295" s="930"/>
      <c r="O295" s="930"/>
      <c r="P295" s="930"/>
      <c r="Q295" s="930"/>
    </row>
    <row r="296" spans="2:17">
      <c r="B296" s="930"/>
      <c r="C296" s="930"/>
      <c r="D296" s="930"/>
      <c r="E296" s="930"/>
      <c r="F296" s="930"/>
      <c r="G296" s="930"/>
      <c r="H296" s="930"/>
      <c r="I296" s="930"/>
      <c r="J296" s="930"/>
      <c r="K296" s="930"/>
      <c r="L296" s="930"/>
      <c r="M296" s="930"/>
      <c r="N296" s="930"/>
      <c r="O296" s="930"/>
      <c r="P296" s="930"/>
      <c r="Q296" s="930"/>
    </row>
    <row r="297" spans="2:17">
      <c r="B297" s="930"/>
      <c r="C297" s="930"/>
      <c r="D297" s="930"/>
      <c r="E297" s="930"/>
      <c r="F297" s="930"/>
      <c r="G297" s="930"/>
      <c r="H297" s="930"/>
      <c r="I297" s="930"/>
      <c r="J297" s="930"/>
      <c r="K297" s="930"/>
      <c r="L297" s="930"/>
      <c r="M297" s="930"/>
      <c r="N297" s="930"/>
      <c r="O297" s="930"/>
      <c r="P297" s="930"/>
      <c r="Q297" s="930"/>
    </row>
    <row r="298" spans="2:17">
      <c r="B298" s="930"/>
      <c r="C298" s="930"/>
      <c r="D298" s="930"/>
      <c r="E298" s="930"/>
      <c r="F298" s="930"/>
      <c r="G298" s="930"/>
      <c r="H298" s="930"/>
      <c r="I298" s="930"/>
      <c r="J298" s="930"/>
      <c r="K298" s="930"/>
      <c r="L298" s="930"/>
      <c r="M298" s="930"/>
      <c r="N298" s="930"/>
      <c r="O298" s="930"/>
      <c r="P298" s="930"/>
      <c r="Q298" s="930"/>
    </row>
    <row r="299" spans="2:17">
      <c r="B299" s="930"/>
      <c r="C299" s="930"/>
      <c r="D299" s="930"/>
      <c r="E299" s="930"/>
      <c r="F299" s="930"/>
      <c r="G299" s="930"/>
      <c r="H299" s="930"/>
      <c r="I299" s="930"/>
      <c r="J299" s="930"/>
      <c r="K299" s="930"/>
      <c r="L299" s="930"/>
      <c r="M299" s="930"/>
      <c r="N299" s="930"/>
      <c r="O299" s="930"/>
      <c r="P299" s="930"/>
      <c r="Q299" s="930"/>
    </row>
  </sheetData>
  <mergeCells count="4">
    <mergeCell ref="L4:AE4"/>
    <mergeCell ref="L5:AE5"/>
    <mergeCell ref="K57:O57"/>
    <mergeCell ref="K66:O66"/>
  </mergeCells>
  <dataValidations disablePrompts="1" count="1">
    <dataValidation type="list" allowBlank="1" showInputMessage="1" showErrorMessage="1" promptTitle="Loại hình nhà" prompt="Chọn loại hình của cả dự án để khai báo hệ số tổ hợp hoạt tải trong tổ hợp động đất. Chi tiết xem bảng 3.4 TCVN 9386-2012" sqref="L5:AE5">
      <formula1>Loainha</formula1>
    </dataValidation>
  </dataValidations>
  <pageMargins left="0.95" right="0.35" top="1" bottom="0.85" header="0.5" footer="0.5"/>
  <pageSetup paperSize="9" scale="75" fitToHeight="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509953" r:id="rId4">
          <objectPr defaultSize="0" autoPict="0" r:id="rId5">
            <anchor moveWithCells="1">
              <from>
                <xdr:col>2</xdr:col>
                <xdr:colOff>400050</xdr:colOff>
                <xdr:row>18</xdr:row>
                <xdr:rowOff>66675</xdr:rowOff>
              </from>
              <to>
                <xdr:col>5</xdr:col>
                <xdr:colOff>495300</xdr:colOff>
                <xdr:row>19</xdr:row>
                <xdr:rowOff>152400</xdr:rowOff>
              </to>
            </anchor>
          </objectPr>
        </oleObject>
      </mc:Choice>
      <mc:Fallback>
        <oleObject progId="Equation.DSMT4" shapeId="509953" r:id="rId4"/>
      </mc:Fallback>
    </mc:AlternateContent>
    <mc:AlternateContent xmlns:mc="http://schemas.openxmlformats.org/markup-compatibility/2006">
      <mc:Choice Requires="x14">
        <oleObject progId="Equation.DSMT4" shapeId="509954" r:id="rId6">
          <objectPr defaultSize="0" autoPict="0" r:id="rId7">
            <anchor moveWithCells="1">
              <from>
                <xdr:col>2</xdr:col>
                <xdr:colOff>257175</xdr:colOff>
                <xdr:row>27</xdr:row>
                <xdr:rowOff>66675</xdr:rowOff>
              </from>
              <to>
                <xdr:col>5</xdr:col>
                <xdr:colOff>190500</xdr:colOff>
                <xdr:row>28</xdr:row>
                <xdr:rowOff>161925</xdr:rowOff>
              </to>
            </anchor>
          </objectPr>
        </oleObject>
      </mc:Choice>
      <mc:Fallback>
        <oleObject progId="Equation.DSMT4" shapeId="509954" r:id="rId6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1:M42"/>
  <sheetViews>
    <sheetView view="pageBreakPreview" zoomScale="70" zoomScaleNormal="100" zoomScaleSheetLayoutView="70" workbookViewId="0">
      <selection activeCell="K20" sqref="K20"/>
    </sheetView>
  </sheetViews>
  <sheetFormatPr defaultRowHeight="16.5"/>
  <cols>
    <col min="1" max="2" width="9" style="1001"/>
    <col min="3" max="3" width="12.6640625" style="1001" customWidth="1"/>
    <col min="4" max="4" width="8.33203125" style="1001" customWidth="1"/>
    <col min="5" max="5" width="6.88671875" style="1001" customWidth="1"/>
    <col min="6" max="6" width="8.6640625" style="1001" customWidth="1"/>
    <col min="7" max="7" width="7.33203125" style="1001" customWidth="1"/>
    <col min="8" max="8" width="8.44140625" style="1001" customWidth="1"/>
    <col min="9" max="9" width="8.6640625" style="1001" customWidth="1"/>
    <col min="10" max="258" width="9" style="1001"/>
    <col min="259" max="259" width="12.6640625" style="1001" customWidth="1"/>
    <col min="260" max="260" width="8.33203125" style="1001" customWidth="1"/>
    <col min="261" max="261" width="6.88671875" style="1001" customWidth="1"/>
    <col min="262" max="262" width="8.6640625" style="1001" customWidth="1"/>
    <col min="263" max="263" width="7.33203125" style="1001" customWidth="1"/>
    <col min="264" max="264" width="8.44140625" style="1001" customWidth="1"/>
    <col min="265" max="265" width="8.6640625" style="1001" customWidth="1"/>
    <col min="266" max="514" width="9" style="1001"/>
    <col min="515" max="515" width="12.6640625" style="1001" customWidth="1"/>
    <col min="516" max="516" width="8.33203125" style="1001" customWidth="1"/>
    <col min="517" max="517" width="6.88671875" style="1001" customWidth="1"/>
    <col min="518" max="518" width="8.6640625" style="1001" customWidth="1"/>
    <col min="519" max="519" width="7.33203125" style="1001" customWidth="1"/>
    <col min="520" max="520" width="8.44140625" style="1001" customWidth="1"/>
    <col min="521" max="521" width="8.6640625" style="1001" customWidth="1"/>
    <col min="522" max="770" width="9" style="1001"/>
    <col min="771" max="771" width="12.6640625" style="1001" customWidth="1"/>
    <col min="772" max="772" width="8.33203125" style="1001" customWidth="1"/>
    <col min="773" max="773" width="6.88671875" style="1001" customWidth="1"/>
    <col min="774" max="774" width="8.6640625" style="1001" customWidth="1"/>
    <col min="775" max="775" width="7.33203125" style="1001" customWidth="1"/>
    <col min="776" max="776" width="8.44140625" style="1001" customWidth="1"/>
    <col min="777" max="777" width="8.6640625" style="1001" customWidth="1"/>
    <col min="778" max="1026" width="9" style="1001"/>
    <col min="1027" max="1027" width="12.6640625" style="1001" customWidth="1"/>
    <col min="1028" max="1028" width="8.33203125" style="1001" customWidth="1"/>
    <col min="1029" max="1029" width="6.88671875" style="1001" customWidth="1"/>
    <col min="1030" max="1030" width="8.6640625" style="1001" customWidth="1"/>
    <col min="1031" max="1031" width="7.33203125" style="1001" customWidth="1"/>
    <col min="1032" max="1032" width="8.44140625" style="1001" customWidth="1"/>
    <col min="1033" max="1033" width="8.6640625" style="1001" customWidth="1"/>
    <col min="1034" max="1282" width="9" style="1001"/>
    <col min="1283" max="1283" width="12.6640625" style="1001" customWidth="1"/>
    <col min="1284" max="1284" width="8.33203125" style="1001" customWidth="1"/>
    <col min="1285" max="1285" width="6.88671875" style="1001" customWidth="1"/>
    <col min="1286" max="1286" width="8.6640625" style="1001" customWidth="1"/>
    <col min="1287" max="1287" width="7.33203125" style="1001" customWidth="1"/>
    <col min="1288" max="1288" width="8.44140625" style="1001" customWidth="1"/>
    <col min="1289" max="1289" width="8.6640625" style="1001" customWidth="1"/>
    <col min="1290" max="1538" width="9" style="1001"/>
    <col min="1539" max="1539" width="12.6640625" style="1001" customWidth="1"/>
    <col min="1540" max="1540" width="8.33203125" style="1001" customWidth="1"/>
    <col min="1541" max="1541" width="6.88671875" style="1001" customWidth="1"/>
    <col min="1542" max="1542" width="8.6640625" style="1001" customWidth="1"/>
    <col min="1543" max="1543" width="7.33203125" style="1001" customWidth="1"/>
    <col min="1544" max="1544" width="8.44140625" style="1001" customWidth="1"/>
    <col min="1545" max="1545" width="8.6640625" style="1001" customWidth="1"/>
    <col min="1546" max="1794" width="9" style="1001"/>
    <col min="1795" max="1795" width="12.6640625" style="1001" customWidth="1"/>
    <col min="1796" max="1796" width="8.33203125" style="1001" customWidth="1"/>
    <col min="1797" max="1797" width="6.88671875" style="1001" customWidth="1"/>
    <col min="1798" max="1798" width="8.6640625" style="1001" customWidth="1"/>
    <col min="1799" max="1799" width="7.33203125" style="1001" customWidth="1"/>
    <col min="1800" max="1800" width="8.44140625" style="1001" customWidth="1"/>
    <col min="1801" max="1801" width="8.6640625" style="1001" customWidth="1"/>
    <col min="1802" max="2050" width="9" style="1001"/>
    <col min="2051" max="2051" width="12.6640625" style="1001" customWidth="1"/>
    <col min="2052" max="2052" width="8.33203125" style="1001" customWidth="1"/>
    <col min="2053" max="2053" width="6.88671875" style="1001" customWidth="1"/>
    <col min="2054" max="2054" width="8.6640625" style="1001" customWidth="1"/>
    <col min="2055" max="2055" width="7.33203125" style="1001" customWidth="1"/>
    <col min="2056" max="2056" width="8.44140625" style="1001" customWidth="1"/>
    <col min="2057" max="2057" width="8.6640625" style="1001" customWidth="1"/>
    <col min="2058" max="2306" width="9" style="1001"/>
    <col min="2307" max="2307" width="12.6640625" style="1001" customWidth="1"/>
    <col min="2308" max="2308" width="8.33203125" style="1001" customWidth="1"/>
    <col min="2309" max="2309" width="6.88671875" style="1001" customWidth="1"/>
    <col min="2310" max="2310" width="8.6640625" style="1001" customWidth="1"/>
    <col min="2311" max="2311" width="7.33203125" style="1001" customWidth="1"/>
    <col min="2312" max="2312" width="8.44140625" style="1001" customWidth="1"/>
    <col min="2313" max="2313" width="8.6640625" style="1001" customWidth="1"/>
    <col min="2314" max="2562" width="9" style="1001"/>
    <col min="2563" max="2563" width="12.6640625" style="1001" customWidth="1"/>
    <col min="2564" max="2564" width="8.33203125" style="1001" customWidth="1"/>
    <col min="2565" max="2565" width="6.88671875" style="1001" customWidth="1"/>
    <col min="2566" max="2566" width="8.6640625" style="1001" customWidth="1"/>
    <col min="2567" max="2567" width="7.33203125" style="1001" customWidth="1"/>
    <col min="2568" max="2568" width="8.44140625" style="1001" customWidth="1"/>
    <col min="2569" max="2569" width="8.6640625" style="1001" customWidth="1"/>
    <col min="2570" max="2818" width="9" style="1001"/>
    <col min="2819" max="2819" width="12.6640625" style="1001" customWidth="1"/>
    <col min="2820" max="2820" width="8.33203125" style="1001" customWidth="1"/>
    <col min="2821" max="2821" width="6.88671875" style="1001" customWidth="1"/>
    <col min="2822" max="2822" width="8.6640625" style="1001" customWidth="1"/>
    <col min="2823" max="2823" width="7.33203125" style="1001" customWidth="1"/>
    <col min="2824" max="2824" width="8.44140625" style="1001" customWidth="1"/>
    <col min="2825" max="2825" width="8.6640625" style="1001" customWidth="1"/>
    <col min="2826" max="3074" width="9" style="1001"/>
    <col min="3075" max="3075" width="12.6640625" style="1001" customWidth="1"/>
    <col min="3076" max="3076" width="8.33203125" style="1001" customWidth="1"/>
    <col min="3077" max="3077" width="6.88671875" style="1001" customWidth="1"/>
    <col min="3078" max="3078" width="8.6640625" style="1001" customWidth="1"/>
    <col min="3079" max="3079" width="7.33203125" style="1001" customWidth="1"/>
    <col min="3080" max="3080" width="8.44140625" style="1001" customWidth="1"/>
    <col min="3081" max="3081" width="8.6640625" style="1001" customWidth="1"/>
    <col min="3082" max="3330" width="9" style="1001"/>
    <col min="3331" max="3331" width="12.6640625" style="1001" customWidth="1"/>
    <col min="3332" max="3332" width="8.33203125" style="1001" customWidth="1"/>
    <col min="3333" max="3333" width="6.88671875" style="1001" customWidth="1"/>
    <col min="3334" max="3334" width="8.6640625" style="1001" customWidth="1"/>
    <col min="3335" max="3335" width="7.33203125" style="1001" customWidth="1"/>
    <col min="3336" max="3336" width="8.44140625" style="1001" customWidth="1"/>
    <col min="3337" max="3337" width="8.6640625" style="1001" customWidth="1"/>
    <col min="3338" max="3586" width="9" style="1001"/>
    <col min="3587" max="3587" width="12.6640625" style="1001" customWidth="1"/>
    <col min="3588" max="3588" width="8.33203125" style="1001" customWidth="1"/>
    <col min="3589" max="3589" width="6.88671875" style="1001" customWidth="1"/>
    <col min="3590" max="3590" width="8.6640625" style="1001" customWidth="1"/>
    <col min="3591" max="3591" width="7.33203125" style="1001" customWidth="1"/>
    <col min="3592" max="3592" width="8.44140625" style="1001" customWidth="1"/>
    <col min="3593" max="3593" width="8.6640625" style="1001" customWidth="1"/>
    <col min="3594" max="3842" width="9" style="1001"/>
    <col min="3843" max="3843" width="12.6640625" style="1001" customWidth="1"/>
    <col min="3844" max="3844" width="8.33203125" style="1001" customWidth="1"/>
    <col min="3845" max="3845" width="6.88671875" style="1001" customWidth="1"/>
    <col min="3846" max="3846" width="8.6640625" style="1001" customWidth="1"/>
    <col min="3847" max="3847" width="7.33203125" style="1001" customWidth="1"/>
    <col min="3848" max="3848" width="8.44140625" style="1001" customWidth="1"/>
    <col min="3849" max="3849" width="8.6640625" style="1001" customWidth="1"/>
    <col min="3850" max="4098" width="9" style="1001"/>
    <col min="4099" max="4099" width="12.6640625" style="1001" customWidth="1"/>
    <col min="4100" max="4100" width="8.33203125" style="1001" customWidth="1"/>
    <col min="4101" max="4101" width="6.88671875" style="1001" customWidth="1"/>
    <col min="4102" max="4102" width="8.6640625" style="1001" customWidth="1"/>
    <col min="4103" max="4103" width="7.33203125" style="1001" customWidth="1"/>
    <col min="4104" max="4104" width="8.44140625" style="1001" customWidth="1"/>
    <col min="4105" max="4105" width="8.6640625" style="1001" customWidth="1"/>
    <col min="4106" max="4354" width="9" style="1001"/>
    <col min="4355" max="4355" width="12.6640625" style="1001" customWidth="1"/>
    <col min="4356" max="4356" width="8.33203125" style="1001" customWidth="1"/>
    <col min="4357" max="4357" width="6.88671875" style="1001" customWidth="1"/>
    <col min="4358" max="4358" width="8.6640625" style="1001" customWidth="1"/>
    <col min="4359" max="4359" width="7.33203125" style="1001" customWidth="1"/>
    <col min="4360" max="4360" width="8.44140625" style="1001" customWidth="1"/>
    <col min="4361" max="4361" width="8.6640625" style="1001" customWidth="1"/>
    <col min="4362" max="4610" width="9" style="1001"/>
    <col min="4611" max="4611" width="12.6640625" style="1001" customWidth="1"/>
    <col min="4612" max="4612" width="8.33203125" style="1001" customWidth="1"/>
    <col min="4613" max="4613" width="6.88671875" style="1001" customWidth="1"/>
    <col min="4614" max="4614" width="8.6640625" style="1001" customWidth="1"/>
    <col min="4615" max="4615" width="7.33203125" style="1001" customWidth="1"/>
    <col min="4616" max="4616" width="8.44140625" style="1001" customWidth="1"/>
    <col min="4617" max="4617" width="8.6640625" style="1001" customWidth="1"/>
    <col min="4618" max="4866" width="9" style="1001"/>
    <col min="4867" max="4867" width="12.6640625" style="1001" customWidth="1"/>
    <col min="4868" max="4868" width="8.33203125" style="1001" customWidth="1"/>
    <col min="4869" max="4869" width="6.88671875" style="1001" customWidth="1"/>
    <col min="4870" max="4870" width="8.6640625" style="1001" customWidth="1"/>
    <col min="4871" max="4871" width="7.33203125" style="1001" customWidth="1"/>
    <col min="4872" max="4872" width="8.44140625" style="1001" customWidth="1"/>
    <col min="4873" max="4873" width="8.6640625" style="1001" customWidth="1"/>
    <col min="4874" max="5122" width="9" style="1001"/>
    <col min="5123" max="5123" width="12.6640625" style="1001" customWidth="1"/>
    <col min="5124" max="5124" width="8.33203125" style="1001" customWidth="1"/>
    <col min="5125" max="5125" width="6.88671875" style="1001" customWidth="1"/>
    <col min="5126" max="5126" width="8.6640625" style="1001" customWidth="1"/>
    <col min="5127" max="5127" width="7.33203125" style="1001" customWidth="1"/>
    <col min="5128" max="5128" width="8.44140625" style="1001" customWidth="1"/>
    <col min="5129" max="5129" width="8.6640625" style="1001" customWidth="1"/>
    <col min="5130" max="5378" width="9" style="1001"/>
    <col min="5379" max="5379" width="12.6640625" style="1001" customWidth="1"/>
    <col min="5380" max="5380" width="8.33203125" style="1001" customWidth="1"/>
    <col min="5381" max="5381" width="6.88671875" style="1001" customWidth="1"/>
    <col min="5382" max="5382" width="8.6640625" style="1001" customWidth="1"/>
    <col min="5383" max="5383" width="7.33203125" style="1001" customWidth="1"/>
    <col min="5384" max="5384" width="8.44140625" style="1001" customWidth="1"/>
    <col min="5385" max="5385" width="8.6640625" style="1001" customWidth="1"/>
    <col min="5386" max="5634" width="9" style="1001"/>
    <col min="5635" max="5635" width="12.6640625" style="1001" customWidth="1"/>
    <col min="5636" max="5636" width="8.33203125" style="1001" customWidth="1"/>
    <col min="5637" max="5637" width="6.88671875" style="1001" customWidth="1"/>
    <col min="5638" max="5638" width="8.6640625" style="1001" customWidth="1"/>
    <col min="5639" max="5639" width="7.33203125" style="1001" customWidth="1"/>
    <col min="5640" max="5640" width="8.44140625" style="1001" customWidth="1"/>
    <col min="5641" max="5641" width="8.6640625" style="1001" customWidth="1"/>
    <col min="5642" max="5890" width="9" style="1001"/>
    <col min="5891" max="5891" width="12.6640625" style="1001" customWidth="1"/>
    <col min="5892" max="5892" width="8.33203125" style="1001" customWidth="1"/>
    <col min="5893" max="5893" width="6.88671875" style="1001" customWidth="1"/>
    <col min="5894" max="5894" width="8.6640625" style="1001" customWidth="1"/>
    <col min="5895" max="5895" width="7.33203125" style="1001" customWidth="1"/>
    <col min="5896" max="5896" width="8.44140625" style="1001" customWidth="1"/>
    <col min="5897" max="5897" width="8.6640625" style="1001" customWidth="1"/>
    <col min="5898" max="6146" width="9" style="1001"/>
    <col min="6147" max="6147" width="12.6640625" style="1001" customWidth="1"/>
    <col min="6148" max="6148" width="8.33203125" style="1001" customWidth="1"/>
    <col min="6149" max="6149" width="6.88671875" style="1001" customWidth="1"/>
    <col min="6150" max="6150" width="8.6640625" style="1001" customWidth="1"/>
    <col min="6151" max="6151" width="7.33203125" style="1001" customWidth="1"/>
    <col min="6152" max="6152" width="8.44140625" style="1001" customWidth="1"/>
    <col min="6153" max="6153" width="8.6640625" style="1001" customWidth="1"/>
    <col min="6154" max="6402" width="9" style="1001"/>
    <col min="6403" max="6403" width="12.6640625" style="1001" customWidth="1"/>
    <col min="6404" max="6404" width="8.33203125" style="1001" customWidth="1"/>
    <col min="6405" max="6405" width="6.88671875" style="1001" customWidth="1"/>
    <col min="6406" max="6406" width="8.6640625" style="1001" customWidth="1"/>
    <col min="6407" max="6407" width="7.33203125" style="1001" customWidth="1"/>
    <col min="6408" max="6408" width="8.44140625" style="1001" customWidth="1"/>
    <col min="6409" max="6409" width="8.6640625" style="1001" customWidth="1"/>
    <col min="6410" max="6658" width="9" style="1001"/>
    <col min="6659" max="6659" width="12.6640625" style="1001" customWidth="1"/>
    <col min="6660" max="6660" width="8.33203125" style="1001" customWidth="1"/>
    <col min="6661" max="6661" width="6.88671875" style="1001" customWidth="1"/>
    <col min="6662" max="6662" width="8.6640625" style="1001" customWidth="1"/>
    <col min="6663" max="6663" width="7.33203125" style="1001" customWidth="1"/>
    <col min="6664" max="6664" width="8.44140625" style="1001" customWidth="1"/>
    <col min="6665" max="6665" width="8.6640625" style="1001" customWidth="1"/>
    <col min="6666" max="6914" width="9" style="1001"/>
    <col min="6915" max="6915" width="12.6640625" style="1001" customWidth="1"/>
    <col min="6916" max="6916" width="8.33203125" style="1001" customWidth="1"/>
    <col min="6917" max="6917" width="6.88671875" style="1001" customWidth="1"/>
    <col min="6918" max="6918" width="8.6640625" style="1001" customWidth="1"/>
    <col min="6919" max="6919" width="7.33203125" style="1001" customWidth="1"/>
    <col min="6920" max="6920" width="8.44140625" style="1001" customWidth="1"/>
    <col min="6921" max="6921" width="8.6640625" style="1001" customWidth="1"/>
    <col min="6922" max="7170" width="9" style="1001"/>
    <col min="7171" max="7171" width="12.6640625" style="1001" customWidth="1"/>
    <col min="7172" max="7172" width="8.33203125" style="1001" customWidth="1"/>
    <col min="7173" max="7173" width="6.88671875" style="1001" customWidth="1"/>
    <col min="7174" max="7174" width="8.6640625" style="1001" customWidth="1"/>
    <col min="7175" max="7175" width="7.33203125" style="1001" customWidth="1"/>
    <col min="7176" max="7176" width="8.44140625" style="1001" customWidth="1"/>
    <col min="7177" max="7177" width="8.6640625" style="1001" customWidth="1"/>
    <col min="7178" max="7426" width="9" style="1001"/>
    <col min="7427" max="7427" width="12.6640625" style="1001" customWidth="1"/>
    <col min="7428" max="7428" width="8.33203125" style="1001" customWidth="1"/>
    <col min="7429" max="7429" width="6.88671875" style="1001" customWidth="1"/>
    <col min="7430" max="7430" width="8.6640625" style="1001" customWidth="1"/>
    <col min="7431" max="7431" width="7.33203125" style="1001" customWidth="1"/>
    <col min="7432" max="7432" width="8.44140625" style="1001" customWidth="1"/>
    <col min="7433" max="7433" width="8.6640625" style="1001" customWidth="1"/>
    <col min="7434" max="7682" width="9" style="1001"/>
    <col min="7683" max="7683" width="12.6640625" style="1001" customWidth="1"/>
    <col min="7684" max="7684" width="8.33203125" style="1001" customWidth="1"/>
    <col min="7685" max="7685" width="6.88671875" style="1001" customWidth="1"/>
    <col min="7686" max="7686" width="8.6640625" style="1001" customWidth="1"/>
    <col min="7687" max="7687" width="7.33203125" style="1001" customWidth="1"/>
    <col min="7688" max="7688" width="8.44140625" style="1001" customWidth="1"/>
    <col min="7689" max="7689" width="8.6640625" style="1001" customWidth="1"/>
    <col min="7690" max="7938" width="9" style="1001"/>
    <col min="7939" max="7939" width="12.6640625" style="1001" customWidth="1"/>
    <col min="7940" max="7940" width="8.33203125" style="1001" customWidth="1"/>
    <col min="7941" max="7941" width="6.88671875" style="1001" customWidth="1"/>
    <col min="7942" max="7942" width="8.6640625" style="1001" customWidth="1"/>
    <col min="7943" max="7943" width="7.33203125" style="1001" customWidth="1"/>
    <col min="7944" max="7944" width="8.44140625" style="1001" customWidth="1"/>
    <col min="7945" max="7945" width="8.6640625" style="1001" customWidth="1"/>
    <col min="7946" max="8194" width="9" style="1001"/>
    <col min="8195" max="8195" width="12.6640625" style="1001" customWidth="1"/>
    <col min="8196" max="8196" width="8.33203125" style="1001" customWidth="1"/>
    <col min="8197" max="8197" width="6.88671875" style="1001" customWidth="1"/>
    <col min="8198" max="8198" width="8.6640625" style="1001" customWidth="1"/>
    <col min="8199" max="8199" width="7.33203125" style="1001" customWidth="1"/>
    <col min="8200" max="8200" width="8.44140625" style="1001" customWidth="1"/>
    <col min="8201" max="8201" width="8.6640625" style="1001" customWidth="1"/>
    <col min="8202" max="8450" width="9" style="1001"/>
    <col min="8451" max="8451" width="12.6640625" style="1001" customWidth="1"/>
    <col min="8452" max="8452" width="8.33203125" style="1001" customWidth="1"/>
    <col min="8453" max="8453" width="6.88671875" style="1001" customWidth="1"/>
    <col min="8454" max="8454" width="8.6640625" style="1001" customWidth="1"/>
    <col min="8455" max="8455" width="7.33203125" style="1001" customWidth="1"/>
    <col min="8456" max="8456" width="8.44140625" style="1001" customWidth="1"/>
    <col min="8457" max="8457" width="8.6640625" style="1001" customWidth="1"/>
    <col min="8458" max="8706" width="9" style="1001"/>
    <col min="8707" max="8707" width="12.6640625" style="1001" customWidth="1"/>
    <col min="8708" max="8708" width="8.33203125" style="1001" customWidth="1"/>
    <col min="8709" max="8709" width="6.88671875" style="1001" customWidth="1"/>
    <col min="8710" max="8710" width="8.6640625" style="1001" customWidth="1"/>
    <col min="8711" max="8711" width="7.33203125" style="1001" customWidth="1"/>
    <col min="8712" max="8712" width="8.44140625" style="1001" customWidth="1"/>
    <col min="8713" max="8713" width="8.6640625" style="1001" customWidth="1"/>
    <col min="8714" max="8962" width="9" style="1001"/>
    <col min="8963" max="8963" width="12.6640625" style="1001" customWidth="1"/>
    <col min="8964" max="8964" width="8.33203125" style="1001" customWidth="1"/>
    <col min="8965" max="8965" width="6.88671875" style="1001" customWidth="1"/>
    <col min="8966" max="8966" width="8.6640625" style="1001" customWidth="1"/>
    <col min="8967" max="8967" width="7.33203125" style="1001" customWidth="1"/>
    <col min="8968" max="8968" width="8.44140625" style="1001" customWidth="1"/>
    <col min="8969" max="8969" width="8.6640625" style="1001" customWidth="1"/>
    <col min="8970" max="9218" width="9" style="1001"/>
    <col min="9219" max="9219" width="12.6640625" style="1001" customWidth="1"/>
    <col min="9220" max="9220" width="8.33203125" style="1001" customWidth="1"/>
    <col min="9221" max="9221" width="6.88671875" style="1001" customWidth="1"/>
    <col min="9222" max="9222" width="8.6640625" style="1001" customWidth="1"/>
    <col min="9223" max="9223" width="7.33203125" style="1001" customWidth="1"/>
    <col min="9224" max="9224" width="8.44140625" style="1001" customWidth="1"/>
    <col min="9225" max="9225" width="8.6640625" style="1001" customWidth="1"/>
    <col min="9226" max="9474" width="9" style="1001"/>
    <col min="9475" max="9475" width="12.6640625" style="1001" customWidth="1"/>
    <col min="9476" max="9476" width="8.33203125" style="1001" customWidth="1"/>
    <col min="9477" max="9477" width="6.88671875" style="1001" customWidth="1"/>
    <col min="9478" max="9478" width="8.6640625" style="1001" customWidth="1"/>
    <col min="9479" max="9479" width="7.33203125" style="1001" customWidth="1"/>
    <col min="9480" max="9480" width="8.44140625" style="1001" customWidth="1"/>
    <col min="9481" max="9481" width="8.6640625" style="1001" customWidth="1"/>
    <col min="9482" max="9730" width="9" style="1001"/>
    <col min="9731" max="9731" width="12.6640625" style="1001" customWidth="1"/>
    <col min="9732" max="9732" width="8.33203125" style="1001" customWidth="1"/>
    <col min="9733" max="9733" width="6.88671875" style="1001" customWidth="1"/>
    <col min="9734" max="9734" width="8.6640625" style="1001" customWidth="1"/>
    <col min="9735" max="9735" width="7.33203125" style="1001" customWidth="1"/>
    <col min="9736" max="9736" width="8.44140625" style="1001" customWidth="1"/>
    <col min="9737" max="9737" width="8.6640625" style="1001" customWidth="1"/>
    <col min="9738" max="9986" width="9" style="1001"/>
    <col min="9987" max="9987" width="12.6640625" style="1001" customWidth="1"/>
    <col min="9988" max="9988" width="8.33203125" style="1001" customWidth="1"/>
    <col min="9989" max="9989" width="6.88671875" style="1001" customWidth="1"/>
    <col min="9990" max="9990" width="8.6640625" style="1001" customWidth="1"/>
    <col min="9991" max="9991" width="7.33203125" style="1001" customWidth="1"/>
    <col min="9992" max="9992" width="8.44140625" style="1001" customWidth="1"/>
    <col min="9993" max="9993" width="8.6640625" style="1001" customWidth="1"/>
    <col min="9994" max="10242" width="9" style="1001"/>
    <col min="10243" max="10243" width="12.6640625" style="1001" customWidth="1"/>
    <col min="10244" max="10244" width="8.33203125" style="1001" customWidth="1"/>
    <col min="10245" max="10245" width="6.88671875" style="1001" customWidth="1"/>
    <col min="10246" max="10246" width="8.6640625" style="1001" customWidth="1"/>
    <col min="10247" max="10247" width="7.33203125" style="1001" customWidth="1"/>
    <col min="10248" max="10248" width="8.44140625" style="1001" customWidth="1"/>
    <col min="10249" max="10249" width="8.6640625" style="1001" customWidth="1"/>
    <col min="10250" max="10498" width="9" style="1001"/>
    <col min="10499" max="10499" width="12.6640625" style="1001" customWidth="1"/>
    <col min="10500" max="10500" width="8.33203125" style="1001" customWidth="1"/>
    <col min="10501" max="10501" width="6.88671875" style="1001" customWidth="1"/>
    <col min="10502" max="10502" width="8.6640625" style="1001" customWidth="1"/>
    <col min="10503" max="10503" width="7.33203125" style="1001" customWidth="1"/>
    <col min="10504" max="10504" width="8.44140625" style="1001" customWidth="1"/>
    <col min="10505" max="10505" width="8.6640625" style="1001" customWidth="1"/>
    <col min="10506" max="10754" width="9" style="1001"/>
    <col min="10755" max="10755" width="12.6640625" style="1001" customWidth="1"/>
    <col min="10756" max="10756" width="8.33203125" style="1001" customWidth="1"/>
    <col min="10757" max="10757" width="6.88671875" style="1001" customWidth="1"/>
    <col min="10758" max="10758" width="8.6640625" style="1001" customWidth="1"/>
    <col min="10759" max="10759" width="7.33203125" style="1001" customWidth="1"/>
    <col min="10760" max="10760" width="8.44140625" style="1001" customWidth="1"/>
    <col min="10761" max="10761" width="8.6640625" style="1001" customWidth="1"/>
    <col min="10762" max="11010" width="9" style="1001"/>
    <col min="11011" max="11011" width="12.6640625" style="1001" customWidth="1"/>
    <col min="11012" max="11012" width="8.33203125" style="1001" customWidth="1"/>
    <col min="11013" max="11013" width="6.88671875" style="1001" customWidth="1"/>
    <col min="11014" max="11014" width="8.6640625" style="1001" customWidth="1"/>
    <col min="11015" max="11015" width="7.33203125" style="1001" customWidth="1"/>
    <col min="11016" max="11016" width="8.44140625" style="1001" customWidth="1"/>
    <col min="11017" max="11017" width="8.6640625" style="1001" customWidth="1"/>
    <col min="11018" max="11266" width="9" style="1001"/>
    <col min="11267" max="11267" width="12.6640625" style="1001" customWidth="1"/>
    <col min="11268" max="11268" width="8.33203125" style="1001" customWidth="1"/>
    <col min="11269" max="11269" width="6.88671875" style="1001" customWidth="1"/>
    <col min="11270" max="11270" width="8.6640625" style="1001" customWidth="1"/>
    <col min="11271" max="11271" width="7.33203125" style="1001" customWidth="1"/>
    <col min="11272" max="11272" width="8.44140625" style="1001" customWidth="1"/>
    <col min="11273" max="11273" width="8.6640625" style="1001" customWidth="1"/>
    <col min="11274" max="11522" width="9" style="1001"/>
    <col min="11523" max="11523" width="12.6640625" style="1001" customWidth="1"/>
    <col min="11524" max="11524" width="8.33203125" style="1001" customWidth="1"/>
    <col min="11525" max="11525" width="6.88671875" style="1001" customWidth="1"/>
    <col min="11526" max="11526" width="8.6640625" style="1001" customWidth="1"/>
    <col min="11527" max="11527" width="7.33203125" style="1001" customWidth="1"/>
    <col min="11528" max="11528" width="8.44140625" style="1001" customWidth="1"/>
    <col min="11529" max="11529" width="8.6640625" style="1001" customWidth="1"/>
    <col min="11530" max="11778" width="9" style="1001"/>
    <col min="11779" max="11779" width="12.6640625" style="1001" customWidth="1"/>
    <col min="11780" max="11780" width="8.33203125" style="1001" customWidth="1"/>
    <col min="11781" max="11781" width="6.88671875" style="1001" customWidth="1"/>
    <col min="11782" max="11782" width="8.6640625" style="1001" customWidth="1"/>
    <col min="11783" max="11783" width="7.33203125" style="1001" customWidth="1"/>
    <col min="11784" max="11784" width="8.44140625" style="1001" customWidth="1"/>
    <col min="11785" max="11785" width="8.6640625" style="1001" customWidth="1"/>
    <col min="11786" max="12034" width="9" style="1001"/>
    <col min="12035" max="12035" width="12.6640625" style="1001" customWidth="1"/>
    <col min="12036" max="12036" width="8.33203125" style="1001" customWidth="1"/>
    <col min="12037" max="12037" width="6.88671875" style="1001" customWidth="1"/>
    <col min="12038" max="12038" width="8.6640625" style="1001" customWidth="1"/>
    <col min="12039" max="12039" width="7.33203125" style="1001" customWidth="1"/>
    <col min="12040" max="12040" width="8.44140625" style="1001" customWidth="1"/>
    <col min="12041" max="12041" width="8.6640625" style="1001" customWidth="1"/>
    <col min="12042" max="12290" width="9" style="1001"/>
    <col min="12291" max="12291" width="12.6640625" style="1001" customWidth="1"/>
    <col min="12292" max="12292" width="8.33203125" style="1001" customWidth="1"/>
    <col min="12293" max="12293" width="6.88671875" style="1001" customWidth="1"/>
    <col min="12294" max="12294" width="8.6640625" style="1001" customWidth="1"/>
    <col min="12295" max="12295" width="7.33203125" style="1001" customWidth="1"/>
    <col min="12296" max="12296" width="8.44140625" style="1001" customWidth="1"/>
    <col min="12297" max="12297" width="8.6640625" style="1001" customWidth="1"/>
    <col min="12298" max="12546" width="9" style="1001"/>
    <col min="12547" max="12547" width="12.6640625" style="1001" customWidth="1"/>
    <col min="12548" max="12548" width="8.33203125" style="1001" customWidth="1"/>
    <col min="12549" max="12549" width="6.88671875" style="1001" customWidth="1"/>
    <col min="12550" max="12550" width="8.6640625" style="1001" customWidth="1"/>
    <col min="12551" max="12551" width="7.33203125" style="1001" customWidth="1"/>
    <col min="12552" max="12552" width="8.44140625" style="1001" customWidth="1"/>
    <col min="12553" max="12553" width="8.6640625" style="1001" customWidth="1"/>
    <col min="12554" max="12802" width="9" style="1001"/>
    <col min="12803" max="12803" width="12.6640625" style="1001" customWidth="1"/>
    <col min="12804" max="12804" width="8.33203125" style="1001" customWidth="1"/>
    <col min="12805" max="12805" width="6.88671875" style="1001" customWidth="1"/>
    <col min="12806" max="12806" width="8.6640625" style="1001" customWidth="1"/>
    <col min="12807" max="12807" width="7.33203125" style="1001" customWidth="1"/>
    <col min="12808" max="12808" width="8.44140625" style="1001" customWidth="1"/>
    <col min="12809" max="12809" width="8.6640625" style="1001" customWidth="1"/>
    <col min="12810" max="13058" width="9" style="1001"/>
    <col min="13059" max="13059" width="12.6640625" style="1001" customWidth="1"/>
    <col min="13060" max="13060" width="8.33203125" style="1001" customWidth="1"/>
    <col min="13061" max="13061" width="6.88671875" style="1001" customWidth="1"/>
    <col min="13062" max="13062" width="8.6640625" style="1001" customWidth="1"/>
    <col min="13063" max="13063" width="7.33203125" style="1001" customWidth="1"/>
    <col min="13064" max="13064" width="8.44140625" style="1001" customWidth="1"/>
    <col min="13065" max="13065" width="8.6640625" style="1001" customWidth="1"/>
    <col min="13066" max="13314" width="9" style="1001"/>
    <col min="13315" max="13315" width="12.6640625" style="1001" customWidth="1"/>
    <col min="13316" max="13316" width="8.33203125" style="1001" customWidth="1"/>
    <col min="13317" max="13317" width="6.88671875" style="1001" customWidth="1"/>
    <col min="13318" max="13318" width="8.6640625" style="1001" customWidth="1"/>
    <col min="13319" max="13319" width="7.33203125" style="1001" customWidth="1"/>
    <col min="13320" max="13320" width="8.44140625" style="1001" customWidth="1"/>
    <col min="13321" max="13321" width="8.6640625" style="1001" customWidth="1"/>
    <col min="13322" max="13570" width="9" style="1001"/>
    <col min="13571" max="13571" width="12.6640625" style="1001" customWidth="1"/>
    <col min="13572" max="13572" width="8.33203125" style="1001" customWidth="1"/>
    <col min="13573" max="13573" width="6.88671875" style="1001" customWidth="1"/>
    <col min="13574" max="13574" width="8.6640625" style="1001" customWidth="1"/>
    <col min="13575" max="13575" width="7.33203125" style="1001" customWidth="1"/>
    <col min="13576" max="13576" width="8.44140625" style="1001" customWidth="1"/>
    <col min="13577" max="13577" width="8.6640625" style="1001" customWidth="1"/>
    <col min="13578" max="13826" width="9" style="1001"/>
    <col min="13827" max="13827" width="12.6640625" style="1001" customWidth="1"/>
    <col min="13828" max="13828" width="8.33203125" style="1001" customWidth="1"/>
    <col min="13829" max="13829" width="6.88671875" style="1001" customWidth="1"/>
    <col min="13830" max="13830" width="8.6640625" style="1001" customWidth="1"/>
    <col min="13831" max="13831" width="7.33203125" style="1001" customWidth="1"/>
    <col min="13832" max="13832" width="8.44140625" style="1001" customWidth="1"/>
    <col min="13833" max="13833" width="8.6640625" style="1001" customWidth="1"/>
    <col min="13834" max="14082" width="9" style="1001"/>
    <col min="14083" max="14083" width="12.6640625" style="1001" customWidth="1"/>
    <col min="14084" max="14084" width="8.33203125" style="1001" customWidth="1"/>
    <col min="14085" max="14085" width="6.88671875" style="1001" customWidth="1"/>
    <col min="14086" max="14086" width="8.6640625" style="1001" customWidth="1"/>
    <col min="14087" max="14087" width="7.33203125" style="1001" customWidth="1"/>
    <col min="14088" max="14088" width="8.44140625" style="1001" customWidth="1"/>
    <col min="14089" max="14089" width="8.6640625" style="1001" customWidth="1"/>
    <col min="14090" max="14338" width="9" style="1001"/>
    <col min="14339" max="14339" width="12.6640625" style="1001" customWidth="1"/>
    <col min="14340" max="14340" width="8.33203125" style="1001" customWidth="1"/>
    <col min="14341" max="14341" width="6.88671875" style="1001" customWidth="1"/>
    <col min="14342" max="14342" width="8.6640625" style="1001" customWidth="1"/>
    <col min="14343" max="14343" width="7.33203125" style="1001" customWidth="1"/>
    <col min="14344" max="14344" width="8.44140625" style="1001" customWidth="1"/>
    <col min="14345" max="14345" width="8.6640625" style="1001" customWidth="1"/>
    <col min="14346" max="14594" width="9" style="1001"/>
    <col min="14595" max="14595" width="12.6640625" style="1001" customWidth="1"/>
    <col min="14596" max="14596" width="8.33203125" style="1001" customWidth="1"/>
    <col min="14597" max="14597" width="6.88671875" style="1001" customWidth="1"/>
    <col min="14598" max="14598" width="8.6640625" style="1001" customWidth="1"/>
    <col min="14599" max="14599" width="7.33203125" style="1001" customWidth="1"/>
    <col min="14600" max="14600" width="8.44140625" style="1001" customWidth="1"/>
    <col min="14601" max="14601" width="8.6640625" style="1001" customWidth="1"/>
    <col min="14602" max="14850" width="9" style="1001"/>
    <col min="14851" max="14851" width="12.6640625" style="1001" customWidth="1"/>
    <col min="14852" max="14852" width="8.33203125" style="1001" customWidth="1"/>
    <col min="14853" max="14853" width="6.88671875" style="1001" customWidth="1"/>
    <col min="14854" max="14854" width="8.6640625" style="1001" customWidth="1"/>
    <col min="14855" max="14855" width="7.33203125" style="1001" customWidth="1"/>
    <col min="14856" max="14856" width="8.44140625" style="1001" customWidth="1"/>
    <col min="14857" max="14857" width="8.6640625" style="1001" customWidth="1"/>
    <col min="14858" max="15106" width="9" style="1001"/>
    <col min="15107" max="15107" width="12.6640625" style="1001" customWidth="1"/>
    <col min="15108" max="15108" width="8.33203125" style="1001" customWidth="1"/>
    <col min="15109" max="15109" width="6.88671875" style="1001" customWidth="1"/>
    <col min="15110" max="15110" width="8.6640625" style="1001" customWidth="1"/>
    <col min="15111" max="15111" width="7.33203125" style="1001" customWidth="1"/>
    <col min="15112" max="15112" width="8.44140625" style="1001" customWidth="1"/>
    <col min="15113" max="15113" width="8.6640625" style="1001" customWidth="1"/>
    <col min="15114" max="15362" width="9" style="1001"/>
    <col min="15363" max="15363" width="12.6640625" style="1001" customWidth="1"/>
    <col min="15364" max="15364" width="8.33203125" style="1001" customWidth="1"/>
    <col min="15365" max="15365" width="6.88671875" style="1001" customWidth="1"/>
    <col min="15366" max="15366" width="8.6640625" style="1001" customWidth="1"/>
    <col min="15367" max="15367" width="7.33203125" style="1001" customWidth="1"/>
    <col min="15368" max="15368" width="8.44140625" style="1001" customWidth="1"/>
    <col min="15369" max="15369" width="8.6640625" style="1001" customWidth="1"/>
    <col min="15370" max="15618" width="9" style="1001"/>
    <col min="15619" max="15619" width="12.6640625" style="1001" customWidth="1"/>
    <col min="15620" max="15620" width="8.33203125" style="1001" customWidth="1"/>
    <col min="15621" max="15621" width="6.88671875" style="1001" customWidth="1"/>
    <col min="15622" max="15622" width="8.6640625" style="1001" customWidth="1"/>
    <col min="15623" max="15623" width="7.33203125" style="1001" customWidth="1"/>
    <col min="15624" max="15624" width="8.44140625" style="1001" customWidth="1"/>
    <col min="15625" max="15625" width="8.6640625" style="1001" customWidth="1"/>
    <col min="15626" max="15874" width="9" style="1001"/>
    <col min="15875" max="15875" width="12.6640625" style="1001" customWidth="1"/>
    <col min="15876" max="15876" width="8.33203125" style="1001" customWidth="1"/>
    <col min="15877" max="15877" width="6.88671875" style="1001" customWidth="1"/>
    <col min="15878" max="15878" width="8.6640625" style="1001" customWidth="1"/>
    <col min="15879" max="15879" width="7.33203125" style="1001" customWidth="1"/>
    <col min="15880" max="15880" width="8.44140625" style="1001" customWidth="1"/>
    <col min="15881" max="15881" width="8.6640625" style="1001" customWidth="1"/>
    <col min="15882" max="16130" width="9" style="1001"/>
    <col min="16131" max="16131" width="12.6640625" style="1001" customWidth="1"/>
    <col min="16132" max="16132" width="8.33203125" style="1001" customWidth="1"/>
    <col min="16133" max="16133" width="6.88671875" style="1001" customWidth="1"/>
    <col min="16134" max="16134" width="8.6640625" style="1001" customWidth="1"/>
    <col min="16135" max="16135" width="7.33203125" style="1001" customWidth="1"/>
    <col min="16136" max="16136" width="8.44140625" style="1001" customWidth="1"/>
    <col min="16137" max="16137" width="8.6640625" style="1001" customWidth="1"/>
    <col min="16138" max="16384" width="9" style="1001"/>
  </cols>
  <sheetData>
    <row r="1" spans="1:13" s="997" customFormat="1" ht="30" customHeight="1">
      <c r="A1" s="993" t="s">
        <v>2453</v>
      </c>
      <c r="B1" s="994"/>
      <c r="C1" s="995"/>
      <c r="D1" s="996"/>
      <c r="E1" s="995"/>
      <c r="F1" s="995"/>
      <c r="G1" s="995"/>
      <c r="M1" s="998"/>
    </row>
    <row r="2" spans="1:13">
      <c r="A2" s="1020" t="s">
        <v>2454</v>
      </c>
      <c r="B2" s="999"/>
      <c r="C2" s="999"/>
      <c r="D2" s="999"/>
      <c r="E2" s="999"/>
      <c r="F2" s="999"/>
      <c r="G2" s="999"/>
      <c r="H2" s="1000"/>
      <c r="I2" s="999"/>
      <c r="J2" s="999"/>
    </row>
    <row r="3" spans="1:13">
      <c r="A3" s="1020" t="s">
        <v>2455</v>
      </c>
      <c r="B3" s="999"/>
      <c r="C3" s="999"/>
      <c r="D3" s="999"/>
      <c r="E3" s="999"/>
      <c r="F3" s="999"/>
      <c r="G3" s="999"/>
      <c r="H3" s="1000"/>
      <c r="I3" s="999"/>
      <c r="J3" s="999"/>
    </row>
    <row r="4" spans="1:13">
      <c r="A4" s="999" t="s">
        <v>2437</v>
      </c>
      <c r="B4" s="999"/>
      <c r="C4" s="999"/>
      <c r="D4" s="999"/>
      <c r="E4" s="999"/>
      <c r="F4" s="999"/>
      <c r="G4" s="999"/>
      <c r="H4" s="1000"/>
      <c r="I4" s="999"/>
      <c r="J4" s="999"/>
    </row>
    <row r="5" spans="1:13" ht="19.5">
      <c r="A5" s="999" t="s">
        <v>2444</v>
      </c>
      <c r="B5" s="999"/>
      <c r="C5" s="999"/>
      <c r="D5" s="999"/>
      <c r="E5" s="999"/>
      <c r="F5" s="999"/>
      <c r="G5" s="999"/>
      <c r="H5" s="1000"/>
      <c r="I5" s="999"/>
      <c r="J5" s="999"/>
    </row>
    <row r="6" spans="1:13">
      <c r="A6" s="999" t="s">
        <v>2438</v>
      </c>
      <c r="B6" s="999"/>
      <c r="C6" s="999"/>
      <c r="D6" s="999"/>
      <c r="E6" s="999"/>
      <c r="F6" s="999"/>
      <c r="G6" s="999"/>
      <c r="H6" s="1000"/>
      <c r="I6" s="999"/>
      <c r="J6" s="999"/>
    </row>
    <row r="7" spans="1:13">
      <c r="A7" s="999"/>
      <c r="B7" s="999"/>
      <c r="C7" s="999"/>
      <c r="D7" s="999"/>
      <c r="E7" s="999"/>
      <c r="F7" s="999"/>
      <c r="G7" s="999"/>
      <c r="H7" s="1000"/>
      <c r="I7" s="999"/>
      <c r="J7" s="999"/>
    </row>
    <row r="8" spans="1:13">
      <c r="A8" s="999"/>
      <c r="B8" s="999"/>
      <c r="C8" s="999"/>
      <c r="D8" s="999"/>
      <c r="E8" s="999"/>
      <c r="F8" s="999"/>
      <c r="G8" s="999"/>
      <c r="H8" s="1000"/>
      <c r="I8" s="999"/>
      <c r="J8" s="999"/>
    </row>
    <row r="9" spans="1:13">
      <c r="A9" s="999" t="s">
        <v>2439</v>
      </c>
      <c r="B9" s="999"/>
      <c r="C9" s="999"/>
      <c r="D9" s="999"/>
      <c r="E9" s="999"/>
      <c r="F9" s="999"/>
      <c r="G9" s="999"/>
      <c r="H9" s="1000"/>
      <c r="I9" s="999"/>
      <c r="J9" s="999"/>
    </row>
    <row r="10" spans="1:13">
      <c r="A10" s="999"/>
      <c r="B10" s="999"/>
      <c r="C10" s="999"/>
      <c r="D10" s="999"/>
      <c r="E10" s="999"/>
      <c r="F10" s="999"/>
      <c r="G10" s="999"/>
      <c r="H10" s="1000"/>
      <c r="I10" s="999"/>
      <c r="J10" s="999"/>
    </row>
    <row r="11" spans="1:13">
      <c r="A11" s="999"/>
      <c r="B11" s="999"/>
      <c r="C11" s="999"/>
      <c r="D11" s="999"/>
      <c r="E11" s="999"/>
      <c r="F11" s="999"/>
      <c r="G11" s="999"/>
      <c r="H11" s="1000"/>
      <c r="I11" s="999"/>
      <c r="J11" s="999"/>
    </row>
    <row r="12" spans="1:13">
      <c r="A12" s="1002" t="s">
        <v>2440</v>
      </c>
      <c r="B12" s="1002"/>
      <c r="C12" s="999"/>
      <c r="D12" s="999"/>
      <c r="E12" s="999"/>
      <c r="F12" s="999"/>
      <c r="G12" s="999"/>
      <c r="H12" s="1000"/>
      <c r="I12" s="999"/>
      <c r="J12" s="999"/>
    </row>
    <row r="13" spans="1:13">
      <c r="A13" s="999" t="s">
        <v>2441</v>
      </c>
      <c r="B13" s="999"/>
      <c r="C13" s="999"/>
      <c r="D13" s="1003"/>
      <c r="E13" s="999"/>
      <c r="F13" s="999"/>
      <c r="G13" s="999"/>
      <c r="H13" s="1000"/>
      <c r="I13" s="999"/>
      <c r="J13" s="999"/>
    </row>
    <row r="14" spans="1:13" ht="19.5">
      <c r="A14" s="999" t="s">
        <v>2445</v>
      </c>
      <c r="B14" s="999"/>
      <c r="C14" s="1004"/>
      <c r="D14" s="999"/>
      <c r="E14" s="999"/>
      <c r="F14" s="999"/>
      <c r="G14" s="999"/>
      <c r="H14" s="1000"/>
      <c r="I14" s="999"/>
      <c r="J14" s="999"/>
    </row>
    <row r="15" spans="1:13">
      <c r="A15" s="999"/>
      <c r="B15" s="999"/>
      <c r="C15" s="999"/>
      <c r="D15" s="999"/>
      <c r="E15" s="999"/>
      <c r="F15" s="999"/>
      <c r="G15" s="999"/>
      <c r="H15" s="1000"/>
      <c r="I15" s="999"/>
      <c r="J15" s="999"/>
    </row>
    <row r="16" spans="1:13" ht="19.5">
      <c r="A16" s="999" t="s">
        <v>2446</v>
      </c>
      <c r="B16" s="999"/>
      <c r="C16" s="999"/>
      <c r="D16" s="999"/>
      <c r="E16" s="999"/>
      <c r="F16" s="999"/>
      <c r="G16" s="999"/>
      <c r="H16" s="1000"/>
      <c r="I16" s="999"/>
      <c r="J16" s="999"/>
    </row>
    <row r="17" spans="1:10">
      <c r="A17" s="999"/>
      <c r="B17" s="999"/>
      <c r="C17" s="999"/>
      <c r="D17" s="999"/>
      <c r="E17" s="999"/>
      <c r="F17" s="999"/>
      <c r="G17" s="999"/>
      <c r="H17" s="1000"/>
      <c r="I17" s="999"/>
      <c r="J17" s="999"/>
    </row>
    <row r="18" spans="1:10">
      <c r="A18" s="999" t="s">
        <v>2442</v>
      </c>
      <c r="B18" s="999"/>
      <c r="C18" s="999"/>
      <c r="D18" s="999"/>
      <c r="E18" s="999"/>
      <c r="F18" s="999"/>
      <c r="G18" s="999"/>
      <c r="H18" s="1000"/>
      <c r="I18" s="999"/>
      <c r="J18" s="999"/>
    </row>
    <row r="19" spans="1:10" ht="19.5">
      <c r="A19" s="999" t="s">
        <v>2447</v>
      </c>
      <c r="B19" s="999"/>
      <c r="C19" s="999" t="s">
        <v>2448</v>
      </c>
      <c r="D19" s="999"/>
      <c r="E19" s="999"/>
      <c r="F19" s="999"/>
      <c r="G19" s="999"/>
      <c r="H19" s="1000"/>
      <c r="I19" s="999"/>
      <c r="J19" s="999"/>
    </row>
    <row r="20" spans="1:10">
      <c r="A20" s="999"/>
      <c r="B20" s="1243" t="s">
        <v>2443</v>
      </c>
      <c r="C20" s="1243"/>
      <c r="D20" s="1243"/>
      <c r="E20" s="1243"/>
      <c r="F20" s="1243"/>
      <c r="G20" s="1243"/>
      <c r="H20" s="1243"/>
      <c r="I20" s="999"/>
      <c r="J20" s="999"/>
    </row>
    <row r="21" spans="1:10">
      <c r="A21" s="1005"/>
      <c r="B21" s="1005"/>
      <c r="C21" s="1005"/>
      <c r="D21" s="1005"/>
      <c r="E21" s="1005"/>
      <c r="F21" s="1005"/>
      <c r="G21" s="1005"/>
      <c r="H21" s="1005"/>
      <c r="I21" s="1005"/>
      <c r="J21" s="1005"/>
    </row>
    <row r="22" spans="1:10" ht="52.5">
      <c r="A22" s="1005"/>
      <c r="B22" s="1006" t="s">
        <v>1866</v>
      </c>
      <c r="C22" s="1006" t="s">
        <v>2449</v>
      </c>
      <c r="D22" s="1006" t="s">
        <v>2450</v>
      </c>
      <c r="E22" s="1006" t="s">
        <v>1775</v>
      </c>
      <c r="F22" s="1007" t="s">
        <v>2451</v>
      </c>
      <c r="G22" s="1007" t="s">
        <v>4</v>
      </c>
      <c r="H22" s="1007" t="s">
        <v>2452</v>
      </c>
      <c r="I22" s="1005"/>
      <c r="J22" s="1005"/>
    </row>
    <row r="23" spans="1:10">
      <c r="A23" s="1005"/>
      <c r="B23" s="1008">
        <v>20</v>
      </c>
      <c r="C23" s="1008">
        <v>150</v>
      </c>
      <c r="D23" s="1009">
        <v>1</v>
      </c>
      <c r="E23" s="1010">
        <v>1</v>
      </c>
      <c r="F23" s="1011">
        <f>0.4+(D23-0.4)/SQRT(E23)</f>
        <v>1</v>
      </c>
      <c r="G23" s="1010">
        <f>IF(C23&lt;=150,1.3,1.2)</f>
        <v>1.3</v>
      </c>
      <c r="H23" s="1012">
        <f>C23*F23*G23</f>
        <v>195</v>
      </c>
      <c r="I23" s="1005"/>
      <c r="J23" s="1005"/>
    </row>
    <row r="24" spans="1:10">
      <c r="A24" s="1005"/>
      <c r="B24" s="1008">
        <v>19</v>
      </c>
      <c r="C24" s="1008">
        <v>150</v>
      </c>
      <c r="D24" s="1009">
        <v>1</v>
      </c>
      <c r="E24" s="1010">
        <v>2</v>
      </c>
      <c r="F24" s="1011">
        <f t="shared" ref="F24:F40" si="0">0.4+(D24-0.4)/SQRT(E24)</f>
        <v>0.82426406871192848</v>
      </c>
      <c r="G24" s="1010">
        <f t="shared" ref="G24:G40" si="1">IF(C24&lt;=150,1.3,1.2)</f>
        <v>1.3</v>
      </c>
      <c r="H24" s="1012">
        <f t="shared" ref="H24:H40" si="2">C24*F24*G24</f>
        <v>160.73149339882605</v>
      </c>
      <c r="I24" s="1005"/>
      <c r="J24" s="1005"/>
    </row>
    <row r="25" spans="1:10">
      <c r="A25" s="1005"/>
      <c r="B25" s="1008">
        <v>18</v>
      </c>
      <c r="C25" s="1008">
        <v>150</v>
      </c>
      <c r="D25" s="1009">
        <v>1</v>
      </c>
      <c r="E25" s="1010">
        <v>3</v>
      </c>
      <c r="F25" s="1011">
        <f t="shared" si="0"/>
        <v>0.74641016151377548</v>
      </c>
      <c r="G25" s="1010">
        <f t="shared" si="1"/>
        <v>1.3</v>
      </c>
      <c r="H25" s="1012">
        <f t="shared" si="2"/>
        <v>145.54998149518622</v>
      </c>
      <c r="I25" s="1005"/>
      <c r="J25" s="1005"/>
    </row>
    <row r="26" spans="1:10">
      <c r="A26" s="1005"/>
      <c r="B26" s="1008">
        <v>17</v>
      </c>
      <c r="C26" s="1008">
        <v>150</v>
      </c>
      <c r="D26" s="1009">
        <v>1</v>
      </c>
      <c r="E26" s="1010">
        <v>4</v>
      </c>
      <c r="F26" s="1011">
        <f t="shared" si="0"/>
        <v>0.7</v>
      </c>
      <c r="G26" s="1010">
        <f t="shared" si="1"/>
        <v>1.3</v>
      </c>
      <c r="H26" s="1012">
        <f t="shared" si="2"/>
        <v>136.5</v>
      </c>
      <c r="I26" s="1005"/>
      <c r="J26" s="1005"/>
    </row>
    <row r="27" spans="1:10">
      <c r="A27" s="1005"/>
      <c r="B27" s="1010">
        <v>16</v>
      </c>
      <c r="C27" s="1008">
        <v>150</v>
      </c>
      <c r="D27" s="1009">
        <v>1</v>
      </c>
      <c r="E27" s="1010">
        <v>5</v>
      </c>
      <c r="F27" s="1011">
        <f t="shared" si="0"/>
        <v>0.66832815729997475</v>
      </c>
      <c r="G27" s="1010">
        <f t="shared" si="1"/>
        <v>1.3</v>
      </c>
      <c r="H27" s="1012">
        <f t="shared" si="2"/>
        <v>130.32399067349508</v>
      </c>
      <c r="I27" s="1005"/>
      <c r="J27" s="1005"/>
    </row>
    <row r="28" spans="1:10">
      <c r="A28" s="1005"/>
      <c r="B28" s="1010">
        <v>15</v>
      </c>
      <c r="C28" s="1008">
        <v>150</v>
      </c>
      <c r="D28" s="1009">
        <v>1</v>
      </c>
      <c r="E28" s="1010">
        <v>6</v>
      </c>
      <c r="F28" s="1011">
        <f t="shared" si="0"/>
        <v>0.64494897427831788</v>
      </c>
      <c r="G28" s="1010">
        <f t="shared" si="1"/>
        <v>1.3</v>
      </c>
      <c r="H28" s="1012">
        <f t="shared" si="2"/>
        <v>125.76504998427198</v>
      </c>
      <c r="I28" s="1005"/>
      <c r="J28" s="1005"/>
    </row>
    <row r="29" spans="1:10">
      <c r="A29" s="1005"/>
      <c r="B29" s="1010">
        <v>14</v>
      </c>
      <c r="C29" s="1008">
        <v>150</v>
      </c>
      <c r="D29" s="1009">
        <v>1</v>
      </c>
      <c r="E29" s="1010">
        <v>7</v>
      </c>
      <c r="F29" s="1011">
        <f t="shared" si="0"/>
        <v>0.62677868380553636</v>
      </c>
      <c r="G29" s="1010">
        <f t="shared" si="1"/>
        <v>1.3</v>
      </c>
      <c r="H29" s="1012">
        <f t="shared" si="2"/>
        <v>122.22184334207959</v>
      </c>
      <c r="I29" s="1005"/>
      <c r="J29" s="1005"/>
    </row>
    <row r="30" spans="1:10">
      <c r="A30" s="1005"/>
      <c r="B30" s="1010">
        <v>13</v>
      </c>
      <c r="C30" s="1008">
        <v>150</v>
      </c>
      <c r="D30" s="1009">
        <v>1</v>
      </c>
      <c r="E30" s="1010">
        <v>8</v>
      </c>
      <c r="F30" s="1011">
        <f t="shared" si="0"/>
        <v>0.61213203435596419</v>
      </c>
      <c r="G30" s="1010">
        <f t="shared" si="1"/>
        <v>1.3</v>
      </c>
      <c r="H30" s="1012">
        <f t="shared" si="2"/>
        <v>119.36574669941302</v>
      </c>
      <c r="I30" s="1005"/>
      <c r="J30" s="1005"/>
    </row>
    <row r="31" spans="1:10">
      <c r="A31" s="1005"/>
      <c r="B31" s="1010">
        <v>12</v>
      </c>
      <c r="C31" s="1008">
        <v>150</v>
      </c>
      <c r="D31" s="1009">
        <v>1</v>
      </c>
      <c r="E31" s="1010">
        <v>9</v>
      </c>
      <c r="F31" s="1011">
        <f t="shared" si="0"/>
        <v>0.6</v>
      </c>
      <c r="G31" s="1010">
        <f t="shared" si="1"/>
        <v>1.3</v>
      </c>
      <c r="H31" s="1012">
        <f t="shared" si="2"/>
        <v>117</v>
      </c>
      <c r="I31" s="1005"/>
      <c r="J31" s="1005"/>
    </row>
    <row r="32" spans="1:10">
      <c r="A32" s="1005"/>
      <c r="B32" s="1010">
        <v>11</v>
      </c>
      <c r="C32" s="1008">
        <v>150</v>
      </c>
      <c r="D32" s="1009">
        <v>1</v>
      </c>
      <c r="E32" s="1010">
        <v>10</v>
      </c>
      <c r="F32" s="1011">
        <f t="shared" si="0"/>
        <v>0.5897366596101028</v>
      </c>
      <c r="G32" s="1010">
        <f t="shared" si="1"/>
        <v>1.3</v>
      </c>
      <c r="H32" s="1012">
        <f t="shared" si="2"/>
        <v>114.99864862397006</v>
      </c>
      <c r="I32" s="1005"/>
      <c r="J32" s="1005"/>
    </row>
    <row r="33" spans="1:10">
      <c r="A33" s="1005"/>
      <c r="B33" s="1010">
        <v>10</v>
      </c>
      <c r="C33" s="1008">
        <v>150</v>
      </c>
      <c r="D33" s="1009">
        <v>1</v>
      </c>
      <c r="E33" s="1010">
        <v>11</v>
      </c>
      <c r="F33" s="1011">
        <f t="shared" si="0"/>
        <v>0.58090680674665818</v>
      </c>
      <c r="G33" s="1010">
        <f t="shared" si="1"/>
        <v>1.3</v>
      </c>
      <c r="H33" s="1012">
        <f t="shared" si="2"/>
        <v>113.27682731559834</v>
      </c>
      <c r="I33" s="1005"/>
      <c r="J33" s="1005"/>
    </row>
    <row r="34" spans="1:10">
      <c r="A34" s="1005"/>
      <c r="B34" s="1010">
        <v>9</v>
      </c>
      <c r="C34" s="1008">
        <v>150</v>
      </c>
      <c r="D34" s="1009">
        <v>1</v>
      </c>
      <c r="E34" s="1010">
        <v>12</v>
      </c>
      <c r="F34" s="1011">
        <f t="shared" si="0"/>
        <v>0.57320508075688781</v>
      </c>
      <c r="G34" s="1010">
        <f t="shared" si="1"/>
        <v>1.3</v>
      </c>
      <c r="H34" s="1012">
        <f t="shared" si="2"/>
        <v>111.77499074759314</v>
      </c>
      <c r="I34" s="1005"/>
      <c r="J34" s="1005"/>
    </row>
    <row r="35" spans="1:10">
      <c r="A35" s="1005"/>
      <c r="B35" s="1013">
        <v>8</v>
      </c>
      <c r="C35" s="1008">
        <v>150</v>
      </c>
      <c r="D35" s="1009">
        <v>1</v>
      </c>
      <c r="E35" s="1010">
        <v>13</v>
      </c>
      <c r="F35" s="1011">
        <f t="shared" si="0"/>
        <v>0.56641005886756879</v>
      </c>
      <c r="G35" s="1010">
        <f t="shared" si="1"/>
        <v>1.3</v>
      </c>
      <c r="H35" s="1012">
        <f t="shared" si="2"/>
        <v>110.44996147917591</v>
      </c>
      <c r="I35" s="1005"/>
      <c r="J35" s="1005"/>
    </row>
    <row r="36" spans="1:10">
      <c r="A36" s="1005"/>
      <c r="B36" s="1013">
        <v>7</v>
      </c>
      <c r="C36" s="1008">
        <v>150</v>
      </c>
      <c r="D36" s="1009">
        <v>1</v>
      </c>
      <c r="E36" s="1010">
        <v>14</v>
      </c>
      <c r="F36" s="1011">
        <f t="shared" si="0"/>
        <v>0.5603567451474547</v>
      </c>
      <c r="G36" s="1010">
        <f t="shared" si="1"/>
        <v>1.3</v>
      </c>
      <c r="H36" s="1012">
        <f t="shared" si="2"/>
        <v>109.26956530375367</v>
      </c>
      <c r="I36" s="1005"/>
      <c r="J36" s="1005"/>
    </row>
    <row r="37" spans="1:10">
      <c r="A37" s="1005"/>
      <c r="B37" s="1013">
        <v>6</v>
      </c>
      <c r="C37" s="1008">
        <v>150</v>
      </c>
      <c r="D37" s="1009">
        <v>1</v>
      </c>
      <c r="E37" s="1010">
        <v>15</v>
      </c>
      <c r="F37" s="1011">
        <f t="shared" si="0"/>
        <v>0.55491933384829673</v>
      </c>
      <c r="G37" s="1010">
        <f t="shared" si="1"/>
        <v>1.3</v>
      </c>
      <c r="H37" s="1012">
        <f t="shared" si="2"/>
        <v>108.20927010041785</v>
      </c>
      <c r="I37" s="1005"/>
      <c r="J37" s="1005"/>
    </row>
    <row r="38" spans="1:10">
      <c r="A38" s="1005"/>
      <c r="B38" s="1013">
        <v>5</v>
      </c>
      <c r="C38" s="1008">
        <v>150</v>
      </c>
      <c r="D38" s="1009">
        <v>1</v>
      </c>
      <c r="E38" s="1010">
        <v>16</v>
      </c>
      <c r="F38" s="1011">
        <f t="shared" si="0"/>
        <v>0.55000000000000004</v>
      </c>
      <c r="G38" s="1010">
        <f t="shared" si="1"/>
        <v>1.3</v>
      </c>
      <c r="H38" s="1012">
        <f t="shared" si="2"/>
        <v>107.25</v>
      </c>
      <c r="I38" s="1005"/>
      <c r="J38" s="1005"/>
    </row>
    <row r="39" spans="1:10">
      <c r="A39" s="1005"/>
      <c r="B39" s="1013">
        <v>4</v>
      </c>
      <c r="C39" s="1008">
        <v>150</v>
      </c>
      <c r="D39" s="1009">
        <v>1</v>
      </c>
      <c r="E39" s="1010">
        <v>17</v>
      </c>
      <c r="F39" s="1011">
        <f t="shared" si="0"/>
        <v>0.54552137502179976</v>
      </c>
      <c r="G39" s="1010">
        <f t="shared" si="1"/>
        <v>1.3</v>
      </c>
      <c r="H39" s="1012">
        <f t="shared" si="2"/>
        <v>106.37666812925096</v>
      </c>
      <c r="I39" s="1005"/>
      <c r="J39" s="1005"/>
    </row>
    <row r="40" spans="1:10">
      <c r="A40" s="1005"/>
      <c r="B40" s="1013">
        <v>3</v>
      </c>
      <c r="C40" s="1008">
        <v>150</v>
      </c>
      <c r="D40" s="1009">
        <v>1</v>
      </c>
      <c r="E40" s="1010">
        <v>18</v>
      </c>
      <c r="F40" s="1011">
        <f t="shared" si="0"/>
        <v>0.54142135623730958</v>
      </c>
      <c r="G40" s="1010">
        <f t="shared" si="1"/>
        <v>1.3</v>
      </c>
      <c r="H40" s="1012">
        <f t="shared" si="2"/>
        <v>105.57716446627538</v>
      </c>
      <c r="I40" s="1005"/>
      <c r="J40" s="1005"/>
    </row>
    <row r="41" spans="1:10">
      <c r="A41" s="1005"/>
      <c r="B41" s="1014"/>
      <c r="C41" s="999"/>
      <c r="D41" s="1015"/>
      <c r="E41" s="1016"/>
      <c r="F41" s="1017"/>
      <c r="G41" s="1017"/>
      <c r="H41" s="1018"/>
      <c r="I41" s="1019"/>
      <c r="J41" s="1005"/>
    </row>
    <row r="42" spans="1:10">
      <c r="A42" s="1005"/>
      <c r="B42" s="1014"/>
      <c r="C42" s="999"/>
      <c r="D42" s="1015"/>
      <c r="E42" s="1016"/>
      <c r="F42" s="1017"/>
      <c r="G42" s="1017"/>
      <c r="H42" s="1018"/>
      <c r="I42" s="1019"/>
      <c r="J42" s="1005"/>
    </row>
  </sheetData>
  <mergeCells count="1">
    <mergeCell ref="B20:H20"/>
  </mergeCells>
  <printOptions gridLines="1"/>
  <pageMargins left="1" right="0.5" top="0.5" bottom="0.5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5073" r:id="rId4">
          <objectPr defaultSize="0" r:id="rId5">
            <anchor moveWithCells="1">
              <from>
                <xdr:col>1</xdr:col>
                <xdr:colOff>0</xdr:colOff>
                <xdr:row>6</xdr:row>
                <xdr:rowOff>19050</xdr:rowOff>
              </from>
              <to>
                <xdr:col>2</xdr:col>
                <xdr:colOff>800100</xdr:colOff>
                <xdr:row>8</xdr:row>
                <xdr:rowOff>38100</xdr:rowOff>
              </to>
            </anchor>
          </objectPr>
        </oleObject>
      </mc:Choice>
      <mc:Fallback>
        <oleObject progId="Equation.3" shapeId="515073" r:id="rId4"/>
      </mc:Fallback>
    </mc:AlternateContent>
    <mc:AlternateContent xmlns:mc="http://schemas.openxmlformats.org/markup-compatibility/2006">
      <mc:Choice Requires="x14">
        <oleObject progId="Equation.3" shapeId="515074" r:id="rId6">
          <objectPr defaultSize="0" r:id="rId7">
            <anchor moveWithCells="1">
              <from>
                <xdr:col>1</xdr:col>
                <xdr:colOff>0</xdr:colOff>
                <xdr:row>9</xdr:row>
                <xdr:rowOff>38100</xdr:rowOff>
              </from>
              <to>
                <xdr:col>2</xdr:col>
                <xdr:colOff>828675</xdr:colOff>
                <xdr:row>11</xdr:row>
                <xdr:rowOff>47625</xdr:rowOff>
              </to>
            </anchor>
          </objectPr>
        </oleObject>
      </mc:Choice>
      <mc:Fallback>
        <oleObject progId="Equation.3" shapeId="515074" r:id="rId6"/>
      </mc:Fallback>
    </mc:AlternateContent>
    <mc:AlternateContent xmlns:mc="http://schemas.openxmlformats.org/markup-compatibility/2006">
      <mc:Choice Requires="x14">
        <oleObject progId="Equation.3" shapeId="515075" r:id="rId8">
          <objectPr defaultSize="0" r:id="rId9">
            <anchor moveWithCells="1">
              <from>
                <xdr:col>4</xdr:col>
                <xdr:colOff>314325</xdr:colOff>
                <xdr:row>12</xdr:row>
                <xdr:rowOff>114300</xdr:rowOff>
              </from>
              <to>
                <xdr:col>6</xdr:col>
                <xdr:colOff>381000</xdr:colOff>
                <xdr:row>14</xdr:row>
                <xdr:rowOff>133350</xdr:rowOff>
              </to>
            </anchor>
          </objectPr>
        </oleObject>
      </mc:Choice>
      <mc:Fallback>
        <oleObject progId="Equation.3" shapeId="515075" r:id="rId8"/>
      </mc:Fallback>
    </mc:AlternateContent>
    <mc:AlternateContent xmlns:mc="http://schemas.openxmlformats.org/markup-compatibility/2006">
      <mc:Choice Requires="x14">
        <oleObject progId="Equation.3" shapeId="515076" r:id="rId10">
          <objectPr defaultSize="0" r:id="rId11">
            <anchor moveWithCells="1">
              <from>
                <xdr:col>4</xdr:col>
                <xdr:colOff>285750</xdr:colOff>
                <xdr:row>14</xdr:row>
                <xdr:rowOff>152400</xdr:rowOff>
              </from>
              <to>
                <xdr:col>6</xdr:col>
                <xdr:colOff>390525</xdr:colOff>
                <xdr:row>16</xdr:row>
                <xdr:rowOff>171450</xdr:rowOff>
              </to>
            </anchor>
          </objectPr>
        </oleObject>
      </mc:Choice>
      <mc:Fallback>
        <oleObject progId="Equation.3" shapeId="515076" r:id="rId10"/>
      </mc:Fallback>
    </mc:AlternateContent>
  </oleObjec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A1:G23"/>
  <sheetViews>
    <sheetView workbookViewId="0">
      <selection activeCell="J20" sqref="J20"/>
    </sheetView>
  </sheetViews>
  <sheetFormatPr defaultColWidth="9" defaultRowHeight="15.75"/>
  <cols>
    <col min="1" max="1" width="9" style="954"/>
    <col min="2" max="2" width="11.21875" style="954" customWidth="1"/>
    <col min="3" max="3" width="12.109375" style="954" customWidth="1"/>
    <col min="4" max="4" width="9" style="954"/>
    <col min="5" max="6" width="14" style="954" customWidth="1"/>
    <col min="7" max="7" width="18.33203125" style="954" customWidth="1"/>
    <col min="8" max="16384" width="9" style="954"/>
  </cols>
  <sheetData>
    <row r="1" spans="1:7">
      <c r="A1" s="1244" t="s">
        <v>2378</v>
      </c>
      <c r="B1" s="1244"/>
      <c r="C1" s="1244"/>
      <c r="D1" s="1244"/>
      <c r="E1" s="1244"/>
      <c r="F1" s="1244"/>
      <c r="G1" s="1244"/>
    </row>
    <row r="2" spans="1:7" ht="31.5">
      <c r="A2" s="262" t="s">
        <v>170</v>
      </c>
      <c r="B2" s="262" t="s">
        <v>2379</v>
      </c>
      <c r="C2" s="262" t="s">
        <v>2380</v>
      </c>
      <c r="D2" s="262" t="s">
        <v>1796</v>
      </c>
      <c r="E2" s="955" t="s">
        <v>2381</v>
      </c>
      <c r="F2" s="955" t="s">
        <v>2382</v>
      </c>
      <c r="G2" s="955" t="s">
        <v>2383</v>
      </c>
    </row>
    <row r="3" spans="1:7">
      <c r="A3" s="262">
        <v>1</v>
      </c>
      <c r="B3" s="262">
        <v>2.71</v>
      </c>
      <c r="C3" s="262">
        <f>2.23+0.325</f>
        <v>2.5550000000000002</v>
      </c>
      <c r="D3" s="262">
        <f>3.3-0.15</f>
        <v>3.15</v>
      </c>
      <c r="E3" s="262">
        <v>180</v>
      </c>
      <c r="F3" s="262">
        <v>140</v>
      </c>
      <c r="G3" s="262">
        <f>B3*D3*E3+C3*D3*F3</f>
        <v>2663.3249999999998</v>
      </c>
    </row>
    <row r="4" spans="1:7">
      <c r="A4" s="262">
        <v>2</v>
      </c>
      <c r="B4" s="262">
        <v>1.605</v>
      </c>
      <c r="C4" s="262">
        <v>2.29</v>
      </c>
      <c r="D4" s="262">
        <f>3.3-0.15</f>
        <v>3.15</v>
      </c>
      <c r="E4" s="262">
        <v>180</v>
      </c>
      <c r="F4" s="262">
        <v>140</v>
      </c>
      <c r="G4" s="262">
        <f t="shared" ref="G4:G16" si="0">B4*D4*E4+C4*D4*F4</f>
        <v>1919.925</v>
      </c>
    </row>
    <row r="5" spans="1:7">
      <c r="A5" s="262">
        <v>3</v>
      </c>
      <c r="B5" s="262">
        <v>1.2</v>
      </c>
      <c r="C5" s="262">
        <f>0.92+0.92+0.92+0.79+0.79</f>
        <v>4.34</v>
      </c>
      <c r="D5" s="262">
        <f>3.3-0.15-2.2</f>
        <v>0.94999999999999973</v>
      </c>
      <c r="E5" s="262">
        <v>180</v>
      </c>
      <c r="F5" s="262">
        <v>140</v>
      </c>
      <c r="G5" s="262">
        <f t="shared" si="0"/>
        <v>782.41999999999973</v>
      </c>
    </row>
    <row r="6" spans="1:7">
      <c r="A6" s="262">
        <v>4</v>
      </c>
      <c r="B6" s="262">
        <v>2.0499999999999998</v>
      </c>
      <c r="C6" s="262">
        <v>2.14</v>
      </c>
      <c r="D6" s="262">
        <f t="shared" ref="D6:D12" si="1">3.3-0.15</f>
        <v>3.15</v>
      </c>
      <c r="E6" s="262">
        <v>180</v>
      </c>
      <c r="F6" s="262">
        <v>140</v>
      </c>
      <c r="G6" s="262">
        <f t="shared" si="0"/>
        <v>2106.09</v>
      </c>
    </row>
    <row r="7" spans="1:7">
      <c r="A7" s="262">
        <v>5</v>
      </c>
      <c r="B7" s="262"/>
      <c r="C7" s="262">
        <v>3.06</v>
      </c>
      <c r="D7" s="262">
        <f t="shared" si="1"/>
        <v>3.15</v>
      </c>
      <c r="E7" s="262">
        <v>180</v>
      </c>
      <c r="F7" s="262">
        <v>140</v>
      </c>
      <c r="G7" s="262">
        <f t="shared" si="0"/>
        <v>1349.4599999999998</v>
      </c>
    </row>
    <row r="8" spans="1:7">
      <c r="A8" s="262">
        <v>6</v>
      </c>
      <c r="B8" s="262"/>
      <c r="C8" s="262">
        <v>2.04</v>
      </c>
      <c r="D8" s="262">
        <f t="shared" si="1"/>
        <v>3.15</v>
      </c>
      <c r="E8" s="262">
        <v>180</v>
      </c>
      <c r="F8" s="262">
        <v>140</v>
      </c>
      <c r="G8" s="262">
        <f t="shared" si="0"/>
        <v>899.64</v>
      </c>
    </row>
    <row r="9" spans="1:7">
      <c r="A9" s="262">
        <v>7</v>
      </c>
      <c r="B9" s="262"/>
      <c r="C9" s="262">
        <v>1.97</v>
      </c>
      <c r="D9" s="262">
        <f t="shared" si="1"/>
        <v>3.15</v>
      </c>
      <c r="E9" s="262">
        <v>180</v>
      </c>
      <c r="F9" s="262">
        <v>140</v>
      </c>
      <c r="G9" s="262">
        <f t="shared" si="0"/>
        <v>868.77</v>
      </c>
    </row>
    <row r="10" spans="1:7">
      <c r="A10" s="262">
        <v>8</v>
      </c>
      <c r="B10" s="262"/>
      <c r="C10" s="262">
        <f>0.99*2+0.55</f>
        <v>2.5300000000000002</v>
      </c>
      <c r="D10" s="262">
        <f t="shared" si="1"/>
        <v>3.15</v>
      </c>
      <c r="E10" s="262">
        <v>180</v>
      </c>
      <c r="F10" s="262">
        <v>140</v>
      </c>
      <c r="G10" s="262">
        <f t="shared" si="0"/>
        <v>1115.73</v>
      </c>
    </row>
    <row r="11" spans="1:7">
      <c r="A11" s="262">
        <v>9</v>
      </c>
      <c r="B11" s="262"/>
      <c r="C11" s="262">
        <v>1.01</v>
      </c>
      <c r="D11" s="262">
        <f t="shared" si="1"/>
        <v>3.15</v>
      </c>
      <c r="E11" s="262">
        <v>180</v>
      </c>
      <c r="F11" s="262">
        <v>140</v>
      </c>
      <c r="G11" s="262">
        <f t="shared" si="0"/>
        <v>445.40999999999997</v>
      </c>
    </row>
    <row r="12" spans="1:7">
      <c r="A12" s="262">
        <v>10</v>
      </c>
      <c r="B12" s="262"/>
      <c r="C12" s="262">
        <f>0.32+0.35</f>
        <v>0.66999999999999993</v>
      </c>
      <c r="D12" s="262">
        <f t="shared" si="1"/>
        <v>3.15</v>
      </c>
      <c r="E12" s="262">
        <v>180</v>
      </c>
      <c r="F12" s="262">
        <v>140</v>
      </c>
      <c r="G12" s="262">
        <f t="shared" si="0"/>
        <v>295.46999999999997</v>
      </c>
    </row>
    <row r="13" spans="1:7">
      <c r="A13" s="262">
        <v>11</v>
      </c>
      <c r="B13" s="262"/>
      <c r="C13" s="262">
        <v>2.5499999999999998</v>
      </c>
      <c r="D13" s="262">
        <f>3.3-0.15-1.55</f>
        <v>1.5999999999999999</v>
      </c>
      <c r="E13" s="262">
        <v>180</v>
      </c>
      <c r="F13" s="262">
        <v>140</v>
      </c>
      <c r="G13" s="262">
        <f t="shared" si="0"/>
        <v>571.19999999999993</v>
      </c>
    </row>
    <row r="14" spans="1:7">
      <c r="A14" s="262">
        <v>12</v>
      </c>
      <c r="B14" s="262">
        <f>0.73+0.54</f>
        <v>1.27</v>
      </c>
      <c r="C14" s="262"/>
      <c r="D14" s="262">
        <f>3.3-0.45</f>
        <v>2.8499999999999996</v>
      </c>
      <c r="E14" s="262">
        <v>375</v>
      </c>
      <c r="F14" s="262">
        <v>140</v>
      </c>
      <c r="G14" s="262">
        <f t="shared" si="0"/>
        <v>1357.3124999999998</v>
      </c>
    </row>
    <row r="15" spans="1:7">
      <c r="A15" s="262">
        <v>13</v>
      </c>
      <c r="B15" s="262">
        <v>0.27500000000000002</v>
      </c>
      <c r="C15" s="262"/>
      <c r="D15" s="262">
        <f>3.3-0.45</f>
        <v>2.8499999999999996</v>
      </c>
      <c r="E15" s="262">
        <v>375</v>
      </c>
      <c r="F15" s="262">
        <v>140</v>
      </c>
      <c r="G15" s="262">
        <f t="shared" si="0"/>
        <v>293.90625</v>
      </c>
    </row>
    <row r="16" spans="1:7">
      <c r="A16" s="262">
        <v>14</v>
      </c>
      <c r="B16" s="262">
        <f>2+2</f>
        <v>4</v>
      </c>
      <c r="C16" s="262"/>
      <c r="D16" s="262">
        <f>3.3-0.45-1.6</f>
        <v>1.2499999999999996</v>
      </c>
      <c r="E16" s="262">
        <v>375</v>
      </c>
      <c r="F16" s="262">
        <v>140</v>
      </c>
      <c r="G16" s="262">
        <f t="shared" si="0"/>
        <v>1874.9999999999993</v>
      </c>
    </row>
    <row r="17" spans="1:7">
      <c r="A17" s="262"/>
      <c r="B17" s="262"/>
      <c r="C17" s="262"/>
      <c r="D17" s="262"/>
      <c r="E17" s="262"/>
      <c r="F17" s="262"/>
      <c r="G17" s="262"/>
    </row>
    <row r="18" spans="1:7">
      <c r="A18" s="262"/>
      <c r="B18" s="262"/>
      <c r="C18" s="262"/>
      <c r="D18" s="262"/>
      <c r="E18" s="262"/>
      <c r="F18" s="262"/>
      <c r="G18" s="262"/>
    </row>
    <row r="19" spans="1:7">
      <c r="A19" s="262"/>
      <c r="B19" s="262"/>
      <c r="C19" s="262"/>
      <c r="D19" s="262"/>
      <c r="E19" s="262"/>
      <c r="F19" s="262"/>
      <c r="G19" s="262"/>
    </row>
    <row r="20" spans="1:7">
      <c r="G20" s="956">
        <f>SUM(G3:G19)</f>
        <v>16543.658749999999</v>
      </c>
    </row>
    <row r="21" spans="1:7">
      <c r="E21" s="954" t="s">
        <v>2384</v>
      </c>
      <c r="G21" s="956">
        <f>7.55*9.275</f>
        <v>70.026250000000005</v>
      </c>
    </row>
    <row r="22" spans="1:7">
      <c r="G22" s="957">
        <f>G20/G21</f>
        <v>236.2493886221238</v>
      </c>
    </row>
    <row r="23" spans="1:7">
      <c r="G23" s="954">
        <f>+G22*1.1</f>
        <v>259.87432748433622</v>
      </c>
    </row>
  </sheetData>
  <mergeCells count="1">
    <mergeCell ref="A1:G1"/>
  </mergeCells>
  <pageMargins left="0.7" right="0.7" top="0.75" bottom="0.75" header="0.3" footer="0.3"/>
  <pageSetup paperSize="9" orientation="portrait" copies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98"/>
  <sheetViews>
    <sheetView view="pageBreakPreview" topLeftCell="AD11" zoomScale="91" zoomScaleNormal="115" zoomScaleSheetLayoutView="91" workbookViewId="0">
      <selection activeCell="AG33" sqref="AG33"/>
    </sheetView>
  </sheetViews>
  <sheetFormatPr defaultColWidth="9" defaultRowHeight="19.899999999999999" customHeight="1"/>
  <cols>
    <col min="1" max="1" width="3.88671875" style="2" hidden="1" customWidth="1"/>
    <col min="2" max="18" width="9" style="95" hidden="1" customWidth="1"/>
    <col min="19" max="19" width="5.77734375" style="2" hidden="1" customWidth="1"/>
    <col min="20" max="20" width="35.88671875" style="95" hidden="1" customWidth="1"/>
    <col min="21" max="25" width="9" style="95" hidden="1" customWidth="1"/>
    <col min="26" max="26" width="2.77734375" style="95" hidden="1" customWidth="1"/>
    <col min="27" max="27" width="4.88671875" style="95" hidden="1" customWidth="1"/>
    <col min="28" max="29" width="5.33203125" style="95" hidden="1" customWidth="1"/>
    <col min="30" max="30" width="5.77734375" style="95" customWidth="1"/>
    <col min="31" max="31" width="31.88671875" style="95" customWidth="1"/>
    <col min="32" max="32" width="11.33203125" style="95" customWidth="1"/>
    <col min="33" max="33" width="13.77734375" style="95" customWidth="1"/>
    <col min="34" max="34" width="42.88671875" style="95" customWidth="1"/>
    <col min="35" max="35" width="13.77734375" style="95" customWidth="1"/>
    <col min="36" max="36" width="17.88671875" style="95" customWidth="1"/>
    <col min="37" max="37" width="19" style="95" customWidth="1"/>
    <col min="38" max="39" width="9" style="95" customWidth="1"/>
    <col min="40" max="40" width="5.77734375" style="4" customWidth="1"/>
    <col min="41" max="41" width="38.33203125" style="3" customWidth="1"/>
    <col min="42" max="42" width="32.21875" style="3" customWidth="1"/>
    <col min="43" max="43" width="12.109375" style="4" customWidth="1"/>
    <col min="44" max="44" width="12.88671875" style="4" customWidth="1"/>
    <col min="45" max="45" width="9.77734375" style="3" customWidth="1"/>
    <col min="46" max="46" width="37.21875" style="3" customWidth="1"/>
    <col min="47" max="47" width="40.6640625" style="3" customWidth="1"/>
    <col min="48" max="48" width="70.109375" style="3" customWidth="1"/>
    <col min="49" max="49" width="79.21875" style="3" customWidth="1"/>
    <col min="50" max="247" width="5.77734375" style="3" customWidth="1"/>
    <col min="248" max="16384" width="9" style="3"/>
  </cols>
  <sheetData>
    <row r="1" spans="31:49" ht="19.899999999999999" customHeight="1">
      <c r="AE1" s="460" t="s">
        <v>2066</v>
      </c>
      <c r="AF1" s="337"/>
      <c r="AG1" s="337"/>
      <c r="AH1" s="337"/>
      <c r="AI1" s="337"/>
    </row>
    <row r="2" spans="31:49" ht="19.899999999999999" customHeight="1">
      <c r="AI2" s="841" t="s">
        <v>2048</v>
      </c>
      <c r="AJ2" s="338" t="s">
        <v>1848</v>
      </c>
      <c r="AK2" s="338" t="s">
        <v>1865</v>
      </c>
      <c r="AN2" s="8" t="s">
        <v>14</v>
      </c>
      <c r="AO2" s="8" t="s">
        <v>92</v>
      </c>
      <c r="AP2" s="8" t="s">
        <v>93</v>
      </c>
      <c r="AQ2" s="8" t="s">
        <v>94</v>
      </c>
      <c r="AR2" s="8" t="s">
        <v>95</v>
      </c>
      <c r="AT2" s="8" t="s">
        <v>92</v>
      </c>
      <c r="AU2" s="335" t="s">
        <v>1673</v>
      </c>
      <c r="AV2" s="335" t="s">
        <v>1744</v>
      </c>
      <c r="AW2" s="335" t="s">
        <v>1674</v>
      </c>
    </row>
    <row r="3" spans="31:49" ht="19.899999999999999" customHeight="1">
      <c r="AE3" s="96" t="s">
        <v>1656</v>
      </c>
      <c r="AF3" s="97">
        <v>20</v>
      </c>
      <c r="AG3" s="98">
        <v>1.1000000000000001</v>
      </c>
      <c r="AH3" s="96" t="s">
        <v>1664</v>
      </c>
      <c r="AI3" s="98"/>
      <c r="AJ3" s="96" t="s">
        <v>1849</v>
      </c>
      <c r="AK3" s="98">
        <v>5</v>
      </c>
      <c r="AN3" s="16">
        <v>1</v>
      </c>
      <c r="AO3" s="17" t="s">
        <v>96</v>
      </c>
      <c r="AP3" s="18" t="s">
        <v>97</v>
      </c>
      <c r="AQ3" s="19">
        <v>2</v>
      </c>
      <c r="AR3" s="19">
        <v>0.7</v>
      </c>
      <c r="AT3" s="20" t="str">
        <f t="array" ref="AT3:AT92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U3" s="336" t="s">
        <v>1672</v>
      </c>
      <c r="AV3" s="20" t="str">
        <f t="array" ref="AV3:AV92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  <c r="AW3" s="20" t="s">
        <v>1700</v>
      </c>
    </row>
    <row r="4" spans="31:49" ht="19.899999999999999" customHeight="1">
      <c r="AE4" s="96" t="s">
        <v>1816</v>
      </c>
      <c r="AF4" s="97">
        <v>18</v>
      </c>
      <c r="AG4" s="98">
        <v>1.3</v>
      </c>
      <c r="AH4" s="96" t="s">
        <v>1818</v>
      </c>
      <c r="AI4" s="98"/>
      <c r="AJ4" s="96" t="s">
        <v>1863</v>
      </c>
      <c r="AK4" s="98">
        <v>10</v>
      </c>
      <c r="AN4" s="16"/>
      <c r="AO4" s="17" t="str">
        <f>AO3</f>
        <v>Phòng ngủ</v>
      </c>
      <c r="AP4" s="18" t="s">
        <v>98</v>
      </c>
      <c r="AQ4" s="19">
        <v>1.5</v>
      </c>
      <c r="AR4" s="19">
        <v>0.3</v>
      </c>
      <c r="AT4" s="20" t="str">
        <f ca="1"/>
        <v>Phòng ăn, phòng khách</v>
      </c>
      <c r="AU4" s="336" t="s">
        <v>1675</v>
      </c>
      <c r="AV4" s="20" t="str">
        <f ca="1"/>
        <v>Nhà ở kiểu căn hộ</v>
      </c>
      <c r="AW4" s="20" t="s">
        <v>1701</v>
      </c>
    </row>
    <row r="5" spans="31:49" ht="19.899999999999999" customHeight="1">
      <c r="AE5" s="96" t="s">
        <v>1817</v>
      </c>
      <c r="AF5" s="97"/>
      <c r="AG5" s="98">
        <v>1.2</v>
      </c>
      <c r="AH5" s="96" t="s">
        <v>1819</v>
      </c>
      <c r="AI5" s="98">
        <v>0.3</v>
      </c>
      <c r="AJ5" s="96" t="s">
        <v>1864</v>
      </c>
      <c r="AK5" s="98">
        <v>15</v>
      </c>
      <c r="AN5" s="16"/>
      <c r="AO5" s="17" t="str">
        <f>AO4</f>
        <v>Phòng ngủ</v>
      </c>
      <c r="AP5" s="18" t="s">
        <v>164</v>
      </c>
      <c r="AQ5" s="19">
        <v>1.5</v>
      </c>
      <c r="AR5" s="19">
        <v>0.3</v>
      </c>
      <c r="AT5" s="20" t="str">
        <f ca="1"/>
        <v>Phòng vệ sinh</v>
      </c>
      <c r="AU5" s="336" t="s">
        <v>1676</v>
      </c>
      <c r="AV5" s="20" t="str">
        <f ca="1"/>
        <v>Nhà trẻ, mẫu giáo</v>
      </c>
      <c r="AW5" s="20" t="s">
        <v>1702</v>
      </c>
    </row>
    <row r="6" spans="31:49" ht="19.899999999999999" customHeight="1">
      <c r="AE6" s="96" t="s">
        <v>1657</v>
      </c>
      <c r="AF6" s="97">
        <v>10</v>
      </c>
      <c r="AG6" s="98">
        <v>1.3</v>
      </c>
      <c r="AH6" s="96" t="s">
        <v>1665</v>
      </c>
      <c r="AI6" s="98"/>
      <c r="AJ6" s="96"/>
      <c r="AK6" s="98">
        <v>20</v>
      </c>
      <c r="AN6" s="16"/>
      <c r="AO6" s="17" t="str">
        <f>AO5</f>
        <v>Phòng ngủ</v>
      </c>
      <c r="AP6" s="18" t="s">
        <v>104</v>
      </c>
      <c r="AQ6" s="19">
        <v>1.5</v>
      </c>
      <c r="AR6" s="19">
        <v>0.3</v>
      </c>
      <c r="AT6" s="20" t="str">
        <f ca="1"/>
        <v>Bếp, phòng giặt</v>
      </c>
      <c r="AU6" s="336" t="s">
        <v>1677</v>
      </c>
      <c r="AV6" s="20" t="str">
        <f ca="1"/>
        <v>Trường học nội trú</v>
      </c>
      <c r="AW6" s="20" t="s">
        <v>1703</v>
      </c>
    </row>
    <row r="7" spans="31:49" ht="19.899999999999999" customHeight="1">
      <c r="AE7" s="96" t="s">
        <v>1658</v>
      </c>
      <c r="AF7" s="97">
        <v>10</v>
      </c>
      <c r="AG7" s="98">
        <v>1.3</v>
      </c>
      <c r="AH7" s="96" t="s">
        <v>1666</v>
      </c>
      <c r="AI7" s="98"/>
      <c r="AJ7" s="96"/>
      <c r="AK7" s="98">
        <v>25</v>
      </c>
      <c r="AN7" s="16"/>
      <c r="AO7" s="17" t="str">
        <f>AO6</f>
        <v>Phòng ngủ</v>
      </c>
      <c r="AP7" s="18" t="s">
        <v>161</v>
      </c>
      <c r="AQ7" s="19">
        <v>1.5</v>
      </c>
      <c r="AR7" s="19">
        <v>0.3</v>
      </c>
      <c r="AT7" s="20" t="str">
        <f ca="1"/>
        <v>Văn phòng, phòng thí nghiệm</v>
      </c>
      <c r="AU7" s="336" t="s">
        <v>1678</v>
      </c>
      <c r="AV7" s="20" t="str">
        <f ca="1"/>
        <v>Nhà nghỉ, nhà điều dưỡng…</v>
      </c>
      <c r="AW7" s="20" t="s">
        <v>1704</v>
      </c>
    </row>
    <row r="8" spans="31:49" ht="19.899999999999999" customHeight="1">
      <c r="AE8" s="105" t="s">
        <v>1659</v>
      </c>
      <c r="AF8" s="97">
        <v>15</v>
      </c>
      <c r="AG8" s="98">
        <v>1.2</v>
      </c>
      <c r="AH8" s="105" t="s">
        <v>1667</v>
      </c>
      <c r="AI8" s="98"/>
      <c r="AJ8" s="96"/>
      <c r="AK8" s="98">
        <v>30</v>
      </c>
      <c r="AN8" s="16"/>
      <c r="AO8" s="17" t="str">
        <f>AO7</f>
        <v>Phòng ngủ</v>
      </c>
      <c r="AP8" s="18" t="s">
        <v>105</v>
      </c>
      <c r="AQ8" s="19">
        <v>1.5</v>
      </c>
      <c r="AR8" s="19">
        <v>0.3</v>
      </c>
      <c r="AT8" s="20" t="str">
        <f ca="1"/>
        <v>Phòng nồi hơi,… kể cả khối lượng máy</v>
      </c>
      <c r="AU8" s="336" t="s">
        <v>1679</v>
      </c>
      <c r="AV8" s="20" t="str">
        <f ca="1"/>
        <v>Nhà hưu trí</v>
      </c>
      <c r="AW8" s="20" t="s">
        <v>1705</v>
      </c>
    </row>
    <row r="9" spans="31:49" ht="19.899999999999999" customHeight="1">
      <c r="AE9" s="106" t="s">
        <v>1660</v>
      </c>
      <c r="AF9" s="97">
        <v>18</v>
      </c>
      <c r="AG9" s="98">
        <v>1.1000000000000001</v>
      </c>
      <c r="AH9" s="106" t="s">
        <v>1668</v>
      </c>
      <c r="AI9" s="98"/>
      <c r="AJ9" s="96"/>
      <c r="AK9" s="98">
        <v>35</v>
      </c>
      <c r="AN9" s="49">
        <v>2</v>
      </c>
      <c r="AO9" s="50" t="s">
        <v>139</v>
      </c>
      <c r="AP9" s="51" t="s">
        <v>98</v>
      </c>
      <c r="AQ9" s="52">
        <v>1.5</v>
      </c>
      <c r="AR9" s="52">
        <v>0.3</v>
      </c>
      <c r="AT9" s="20" t="str">
        <f ca="1"/>
        <v>Phòng động cơ,… kể cả khối lượng máy</v>
      </c>
      <c r="AU9" s="336" t="s">
        <v>1746</v>
      </c>
      <c r="AV9" s="20" t="str">
        <f ca="1"/>
        <v>Nhà trẻ, mẫu giáo, trường học</v>
      </c>
      <c r="AW9" s="20" t="s">
        <v>1706</v>
      </c>
    </row>
    <row r="10" spans="31:49" ht="19.899999999999999" customHeight="1">
      <c r="AE10" s="106" t="s">
        <v>1661</v>
      </c>
      <c r="AF10" s="97">
        <v>18</v>
      </c>
      <c r="AG10" s="98">
        <v>1.1000000000000001</v>
      </c>
      <c r="AH10" s="106" t="s">
        <v>1669</v>
      </c>
      <c r="AI10" s="98"/>
      <c r="AJ10" s="96"/>
      <c r="AK10" s="98">
        <v>40</v>
      </c>
      <c r="AN10" s="49"/>
      <c r="AO10" s="50" t="s">
        <v>139</v>
      </c>
      <c r="AP10" s="51" t="s">
        <v>106</v>
      </c>
      <c r="AQ10" s="52">
        <v>2</v>
      </c>
      <c r="AR10" s="52">
        <v>0.7</v>
      </c>
      <c r="AT10" s="20" t="str">
        <f ca="1"/>
        <v>Phòng kỹ thuật …  bao gồm thiết bị</v>
      </c>
      <c r="AU10" s="336" t="s">
        <v>1680</v>
      </c>
      <c r="AV10" s="20" t="str">
        <f ca="1"/>
        <v>Nhà nghỉ, nhà điều dưỡng</v>
      </c>
      <c r="AW10" s="20" t="s">
        <v>1704</v>
      </c>
    </row>
    <row r="11" spans="31:49" ht="19.899999999999999" customHeight="1">
      <c r="AE11" s="106" t="s">
        <v>1662</v>
      </c>
      <c r="AF11" s="97">
        <v>25</v>
      </c>
      <c r="AG11" s="98">
        <v>1.1000000000000001</v>
      </c>
      <c r="AH11" s="106" t="s">
        <v>1670</v>
      </c>
      <c r="AI11" s="98"/>
      <c r="AJ11" s="96"/>
      <c r="AK11" s="98">
        <v>45</v>
      </c>
      <c r="AN11" s="49"/>
      <c r="AO11" s="50" t="s">
        <v>139</v>
      </c>
      <c r="AP11" s="51" t="s">
        <v>162</v>
      </c>
      <c r="AQ11" s="52">
        <v>2</v>
      </c>
      <c r="AR11" s="52">
        <v>0.7</v>
      </c>
      <c r="AT11" s="20" t="str">
        <f ca="1"/>
        <v>Phòng đọc sách</v>
      </c>
      <c r="AU11" s="336" t="s">
        <v>1681</v>
      </c>
      <c r="AV11" s="20" t="str">
        <f ca="1"/>
        <v>Khách sạn, bệnh viện</v>
      </c>
      <c r="AW11" s="20" t="s">
        <v>1707</v>
      </c>
    </row>
    <row r="12" spans="31:49" ht="19.899999999999999" customHeight="1">
      <c r="AE12" s="106" t="s">
        <v>1663</v>
      </c>
      <c r="AF12" s="97">
        <v>20</v>
      </c>
      <c r="AG12" s="98">
        <v>1.3</v>
      </c>
      <c r="AH12" s="106" t="s">
        <v>1671</v>
      </c>
      <c r="AI12" s="98"/>
      <c r="AJ12" s="96"/>
      <c r="AK12" s="98">
        <v>50</v>
      </c>
      <c r="AN12" s="49"/>
      <c r="AO12" s="50" t="s">
        <v>139</v>
      </c>
      <c r="AP12" s="51" t="s">
        <v>163</v>
      </c>
      <c r="AQ12" s="52">
        <v>2</v>
      </c>
      <c r="AR12" s="52">
        <v>0.7</v>
      </c>
      <c r="AT12" s="20" t="str">
        <f ca="1"/>
        <v>Nhà hàng</v>
      </c>
      <c r="AU12" s="336" t="s">
        <v>1682</v>
      </c>
      <c r="AV12" s="20" t="str">
        <f ca="1"/>
        <v>Trại giam, nhà máy</v>
      </c>
      <c r="AW12" s="20" t="s">
        <v>1708</v>
      </c>
    </row>
    <row r="13" spans="31:49" ht="19.899999999999999" customHeight="1">
      <c r="AE13" s="110" t="s">
        <v>2071</v>
      </c>
      <c r="AF13" s="98"/>
      <c r="AG13" s="98">
        <v>1.1000000000000001</v>
      </c>
      <c r="AH13" s="868" t="s">
        <v>2073</v>
      </c>
      <c r="AI13" s="98">
        <v>0.6</v>
      </c>
      <c r="AJ13" s="96"/>
      <c r="AK13" s="98">
        <v>100</v>
      </c>
      <c r="AN13" s="49"/>
      <c r="AO13" s="50" t="s">
        <v>139</v>
      </c>
      <c r="AP13" s="51" t="s">
        <v>107</v>
      </c>
      <c r="AQ13" s="52">
        <v>2</v>
      </c>
      <c r="AR13" s="52">
        <v>0.7</v>
      </c>
      <c r="AT13" s="63" t="str">
        <f ca="1"/>
        <v>Phòng hội họp, phòng đợi</v>
      </c>
      <c r="AU13" s="336" t="s">
        <v>1683</v>
      </c>
      <c r="AV13" s="20" t="str">
        <f ca="1"/>
        <v>Trụ sở cơ quan, ngân hàng</v>
      </c>
      <c r="AW13" s="20" t="s">
        <v>1709</v>
      </c>
    </row>
    <row r="14" spans="31:49" ht="19.899999999999999" customHeight="1">
      <c r="AE14" s="110" t="s">
        <v>2072</v>
      </c>
      <c r="AF14" s="98"/>
      <c r="AG14" s="98">
        <v>1.1000000000000001</v>
      </c>
      <c r="AH14" s="868" t="s">
        <v>2074</v>
      </c>
      <c r="AI14" s="98">
        <v>0.65</v>
      </c>
      <c r="AJ14" s="96"/>
      <c r="AK14" s="98">
        <v>110</v>
      </c>
      <c r="AN14" s="49"/>
      <c r="AO14" s="50" t="s">
        <v>139</v>
      </c>
      <c r="AP14" s="51" t="s">
        <v>105</v>
      </c>
      <c r="AQ14" s="52">
        <v>2</v>
      </c>
      <c r="AR14" s="52">
        <v>0.7</v>
      </c>
      <c r="AT14" s="63" t="str">
        <f ca="1"/>
        <v>Phòng khiêu vũ, phòng hòa nhạc</v>
      </c>
      <c r="AU14" s="336" t="s">
        <v>1684</v>
      </c>
      <c r="AV14" s="20" t="str">
        <f ca="1"/>
        <v>Trường học, bệnh viện</v>
      </c>
      <c r="AW14" s="20" t="s">
        <v>1710</v>
      </c>
    </row>
    <row r="15" spans="31:49" ht="19.899999999999999" customHeight="1">
      <c r="AE15" s="106" t="s">
        <v>2070</v>
      </c>
      <c r="AF15" s="98"/>
      <c r="AG15" s="98">
        <v>1.1000000000000001</v>
      </c>
      <c r="AH15" s="868" t="s">
        <v>2075</v>
      </c>
      <c r="AI15" s="98">
        <v>0.2</v>
      </c>
      <c r="AJ15" s="96"/>
      <c r="AK15" s="98">
        <v>120</v>
      </c>
      <c r="AN15" s="49"/>
      <c r="AO15" s="75" t="s">
        <v>138</v>
      </c>
      <c r="AP15" s="76" t="s">
        <v>98</v>
      </c>
      <c r="AQ15" s="77">
        <v>1.5</v>
      </c>
      <c r="AR15" s="77">
        <v>0.3</v>
      </c>
      <c r="AT15" s="63" t="str">
        <f ca="1"/>
        <v>Phòng thể thao, khán đài</v>
      </c>
      <c r="AU15" s="336" t="s">
        <v>1685</v>
      </c>
      <c r="AV15" s="20" t="str">
        <f ca="1"/>
        <v>Cơ sở nghiên cứu khoa học</v>
      </c>
      <c r="AW15" s="20" t="s">
        <v>1711</v>
      </c>
    </row>
    <row r="16" spans="31:49" ht="19.899999999999999" customHeight="1">
      <c r="AE16" s="106" t="s">
        <v>2058</v>
      </c>
      <c r="AF16" s="98"/>
      <c r="AG16" s="98">
        <v>1.1000000000000001</v>
      </c>
      <c r="AH16" s="869" t="s">
        <v>2076</v>
      </c>
      <c r="AI16" s="98">
        <v>0.3</v>
      </c>
      <c r="AJ16" s="96"/>
      <c r="AK16" s="98">
        <v>150</v>
      </c>
      <c r="AN16" s="49"/>
      <c r="AO16" s="75" t="s">
        <v>138</v>
      </c>
      <c r="AP16" s="76" t="s">
        <v>106</v>
      </c>
      <c r="AQ16" s="77">
        <v>2</v>
      </c>
      <c r="AR16" s="77">
        <v>0.7</v>
      </c>
      <c r="AT16" s="63" t="str">
        <f ca="1"/>
        <v>Sân khấu</v>
      </c>
      <c r="AU16" s="336" t="s">
        <v>1686</v>
      </c>
      <c r="AV16" s="20" t="str">
        <f ca="1"/>
        <v>Nhà cao tầng</v>
      </c>
      <c r="AW16" s="20" t="s">
        <v>1712</v>
      </c>
    </row>
    <row r="17" spans="19:49" ht="19.899999999999999" customHeight="1">
      <c r="AE17" s="106" t="s">
        <v>2059</v>
      </c>
      <c r="AF17" s="98"/>
      <c r="AG17" s="98">
        <v>1.1000000000000001</v>
      </c>
      <c r="AH17" s="868" t="s">
        <v>2077</v>
      </c>
      <c r="AI17" s="98">
        <v>0.9</v>
      </c>
      <c r="AJ17" s="96"/>
      <c r="AK17" s="98">
        <v>180</v>
      </c>
      <c r="AN17" s="49"/>
      <c r="AO17" s="75" t="s">
        <v>138</v>
      </c>
      <c r="AP17" s="76" t="s">
        <v>162</v>
      </c>
      <c r="AQ17" s="77">
        <v>2</v>
      </c>
      <c r="AR17" s="77">
        <v>0.7</v>
      </c>
      <c r="AT17" s="63" t="str">
        <f ca="1"/>
        <v>Kho</v>
      </c>
      <c r="AU17" s="336" t="s">
        <v>1687</v>
      </c>
      <c r="AV17" s="20" t="str">
        <f ca="1"/>
        <v>Cơ quan, trường học</v>
      </c>
      <c r="AW17" s="20" t="s">
        <v>1747</v>
      </c>
    </row>
    <row r="18" spans="19:49" ht="19.899999999999999" customHeight="1">
      <c r="AE18" s="106" t="s">
        <v>2079</v>
      </c>
      <c r="AF18" s="98">
        <v>25</v>
      </c>
      <c r="AG18" s="98">
        <v>1.1000000000000001</v>
      </c>
      <c r="AH18" s="868" t="s">
        <v>2078</v>
      </c>
      <c r="AI18" s="98"/>
      <c r="AJ18" s="96"/>
      <c r="AK18" s="98">
        <v>200</v>
      </c>
      <c r="AN18" s="49"/>
      <c r="AO18" s="75" t="s">
        <v>138</v>
      </c>
      <c r="AP18" s="76" t="s">
        <v>163</v>
      </c>
      <c r="AQ18" s="77">
        <v>2</v>
      </c>
      <c r="AR18" s="77">
        <v>0.7</v>
      </c>
      <c r="AT18" s="63" t="str">
        <f ca="1"/>
        <v>Phòng học</v>
      </c>
      <c r="AU18" s="336" t="s">
        <v>1688</v>
      </c>
      <c r="AV18" s="20" t="str">
        <f ca="1"/>
        <v>Nhà hưu trí, nhà điều dưỡng</v>
      </c>
      <c r="AW18" s="20" t="s">
        <v>1713</v>
      </c>
    </row>
    <row r="19" spans="19:49" ht="19.899999999999999" customHeight="1">
      <c r="S19" s="30"/>
      <c r="AE19" s="106" t="s">
        <v>2231</v>
      </c>
      <c r="AF19" s="98"/>
      <c r="AG19" s="98">
        <v>1.1000000000000001</v>
      </c>
      <c r="AH19" s="868" t="s">
        <v>2232</v>
      </c>
      <c r="AI19" s="98">
        <v>1.2</v>
      </c>
      <c r="AJ19" s="96"/>
      <c r="AK19" s="98">
        <v>220</v>
      </c>
      <c r="AN19" s="49"/>
      <c r="AO19" s="75" t="s">
        <v>138</v>
      </c>
      <c r="AP19" s="76" t="s">
        <v>107</v>
      </c>
      <c r="AQ19" s="77">
        <v>2</v>
      </c>
      <c r="AR19" s="77">
        <v>0.7</v>
      </c>
      <c r="AT19" s="20" t="str">
        <f ca="1"/>
        <v>Xưởng</v>
      </c>
      <c r="AU19" s="336" t="s">
        <v>1689</v>
      </c>
      <c r="AV19" s="20" t="str">
        <f ca="1"/>
        <v>Có đặt giá sách</v>
      </c>
      <c r="AW19" s="20" t="s">
        <v>1714</v>
      </c>
    </row>
    <row r="20" spans="19:49" ht="19.899999999999999" customHeight="1">
      <c r="S20" s="30"/>
      <c r="AE20" s="106" t="s">
        <v>2224</v>
      </c>
      <c r="AF20" s="98">
        <v>22</v>
      </c>
      <c r="AG20" s="98">
        <v>1.3</v>
      </c>
      <c r="AH20" s="868" t="s">
        <v>2226</v>
      </c>
      <c r="AI20" s="98"/>
      <c r="AJ20" s="96"/>
      <c r="AK20" s="98">
        <v>250</v>
      </c>
      <c r="AN20" s="49"/>
      <c r="AO20" s="75" t="s">
        <v>138</v>
      </c>
      <c r="AP20" s="76" t="s">
        <v>105</v>
      </c>
      <c r="AQ20" s="77">
        <v>2</v>
      </c>
      <c r="AR20" s="77">
        <v>0.7</v>
      </c>
      <c r="AT20" s="99" t="str">
        <f ca="1"/>
        <v>Phòng áp mái</v>
      </c>
      <c r="AU20" s="336" t="s">
        <v>1690</v>
      </c>
      <c r="AV20" s="20" t="str">
        <f ca="1"/>
        <v>Không đặt giá sách</v>
      </c>
      <c r="AW20" s="20" t="s">
        <v>1715</v>
      </c>
    </row>
    <row r="21" spans="19:49" ht="19.899999999999999" customHeight="1">
      <c r="S21" s="30"/>
      <c r="AE21" s="106" t="s">
        <v>2225</v>
      </c>
      <c r="AF21" s="98">
        <v>10</v>
      </c>
      <c r="AG21" s="98">
        <v>1.3</v>
      </c>
      <c r="AH21" s="868" t="s">
        <v>2227</v>
      </c>
      <c r="AI21" s="98"/>
      <c r="AJ21" s="96"/>
      <c r="AK21" s="98">
        <v>300</v>
      </c>
      <c r="AN21" s="100">
        <v>3</v>
      </c>
      <c r="AO21" s="101" t="s">
        <v>99</v>
      </c>
      <c r="AP21" s="101" t="s">
        <v>98</v>
      </c>
      <c r="AQ21" s="102">
        <v>1.5</v>
      </c>
      <c r="AR21" s="102">
        <v>1.3</v>
      </c>
      <c r="AT21" s="20" t="str">
        <f ca="1"/>
        <v>Ban công và lôgia</v>
      </c>
      <c r="AU21" s="336" t="s">
        <v>1691</v>
      </c>
      <c r="AV21" s="20" t="str">
        <f ca="1"/>
        <v>Ăn uống, giải khát</v>
      </c>
      <c r="AW21" s="20" t="s">
        <v>1717</v>
      </c>
    </row>
    <row r="22" spans="19:49" ht="19.899999999999999" customHeight="1">
      <c r="S22" s="30"/>
      <c r="AE22" s="106" t="s">
        <v>2228</v>
      </c>
      <c r="AF22" s="98">
        <v>18</v>
      </c>
      <c r="AG22" s="98">
        <v>1.3</v>
      </c>
      <c r="AH22" s="868" t="s">
        <v>2233</v>
      </c>
      <c r="AI22" s="98"/>
      <c r="AJ22" s="96"/>
      <c r="AK22" s="98">
        <v>350</v>
      </c>
      <c r="AN22" s="100"/>
      <c r="AO22" s="101" t="s">
        <v>99</v>
      </c>
      <c r="AP22" s="101" t="s">
        <v>106</v>
      </c>
      <c r="AQ22" s="102">
        <v>3</v>
      </c>
      <c r="AR22" s="102">
        <v>1</v>
      </c>
      <c r="AT22" s="103" t="str">
        <f ca="1"/>
        <v>Sảnh, phòng giải lao</v>
      </c>
      <c r="AU22" s="336" t="s">
        <v>1692</v>
      </c>
      <c r="AV22" s="20" t="str">
        <f ca="1"/>
        <v>Triển lãm, trưng bày, cửa hàng</v>
      </c>
      <c r="AW22" s="20" t="s">
        <v>1716</v>
      </c>
    </row>
    <row r="23" spans="19:49" ht="19.899999999999999" customHeight="1">
      <c r="S23" s="30"/>
      <c r="AE23" s="106" t="s">
        <v>2229</v>
      </c>
      <c r="AF23" s="98"/>
      <c r="AG23" s="98">
        <v>1.3</v>
      </c>
      <c r="AH23" s="868" t="s">
        <v>2230</v>
      </c>
      <c r="AI23" s="98">
        <v>0.75</v>
      </c>
      <c r="AJ23" s="96"/>
      <c r="AK23" s="98">
        <v>400</v>
      </c>
      <c r="AN23" s="100"/>
      <c r="AO23" s="101" t="s">
        <v>99</v>
      </c>
      <c r="AP23" s="101" t="s">
        <v>162</v>
      </c>
      <c r="AQ23" s="102">
        <v>3</v>
      </c>
      <c r="AR23" s="102">
        <v>1</v>
      </c>
      <c r="AT23" s="20" t="str">
        <f ca="1"/>
        <v>Cầu thang, hành lang thông các phòng</v>
      </c>
      <c r="AU23" s="336" t="s">
        <v>1693</v>
      </c>
      <c r="AV23" s="20" t="str">
        <f ca="1"/>
        <v>Có ghế gắn cố định</v>
      </c>
      <c r="AW23" s="20" t="s">
        <v>1718</v>
      </c>
    </row>
    <row r="24" spans="19:49" ht="19.899999999999999" customHeight="1">
      <c r="S24" s="30"/>
      <c r="AE24" s="106" t="s">
        <v>2236</v>
      </c>
      <c r="AF24" s="98">
        <v>18</v>
      </c>
      <c r="AG24" s="98">
        <v>1.1000000000000001</v>
      </c>
      <c r="AH24" s="869" t="s">
        <v>2237</v>
      </c>
      <c r="AI24" s="98"/>
      <c r="AJ24" s="96"/>
      <c r="AK24" s="98"/>
      <c r="AN24" s="100"/>
      <c r="AO24" s="101" t="s">
        <v>99</v>
      </c>
      <c r="AP24" s="101" t="s">
        <v>163</v>
      </c>
      <c r="AQ24" s="102">
        <v>3</v>
      </c>
      <c r="AR24" s="102">
        <v>1</v>
      </c>
      <c r="AT24" s="63" t="str">
        <f ca="1"/>
        <v>Gác lửng</v>
      </c>
      <c r="AU24" s="336" t="s">
        <v>1694</v>
      </c>
      <c r="AV24" s="20" t="str">
        <f ca="1"/>
        <v>Không có ghế gắn cố định</v>
      </c>
      <c r="AW24" s="20" t="s">
        <v>1719</v>
      </c>
    </row>
    <row r="25" spans="19:49" ht="19.899999999999999" customHeight="1">
      <c r="S25" s="30"/>
      <c r="AE25" s="106" t="s">
        <v>2238</v>
      </c>
      <c r="AF25" s="897">
        <v>12</v>
      </c>
      <c r="AG25" s="98">
        <v>1.2</v>
      </c>
      <c r="AH25" s="868" t="s">
        <v>2239</v>
      </c>
      <c r="AI25" s="98"/>
      <c r="AJ25" s="96"/>
      <c r="AK25" s="98"/>
      <c r="AN25" s="100"/>
      <c r="AO25" s="101" t="s">
        <v>99</v>
      </c>
      <c r="AP25" s="101" t="s">
        <v>107</v>
      </c>
      <c r="AQ25" s="102">
        <v>3</v>
      </c>
      <c r="AR25" s="102">
        <v>1</v>
      </c>
      <c r="AT25" s="63" t="str">
        <f ca="1"/>
        <v>Trại chăn nuôi</v>
      </c>
      <c r="AU25" s="336" t="s">
        <v>1695</v>
      </c>
      <c r="AV25" s="20" t="str">
        <f ca="1"/>
        <v>Các loại nhà</v>
      </c>
      <c r="AW25" s="20" t="s">
        <v>1727</v>
      </c>
    </row>
    <row r="26" spans="19:49" ht="19.899999999999999" customHeight="1">
      <c r="S26" s="30"/>
      <c r="AE26" s="106" t="s">
        <v>2240</v>
      </c>
      <c r="AF26" s="897">
        <v>18</v>
      </c>
      <c r="AG26" s="98">
        <v>1.1000000000000001</v>
      </c>
      <c r="AH26" s="868" t="s">
        <v>2241</v>
      </c>
      <c r="AI26" s="98"/>
      <c r="AJ26" s="96"/>
      <c r="AK26" s="98"/>
      <c r="AN26" s="100"/>
      <c r="AO26" s="101" t="s">
        <v>99</v>
      </c>
      <c r="AP26" s="101" t="s">
        <v>105</v>
      </c>
      <c r="AQ26" s="102">
        <v>3</v>
      </c>
      <c r="AR26" s="102">
        <v>1</v>
      </c>
      <c r="AT26" s="63" t="str">
        <f ca="1"/>
        <v>Mái bằng có sử dụng</v>
      </c>
      <c r="AU26" s="336" t="s">
        <v>1696</v>
      </c>
      <c r="AV26" s="20" t="str">
        <f ca="1"/>
        <v>Kho sách lưu trữ</v>
      </c>
      <c r="AW26" s="20" t="s">
        <v>1720</v>
      </c>
    </row>
    <row r="27" spans="19:49" ht="19.899999999999999" customHeight="1">
      <c r="S27" s="30"/>
      <c r="AE27" s="106" t="s">
        <v>2242</v>
      </c>
      <c r="AF27" s="897">
        <v>20</v>
      </c>
      <c r="AG27" s="98">
        <v>1.3</v>
      </c>
      <c r="AH27" s="868" t="s">
        <v>2243</v>
      </c>
      <c r="AI27" s="98"/>
      <c r="AJ27" s="96"/>
      <c r="AK27" s="98"/>
      <c r="AN27" s="107">
        <v>4</v>
      </c>
      <c r="AO27" s="108" t="s">
        <v>100</v>
      </c>
      <c r="AP27" s="108" t="s">
        <v>109</v>
      </c>
      <c r="AQ27" s="109">
        <v>2</v>
      </c>
      <c r="AR27" s="109">
        <v>1</v>
      </c>
      <c r="AT27" s="20" t="str">
        <f ca="1"/>
        <v>Mái bằng không sử dụng</v>
      </c>
      <c r="AU27" s="336" t="s">
        <v>1697</v>
      </c>
      <c r="AV27" s="20" t="str">
        <f ca="1"/>
        <v>Kho sách thư viện</v>
      </c>
      <c r="AW27" s="20" t="s">
        <v>1721</v>
      </c>
    </row>
    <row r="28" spans="19:49" ht="19.899999999999999" customHeight="1">
      <c r="S28" s="30"/>
      <c r="AE28" s="106" t="s">
        <v>2244</v>
      </c>
      <c r="AF28" s="98">
        <v>25</v>
      </c>
      <c r="AG28" s="98">
        <v>1.1000000000000001</v>
      </c>
      <c r="AH28" s="868" t="s">
        <v>2245</v>
      </c>
      <c r="AI28" s="98"/>
      <c r="AJ28" s="96"/>
      <c r="AK28" s="98"/>
      <c r="AN28" s="107"/>
      <c r="AO28" s="108" t="s">
        <v>100</v>
      </c>
      <c r="AP28" s="108" t="s">
        <v>110</v>
      </c>
      <c r="AQ28" s="109">
        <v>2</v>
      </c>
      <c r="AR28" s="109">
        <v>1</v>
      </c>
      <c r="AT28" s="20" t="str">
        <f ca="1"/>
        <v>Sàn nhà ga và bến tàu</v>
      </c>
      <c r="AU28" s="336" t="s">
        <v>1698</v>
      </c>
      <c r="AV28" s="20" t="str">
        <f ca="1"/>
        <v>Kho giấy</v>
      </c>
      <c r="AW28" s="20" t="s">
        <v>1722</v>
      </c>
    </row>
    <row r="29" spans="19:49" ht="19.899999999999999" customHeight="1">
      <c r="S29" s="30"/>
      <c r="AE29" s="106" t="s">
        <v>2246</v>
      </c>
      <c r="AF29" s="98">
        <v>18</v>
      </c>
      <c r="AG29" s="98">
        <v>1.3</v>
      </c>
      <c r="AH29" s="868" t="s">
        <v>2247</v>
      </c>
      <c r="AI29" s="98"/>
      <c r="AJ29" s="96"/>
      <c r="AK29" s="98"/>
      <c r="AN29" s="107"/>
      <c r="AO29" s="108" t="s">
        <v>100</v>
      </c>
      <c r="AP29" s="108" t="s">
        <v>108</v>
      </c>
      <c r="AQ29" s="109">
        <v>2</v>
      </c>
      <c r="AR29" s="109">
        <v>1</v>
      </c>
      <c r="AT29" s="20" t="str">
        <f ca="1"/>
        <v>Garage ôtô</v>
      </c>
      <c r="AU29" s="336" t="s">
        <v>1699</v>
      </c>
      <c r="AV29" s="20" t="str">
        <f ca="1"/>
        <v>Kho lạnh</v>
      </c>
      <c r="AW29" s="20" t="s">
        <v>1723</v>
      </c>
    </row>
    <row r="30" spans="19:49" ht="19.899999999999999" customHeight="1">
      <c r="S30" s="30"/>
      <c r="AE30" s="106" t="s">
        <v>2333</v>
      </c>
      <c r="AF30" s="98">
        <v>25</v>
      </c>
      <c r="AG30" s="98">
        <v>1.1000000000000001</v>
      </c>
      <c r="AH30" s="868" t="s">
        <v>2335</v>
      </c>
      <c r="AI30" s="98"/>
      <c r="AJ30" s="96"/>
      <c r="AK30" s="98"/>
      <c r="AN30" s="111">
        <v>5</v>
      </c>
      <c r="AO30" s="112" t="s">
        <v>168</v>
      </c>
      <c r="AP30" s="112" t="s">
        <v>165</v>
      </c>
      <c r="AQ30" s="113">
        <v>7.5</v>
      </c>
      <c r="AR30" s="113">
        <v>7.5</v>
      </c>
      <c r="AT30" s="20" t="str">
        <f ca="1"/>
        <v>Hoạt tải xe cứu hỏa</v>
      </c>
      <c r="AU30" s="336" t="s">
        <v>2085</v>
      </c>
      <c r="AV30" s="20" t="str">
        <f ca="1"/>
        <v>Trường học</v>
      </c>
      <c r="AW30" s="20" t="s">
        <v>1724</v>
      </c>
    </row>
    <row r="31" spans="19:49" ht="19.899999999999999" customHeight="1">
      <c r="S31" s="30"/>
      <c r="AE31" s="106" t="s">
        <v>2334</v>
      </c>
      <c r="AF31" s="98">
        <v>25</v>
      </c>
      <c r="AG31" s="98">
        <v>1.1000000000000001</v>
      </c>
      <c r="AH31" s="868" t="s">
        <v>2336</v>
      </c>
      <c r="AI31" s="98"/>
      <c r="AJ31" s="96"/>
      <c r="AK31" s="98"/>
      <c r="AN31" s="111"/>
      <c r="AO31" s="112" t="s">
        <v>168</v>
      </c>
      <c r="AP31" s="112" t="s">
        <v>166</v>
      </c>
      <c r="AQ31" s="113">
        <v>7.5</v>
      </c>
      <c r="AR31" s="113">
        <v>7.5</v>
      </c>
      <c r="AT31" s="3" t="str">
        <f ca="1"/>
        <v/>
      </c>
      <c r="AV31" s="20" t="str">
        <f ca="1"/>
        <v>Xưởng đúc</v>
      </c>
      <c r="AW31" s="20" t="s">
        <v>1725</v>
      </c>
    </row>
    <row r="32" spans="19:49" ht="19.899999999999999" customHeight="1">
      <c r="S32" s="30"/>
      <c r="AE32" s="106" t="s">
        <v>2337</v>
      </c>
      <c r="AF32" s="98">
        <v>10</v>
      </c>
      <c r="AG32" s="98">
        <v>1</v>
      </c>
      <c r="AH32" s="868" t="s">
        <v>2338</v>
      </c>
      <c r="AI32" s="98"/>
      <c r="AJ32" s="96"/>
      <c r="AK32" s="98"/>
      <c r="AN32" s="111"/>
      <c r="AO32" s="112" t="s">
        <v>168</v>
      </c>
      <c r="AP32" s="112" t="s">
        <v>167</v>
      </c>
      <c r="AQ32" s="113">
        <v>7.5</v>
      </c>
      <c r="AR32" s="113">
        <v>7.5</v>
      </c>
      <c r="AT32" s="3" t="str">
        <f ca="1"/>
        <v/>
      </c>
      <c r="AV32" s="20" t="str">
        <f ca="1"/>
        <v>Xưởng sửa chữa xe có trọng tải &lt; 2500kg</v>
      </c>
      <c r="AW32" s="20" t="s">
        <v>1735</v>
      </c>
    </row>
    <row r="33" spans="19:49" ht="19.899999999999999" customHeight="1">
      <c r="S33" s="30"/>
      <c r="AE33" s="106"/>
      <c r="AF33" s="98"/>
      <c r="AG33" s="98"/>
      <c r="AH33" s="868"/>
      <c r="AI33" s="98"/>
      <c r="AJ33" s="96"/>
      <c r="AK33" s="98"/>
      <c r="AN33" s="111"/>
      <c r="AO33" s="112" t="s">
        <v>168</v>
      </c>
      <c r="AP33" s="112" t="s">
        <v>97</v>
      </c>
      <c r="AQ33" s="113">
        <v>7.5</v>
      </c>
      <c r="AR33" s="113">
        <v>7.5</v>
      </c>
      <c r="AT33" s="3" t="str">
        <f ca="1"/>
        <v/>
      </c>
      <c r="AV33" s="20" t="str">
        <f ca="1"/>
        <v>Phòng lớn có lắp máy và có đường đi lại</v>
      </c>
      <c r="AW33" s="20" t="s">
        <v>1726</v>
      </c>
    </row>
    <row r="34" spans="19:49" ht="19.899999999999999" customHeight="1">
      <c r="AE34" s="106"/>
      <c r="AF34" s="98"/>
      <c r="AG34" s="98"/>
      <c r="AH34" s="868"/>
      <c r="AI34" s="98"/>
      <c r="AJ34" s="96"/>
      <c r="AK34" s="98"/>
      <c r="AN34" s="111"/>
      <c r="AO34" s="112" t="s">
        <v>168</v>
      </c>
      <c r="AP34" s="112" t="s">
        <v>108</v>
      </c>
      <c r="AQ34" s="113">
        <v>7.5</v>
      </c>
      <c r="AR34" s="113">
        <v>7.5</v>
      </c>
      <c r="AT34" s="3" t="str">
        <f ca="1"/>
        <v/>
      </c>
      <c r="AV34" s="20" t="str">
        <f ca="1"/>
        <v>Tải trọng phân bố đều trên từng dải trên diện tích rộng 0,8m dọc theo lan can, ban công, lôgia</v>
      </c>
      <c r="AW34" s="20" t="s">
        <v>1728</v>
      </c>
    </row>
    <row r="35" spans="19:49" ht="19.899999999999999" customHeight="1">
      <c r="AE35" s="106"/>
      <c r="AF35" s="98"/>
      <c r="AG35" s="98"/>
      <c r="AH35" s="868"/>
      <c r="AI35" s="98"/>
      <c r="AJ35" s="96"/>
      <c r="AK35" s="98"/>
      <c r="AN35" s="111"/>
      <c r="AO35" s="116" t="s">
        <v>1745</v>
      </c>
      <c r="AP35" s="116" t="s">
        <v>165</v>
      </c>
      <c r="AQ35" s="117">
        <v>7.5</v>
      </c>
      <c r="AR35" s="117">
        <v>7.5</v>
      </c>
      <c r="AT35" s="3" t="str">
        <f ca="1"/>
        <v/>
      </c>
      <c r="AV35" s="20" t="str">
        <f ca="1"/>
        <v>Tải trọng phân bố đều trên toàn bộ diện tích ban công, lôgia</v>
      </c>
      <c r="AW35" s="20" t="s">
        <v>1729</v>
      </c>
    </row>
    <row r="36" spans="19:49" ht="19.899999999999999" customHeight="1">
      <c r="AE36" s="106"/>
      <c r="AF36" s="98"/>
      <c r="AG36" s="98"/>
      <c r="AH36" s="868"/>
      <c r="AI36" s="98"/>
      <c r="AJ36" s="96"/>
      <c r="AK36" s="98"/>
      <c r="AN36" s="111"/>
      <c r="AO36" s="116" t="s">
        <v>1745</v>
      </c>
      <c r="AP36" s="116" t="s">
        <v>166</v>
      </c>
      <c r="AQ36" s="117">
        <v>7.5</v>
      </c>
      <c r="AR36" s="117">
        <v>7.5</v>
      </c>
      <c r="AT36" s="3" t="str">
        <f ca="1"/>
        <v/>
      </c>
      <c r="AV36" s="20" t="str">
        <f ca="1"/>
        <v>Phòng ngủ, phòng bếp, phòng kỹ thuật</v>
      </c>
      <c r="AW36" s="20" t="s">
        <v>1731</v>
      </c>
    </row>
    <row r="37" spans="19:49" ht="19.899999999999999" customHeight="1">
      <c r="AE37" s="106"/>
      <c r="AF37" s="98"/>
      <c r="AG37" s="98"/>
      <c r="AH37" s="868"/>
      <c r="AI37" s="98"/>
      <c r="AJ37" s="96"/>
      <c r="AK37" s="98"/>
      <c r="AN37" s="111"/>
      <c r="AO37" s="116" t="s">
        <v>1745</v>
      </c>
      <c r="AP37" s="116" t="s">
        <v>167</v>
      </c>
      <c r="AQ37" s="117">
        <v>7.5</v>
      </c>
      <c r="AR37" s="117">
        <v>7.5</v>
      </c>
      <c r="AT37" s="3" t="str">
        <f ca="1"/>
        <v/>
      </c>
      <c r="AV37" s="20" t="str">
        <f ca="1"/>
        <v>Văn phòng, phòng thí nghiệm</v>
      </c>
      <c r="AW37" s="20" t="s">
        <v>1678</v>
      </c>
    </row>
    <row r="38" spans="19:49" ht="19.899999999999999" customHeight="1">
      <c r="AE38" s="106"/>
      <c r="AF38" s="98"/>
      <c r="AG38" s="98"/>
      <c r="AH38" s="868"/>
      <c r="AI38" s="98"/>
      <c r="AJ38" s="96"/>
      <c r="AK38" s="98"/>
      <c r="AN38" s="111"/>
      <c r="AO38" s="116" t="s">
        <v>1745</v>
      </c>
      <c r="AP38" s="116" t="s">
        <v>97</v>
      </c>
      <c r="AQ38" s="117">
        <v>7.5</v>
      </c>
      <c r="AR38" s="117">
        <v>7.5</v>
      </c>
      <c r="AT38" s="3" t="str">
        <f ca="1"/>
        <v/>
      </c>
      <c r="AV38" s="20" t="str">
        <f ca="1"/>
        <v>Phòng vệ sinh, phòng giặt</v>
      </c>
      <c r="AW38" s="20" t="s">
        <v>1730</v>
      </c>
    </row>
    <row r="39" spans="19:49" ht="19.899999999999999" customHeight="1">
      <c r="AE39" s="106"/>
      <c r="AF39" s="98"/>
      <c r="AG39" s="98"/>
      <c r="AH39" s="868"/>
      <c r="AI39" s="98"/>
      <c r="AJ39" s="96"/>
      <c r="AK39" s="98"/>
      <c r="AN39" s="111"/>
      <c r="AO39" s="116" t="s">
        <v>1745</v>
      </c>
      <c r="AP39" s="116" t="s">
        <v>108</v>
      </c>
      <c r="AQ39" s="117">
        <v>7.5</v>
      </c>
      <c r="AR39" s="117">
        <v>7.5</v>
      </c>
      <c r="AT39" s="3" t="str">
        <f ca="1"/>
        <v/>
      </c>
      <c r="AV39" s="20" t="str">
        <f ca="1"/>
        <v>Phòng  đọc, phòng đợi</v>
      </c>
      <c r="AW39" s="20" t="s">
        <v>1681</v>
      </c>
    </row>
    <row r="40" spans="19:49" ht="19.899999999999999" customHeight="1">
      <c r="AE40" s="106"/>
      <c r="AF40" s="98"/>
      <c r="AG40" s="98"/>
      <c r="AH40" s="868"/>
      <c r="AI40" s="98"/>
      <c r="AJ40" s="96"/>
      <c r="AK40" s="98"/>
      <c r="AN40" s="111"/>
      <c r="AO40" s="118" t="s">
        <v>115</v>
      </c>
      <c r="AP40" s="118" t="s">
        <v>165</v>
      </c>
      <c r="AQ40" s="119">
        <v>7.5</v>
      </c>
      <c r="AR40" s="119">
        <v>7.5</v>
      </c>
      <c r="AT40" s="3" t="str">
        <f ca="1"/>
        <v/>
      </c>
      <c r="AV40" s="20" t="str">
        <f ca="1"/>
        <v>Nhà hàng, phòng họp, phòng khán giả</v>
      </c>
      <c r="AW40" s="20" t="s">
        <v>1732</v>
      </c>
    </row>
    <row r="41" spans="19:49" ht="19.899999999999999" customHeight="1">
      <c r="AE41" s="106"/>
      <c r="AF41" s="98"/>
      <c r="AG41" s="98"/>
      <c r="AH41" s="868"/>
      <c r="AI41" s="98"/>
      <c r="AJ41" s="96"/>
      <c r="AN41" s="111"/>
      <c r="AO41" s="118" t="s">
        <v>115</v>
      </c>
      <c r="AP41" s="118" t="s">
        <v>166</v>
      </c>
      <c r="AQ41" s="119">
        <v>7.5</v>
      </c>
      <c r="AR41" s="119">
        <v>7.5</v>
      </c>
      <c r="AT41" s="3" t="str">
        <f ca="1"/>
        <v/>
      </c>
      <c r="AV41" s="20" t="str">
        <f ca="1"/>
        <v>Phòng hòa nhạc, khiêu vũ, thể thao</v>
      </c>
      <c r="AW41" s="20" t="s">
        <v>1733</v>
      </c>
    </row>
    <row r="42" spans="19:49" ht="19.899999999999999" customHeight="1">
      <c r="AE42" s="106"/>
      <c r="AF42" s="98"/>
      <c r="AG42" s="98"/>
      <c r="AH42" s="868"/>
      <c r="AI42" s="98"/>
      <c r="AJ42" s="96"/>
      <c r="AN42" s="111"/>
      <c r="AO42" s="118" t="s">
        <v>115</v>
      </c>
      <c r="AP42" s="118" t="s">
        <v>167</v>
      </c>
      <c r="AQ42" s="119">
        <v>7.5</v>
      </c>
      <c r="AR42" s="119">
        <v>7.5</v>
      </c>
      <c r="AT42" s="3" t="str">
        <f ca="1"/>
        <v/>
      </c>
      <c r="AV42" s="20" t="str">
        <f ca="1"/>
        <v>Kho, ban công, lôgia</v>
      </c>
      <c r="AW42" s="20" t="s">
        <v>1734</v>
      </c>
    </row>
    <row r="43" spans="19:49" ht="19.899999999999999" customHeight="1">
      <c r="AE43" s="106"/>
      <c r="AF43" s="98"/>
      <c r="AG43" s="98"/>
      <c r="AH43" s="868"/>
      <c r="AI43" s="98"/>
      <c r="AJ43" s="96"/>
      <c r="AN43" s="111"/>
      <c r="AO43" s="118" t="s">
        <v>115</v>
      </c>
      <c r="AP43" s="118" t="s">
        <v>97</v>
      </c>
      <c r="AQ43" s="119">
        <v>7.5</v>
      </c>
      <c r="AR43" s="119">
        <v>7.5</v>
      </c>
      <c r="AT43" s="3" t="str">
        <f ca="1"/>
        <v/>
      </c>
      <c r="AV43" s="20" t="str">
        <f ca="1"/>
        <v>Sân khấu</v>
      </c>
      <c r="AW43" s="20" t="s">
        <v>1686</v>
      </c>
    </row>
    <row r="44" spans="19:49" ht="19.899999999999999" customHeight="1">
      <c r="AE44" s="106"/>
      <c r="AF44" s="98"/>
      <c r="AG44" s="98"/>
      <c r="AH44" s="868"/>
      <c r="AI44" s="98"/>
      <c r="AJ44" s="96"/>
      <c r="AN44" s="111"/>
      <c r="AO44" s="118" t="s">
        <v>115</v>
      </c>
      <c r="AP44" s="118" t="s">
        <v>108</v>
      </c>
      <c r="AQ44" s="119">
        <v>7.5</v>
      </c>
      <c r="AR44" s="119">
        <v>7.5</v>
      </c>
      <c r="AT44" s="3" t="str">
        <f ca="1"/>
        <v/>
      </c>
      <c r="AV44" s="20" t="str">
        <f ca="1"/>
        <v>Gia súc nhỏ</v>
      </c>
      <c r="AW44" s="20" t="s">
        <v>1736</v>
      </c>
    </row>
    <row r="45" spans="19:49" ht="19.899999999999999" customHeight="1">
      <c r="AE45" s="106"/>
      <c r="AF45" s="98"/>
      <c r="AG45" s="98"/>
      <c r="AH45" s="868"/>
      <c r="AI45" s="98"/>
      <c r="AJ45" s="96"/>
      <c r="AN45" s="16">
        <v>6</v>
      </c>
      <c r="AO45" s="18" t="s">
        <v>101</v>
      </c>
      <c r="AP45" s="18" t="s">
        <v>102</v>
      </c>
      <c r="AQ45" s="19">
        <v>4</v>
      </c>
      <c r="AR45" s="19">
        <v>1.4</v>
      </c>
      <c r="AT45" s="3" t="str">
        <f ca="1"/>
        <v/>
      </c>
      <c r="AV45" s="20" t="str">
        <f ca="1"/>
        <v>Gia súc lớn</v>
      </c>
      <c r="AW45" s="20" t="s">
        <v>1737</v>
      </c>
    </row>
    <row r="46" spans="19:49" ht="19.899999999999999" customHeight="1">
      <c r="AE46" s="106"/>
      <c r="AF46" s="98"/>
      <c r="AG46" s="98"/>
      <c r="AH46" s="868"/>
      <c r="AI46" s="98"/>
      <c r="AJ46" s="96"/>
      <c r="AN46" s="16"/>
      <c r="AO46" s="18" t="s">
        <v>101</v>
      </c>
      <c r="AP46" s="18" t="s">
        <v>103</v>
      </c>
      <c r="AQ46" s="19">
        <v>2</v>
      </c>
      <c r="AR46" s="19">
        <v>0.7</v>
      </c>
      <c r="AT46" s="3" t="str">
        <f ca="1"/>
        <v/>
      </c>
      <c r="AV46" s="20" t="str">
        <f ca="1"/>
        <v>Phần mái có thể tập trung đông người</v>
      </c>
      <c r="AW46" s="20" t="s">
        <v>1738</v>
      </c>
    </row>
    <row r="47" spans="19:49" ht="19.899999999999999" customHeight="1">
      <c r="AE47" s="106"/>
      <c r="AF47" s="98"/>
      <c r="AG47" s="98"/>
      <c r="AH47" s="868"/>
      <c r="AI47" s="98"/>
      <c r="AJ47" s="96"/>
      <c r="AN47" s="123">
        <v>7</v>
      </c>
      <c r="AO47" s="124" t="s">
        <v>112</v>
      </c>
      <c r="AP47" s="124" t="s">
        <v>113</v>
      </c>
      <c r="AQ47" s="125">
        <v>3</v>
      </c>
      <c r="AR47" s="125">
        <v>1</v>
      </c>
      <c r="AT47" s="3" t="str">
        <f ca="1"/>
        <v/>
      </c>
      <c r="AV47" s="20" t="str">
        <f ca="1"/>
        <v>Phần mái dùng để nghỉ ngơi</v>
      </c>
      <c r="AW47" s="20" t="s">
        <v>1739</v>
      </c>
    </row>
    <row r="48" spans="19:49" ht="19.899999999999999" customHeight="1">
      <c r="AE48" s="106"/>
      <c r="AF48" s="98"/>
      <c r="AG48" s="98"/>
      <c r="AH48" s="868"/>
      <c r="AI48" s="98"/>
      <c r="AJ48" s="96"/>
      <c r="AN48" s="123"/>
      <c r="AO48" s="124" t="s">
        <v>112</v>
      </c>
      <c r="AP48" s="124" t="s">
        <v>114</v>
      </c>
      <c r="AQ48" s="125">
        <v>4</v>
      </c>
      <c r="AR48" s="125">
        <v>1.4</v>
      </c>
      <c r="AT48" s="3" t="str">
        <f ca="1"/>
        <v/>
      </c>
      <c r="AV48" s="20" t="str">
        <f ca="1"/>
        <v>Các công trình khác</v>
      </c>
      <c r="AW48" s="20" t="s">
        <v>1740</v>
      </c>
    </row>
    <row r="49" spans="31:49" ht="19.899999999999999" customHeight="1">
      <c r="AE49" s="106"/>
      <c r="AF49" s="98"/>
      <c r="AG49" s="98"/>
      <c r="AH49" s="868"/>
      <c r="AI49" s="98"/>
      <c r="AJ49" s="96"/>
      <c r="AN49" s="126">
        <v>8</v>
      </c>
      <c r="AO49" s="127" t="s">
        <v>118</v>
      </c>
      <c r="AP49" s="127" t="s">
        <v>116</v>
      </c>
      <c r="AQ49" s="128">
        <v>4</v>
      </c>
      <c r="AR49" s="128">
        <v>1.4</v>
      </c>
      <c r="AT49" s="3" t="str">
        <f ca="1"/>
        <v/>
      </c>
      <c r="AV49" s="20" t="str">
        <f ca="1"/>
        <v>Mái ngói, mái tôn và các mái tương tự chỉ có người đi lại sửa chữa</v>
      </c>
      <c r="AW49" s="20" t="s">
        <v>1741</v>
      </c>
    </row>
    <row r="50" spans="31:49" ht="19.899999999999999" customHeight="1">
      <c r="AE50" s="106"/>
      <c r="AF50" s="98"/>
      <c r="AG50" s="98"/>
      <c r="AH50" s="868"/>
      <c r="AI50" s="98"/>
      <c r="AJ50" s="96"/>
      <c r="AN50" s="126"/>
      <c r="AO50" s="127" t="s">
        <v>118</v>
      </c>
      <c r="AP50" s="127" t="s">
        <v>117</v>
      </c>
      <c r="AQ50" s="128">
        <v>5</v>
      </c>
      <c r="AR50" s="128">
        <v>1.8</v>
      </c>
      <c r="AT50" s="3" t="str">
        <f ca="1"/>
        <v/>
      </c>
      <c r="AV50" s="20" t="str">
        <f ca="1"/>
        <v>Mái bằng, mái dốc BT cốt thép, trần BT lắp ghép chỉ có người đi lại sửa chữa</v>
      </c>
      <c r="AW50" s="20" t="s">
        <v>1742</v>
      </c>
    </row>
    <row r="51" spans="31:49" ht="19.899999999999999" customHeight="1">
      <c r="AE51" s="106"/>
      <c r="AF51" s="98"/>
      <c r="AG51" s="98"/>
      <c r="AH51" s="868"/>
      <c r="AI51" s="98"/>
      <c r="AJ51" s="96"/>
      <c r="AN51" s="126"/>
      <c r="AO51" s="129" t="s">
        <v>119</v>
      </c>
      <c r="AP51" s="129" t="s">
        <v>116</v>
      </c>
      <c r="AQ51" s="130">
        <v>4</v>
      </c>
      <c r="AR51" s="130">
        <v>1.4</v>
      </c>
      <c r="AT51" s="3" t="str">
        <f ca="1"/>
        <v/>
      </c>
      <c r="AV51" s="20" t="str">
        <f ca="1"/>
        <v>Đường cho xe chạy, dốc lên xuống dùng cho  xe con, xe khách và xe tải nhẹ có tổng khối lượng ≤2500kg</v>
      </c>
      <c r="AW51" s="20" t="s">
        <v>1743</v>
      </c>
    </row>
    <row r="52" spans="31:49" ht="19.899999999999999" customHeight="1">
      <c r="AE52" s="106"/>
      <c r="AF52" s="98"/>
      <c r="AG52" s="98"/>
      <c r="AH52" s="868"/>
      <c r="AI52" s="98"/>
      <c r="AJ52" s="96"/>
      <c r="AN52" s="126"/>
      <c r="AO52" s="129" t="s">
        <v>119</v>
      </c>
      <c r="AP52" s="129" t="s">
        <v>117</v>
      </c>
      <c r="AQ52" s="130">
        <v>5</v>
      </c>
      <c r="AR52" s="130">
        <v>1.8</v>
      </c>
      <c r="AT52" s="3" t="str">
        <f ca="1"/>
        <v/>
      </c>
      <c r="AV52" s="20" t="str">
        <f ca="1"/>
        <v>Toàn bộ công trình</v>
      </c>
      <c r="AW52" s="20" t="s">
        <v>2087</v>
      </c>
    </row>
    <row r="53" spans="31:49" ht="19.899999999999999" customHeight="1">
      <c r="AE53" s="106"/>
      <c r="AF53" s="98"/>
      <c r="AG53" s="98"/>
      <c r="AH53" s="868"/>
      <c r="AI53" s="98"/>
      <c r="AJ53" s="96"/>
      <c r="AN53" s="126"/>
      <c r="AO53" s="131" t="s">
        <v>120</v>
      </c>
      <c r="AP53" s="131" t="s">
        <v>116</v>
      </c>
      <c r="AQ53" s="132">
        <v>4</v>
      </c>
      <c r="AR53" s="132">
        <v>1.4</v>
      </c>
      <c r="AT53" s="3" t="str">
        <f ca="1"/>
        <v/>
      </c>
      <c r="AV53" s="3" t="str">
        <f ca="1"/>
        <v/>
      </c>
    </row>
    <row r="54" spans="31:49" ht="19.899999999999999" customHeight="1">
      <c r="AE54" s="106"/>
      <c r="AF54" s="98"/>
      <c r="AG54" s="98"/>
      <c r="AH54" s="868"/>
      <c r="AI54" s="98"/>
      <c r="AJ54" s="96"/>
      <c r="AN54" s="126"/>
      <c r="AO54" s="131" t="s">
        <v>120</v>
      </c>
      <c r="AP54" s="131" t="s">
        <v>117</v>
      </c>
      <c r="AQ54" s="132">
        <v>5</v>
      </c>
      <c r="AR54" s="132">
        <v>1.8</v>
      </c>
      <c r="AT54" s="3" t="str">
        <f ca="1"/>
        <v/>
      </c>
      <c r="AV54" s="3" t="str">
        <f ca="1"/>
        <v/>
      </c>
    </row>
    <row r="55" spans="31:49" ht="19.899999999999999" customHeight="1">
      <c r="AE55" s="106"/>
      <c r="AF55" s="98"/>
      <c r="AG55" s="98"/>
      <c r="AH55" s="868"/>
      <c r="AI55" s="98"/>
      <c r="AJ55" s="96"/>
      <c r="AN55" s="133">
        <v>9</v>
      </c>
      <c r="AO55" s="134" t="s">
        <v>121</v>
      </c>
      <c r="AP55" s="134" t="s">
        <v>132</v>
      </c>
      <c r="AQ55" s="135">
        <v>7.5</v>
      </c>
      <c r="AR55" s="135">
        <v>2.7</v>
      </c>
      <c r="AT55" s="3" t="str">
        <f ca="1"/>
        <v/>
      </c>
      <c r="AV55" s="3" t="str">
        <f ca="1"/>
        <v/>
      </c>
    </row>
    <row r="56" spans="31:49" ht="19.899999999999999" customHeight="1">
      <c r="AE56" s="106"/>
      <c r="AF56" s="98"/>
      <c r="AG56" s="98"/>
      <c r="AH56" s="868"/>
      <c r="AI56" s="98"/>
      <c r="AJ56" s="96"/>
      <c r="AN56" s="49">
        <v>10</v>
      </c>
      <c r="AO56" s="138" t="s">
        <v>122</v>
      </c>
      <c r="AP56" s="138" t="s">
        <v>123</v>
      </c>
      <c r="AQ56" s="139" t="s">
        <v>1754</v>
      </c>
      <c r="AR56" s="139" t="s">
        <v>1754</v>
      </c>
      <c r="AT56" s="3" t="str">
        <f ca="1"/>
        <v/>
      </c>
      <c r="AV56" s="3" t="str">
        <f ca="1"/>
        <v/>
      </c>
    </row>
    <row r="57" spans="31:49" ht="19.899999999999999" customHeight="1">
      <c r="AE57" s="106"/>
      <c r="AF57" s="98"/>
      <c r="AG57" s="98"/>
      <c r="AH57" s="868"/>
      <c r="AI57" s="98"/>
      <c r="AJ57" s="96"/>
      <c r="AN57" s="49"/>
      <c r="AO57" s="138" t="s">
        <v>122</v>
      </c>
      <c r="AP57" s="138" t="s">
        <v>124</v>
      </c>
      <c r="AQ57" s="139" t="s">
        <v>1755</v>
      </c>
      <c r="AR57" s="139" t="s">
        <v>1755</v>
      </c>
      <c r="AT57" s="3" t="str">
        <f ca="1"/>
        <v/>
      </c>
      <c r="AV57" s="3" t="str">
        <f ca="1"/>
        <v/>
      </c>
    </row>
    <row r="58" spans="31:49" ht="19.899999999999999" customHeight="1">
      <c r="AE58" s="106"/>
      <c r="AF58" s="98"/>
      <c r="AG58" s="98"/>
      <c r="AH58" s="868"/>
      <c r="AI58" s="98"/>
      <c r="AJ58" s="96"/>
      <c r="AN58" s="49"/>
      <c r="AO58" s="138" t="s">
        <v>122</v>
      </c>
      <c r="AP58" s="138" t="s">
        <v>125</v>
      </c>
      <c r="AQ58" s="139" t="s">
        <v>1756</v>
      </c>
      <c r="AR58" s="139" t="s">
        <v>1756</v>
      </c>
      <c r="AT58" s="3" t="str">
        <f ca="1"/>
        <v/>
      </c>
      <c r="AV58" s="3" t="str">
        <f ca="1"/>
        <v/>
      </c>
    </row>
    <row r="59" spans="31:49" ht="19.899999999999999" customHeight="1">
      <c r="AE59" s="106"/>
      <c r="AF59" s="98"/>
      <c r="AG59" s="98"/>
      <c r="AH59" s="868"/>
      <c r="AI59" s="98"/>
      <c r="AJ59" s="96"/>
      <c r="AN59" s="49"/>
      <c r="AO59" s="138" t="s">
        <v>122</v>
      </c>
      <c r="AP59" s="138" t="s">
        <v>126</v>
      </c>
      <c r="AQ59" s="139" t="s">
        <v>1757</v>
      </c>
      <c r="AR59" s="139" t="s">
        <v>1757</v>
      </c>
      <c r="AT59" s="3" t="str">
        <f ca="1"/>
        <v/>
      </c>
      <c r="AV59" s="3" t="str">
        <f ca="1"/>
        <v/>
      </c>
    </row>
    <row r="60" spans="31:49" ht="19.899999999999999" customHeight="1">
      <c r="AE60" s="106"/>
      <c r="AF60" s="98"/>
      <c r="AG60" s="98"/>
      <c r="AH60" s="868"/>
      <c r="AI60" s="98"/>
      <c r="AJ60" s="96"/>
      <c r="AN60" s="123">
        <v>11</v>
      </c>
      <c r="AO60" s="124" t="s">
        <v>127</v>
      </c>
      <c r="AP60" s="124" t="s">
        <v>128</v>
      </c>
      <c r="AQ60" s="125">
        <v>2</v>
      </c>
      <c r="AR60" s="125">
        <v>0.7</v>
      </c>
      <c r="AT60" s="3" t="str">
        <f ca="1"/>
        <v/>
      </c>
      <c r="AV60" s="3" t="str">
        <f ca="1"/>
        <v/>
      </c>
    </row>
    <row r="61" spans="31:49" ht="19.899999999999999" customHeight="1">
      <c r="AE61" s="106"/>
      <c r="AF61" s="98"/>
      <c r="AG61" s="98"/>
      <c r="AH61" s="868"/>
      <c r="AI61" s="98"/>
      <c r="AJ61" s="96"/>
      <c r="AN61" s="140">
        <v>12</v>
      </c>
      <c r="AO61" s="141" t="s">
        <v>129</v>
      </c>
      <c r="AP61" s="141" t="s">
        <v>130</v>
      </c>
      <c r="AQ61" s="142">
        <v>2</v>
      </c>
      <c r="AR61" s="142">
        <v>0.7</v>
      </c>
      <c r="AT61" s="3" t="str">
        <f ca="1"/>
        <v/>
      </c>
      <c r="AV61" s="3" t="str">
        <f ca="1"/>
        <v/>
      </c>
    </row>
    <row r="62" spans="31:49" ht="19.899999999999999" customHeight="1">
      <c r="AE62" s="106"/>
      <c r="AF62" s="98"/>
      <c r="AG62" s="98"/>
      <c r="AH62" s="868"/>
      <c r="AI62" s="98"/>
      <c r="AJ62" s="96"/>
      <c r="AN62" s="140"/>
      <c r="AO62" s="141" t="s">
        <v>129</v>
      </c>
      <c r="AP62" s="141" t="s">
        <v>143</v>
      </c>
      <c r="AQ62" s="142">
        <v>5</v>
      </c>
      <c r="AR62" s="142" t="s">
        <v>13</v>
      </c>
      <c r="AT62" s="3" t="str">
        <f ca="1"/>
        <v/>
      </c>
      <c r="AV62" s="3" t="str">
        <f ca="1"/>
        <v/>
      </c>
    </row>
    <row r="63" spans="31:49" ht="19.899999999999999" customHeight="1">
      <c r="AE63" s="106"/>
      <c r="AF63" s="98"/>
      <c r="AG63" s="98"/>
      <c r="AH63" s="868"/>
      <c r="AI63" s="98"/>
      <c r="AJ63" s="96"/>
      <c r="AN63" s="140"/>
      <c r="AO63" s="141" t="s">
        <v>129</v>
      </c>
      <c r="AP63" s="141" t="s">
        <v>131</v>
      </c>
      <c r="AQ63" s="142">
        <v>4</v>
      </c>
      <c r="AR63" s="142" t="s">
        <v>13</v>
      </c>
      <c r="AT63" s="3" t="str">
        <f ca="1"/>
        <v/>
      </c>
      <c r="AV63" s="3" t="str">
        <f ca="1"/>
        <v/>
      </c>
    </row>
    <row r="64" spans="31:49" ht="19.899999999999999" customHeight="1">
      <c r="AE64" s="106"/>
      <c r="AF64" s="98"/>
      <c r="AG64" s="98"/>
      <c r="AH64" s="868"/>
      <c r="AI64" s="98"/>
      <c r="AJ64" s="96"/>
      <c r="AN64" s="49">
        <v>13</v>
      </c>
      <c r="AO64" s="138" t="s">
        <v>133</v>
      </c>
      <c r="AP64" s="138" t="s">
        <v>132</v>
      </c>
      <c r="AQ64" s="139">
        <v>0.7</v>
      </c>
      <c r="AR64" s="139" t="s">
        <v>13</v>
      </c>
      <c r="AT64" s="3" t="str">
        <f ca="1"/>
        <v/>
      </c>
      <c r="AV64" s="3" t="str">
        <f ca="1"/>
        <v/>
      </c>
    </row>
    <row r="65" spans="31:48" ht="25.5">
      <c r="AE65" s="106"/>
      <c r="AF65" s="98"/>
      <c r="AG65" s="98"/>
      <c r="AH65" s="868"/>
      <c r="AI65" s="98"/>
      <c r="AJ65" s="96"/>
      <c r="AN65" s="143">
        <v>14</v>
      </c>
      <c r="AO65" s="144" t="s">
        <v>134</v>
      </c>
      <c r="AP65" s="145" t="s">
        <v>135</v>
      </c>
      <c r="AQ65" s="146">
        <v>4</v>
      </c>
      <c r="AR65" s="146">
        <v>2</v>
      </c>
      <c r="AT65" s="3" t="str">
        <f ca="1"/>
        <v/>
      </c>
      <c r="AV65" s="3" t="str">
        <f ca="1"/>
        <v/>
      </c>
    </row>
    <row r="66" spans="31:48" ht="25.5">
      <c r="AE66" s="106"/>
      <c r="AF66" s="98"/>
      <c r="AG66" s="98"/>
      <c r="AH66" s="868"/>
      <c r="AI66" s="98"/>
      <c r="AJ66" s="96"/>
      <c r="AN66" s="143"/>
      <c r="AO66" s="144" t="s">
        <v>134</v>
      </c>
      <c r="AP66" s="145" t="s">
        <v>137</v>
      </c>
      <c r="AQ66" s="146">
        <v>2</v>
      </c>
      <c r="AR66" s="146">
        <v>0.7</v>
      </c>
      <c r="AT66" s="3" t="str">
        <f ca="1"/>
        <v/>
      </c>
      <c r="AV66" s="3" t="str">
        <f ca="1"/>
        <v/>
      </c>
    </row>
    <row r="67" spans="31:48" ht="19.899999999999999" customHeight="1">
      <c r="AE67" s="106"/>
      <c r="AF67" s="98"/>
      <c r="AG67" s="98"/>
      <c r="AH67" s="868"/>
      <c r="AI67" s="98"/>
      <c r="AJ67" s="96"/>
      <c r="AN67" s="147">
        <v>15</v>
      </c>
      <c r="AO67" s="148" t="s">
        <v>136</v>
      </c>
      <c r="AP67" s="148" t="s">
        <v>142</v>
      </c>
      <c r="AQ67" s="149">
        <v>3</v>
      </c>
      <c r="AR67" s="149">
        <v>1</v>
      </c>
      <c r="AT67" s="3" t="str">
        <f ca="1"/>
        <v/>
      </c>
      <c r="AV67" s="3" t="str">
        <f ca="1"/>
        <v/>
      </c>
    </row>
    <row r="68" spans="31:48" ht="19.899999999999999" customHeight="1">
      <c r="AE68" s="106"/>
      <c r="AF68" s="98"/>
      <c r="AG68" s="98"/>
      <c r="AH68" s="868"/>
      <c r="AI68" s="98"/>
      <c r="AJ68" s="96"/>
      <c r="AN68" s="147"/>
      <c r="AO68" s="148" t="s">
        <v>136</v>
      </c>
      <c r="AP68" s="148" t="s">
        <v>100</v>
      </c>
      <c r="AQ68" s="149">
        <v>3</v>
      </c>
      <c r="AR68" s="149">
        <v>1</v>
      </c>
      <c r="AT68" s="3" t="str">
        <f ca="1"/>
        <v/>
      </c>
      <c r="AV68" s="3" t="str">
        <f ca="1"/>
        <v/>
      </c>
    </row>
    <row r="69" spans="31:48" ht="19.899999999999999" customHeight="1">
      <c r="AE69" s="106"/>
      <c r="AF69" s="98"/>
      <c r="AG69" s="98"/>
      <c r="AH69" s="868"/>
      <c r="AI69" s="98"/>
      <c r="AJ69" s="96"/>
      <c r="AN69" s="147"/>
      <c r="AO69" s="148" t="s">
        <v>136</v>
      </c>
      <c r="AP69" s="148" t="s">
        <v>140</v>
      </c>
      <c r="AQ69" s="149">
        <v>3</v>
      </c>
      <c r="AR69" s="149">
        <v>1</v>
      </c>
      <c r="AT69" s="3" t="str">
        <f ca="1"/>
        <v/>
      </c>
      <c r="AV69" s="3" t="str">
        <f ca="1"/>
        <v/>
      </c>
    </row>
    <row r="70" spans="31:48" ht="19.899999999999999" customHeight="1">
      <c r="AE70" s="106"/>
      <c r="AF70" s="98"/>
      <c r="AG70" s="98"/>
      <c r="AH70" s="868"/>
      <c r="AI70" s="98"/>
      <c r="AJ70" s="96"/>
      <c r="AN70" s="147"/>
      <c r="AO70" s="148" t="s">
        <v>169</v>
      </c>
      <c r="AP70" s="148" t="s">
        <v>142</v>
      </c>
      <c r="AQ70" s="149">
        <v>3</v>
      </c>
      <c r="AR70" s="149">
        <v>1</v>
      </c>
      <c r="AT70" s="3" t="str">
        <f ca="1"/>
        <v/>
      </c>
      <c r="AV70" s="3" t="str">
        <f ca="1"/>
        <v/>
      </c>
    </row>
    <row r="71" spans="31:48" ht="19.899999999999999" customHeight="1">
      <c r="AE71" s="106"/>
      <c r="AF71" s="98"/>
      <c r="AG71" s="98"/>
      <c r="AH71" s="868"/>
      <c r="AI71" s="98"/>
      <c r="AJ71" s="96"/>
      <c r="AN71" s="147"/>
      <c r="AO71" s="148" t="s">
        <v>169</v>
      </c>
      <c r="AP71" s="148" t="s">
        <v>100</v>
      </c>
      <c r="AQ71" s="149">
        <v>3</v>
      </c>
      <c r="AR71" s="149">
        <v>1</v>
      </c>
      <c r="AT71" s="3" t="str">
        <f ca="1"/>
        <v/>
      </c>
      <c r="AV71" s="3" t="str">
        <f ca="1"/>
        <v/>
      </c>
    </row>
    <row r="72" spans="31:48" ht="19.899999999999999" customHeight="1">
      <c r="AE72" s="338" t="s">
        <v>2049</v>
      </c>
      <c r="AF72" s="339" t="s">
        <v>1749</v>
      </c>
      <c r="AG72" s="339" t="s">
        <v>4</v>
      </c>
      <c r="AH72" s="338" t="s">
        <v>1655</v>
      </c>
      <c r="AI72" s="98"/>
      <c r="AJ72" s="96"/>
      <c r="AN72" s="147"/>
      <c r="AO72" s="148" t="s">
        <v>169</v>
      </c>
      <c r="AP72" s="148" t="s">
        <v>140</v>
      </c>
      <c r="AQ72" s="149">
        <v>3</v>
      </c>
      <c r="AR72" s="149">
        <v>1</v>
      </c>
      <c r="AT72" s="3" t="str">
        <f ca="1"/>
        <v/>
      </c>
      <c r="AV72" s="3" t="str">
        <f ca="1"/>
        <v/>
      </c>
    </row>
    <row r="73" spans="31:48" ht="19.899999999999999" customHeight="1">
      <c r="AE73" s="106" t="s">
        <v>2102</v>
      </c>
      <c r="AF73" s="98">
        <v>18</v>
      </c>
      <c r="AG73" s="98">
        <v>1.3</v>
      </c>
      <c r="AH73" s="868" t="s">
        <v>2103</v>
      </c>
      <c r="AI73" s="98"/>
      <c r="AJ73" s="96"/>
      <c r="AN73" s="147"/>
      <c r="AO73" s="150" t="s">
        <v>136</v>
      </c>
      <c r="AP73" s="150" t="s">
        <v>145</v>
      </c>
      <c r="AQ73" s="151">
        <v>4</v>
      </c>
      <c r="AR73" s="151">
        <v>1.4</v>
      </c>
      <c r="AT73" s="3" t="str">
        <f ca="1"/>
        <v/>
      </c>
      <c r="AV73" s="3" t="str">
        <f ca="1"/>
        <v/>
      </c>
    </row>
    <row r="74" spans="31:48" ht="19.899999999999999" customHeight="1">
      <c r="AE74" s="106" t="s">
        <v>1657</v>
      </c>
      <c r="AF74" s="98">
        <v>10</v>
      </c>
      <c r="AG74" s="98">
        <v>1.3</v>
      </c>
      <c r="AH74" s="868" t="s">
        <v>1665</v>
      </c>
      <c r="AI74" s="98"/>
      <c r="AJ74" s="96"/>
      <c r="AN74" s="147"/>
      <c r="AO74" s="150" t="s">
        <v>136</v>
      </c>
      <c r="AP74" s="150" t="s">
        <v>146</v>
      </c>
      <c r="AQ74" s="151">
        <v>4</v>
      </c>
      <c r="AR74" s="151">
        <v>1.4</v>
      </c>
      <c r="AT74" s="3" t="str">
        <f ca="1"/>
        <v/>
      </c>
      <c r="AV74" s="3" t="str">
        <f ca="1"/>
        <v/>
      </c>
    </row>
    <row r="75" spans="31:48" ht="19.899999999999999" customHeight="1">
      <c r="AE75" s="106" t="s">
        <v>1658</v>
      </c>
      <c r="AF75" s="98">
        <v>10</v>
      </c>
      <c r="AG75" s="98">
        <v>1.3</v>
      </c>
      <c r="AH75" s="868" t="s">
        <v>1666</v>
      </c>
      <c r="AI75" s="98"/>
      <c r="AJ75" s="96"/>
      <c r="AN75" s="147"/>
      <c r="AO75" s="150" t="s">
        <v>136</v>
      </c>
      <c r="AP75" s="150" t="s">
        <v>144</v>
      </c>
      <c r="AQ75" s="151">
        <v>4</v>
      </c>
      <c r="AR75" s="151">
        <v>1.4</v>
      </c>
      <c r="AT75" s="3" t="str">
        <f ca="1"/>
        <v/>
      </c>
      <c r="AV75" s="3" t="str">
        <f ca="1"/>
        <v/>
      </c>
    </row>
    <row r="76" spans="31:48" ht="19.899999999999999" customHeight="1">
      <c r="AE76" s="106" t="s">
        <v>2104</v>
      </c>
      <c r="AF76" s="98">
        <v>18</v>
      </c>
      <c r="AG76" s="98">
        <v>1.1000000000000001</v>
      </c>
      <c r="AH76" s="869" t="s">
        <v>2108</v>
      </c>
      <c r="AI76" s="98"/>
      <c r="AJ76" s="96"/>
      <c r="AN76" s="147"/>
      <c r="AO76" s="150" t="s">
        <v>136</v>
      </c>
      <c r="AP76" s="150" t="s">
        <v>141</v>
      </c>
      <c r="AQ76" s="151">
        <v>4</v>
      </c>
      <c r="AR76" s="151">
        <v>1.4</v>
      </c>
      <c r="AT76" s="3" t="str">
        <f ca="1"/>
        <v/>
      </c>
      <c r="AV76" s="3" t="str">
        <f ca="1"/>
        <v/>
      </c>
    </row>
    <row r="77" spans="31:48" ht="19.899999999999999" customHeight="1">
      <c r="AE77" s="106" t="s">
        <v>2105</v>
      </c>
      <c r="AF77" s="98">
        <v>15</v>
      </c>
      <c r="AG77" s="98">
        <v>1.1000000000000001</v>
      </c>
      <c r="AH77" s="869" t="s">
        <v>2109</v>
      </c>
      <c r="AI77" s="98"/>
      <c r="AJ77" s="96"/>
      <c r="AN77" s="147"/>
      <c r="AO77" s="150" t="s">
        <v>169</v>
      </c>
      <c r="AP77" s="150" t="s">
        <v>145</v>
      </c>
      <c r="AQ77" s="151">
        <v>4</v>
      </c>
      <c r="AR77" s="151">
        <v>1.4</v>
      </c>
      <c r="AT77" s="3" t="str">
        <f ca="1"/>
        <v/>
      </c>
      <c r="AV77" s="3" t="str">
        <f ca="1"/>
        <v/>
      </c>
    </row>
    <row r="78" spans="31:48" ht="19.899999999999999" customHeight="1">
      <c r="AE78" s="106" t="s">
        <v>2106</v>
      </c>
      <c r="AF78" s="897">
        <v>13</v>
      </c>
      <c r="AG78" s="98">
        <v>1.1000000000000001</v>
      </c>
      <c r="AH78" s="868" t="s">
        <v>2110</v>
      </c>
      <c r="AI78" s="98"/>
      <c r="AJ78" s="96"/>
      <c r="AN78" s="147"/>
      <c r="AO78" s="150" t="s">
        <v>169</v>
      </c>
      <c r="AP78" s="150" t="s">
        <v>146</v>
      </c>
      <c r="AQ78" s="151">
        <v>4</v>
      </c>
      <c r="AR78" s="151">
        <v>1.4</v>
      </c>
      <c r="AT78" s="3" t="str">
        <f ca="1"/>
        <v/>
      </c>
      <c r="AV78" s="3" t="str">
        <f ca="1"/>
        <v/>
      </c>
    </row>
    <row r="79" spans="31:48" ht="19.899999999999999" customHeight="1">
      <c r="AE79" s="106" t="s">
        <v>2107</v>
      </c>
      <c r="AF79" s="897">
        <v>24</v>
      </c>
      <c r="AG79" s="98">
        <v>1.1000000000000001</v>
      </c>
      <c r="AH79" s="868" t="s">
        <v>2111</v>
      </c>
      <c r="AI79" s="98"/>
      <c r="AJ79" s="96"/>
      <c r="AN79" s="147"/>
      <c r="AO79" s="150" t="s">
        <v>169</v>
      </c>
      <c r="AP79" s="150" t="s">
        <v>144</v>
      </c>
      <c r="AQ79" s="151">
        <v>4</v>
      </c>
      <c r="AR79" s="151">
        <v>1.4</v>
      </c>
      <c r="AT79" s="3" t="str">
        <f ca="1"/>
        <v/>
      </c>
      <c r="AV79" s="3" t="str">
        <f ca="1"/>
        <v/>
      </c>
    </row>
    <row r="80" spans="31:48" ht="19.899999999999999" customHeight="1">
      <c r="AE80" s="106" t="s">
        <v>2250</v>
      </c>
      <c r="AF80" s="897">
        <v>15</v>
      </c>
      <c r="AG80" s="98">
        <v>1.1000000000000001</v>
      </c>
      <c r="AH80" s="868" t="s">
        <v>2251</v>
      </c>
      <c r="AI80" s="98"/>
      <c r="AJ80" s="96"/>
      <c r="AN80" s="147"/>
      <c r="AO80" s="150" t="s">
        <v>169</v>
      </c>
      <c r="AP80" s="150" t="s">
        <v>141</v>
      </c>
      <c r="AQ80" s="151">
        <v>4</v>
      </c>
      <c r="AR80" s="151">
        <v>1.4</v>
      </c>
      <c r="AT80" s="3" t="str">
        <f ca="1"/>
        <v/>
      </c>
      <c r="AV80" s="3" t="str">
        <f ca="1"/>
        <v/>
      </c>
    </row>
    <row r="81" spans="31:48" ht="19.899999999999999" customHeight="1">
      <c r="AE81" s="106" t="s">
        <v>2248</v>
      </c>
      <c r="AF81" s="98">
        <v>15.5</v>
      </c>
      <c r="AG81" s="98">
        <v>1.1000000000000001</v>
      </c>
      <c r="AH81" s="868" t="s">
        <v>2252</v>
      </c>
      <c r="AI81" s="98"/>
      <c r="AJ81" s="96"/>
      <c r="AN81" s="147"/>
      <c r="AO81" s="152" t="s">
        <v>136</v>
      </c>
      <c r="AP81" s="153" t="s">
        <v>121</v>
      </c>
      <c r="AQ81" s="154">
        <v>5</v>
      </c>
      <c r="AR81" s="154">
        <v>1.8</v>
      </c>
      <c r="AT81" s="3" t="str">
        <f ca="1"/>
        <v/>
      </c>
      <c r="AV81" s="3" t="str">
        <f ca="1"/>
        <v/>
      </c>
    </row>
    <row r="82" spans="31:48" ht="19.899999999999999" customHeight="1">
      <c r="AE82" s="106" t="s">
        <v>2249</v>
      </c>
      <c r="AF82" s="98">
        <v>17</v>
      </c>
      <c r="AG82" s="98">
        <v>1.1000000000000001</v>
      </c>
      <c r="AH82" s="868" t="s">
        <v>2253</v>
      </c>
      <c r="AI82" s="98"/>
      <c r="AJ82" s="96"/>
      <c r="AN82" s="147"/>
      <c r="AO82" s="152" t="s">
        <v>169</v>
      </c>
      <c r="AP82" s="152" t="s">
        <v>121</v>
      </c>
      <c r="AQ82" s="154">
        <v>5</v>
      </c>
      <c r="AR82" s="154">
        <v>1.8</v>
      </c>
      <c r="AT82" s="3" t="str">
        <f ca="1"/>
        <v/>
      </c>
      <c r="AV82" s="3" t="str">
        <f ca="1"/>
        <v/>
      </c>
    </row>
    <row r="83" spans="31:48" ht="19.899999999999999" customHeight="1">
      <c r="AE83" s="106" t="s">
        <v>2080</v>
      </c>
      <c r="AF83" s="98">
        <v>25</v>
      </c>
      <c r="AG83" s="98">
        <v>1.1000000000000001</v>
      </c>
      <c r="AH83" s="868" t="s">
        <v>2081</v>
      </c>
      <c r="AI83" s="98"/>
      <c r="AJ83" s="96"/>
      <c r="AN83" s="155">
        <v>16</v>
      </c>
      <c r="AO83" s="156" t="s">
        <v>147</v>
      </c>
      <c r="AP83" s="156" t="s">
        <v>132</v>
      </c>
      <c r="AQ83" s="155">
        <v>0.75</v>
      </c>
      <c r="AR83" s="155" t="s">
        <v>13</v>
      </c>
      <c r="AT83" s="3" t="str">
        <f ca="1"/>
        <v/>
      </c>
      <c r="AV83" s="3" t="str">
        <f ca="1"/>
        <v/>
      </c>
    </row>
    <row r="84" spans="31:48" ht="19.899999999999999" customHeight="1">
      <c r="AE84" s="106" t="s">
        <v>2231</v>
      </c>
      <c r="AF84" s="98"/>
      <c r="AG84" s="98">
        <v>1.1000000000000001</v>
      </c>
      <c r="AH84" s="868" t="s">
        <v>2232</v>
      </c>
      <c r="AI84" s="98">
        <v>0.35</v>
      </c>
      <c r="AJ84" s="96"/>
      <c r="AN84" s="157">
        <v>17</v>
      </c>
      <c r="AO84" s="158" t="s">
        <v>148</v>
      </c>
      <c r="AP84" s="158" t="s">
        <v>149</v>
      </c>
      <c r="AQ84" s="157" t="s">
        <v>1758</v>
      </c>
      <c r="AR84" s="157" t="s">
        <v>1761</v>
      </c>
      <c r="AT84" s="3" t="str">
        <f ca="1"/>
        <v/>
      </c>
      <c r="AV84" s="3" t="str">
        <f ca="1"/>
        <v/>
      </c>
    </row>
    <row r="85" spans="31:48" ht="19.899999999999999" customHeight="1">
      <c r="AE85" s="106" t="s">
        <v>2234</v>
      </c>
      <c r="AF85" s="98">
        <v>18</v>
      </c>
      <c r="AG85" s="98">
        <v>1.1000000000000001</v>
      </c>
      <c r="AH85" s="868" t="s">
        <v>2235</v>
      </c>
      <c r="AI85" s="98"/>
      <c r="AJ85" s="96"/>
      <c r="AN85" s="157"/>
      <c r="AO85" s="158" t="s">
        <v>148</v>
      </c>
      <c r="AP85" s="158" t="s">
        <v>150</v>
      </c>
      <c r="AQ85" s="157" t="s">
        <v>1759</v>
      </c>
      <c r="AR85" s="157" t="s">
        <v>1760</v>
      </c>
      <c r="AT85" s="3" t="str">
        <f ca="1"/>
        <v/>
      </c>
      <c r="AV85" s="3" t="str">
        <f ca="1"/>
        <v/>
      </c>
    </row>
    <row r="86" spans="31:48" ht="19.899999999999999" customHeight="1">
      <c r="AE86" s="106"/>
      <c r="AF86" s="98"/>
      <c r="AG86" s="98"/>
      <c r="AH86" s="868"/>
      <c r="AI86" s="98"/>
      <c r="AJ86" s="96"/>
      <c r="AN86" s="100">
        <v>18</v>
      </c>
      <c r="AO86" s="159" t="s">
        <v>151</v>
      </c>
      <c r="AP86" s="159" t="s">
        <v>152</v>
      </c>
      <c r="AQ86" s="100">
        <v>4</v>
      </c>
      <c r="AR86" s="100">
        <v>1.4</v>
      </c>
      <c r="AT86" s="3" t="str">
        <f ca="1"/>
        <v/>
      </c>
      <c r="AV86" s="3" t="str">
        <f ca="1"/>
        <v/>
      </c>
    </row>
    <row r="87" spans="31:48" ht="19.899999999999999" customHeight="1">
      <c r="AE87" s="106"/>
      <c r="AF87" s="98"/>
      <c r="AG87" s="98"/>
      <c r="AH87" s="868"/>
      <c r="AI87" s="98"/>
      <c r="AJ87" s="96"/>
      <c r="AN87" s="100"/>
      <c r="AO87" s="159" t="s">
        <v>151</v>
      </c>
      <c r="AP87" s="101" t="s">
        <v>153</v>
      </c>
      <c r="AQ87" s="100">
        <v>1.5</v>
      </c>
      <c r="AR87" s="100">
        <v>0.5</v>
      </c>
      <c r="AT87" s="3" t="str">
        <f ca="1"/>
        <v/>
      </c>
      <c r="AV87" s="3" t="str">
        <f ca="1"/>
        <v/>
      </c>
    </row>
    <row r="88" spans="31:48" ht="19.899999999999999" customHeight="1">
      <c r="AE88" s="106"/>
      <c r="AF88" s="98"/>
      <c r="AG88" s="98"/>
      <c r="AH88" s="868"/>
      <c r="AI88" s="98"/>
      <c r="AJ88" s="96"/>
      <c r="AN88" s="100"/>
      <c r="AO88" s="159" t="s">
        <v>151</v>
      </c>
      <c r="AP88" s="159" t="s">
        <v>154</v>
      </c>
      <c r="AQ88" s="100">
        <v>0.5</v>
      </c>
      <c r="AR88" s="100" t="s">
        <v>13</v>
      </c>
      <c r="AT88" s="3" t="str">
        <f ca="1"/>
        <v/>
      </c>
      <c r="AV88" s="3" t="str">
        <f ca="1"/>
        <v/>
      </c>
    </row>
    <row r="89" spans="31:48" ht="25.5">
      <c r="AE89" s="106"/>
      <c r="AF89" s="98"/>
      <c r="AG89" s="98"/>
      <c r="AH89" s="868"/>
      <c r="AI89" s="98"/>
      <c r="AJ89" s="96"/>
      <c r="AN89" s="111">
        <v>19</v>
      </c>
      <c r="AO89" s="160" t="s">
        <v>155</v>
      </c>
      <c r="AP89" s="112" t="s">
        <v>156</v>
      </c>
      <c r="AQ89" s="111">
        <v>0.3</v>
      </c>
      <c r="AR89" s="111" t="s">
        <v>13</v>
      </c>
      <c r="AT89" s="3" t="str">
        <f ca="1"/>
        <v/>
      </c>
      <c r="AV89" s="3" t="str">
        <f ca="1"/>
        <v/>
      </c>
    </row>
    <row r="90" spans="31:48" ht="25.5">
      <c r="AE90" s="106"/>
      <c r="AF90" s="98"/>
      <c r="AG90" s="98"/>
      <c r="AH90" s="868"/>
      <c r="AI90" s="98"/>
      <c r="AJ90" s="96"/>
      <c r="AN90" s="111"/>
      <c r="AO90" s="160" t="s">
        <v>155</v>
      </c>
      <c r="AP90" s="112" t="s">
        <v>157</v>
      </c>
      <c r="AQ90" s="111">
        <v>0.75</v>
      </c>
      <c r="AR90" s="111" t="s">
        <v>13</v>
      </c>
      <c r="AT90" s="3" t="str">
        <f ca="1"/>
        <v/>
      </c>
      <c r="AV90" s="3" t="str">
        <f ca="1"/>
        <v/>
      </c>
    </row>
    <row r="91" spans="31:48" ht="19.899999999999999" customHeight="1">
      <c r="AE91" s="106"/>
      <c r="AF91" s="98"/>
      <c r="AG91" s="98"/>
      <c r="AH91" s="868"/>
      <c r="AI91" s="98"/>
      <c r="AJ91" s="96"/>
      <c r="AN91" s="161">
        <v>20</v>
      </c>
      <c r="AO91" s="162" t="s">
        <v>158</v>
      </c>
      <c r="AP91" s="162" t="s">
        <v>132</v>
      </c>
      <c r="AQ91" s="161">
        <v>4</v>
      </c>
      <c r="AR91" s="161">
        <v>1.4</v>
      </c>
      <c r="AT91" s="3" t="str">
        <f ca="1"/>
        <v/>
      </c>
      <c r="AV91" s="3" t="str">
        <f ca="1"/>
        <v/>
      </c>
    </row>
    <row r="92" spans="31:48" ht="38.25">
      <c r="AE92" s="106"/>
      <c r="AF92" s="98"/>
      <c r="AG92" s="98"/>
      <c r="AH92" s="868"/>
      <c r="AI92" s="98"/>
      <c r="AJ92" s="96"/>
      <c r="AN92" s="163">
        <v>21</v>
      </c>
      <c r="AO92" s="164" t="s">
        <v>159</v>
      </c>
      <c r="AP92" s="165" t="s">
        <v>160</v>
      </c>
      <c r="AQ92" s="163">
        <v>5</v>
      </c>
      <c r="AR92" s="163">
        <v>1.8</v>
      </c>
      <c r="AT92" s="3" t="str">
        <f ca="1"/>
        <v/>
      </c>
      <c r="AV92" s="3" t="str">
        <f ca="1"/>
        <v/>
      </c>
    </row>
    <row r="93" spans="31:48" ht="40.5" customHeight="1">
      <c r="AE93" s="106"/>
      <c r="AF93" s="98"/>
      <c r="AG93" s="98"/>
      <c r="AH93" s="868"/>
      <c r="AI93" s="98"/>
      <c r="AJ93" s="96"/>
      <c r="AN93" s="163">
        <v>22</v>
      </c>
      <c r="AO93" s="164" t="s">
        <v>2084</v>
      </c>
      <c r="AP93" s="165" t="s">
        <v>2086</v>
      </c>
      <c r="AQ93" s="163">
        <v>20</v>
      </c>
      <c r="AR93" s="163"/>
      <c r="AT93" s="3" t="str">
        <f t="array" aca="1" ref="AT93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V93" s="3" t="str">
        <f t="array" aca="1" ref="AV93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</row>
    <row r="94" spans="31:48" ht="19.899999999999999" customHeight="1">
      <c r="AE94" s="106"/>
      <c r="AF94" s="98"/>
      <c r="AG94" s="98"/>
      <c r="AH94" s="868"/>
      <c r="AI94" s="98"/>
      <c r="AJ94" s="96"/>
    </row>
    <row r="95" spans="31:48" ht="19.899999999999999" customHeight="1">
      <c r="AE95" s="106"/>
      <c r="AF95" s="98"/>
      <c r="AG95" s="98"/>
      <c r="AH95" s="868"/>
      <c r="AI95" s="98"/>
      <c r="AJ95" s="96"/>
    </row>
    <row r="96" spans="31:48" ht="19.899999999999999" customHeight="1">
      <c r="AE96" s="106"/>
      <c r="AF96" s="98"/>
      <c r="AG96" s="98"/>
      <c r="AH96" s="868"/>
      <c r="AI96" s="98"/>
      <c r="AJ96" s="96"/>
    </row>
    <row r="97" spans="31:36" ht="19.899999999999999" customHeight="1">
      <c r="AE97" s="106"/>
      <c r="AF97" s="98"/>
      <c r="AG97" s="98"/>
      <c r="AH97" s="868"/>
      <c r="AI97" s="98"/>
      <c r="AJ97" s="96"/>
    </row>
    <row r="98" spans="31:36" ht="19.899999999999999" customHeight="1">
      <c r="AE98" s="106"/>
      <c r="AF98" s="98"/>
      <c r="AG98" s="98"/>
      <c r="AH98" s="868"/>
      <c r="AI98" s="98"/>
      <c r="AJ98" s="96"/>
    </row>
  </sheetData>
  <phoneticPr fontId="0" type="noConversion"/>
  <printOptions gridLines="1" gridLinesSet="0"/>
  <pageMargins left="0.5" right="0.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W677"/>
  <sheetViews>
    <sheetView topLeftCell="A13" zoomScale="85" zoomScaleNormal="85" workbookViewId="0">
      <selection activeCell="AS683" sqref="AS683"/>
    </sheetView>
  </sheetViews>
  <sheetFormatPr defaultColWidth="8.77734375" defaultRowHeight="15"/>
  <cols>
    <col min="1" max="1" width="8.77734375" style="95"/>
    <col min="2" max="18" width="5.77734375" style="2" customWidth="1"/>
    <col min="19" max="19" width="8.77734375" style="95"/>
    <col min="20" max="20" width="23.109375" style="2" customWidth="1"/>
    <col min="21" max="25" width="10.77734375" style="2" customWidth="1"/>
    <col min="26" max="26" width="5.77734375" style="2" customWidth="1"/>
    <col min="27" max="29" width="9.21875" style="2" customWidth="1"/>
    <col min="30" max="30" width="5.77734375" style="3" customWidth="1"/>
    <col min="31" max="38" width="9.77734375" style="3" customWidth="1"/>
    <col min="39" max="39" width="10.88671875" style="3" customWidth="1"/>
    <col min="40" max="40" width="10.77734375" style="166" customWidth="1"/>
    <col min="41" max="41" width="20.33203125" style="167" customWidth="1"/>
    <col min="42" max="42" width="28.77734375" style="167" customWidth="1"/>
    <col min="43" max="43" width="21.33203125" style="166" customWidth="1"/>
    <col min="44" max="44" width="24.77734375" style="245" customWidth="1"/>
    <col min="45" max="46" width="9.21875" style="245" customWidth="1"/>
    <col min="47" max="47" width="16.21875" style="245" customWidth="1"/>
    <col min="48" max="48" width="8.77734375" style="246"/>
    <col min="49" max="49" width="22.33203125" style="181" customWidth="1"/>
    <col min="50" max="16384" width="8.77734375" style="95"/>
  </cols>
  <sheetData>
    <row r="1" spans="2:49" ht="19.5" thickBot="1">
      <c r="T1" s="460" t="s">
        <v>2066</v>
      </c>
      <c r="AO1" s="244" t="s">
        <v>1594</v>
      </c>
      <c r="AS1" s="1248" t="s">
        <v>912</v>
      </c>
      <c r="AT1" s="1248"/>
      <c r="AU1" s="1248" t="s">
        <v>913</v>
      </c>
    </row>
    <row r="2" spans="2:49" ht="20.25" thickBot="1">
      <c r="B2" s="1253" t="s">
        <v>60</v>
      </c>
      <c r="C2" s="1254"/>
      <c r="D2" s="1254"/>
      <c r="E2" s="1254"/>
      <c r="F2" s="1254"/>
      <c r="G2" s="1254"/>
      <c r="H2" s="1254"/>
      <c r="I2" s="1254"/>
      <c r="J2" s="1254"/>
      <c r="K2" s="1254"/>
      <c r="L2" s="1254"/>
      <c r="M2" s="1254"/>
      <c r="N2" s="1254"/>
      <c r="O2" s="1254"/>
      <c r="P2" s="1254"/>
      <c r="Q2" s="1254"/>
      <c r="R2" s="1255"/>
      <c r="AE2" s="5" t="s">
        <v>68</v>
      </c>
      <c r="AF2" s="6"/>
      <c r="AG2" s="6"/>
      <c r="AH2" s="6"/>
      <c r="AI2" s="6"/>
      <c r="AJ2" s="6"/>
      <c r="AK2" s="6"/>
      <c r="AL2" s="7"/>
      <c r="AN2" s="168" t="s">
        <v>170</v>
      </c>
      <c r="AO2" s="168" t="s">
        <v>789</v>
      </c>
      <c r="AP2" s="168" t="s">
        <v>171</v>
      </c>
      <c r="AQ2" s="168" t="s">
        <v>1592</v>
      </c>
      <c r="AR2" s="248" t="s">
        <v>1593</v>
      </c>
      <c r="AS2" s="235" t="s">
        <v>915</v>
      </c>
      <c r="AT2" s="236" t="s">
        <v>916</v>
      </c>
      <c r="AU2" s="1248"/>
      <c r="AV2" s="247"/>
      <c r="AW2" s="168" t="s">
        <v>789</v>
      </c>
    </row>
    <row r="3" spans="2:49" ht="15" customHeight="1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1"/>
      <c r="T3" s="1274" t="s">
        <v>16</v>
      </c>
      <c r="U3" s="1245" t="s">
        <v>67</v>
      </c>
      <c r="V3" s="1245" t="s">
        <v>47</v>
      </c>
      <c r="W3" s="1245" t="s">
        <v>17</v>
      </c>
      <c r="X3" s="1272" t="s">
        <v>66</v>
      </c>
      <c r="Y3" s="1273"/>
      <c r="AA3" s="1267" t="s">
        <v>52</v>
      </c>
      <c r="AB3" s="1268"/>
      <c r="AC3" s="1269"/>
      <c r="AE3" s="12" t="s">
        <v>39</v>
      </c>
      <c r="AF3" s="13"/>
      <c r="AG3" s="13"/>
      <c r="AH3" s="13"/>
      <c r="AI3" s="14"/>
      <c r="AJ3" s="14"/>
      <c r="AK3" s="14"/>
      <c r="AL3" s="15"/>
      <c r="AN3" s="169">
        <v>1</v>
      </c>
      <c r="AO3" s="170" t="s">
        <v>793</v>
      </c>
      <c r="AP3" s="171" t="s">
        <v>172</v>
      </c>
      <c r="AQ3" s="172" t="s">
        <v>25</v>
      </c>
      <c r="AR3" s="249" t="s">
        <v>923</v>
      </c>
      <c r="AS3" s="172">
        <v>105.8129</v>
      </c>
      <c r="AT3" s="172">
        <v>21.0398</v>
      </c>
      <c r="AU3" s="172">
        <v>9.7600000000000006E-2</v>
      </c>
      <c r="AV3" s="247"/>
      <c r="AW3" s="182" t="s">
        <v>793</v>
      </c>
    </row>
    <row r="4" spans="2:49" ht="15" customHeight="1">
      <c r="B4" s="21" t="s">
        <v>61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3"/>
      <c r="T4" s="1275"/>
      <c r="U4" s="1246"/>
      <c r="V4" s="1247"/>
      <c r="W4" s="1246"/>
      <c r="X4" s="24">
        <v>0.3</v>
      </c>
      <c r="Y4" s="25">
        <v>0.15</v>
      </c>
      <c r="AA4" s="26"/>
      <c r="AB4" s="1270" t="s">
        <v>51</v>
      </c>
      <c r="AC4" s="1271"/>
      <c r="AE4" s="27"/>
      <c r="AF4" s="28">
        <v>5</v>
      </c>
      <c r="AG4" s="28">
        <v>10</v>
      </c>
      <c r="AH4" s="28">
        <v>20</v>
      </c>
      <c r="AI4" s="28">
        <v>40</v>
      </c>
      <c r="AJ4" s="28">
        <v>80</v>
      </c>
      <c r="AK4" s="28">
        <v>160</v>
      </c>
      <c r="AL4" s="29">
        <v>350</v>
      </c>
      <c r="AN4" s="169">
        <f>AN3+1</f>
        <v>2</v>
      </c>
      <c r="AO4" s="170" t="s">
        <v>793</v>
      </c>
      <c r="AP4" s="171" t="s">
        <v>173</v>
      </c>
      <c r="AQ4" s="172" t="s">
        <v>25</v>
      </c>
      <c r="AR4" s="249" t="s">
        <v>928</v>
      </c>
      <c r="AS4" s="172">
        <v>105.79949999999999</v>
      </c>
      <c r="AT4" s="172">
        <v>21.033300000000001</v>
      </c>
      <c r="AU4" s="172">
        <v>0.1032</v>
      </c>
      <c r="AV4" s="247"/>
      <c r="AW4" s="182" t="s">
        <v>794</v>
      </c>
    </row>
    <row r="5" spans="2:49" ht="15" customHeight="1">
      <c r="B5" s="30"/>
      <c r="R5" s="31"/>
      <c r="T5" s="26" t="s">
        <v>18</v>
      </c>
      <c r="U5" s="32">
        <v>55</v>
      </c>
      <c r="V5" s="32" t="s">
        <v>0</v>
      </c>
      <c r="W5" s="32" t="s">
        <v>19</v>
      </c>
      <c r="X5" s="32">
        <v>1.1000000000000001</v>
      </c>
      <c r="Y5" s="33">
        <v>3.4</v>
      </c>
      <c r="AA5" s="26"/>
      <c r="AB5" s="24">
        <v>1</v>
      </c>
      <c r="AC5" s="25">
        <v>2</v>
      </c>
      <c r="AE5" s="34">
        <v>0.1</v>
      </c>
      <c r="AF5" s="35">
        <v>0.95</v>
      </c>
      <c r="AG5" s="35">
        <v>0.92</v>
      </c>
      <c r="AH5" s="35">
        <v>0.88</v>
      </c>
      <c r="AI5" s="35">
        <v>0.83</v>
      </c>
      <c r="AJ5" s="35">
        <v>0.76</v>
      </c>
      <c r="AK5" s="35">
        <v>0.67</v>
      </c>
      <c r="AL5" s="36">
        <v>0.56000000000000005</v>
      </c>
      <c r="AN5" s="169">
        <f t="shared" ref="AN5:AN68" si="0">AN4+1</f>
        <v>3</v>
      </c>
      <c r="AO5" s="170" t="s">
        <v>793</v>
      </c>
      <c r="AP5" s="171" t="s">
        <v>174</v>
      </c>
      <c r="AQ5" s="172" t="s">
        <v>25</v>
      </c>
      <c r="AR5" s="249" t="s">
        <v>930</v>
      </c>
      <c r="AS5" s="172">
        <v>105.8329</v>
      </c>
      <c r="AT5" s="172">
        <v>21.0183</v>
      </c>
      <c r="AU5" s="172">
        <v>9.8299999999999998E-2</v>
      </c>
      <c r="AV5" s="247"/>
      <c r="AW5" s="182" t="s">
        <v>795</v>
      </c>
    </row>
    <row r="6" spans="2:49" ht="15" customHeight="1">
      <c r="B6" s="37"/>
      <c r="C6" s="38">
        <v>3</v>
      </c>
      <c r="D6" s="38">
        <v>5</v>
      </c>
      <c r="E6" s="38">
        <v>10</v>
      </c>
      <c r="F6" s="38">
        <v>15</v>
      </c>
      <c r="G6" s="38">
        <v>20</v>
      </c>
      <c r="H6" s="38">
        <v>30</v>
      </c>
      <c r="I6" s="38">
        <v>40</v>
      </c>
      <c r="J6" s="38">
        <v>50</v>
      </c>
      <c r="K6" s="38">
        <v>60</v>
      </c>
      <c r="L6" s="38">
        <v>80</v>
      </c>
      <c r="M6" s="38">
        <v>100</v>
      </c>
      <c r="N6" s="39"/>
      <c r="O6" s="39"/>
      <c r="P6" s="39"/>
      <c r="Q6" s="39"/>
      <c r="R6" s="40"/>
      <c r="T6" s="26" t="s">
        <v>21</v>
      </c>
      <c r="U6" s="32">
        <v>65</v>
      </c>
      <c r="V6" s="32" t="s">
        <v>1</v>
      </c>
      <c r="W6" s="32" t="s">
        <v>22</v>
      </c>
      <c r="X6" s="32">
        <v>1.1000000000000001</v>
      </c>
      <c r="Y6" s="33">
        <v>3.4</v>
      </c>
      <c r="AA6" s="41" t="s">
        <v>63</v>
      </c>
      <c r="AB6" s="42" t="s">
        <v>64</v>
      </c>
      <c r="AC6" s="43" t="s">
        <v>65</v>
      </c>
      <c r="AE6" s="34">
        <v>5</v>
      </c>
      <c r="AF6" s="35">
        <v>0.89</v>
      </c>
      <c r="AG6" s="35">
        <v>0.87</v>
      </c>
      <c r="AH6" s="35">
        <v>0.84</v>
      </c>
      <c r="AI6" s="35">
        <v>0.8</v>
      </c>
      <c r="AJ6" s="35">
        <v>0.73</v>
      </c>
      <c r="AK6" s="35">
        <v>0.65</v>
      </c>
      <c r="AL6" s="36">
        <v>0.54</v>
      </c>
      <c r="AN6" s="169">
        <f t="shared" si="0"/>
        <v>4</v>
      </c>
      <c r="AO6" s="170" t="s">
        <v>793</v>
      </c>
      <c r="AP6" s="171" t="s">
        <v>788</v>
      </c>
      <c r="AQ6" s="172" t="s">
        <v>25</v>
      </c>
      <c r="AR6" s="249" t="s">
        <v>936</v>
      </c>
      <c r="AS6" s="172">
        <v>105.846</v>
      </c>
      <c r="AT6" s="172">
        <v>21.012499999999999</v>
      </c>
      <c r="AU6" s="172">
        <v>9.5899999999999999E-2</v>
      </c>
      <c r="AV6" s="247"/>
      <c r="AW6" s="182" t="s">
        <v>796</v>
      </c>
    </row>
    <row r="7" spans="2:49" ht="15" customHeight="1">
      <c r="B7" s="44" t="s">
        <v>0</v>
      </c>
      <c r="C7" s="38">
        <v>1</v>
      </c>
      <c r="D7" s="38">
        <v>1.07</v>
      </c>
      <c r="E7" s="38">
        <v>1.18</v>
      </c>
      <c r="F7" s="38">
        <v>1.24</v>
      </c>
      <c r="G7" s="38">
        <v>1.29</v>
      </c>
      <c r="H7" s="38">
        <v>1.37</v>
      </c>
      <c r="I7" s="38">
        <v>1.43</v>
      </c>
      <c r="J7" s="38">
        <v>1.47</v>
      </c>
      <c r="K7" s="38">
        <v>1.51</v>
      </c>
      <c r="L7" s="38">
        <v>1.57</v>
      </c>
      <c r="M7" s="38">
        <v>1.62</v>
      </c>
      <c r="N7" s="39"/>
      <c r="O7" s="39"/>
      <c r="P7" s="39"/>
      <c r="Q7" s="39"/>
      <c r="R7" s="40"/>
      <c r="T7" s="26" t="s">
        <v>23</v>
      </c>
      <c r="U7" s="32">
        <v>83</v>
      </c>
      <c r="V7" s="32" t="s">
        <v>2</v>
      </c>
      <c r="W7" s="32" t="s">
        <v>24</v>
      </c>
      <c r="X7" s="32">
        <v>1.3</v>
      </c>
      <c r="Y7" s="33">
        <v>4.0999999999999996</v>
      </c>
      <c r="AA7" s="45">
        <v>0</v>
      </c>
      <c r="AB7" s="46">
        <v>1.1599999999999999</v>
      </c>
      <c r="AC7" s="47">
        <v>1.1599999999999999</v>
      </c>
      <c r="AE7" s="34">
        <v>10</v>
      </c>
      <c r="AF7" s="35">
        <v>0.85</v>
      </c>
      <c r="AG7" s="35">
        <v>0.84</v>
      </c>
      <c r="AH7" s="35">
        <v>0.81</v>
      </c>
      <c r="AI7" s="35">
        <v>0.77</v>
      </c>
      <c r="AJ7" s="35">
        <v>0.71</v>
      </c>
      <c r="AK7" s="35">
        <v>0.64</v>
      </c>
      <c r="AL7" s="36">
        <v>0.53</v>
      </c>
      <c r="AN7" s="169">
        <f t="shared" si="0"/>
        <v>5</v>
      </c>
      <c r="AO7" s="170" t="s">
        <v>793</v>
      </c>
      <c r="AP7" s="171" t="s">
        <v>175</v>
      </c>
      <c r="AQ7" s="172" t="s">
        <v>25</v>
      </c>
      <c r="AR7" s="249" t="s">
        <v>938</v>
      </c>
      <c r="AS7" s="172">
        <v>105.8502</v>
      </c>
      <c r="AT7" s="172">
        <v>21.0291</v>
      </c>
      <c r="AU7" s="172">
        <v>8.9200000000000002E-2</v>
      </c>
      <c r="AV7" s="247"/>
      <c r="AW7" s="182" t="s">
        <v>797</v>
      </c>
    </row>
    <row r="8" spans="2:49" ht="15" customHeight="1">
      <c r="B8" s="44" t="s">
        <v>1</v>
      </c>
      <c r="C8" s="38">
        <v>0.8</v>
      </c>
      <c r="D8" s="38">
        <v>0.88</v>
      </c>
      <c r="E8" s="38">
        <v>1</v>
      </c>
      <c r="F8" s="38">
        <v>1.08</v>
      </c>
      <c r="G8" s="38">
        <v>1.1299999999999999</v>
      </c>
      <c r="H8" s="38">
        <v>1.22</v>
      </c>
      <c r="I8" s="38">
        <v>1.28</v>
      </c>
      <c r="J8" s="38">
        <v>1.34</v>
      </c>
      <c r="K8" s="38">
        <v>1.38</v>
      </c>
      <c r="L8" s="38">
        <v>1.45</v>
      </c>
      <c r="M8" s="38">
        <v>1.51</v>
      </c>
      <c r="N8" s="39"/>
      <c r="O8" s="39"/>
      <c r="P8" s="39"/>
      <c r="Q8" s="39"/>
      <c r="R8" s="40"/>
      <c r="T8" s="26" t="s">
        <v>25</v>
      </c>
      <c r="U8" s="32">
        <v>95</v>
      </c>
      <c r="V8" s="48"/>
      <c r="W8" s="32" t="s">
        <v>26</v>
      </c>
      <c r="X8" s="32">
        <v>1.3</v>
      </c>
      <c r="Y8" s="33">
        <v>4.0999999999999996</v>
      </c>
      <c r="AA8" s="45">
        <v>5.0000000000000001E-3</v>
      </c>
      <c r="AB8" s="46">
        <f>(AB7+AB9)/2</f>
        <v>1.1949999999999998</v>
      </c>
      <c r="AC8" s="47">
        <f>(AC7+AC9)/2</f>
        <v>1.2849999999999999</v>
      </c>
      <c r="AE8" s="34">
        <v>20</v>
      </c>
      <c r="AF8" s="35">
        <v>0.8</v>
      </c>
      <c r="AG8" s="35">
        <v>0.78</v>
      </c>
      <c r="AH8" s="35">
        <v>0.76</v>
      </c>
      <c r="AI8" s="35">
        <v>0.73</v>
      </c>
      <c r="AJ8" s="35">
        <v>0.68</v>
      </c>
      <c r="AK8" s="35">
        <v>0.61</v>
      </c>
      <c r="AL8" s="36">
        <v>0.51</v>
      </c>
      <c r="AN8" s="169">
        <f t="shared" si="0"/>
        <v>6</v>
      </c>
      <c r="AO8" s="170" t="s">
        <v>793</v>
      </c>
      <c r="AP8" s="171" t="s">
        <v>176</v>
      </c>
      <c r="AQ8" s="172" t="s">
        <v>25</v>
      </c>
      <c r="AR8" s="249" t="s">
        <v>940</v>
      </c>
      <c r="AS8" s="172">
        <v>105.8383</v>
      </c>
      <c r="AT8" s="172">
        <v>21.002199999999998</v>
      </c>
      <c r="AU8" s="172">
        <v>0.10009999999999999</v>
      </c>
      <c r="AV8" s="247"/>
      <c r="AW8" s="182" t="s">
        <v>798</v>
      </c>
    </row>
    <row r="9" spans="2:49" ht="15" customHeight="1">
      <c r="B9" s="44" t="s">
        <v>2</v>
      </c>
      <c r="C9" s="38">
        <v>0.47</v>
      </c>
      <c r="D9" s="38">
        <v>0.54</v>
      </c>
      <c r="E9" s="38">
        <v>0.66</v>
      </c>
      <c r="F9" s="38">
        <v>0.74</v>
      </c>
      <c r="G9" s="38">
        <v>0.8</v>
      </c>
      <c r="H9" s="38">
        <v>0.89</v>
      </c>
      <c r="I9" s="38">
        <v>0.97</v>
      </c>
      <c r="J9" s="38">
        <v>1.03</v>
      </c>
      <c r="K9" s="38">
        <v>1.08</v>
      </c>
      <c r="L9" s="38">
        <v>1.18</v>
      </c>
      <c r="M9" s="38">
        <v>1.25</v>
      </c>
      <c r="N9" s="39"/>
      <c r="O9" s="39"/>
      <c r="P9" s="39"/>
      <c r="Q9" s="39"/>
      <c r="R9" s="40"/>
      <c r="T9" s="26" t="s">
        <v>27</v>
      </c>
      <c r="U9" s="32">
        <v>110</v>
      </c>
      <c r="V9" s="48"/>
      <c r="W9" s="32"/>
      <c r="X9" s="32">
        <v>1.6</v>
      </c>
      <c r="Y9" s="33">
        <v>5</v>
      </c>
      <c r="AA9" s="45">
        <v>0.01</v>
      </c>
      <c r="AB9" s="46">
        <v>1.23</v>
      </c>
      <c r="AC9" s="47">
        <v>1.41</v>
      </c>
      <c r="AE9" s="34">
        <v>40</v>
      </c>
      <c r="AF9" s="35">
        <v>0.72</v>
      </c>
      <c r="AG9" s="35">
        <v>0.72</v>
      </c>
      <c r="AH9" s="35">
        <v>0.7</v>
      </c>
      <c r="AI9" s="35">
        <v>0.67</v>
      </c>
      <c r="AJ9" s="35">
        <v>0.63</v>
      </c>
      <c r="AK9" s="35">
        <v>0.56999999999999995</v>
      </c>
      <c r="AL9" s="36">
        <v>0.48</v>
      </c>
      <c r="AN9" s="169">
        <f t="shared" si="0"/>
        <v>7</v>
      </c>
      <c r="AO9" s="170" t="s">
        <v>793</v>
      </c>
      <c r="AP9" s="171" t="s">
        <v>177</v>
      </c>
      <c r="AQ9" s="172" t="s">
        <v>25</v>
      </c>
      <c r="AR9" s="249" t="s">
        <v>943</v>
      </c>
      <c r="AS9" s="172">
        <v>105.8908</v>
      </c>
      <c r="AT9" s="172">
        <v>21.055</v>
      </c>
      <c r="AU9" s="172">
        <v>7.4700000000000003E-2</v>
      </c>
      <c r="AV9" s="247"/>
      <c r="AW9" s="182" t="s">
        <v>799</v>
      </c>
    </row>
    <row r="10" spans="2:49" ht="15" customHeight="1">
      <c r="B10" s="30"/>
      <c r="R10" s="31"/>
      <c r="T10" s="26" t="s">
        <v>28</v>
      </c>
      <c r="U10" s="32">
        <v>125</v>
      </c>
      <c r="V10" s="48"/>
      <c r="W10" s="32"/>
      <c r="X10" s="32">
        <v>1.6</v>
      </c>
      <c r="Y10" s="33">
        <v>5</v>
      </c>
      <c r="AA10" s="45">
        <v>1.4999999999999999E-2</v>
      </c>
      <c r="AB10" s="46">
        <f>(AB9+AB11)/2</f>
        <v>1.2749999999999999</v>
      </c>
      <c r="AC10" s="47">
        <f>(AC9+AC11)/2</f>
        <v>1.5249999999999999</v>
      </c>
      <c r="AE10" s="34">
        <v>80</v>
      </c>
      <c r="AF10" s="35">
        <v>0.63</v>
      </c>
      <c r="AG10" s="35">
        <v>0.63</v>
      </c>
      <c r="AH10" s="35">
        <v>0.61</v>
      </c>
      <c r="AI10" s="35">
        <v>0.59</v>
      </c>
      <c r="AJ10" s="35">
        <v>0.56000000000000005</v>
      </c>
      <c r="AK10" s="35">
        <v>0.51</v>
      </c>
      <c r="AL10" s="36">
        <v>0.44</v>
      </c>
      <c r="AN10" s="169">
        <f t="shared" si="0"/>
        <v>8</v>
      </c>
      <c r="AO10" s="170" t="s">
        <v>793</v>
      </c>
      <c r="AP10" s="171" t="s">
        <v>178</v>
      </c>
      <c r="AQ10" s="172" t="s">
        <v>25</v>
      </c>
      <c r="AR10" s="249" t="s">
        <v>945</v>
      </c>
      <c r="AS10" s="172">
        <v>105.82550000000001</v>
      </c>
      <c r="AT10" s="172">
        <v>21.0779</v>
      </c>
      <c r="AU10" s="172">
        <v>8.1900000000000001E-2</v>
      </c>
      <c r="AV10" s="247"/>
      <c r="AW10" s="182" t="s">
        <v>800</v>
      </c>
    </row>
    <row r="11" spans="2:49" ht="15" customHeight="1">
      <c r="B11" s="30"/>
      <c r="R11" s="31"/>
      <c r="T11" s="26" t="s">
        <v>30</v>
      </c>
      <c r="U11" s="32">
        <v>155</v>
      </c>
      <c r="V11" s="48"/>
      <c r="W11" s="32"/>
      <c r="X11" s="32">
        <v>1.7</v>
      </c>
      <c r="Y11" s="33">
        <v>5.6</v>
      </c>
      <c r="AA11" s="45">
        <v>0.02</v>
      </c>
      <c r="AB11" s="46">
        <v>1.32</v>
      </c>
      <c r="AC11" s="47">
        <v>1.64</v>
      </c>
      <c r="AE11" s="34">
        <v>160</v>
      </c>
      <c r="AF11" s="35">
        <v>0.53</v>
      </c>
      <c r="AG11" s="35">
        <v>0.53</v>
      </c>
      <c r="AH11" s="35">
        <v>0.52</v>
      </c>
      <c r="AI11" s="35">
        <v>0.5</v>
      </c>
      <c r="AJ11" s="35">
        <v>0.47</v>
      </c>
      <c r="AK11" s="35">
        <v>0.44</v>
      </c>
      <c r="AL11" s="36">
        <v>0.38</v>
      </c>
      <c r="AN11" s="169">
        <f t="shared" si="0"/>
        <v>9</v>
      </c>
      <c r="AO11" s="170" t="s">
        <v>793</v>
      </c>
      <c r="AP11" s="171" t="s">
        <v>179</v>
      </c>
      <c r="AQ11" s="172" t="s">
        <v>25</v>
      </c>
      <c r="AR11" s="249" t="s">
        <v>947</v>
      </c>
      <c r="AS11" s="172">
        <v>105.79900000000001</v>
      </c>
      <c r="AT11" s="172">
        <v>20.991099999999999</v>
      </c>
      <c r="AU11" s="172">
        <v>0.10970000000000001</v>
      </c>
      <c r="AV11" s="247"/>
      <c r="AW11" s="182" t="s">
        <v>801</v>
      </c>
    </row>
    <row r="12" spans="2:49" ht="15" customHeight="1">
      <c r="B12" s="30"/>
      <c r="R12" s="31"/>
      <c r="T12" s="26" t="s">
        <v>32</v>
      </c>
      <c r="U12" s="32">
        <v>155</v>
      </c>
      <c r="V12" s="48"/>
      <c r="W12" s="32"/>
      <c r="X12" s="32">
        <v>1.7</v>
      </c>
      <c r="Y12" s="33">
        <v>5.6</v>
      </c>
      <c r="AA12" s="45">
        <v>2.5000000000000001E-2</v>
      </c>
      <c r="AB12" s="46">
        <f>(AB11+AB13)/2</f>
        <v>1.3599999999999999</v>
      </c>
      <c r="AC12" s="47">
        <f>(AC11+AC13)/2</f>
        <v>1.7349999999999999</v>
      </c>
      <c r="AE12" s="53"/>
      <c r="AF12" s="54"/>
      <c r="AG12" s="54"/>
      <c r="AH12" s="54"/>
      <c r="AI12" s="55"/>
      <c r="AJ12" s="55"/>
      <c r="AK12" s="55"/>
      <c r="AL12" s="56"/>
      <c r="AN12" s="169">
        <f t="shared" si="0"/>
        <v>10</v>
      </c>
      <c r="AO12" s="170" t="s">
        <v>793</v>
      </c>
      <c r="AP12" s="173" t="s">
        <v>197</v>
      </c>
      <c r="AQ12" s="172" t="s">
        <v>25</v>
      </c>
      <c r="AR12" s="249" t="s">
        <v>949</v>
      </c>
      <c r="AS12" s="172">
        <v>105.84950000000001</v>
      </c>
      <c r="AT12" s="172">
        <v>21.139399999999998</v>
      </c>
      <c r="AU12" s="172">
        <v>7.5700000000000003E-2</v>
      </c>
      <c r="AV12" s="247"/>
      <c r="AW12" s="182" t="s">
        <v>270</v>
      </c>
    </row>
    <row r="13" spans="2:49" ht="15" customHeight="1">
      <c r="B13" s="30"/>
      <c r="R13" s="31"/>
      <c r="T13" s="26" t="s">
        <v>207</v>
      </c>
      <c r="U13" s="32">
        <v>185</v>
      </c>
      <c r="V13" s="48"/>
      <c r="W13" s="32"/>
      <c r="X13" s="32">
        <v>1.9</v>
      </c>
      <c r="Y13" s="33">
        <v>5.9</v>
      </c>
      <c r="AA13" s="45">
        <v>0.03</v>
      </c>
      <c r="AB13" s="46">
        <v>1.4</v>
      </c>
      <c r="AC13" s="47">
        <v>1.83</v>
      </c>
      <c r="AE13" s="57" t="s">
        <v>40</v>
      </c>
      <c r="AF13" s="58"/>
      <c r="AG13" s="55"/>
      <c r="AH13" s="59"/>
      <c r="AI13" s="60"/>
      <c r="AJ13" s="60"/>
      <c r="AK13" s="61" t="s">
        <v>41</v>
      </c>
      <c r="AL13" s="62" t="s">
        <v>42</v>
      </c>
      <c r="AN13" s="169">
        <f t="shared" si="0"/>
        <v>11</v>
      </c>
      <c r="AO13" s="170" t="s">
        <v>793</v>
      </c>
      <c r="AP13" s="171" t="s">
        <v>198</v>
      </c>
      <c r="AQ13" s="172" t="s">
        <v>25</v>
      </c>
      <c r="AR13" s="249" t="s">
        <v>950</v>
      </c>
      <c r="AS13" s="172">
        <v>105.9366</v>
      </c>
      <c r="AT13" s="172">
        <v>21.019200000000001</v>
      </c>
      <c r="AU13" s="172">
        <v>7.6899999999999996E-2</v>
      </c>
      <c r="AV13" s="247"/>
      <c r="AW13" s="182" t="s">
        <v>277</v>
      </c>
    </row>
    <row r="14" spans="2:49" ht="15" customHeight="1">
      <c r="B14" s="30"/>
      <c r="R14" s="31"/>
      <c r="T14" s="64" t="s">
        <v>34</v>
      </c>
      <c r="U14" s="65"/>
      <c r="V14" s="65"/>
      <c r="W14" s="65"/>
      <c r="X14" s="65"/>
      <c r="Y14" s="66"/>
      <c r="AA14" s="45">
        <v>3.5000000000000003E-2</v>
      </c>
      <c r="AB14" s="46">
        <f>(AB13+AB15)/2</f>
        <v>1.45</v>
      </c>
      <c r="AC14" s="47">
        <f>(AC13+AC15)/2</f>
        <v>1.9</v>
      </c>
      <c r="AE14" s="67" t="s">
        <v>9</v>
      </c>
      <c r="AF14" s="68">
        <v>25</v>
      </c>
      <c r="AG14" s="55"/>
      <c r="AH14" s="59"/>
      <c r="AI14" s="60"/>
      <c r="AJ14" s="60"/>
      <c r="AK14" s="69">
        <f t="array" ref="AK14">MAX(IF(AF4:AL4&lt;AF15,AF4:AL4,""))</f>
        <v>20</v>
      </c>
      <c r="AL14" s="25">
        <f t="array" ref="AL14">MIN(IF(AF4:AL4&gt;AF15,AF4:AL4,""))</f>
        <v>40</v>
      </c>
      <c r="AN14" s="169">
        <f t="shared" si="0"/>
        <v>12</v>
      </c>
      <c r="AO14" s="170" t="s">
        <v>793</v>
      </c>
      <c r="AP14" s="171" t="s">
        <v>199</v>
      </c>
      <c r="AQ14" s="172" t="s">
        <v>25</v>
      </c>
      <c r="AR14" s="249" t="s">
        <v>952</v>
      </c>
      <c r="AS14" s="172">
        <v>105.8485</v>
      </c>
      <c r="AT14" s="172">
        <v>21.257400000000001</v>
      </c>
      <c r="AU14" s="172">
        <v>9.6199999999999994E-2</v>
      </c>
      <c r="AV14" s="247"/>
      <c r="AW14" s="182" t="s">
        <v>803</v>
      </c>
    </row>
    <row r="15" spans="2:49" ht="15" customHeight="1">
      <c r="B15" s="30"/>
      <c r="R15" s="31"/>
      <c r="T15" s="70" t="s">
        <v>49</v>
      </c>
      <c r="U15" s="71"/>
      <c r="V15" s="71"/>
      <c r="W15" s="71"/>
      <c r="X15" s="71"/>
      <c r="Y15" s="72"/>
      <c r="AA15" s="45">
        <v>0.04</v>
      </c>
      <c r="AB15" s="46">
        <v>1.5</v>
      </c>
      <c r="AC15" s="47">
        <v>1.97</v>
      </c>
      <c r="AE15" s="67" t="s">
        <v>10</v>
      </c>
      <c r="AF15" s="68">
        <v>28</v>
      </c>
      <c r="AG15" s="55"/>
      <c r="AH15" s="59"/>
      <c r="AI15" s="61" t="s">
        <v>41</v>
      </c>
      <c r="AJ15" s="24">
        <f t="array" ref="AJ15">MAX(IF(AE5:AE11&lt;AF14,AE5:AE11,""))</f>
        <v>20</v>
      </c>
      <c r="AK15" s="73">
        <f>INDEX($AF$5:$AL$11,MATCH($AJ15,$AE$5:$AE$11,0),MATCH(AK$14,$AF$4:$AL$4,0))</f>
        <v>0.76</v>
      </c>
      <c r="AL15" s="74">
        <f>INDEX($AF$5:$AL$11,MATCH($AJ15,$AE$5:$AE$11,0),MATCH(AL$14,$AF$4:$AL$4,0))</f>
        <v>0.73</v>
      </c>
      <c r="AN15" s="169">
        <f t="shared" si="0"/>
        <v>13</v>
      </c>
      <c r="AO15" s="170" t="s">
        <v>793</v>
      </c>
      <c r="AP15" s="171" t="s">
        <v>200</v>
      </c>
      <c r="AQ15" s="172" t="s">
        <v>25</v>
      </c>
      <c r="AR15" s="249" t="s">
        <v>956</v>
      </c>
      <c r="AS15" s="172">
        <v>105.8451</v>
      </c>
      <c r="AT15" s="172">
        <v>20.946100000000001</v>
      </c>
      <c r="AU15" s="172">
        <v>0.1047</v>
      </c>
      <c r="AV15" s="247"/>
      <c r="AW15" s="182" t="s">
        <v>805</v>
      </c>
    </row>
    <row r="16" spans="2:49" ht="15" customHeight="1">
      <c r="B16" s="30"/>
      <c r="R16" s="31"/>
      <c r="T16" s="70" t="s">
        <v>48</v>
      </c>
      <c r="U16" s="71"/>
      <c r="V16" s="71"/>
      <c r="W16" s="71"/>
      <c r="X16" s="71"/>
      <c r="Y16" s="72"/>
      <c r="AA16" s="45">
        <v>4.4999999999999998E-2</v>
      </c>
      <c r="AB16" s="46">
        <f>(AB15+AB17)/2</f>
        <v>1.54</v>
      </c>
      <c r="AC16" s="47">
        <f>(AC15+AC17)/2</f>
        <v>2.0150000000000001</v>
      </c>
      <c r="AE16" s="78"/>
      <c r="AF16" s="79"/>
      <c r="AG16" s="55"/>
      <c r="AH16" s="59"/>
      <c r="AI16" s="61" t="s">
        <v>42</v>
      </c>
      <c r="AJ16" s="24">
        <f t="array" ref="AJ16">MIN(IF(AE5:AE11&gt;AF14,AE5:AE11,""))</f>
        <v>40</v>
      </c>
      <c r="AK16" s="73">
        <f>INDEX($AF$5:$AL$11,MATCH($AJ16,$AE$5:$AE$11,0),MATCH(AK$14,$AF$4:$AL$4,0))</f>
        <v>0.7</v>
      </c>
      <c r="AL16" s="74">
        <f>INDEX($AF$5:$AL$11,MATCH($AJ16,$AE$5:$AE$11,0),MATCH(AL$14,$AF$4:$AL$4,0))</f>
        <v>0.67</v>
      </c>
      <c r="AN16" s="169">
        <f t="shared" si="0"/>
        <v>14</v>
      </c>
      <c r="AO16" s="170" t="s">
        <v>793</v>
      </c>
      <c r="AP16" s="171" t="s">
        <v>2181</v>
      </c>
      <c r="AQ16" s="172" t="s">
        <v>25</v>
      </c>
      <c r="AR16" s="249" t="s">
        <v>957</v>
      </c>
      <c r="AS16" s="172">
        <v>105.7625</v>
      </c>
      <c r="AT16" s="172">
        <v>21.0398</v>
      </c>
      <c r="AU16" s="172">
        <v>0.1081</v>
      </c>
      <c r="AV16" s="247"/>
      <c r="AW16" s="182" t="s">
        <v>299</v>
      </c>
    </row>
    <row r="17" spans="2:49" ht="15" customHeight="1" thickBot="1">
      <c r="B17" s="30"/>
      <c r="R17" s="31"/>
      <c r="T17" s="80" t="s">
        <v>7</v>
      </c>
      <c r="U17" s="81"/>
      <c r="V17" s="81"/>
      <c r="W17" s="81"/>
      <c r="X17" s="81"/>
      <c r="Y17" s="82"/>
      <c r="AA17" s="45">
        <v>0.05</v>
      </c>
      <c r="AB17" s="46">
        <v>1.58</v>
      </c>
      <c r="AC17" s="47">
        <v>2.06</v>
      </c>
      <c r="AE17" s="1264" t="s">
        <v>43</v>
      </c>
      <c r="AF17" s="1265"/>
      <c r="AG17" s="1266"/>
      <c r="AH17" s="55"/>
      <c r="AI17" s="83"/>
      <c r="AJ17" s="83"/>
      <c r="AK17" s="83"/>
      <c r="AL17" s="84"/>
      <c r="AN17" s="169">
        <f t="shared" si="0"/>
        <v>15</v>
      </c>
      <c r="AO17" s="170" t="s">
        <v>793</v>
      </c>
      <c r="AP17" s="171" t="s">
        <v>2182</v>
      </c>
      <c r="AQ17" s="172" t="s">
        <v>25</v>
      </c>
      <c r="AR17" s="249" t="s">
        <v>957</v>
      </c>
      <c r="AS17" s="172">
        <v>105.7625</v>
      </c>
      <c r="AT17" s="172">
        <v>21.0398</v>
      </c>
      <c r="AU17" s="172">
        <v>0.1081</v>
      </c>
      <c r="AV17" s="247"/>
      <c r="AW17" s="182" t="s">
        <v>825</v>
      </c>
    </row>
    <row r="18" spans="2:49" ht="15" customHeight="1">
      <c r="B18" s="30"/>
      <c r="R18" s="31"/>
      <c r="AA18" s="45">
        <v>5.5E-2</v>
      </c>
      <c r="AB18" s="46">
        <f>(AB17+AB19)/2</f>
        <v>1.62</v>
      </c>
      <c r="AC18" s="47">
        <f>(AC17+AC19)/2</f>
        <v>2.0949999999999998</v>
      </c>
      <c r="AE18" s="85"/>
      <c r="AF18" s="86">
        <f>AK16+(AJ16-AF14)/(AJ16-AJ15)*(AK15-AK16)</f>
        <v>0.745</v>
      </c>
      <c r="AG18" s="86">
        <f>AL16+(AJ16-AF14)/(AJ16-AJ15)*(AL15-AL16)</f>
        <v>0.71499999999999997</v>
      </c>
      <c r="AH18" s="87" t="s">
        <v>44</v>
      </c>
      <c r="AI18" s="55"/>
      <c r="AJ18" s="83"/>
      <c r="AK18" s="83"/>
      <c r="AL18" s="84"/>
      <c r="AN18" s="169">
        <f t="shared" si="0"/>
        <v>16</v>
      </c>
      <c r="AO18" s="178" t="s">
        <v>793</v>
      </c>
      <c r="AP18" s="171" t="s">
        <v>2180</v>
      </c>
      <c r="AQ18" s="172" t="s">
        <v>25</v>
      </c>
      <c r="AR18" s="249" t="s">
        <v>1219</v>
      </c>
      <c r="AS18" s="172">
        <v>105.77889999999999</v>
      </c>
      <c r="AT18" s="172">
        <v>20.9712</v>
      </c>
      <c r="AU18" s="172">
        <v>0.11310000000000001</v>
      </c>
      <c r="AV18" s="247"/>
      <c r="AW18" s="182" t="s">
        <v>315</v>
      </c>
    </row>
    <row r="19" spans="2:49" ht="15" customHeight="1" thickBot="1">
      <c r="B19" s="30"/>
      <c r="R19" s="31"/>
      <c r="AA19" s="45">
        <v>0.06</v>
      </c>
      <c r="AB19" s="46">
        <v>1.66</v>
      </c>
      <c r="AC19" s="47">
        <v>2.13</v>
      </c>
      <c r="AE19" s="88" t="s">
        <v>45</v>
      </c>
      <c r="AF19" s="89">
        <f>AG18+(AL14-AF15)*(AF18-AG18)/(AL14-AK14)</f>
        <v>0.73299999999999998</v>
      </c>
      <c r="AG19" s="90"/>
      <c r="AH19" s="91" t="s">
        <v>46</v>
      </c>
      <c r="AI19" s="92"/>
      <c r="AJ19" s="93"/>
      <c r="AK19" s="93"/>
      <c r="AL19" s="94"/>
      <c r="AN19" s="169">
        <f t="shared" si="0"/>
        <v>17</v>
      </c>
      <c r="AO19" s="178" t="s">
        <v>793</v>
      </c>
      <c r="AP19" s="171" t="s">
        <v>429</v>
      </c>
      <c r="AQ19" s="172" t="s">
        <v>25</v>
      </c>
      <c r="AR19" s="249" t="s">
        <v>1213</v>
      </c>
      <c r="AS19" s="172">
        <v>105.5103</v>
      </c>
      <c r="AT19" s="172">
        <v>21.131399999999999</v>
      </c>
      <c r="AU19" s="172">
        <v>0.1145</v>
      </c>
      <c r="AV19" s="247"/>
      <c r="AW19" s="182" t="s">
        <v>325</v>
      </c>
    </row>
    <row r="20" spans="2:49" ht="15" customHeight="1">
      <c r="B20" s="30"/>
      <c r="R20" s="31"/>
      <c r="AA20" s="45">
        <v>6.5000000000000002E-2</v>
      </c>
      <c r="AB20" s="46">
        <f>(AB19+AB21)/2</f>
        <v>1.7050000000000001</v>
      </c>
      <c r="AC20" s="47">
        <f>(AC19+AC21)/2</f>
        <v>2.17</v>
      </c>
      <c r="AN20" s="169">
        <f t="shared" si="0"/>
        <v>18</v>
      </c>
      <c r="AO20" s="178" t="s">
        <v>793</v>
      </c>
      <c r="AP20" s="171" t="s">
        <v>430</v>
      </c>
      <c r="AQ20" s="172" t="s">
        <v>25</v>
      </c>
      <c r="AR20" s="249" t="s">
        <v>1220</v>
      </c>
      <c r="AS20" s="172">
        <v>105.4251</v>
      </c>
      <c r="AT20" s="172">
        <v>21.195799999999998</v>
      </c>
      <c r="AU20" s="172">
        <v>0.1167</v>
      </c>
      <c r="AV20" s="247"/>
      <c r="AW20" s="182" t="s">
        <v>333</v>
      </c>
    </row>
    <row r="21" spans="2:49" ht="15" customHeight="1">
      <c r="B21" s="30"/>
      <c r="R21" s="31"/>
      <c r="AA21" s="45">
        <v>7.0000000000000007E-2</v>
      </c>
      <c r="AB21" s="46">
        <v>1.75</v>
      </c>
      <c r="AC21" s="47">
        <v>2.21</v>
      </c>
      <c r="AN21" s="169">
        <f t="shared" si="0"/>
        <v>19</v>
      </c>
      <c r="AO21" s="178" t="s">
        <v>793</v>
      </c>
      <c r="AP21" s="171" t="s">
        <v>806</v>
      </c>
      <c r="AQ21" s="172" t="s">
        <v>25</v>
      </c>
      <c r="AR21" s="249" t="s">
        <v>1221</v>
      </c>
      <c r="AS21" s="172">
        <v>105.70099999999999</v>
      </c>
      <c r="AT21" s="172">
        <v>20.916399999999999</v>
      </c>
      <c r="AU21" s="172">
        <v>0.11409999999999999</v>
      </c>
      <c r="AV21" s="247"/>
      <c r="AW21" s="182" t="s">
        <v>347</v>
      </c>
    </row>
    <row r="22" spans="2:49" ht="15" customHeight="1">
      <c r="B22" s="30"/>
      <c r="R22" s="31"/>
      <c r="AA22" s="45">
        <v>7.4999999999999997E-2</v>
      </c>
      <c r="AB22" s="46">
        <f>(AB21+AB23)/2</f>
        <v>1.7749999999999999</v>
      </c>
      <c r="AC22" s="47">
        <f>(AC21+AC23)/2</f>
        <v>2.2349999999999999</v>
      </c>
      <c r="AN22" s="169">
        <f t="shared" si="0"/>
        <v>20</v>
      </c>
      <c r="AO22" s="178" t="s">
        <v>793</v>
      </c>
      <c r="AP22" s="171" t="s">
        <v>842</v>
      </c>
      <c r="AQ22" s="172" t="s">
        <v>25</v>
      </c>
      <c r="AR22" s="249" t="s">
        <v>1222</v>
      </c>
      <c r="AS22" s="172">
        <v>105.65779999999999</v>
      </c>
      <c r="AT22" s="172">
        <v>21.089500000000001</v>
      </c>
      <c r="AU22" s="172">
        <v>0.11550000000000001</v>
      </c>
      <c r="AV22" s="247"/>
      <c r="AW22" s="182" t="s">
        <v>361</v>
      </c>
    </row>
    <row r="23" spans="2:49" ht="15" customHeight="1">
      <c r="B23" s="30"/>
      <c r="R23" s="31"/>
      <c r="AA23" s="45">
        <v>0.08</v>
      </c>
      <c r="AB23" s="46">
        <v>1.8</v>
      </c>
      <c r="AC23" s="47">
        <v>2.2599999999999998</v>
      </c>
      <c r="AN23" s="169">
        <f t="shared" si="0"/>
        <v>21</v>
      </c>
      <c r="AO23" s="178" t="s">
        <v>793</v>
      </c>
      <c r="AP23" s="171" t="s">
        <v>431</v>
      </c>
      <c r="AQ23" s="172" t="s">
        <v>25</v>
      </c>
      <c r="AR23" s="249" t="s">
        <v>1223</v>
      </c>
      <c r="AS23" s="172">
        <v>105.7098</v>
      </c>
      <c r="AT23" s="172">
        <v>21.067699999999999</v>
      </c>
      <c r="AU23" s="172">
        <v>0.1123</v>
      </c>
      <c r="AV23" s="247"/>
      <c r="AW23" s="182" t="s">
        <v>367</v>
      </c>
    </row>
    <row r="24" spans="2:49" ht="15" customHeight="1">
      <c r="B24" s="30"/>
      <c r="R24" s="31"/>
      <c r="AA24" s="45">
        <v>8.5000000000000006E-2</v>
      </c>
      <c r="AB24" s="46">
        <f>(AB23+AB25)/2</f>
        <v>1.82</v>
      </c>
      <c r="AC24" s="47">
        <f>(AC23+AC25)/2</f>
        <v>2.2949999999999999</v>
      </c>
      <c r="AN24" s="169">
        <f t="shared" si="0"/>
        <v>22</v>
      </c>
      <c r="AO24" s="178" t="s">
        <v>793</v>
      </c>
      <c r="AP24" s="171" t="s">
        <v>432</v>
      </c>
      <c r="AQ24" s="172" t="s">
        <v>25</v>
      </c>
      <c r="AR24" s="249" t="s">
        <v>1224</v>
      </c>
      <c r="AS24" s="172">
        <v>105.73560000000001</v>
      </c>
      <c r="AT24" s="172">
        <v>20.683700000000002</v>
      </c>
      <c r="AU24" s="172">
        <v>9.1200000000000003E-2</v>
      </c>
      <c r="AV24" s="247"/>
      <c r="AW24" s="182" t="s">
        <v>374</v>
      </c>
    </row>
    <row r="25" spans="2:49" ht="15" customHeight="1">
      <c r="B25" s="37"/>
      <c r="C25" s="38">
        <v>3</v>
      </c>
      <c r="D25" s="38">
        <v>5</v>
      </c>
      <c r="E25" s="38">
        <v>10</v>
      </c>
      <c r="F25" s="38">
        <v>15</v>
      </c>
      <c r="G25" s="38">
        <v>20</v>
      </c>
      <c r="H25" s="38">
        <v>30</v>
      </c>
      <c r="I25" s="38">
        <v>40</v>
      </c>
      <c r="J25" s="38">
        <v>50</v>
      </c>
      <c r="K25" s="38">
        <v>60</v>
      </c>
      <c r="L25" s="38">
        <v>80</v>
      </c>
      <c r="M25" s="104">
        <v>100</v>
      </c>
      <c r="N25" s="1258" t="s">
        <v>59</v>
      </c>
      <c r="O25" s="1259"/>
      <c r="P25" s="1259"/>
      <c r="Q25" s="1259"/>
      <c r="R25" s="1260"/>
      <c r="AA25" s="45">
        <v>0.09</v>
      </c>
      <c r="AB25" s="46">
        <v>1.84</v>
      </c>
      <c r="AC25" s="47">
        <v>2.33</v>
      </c>
      <c r="AN25" s="169">
        <f t="shared" si="0"/>
        <v>23</v>
      </c>
      <c r="AO25" s="178" t="s">
        <v>793</v>
      </c>
      <c r="AP25" s="171" t="s">
        <v>433</v>
      </c>
      <c r="AQ25" s="172" t="s">
        <v>25</v>
      </c>
      <c r="AR25" s="249" t="s">
        <v>1225</v>
      </c>
      <c r="AS25" s="172">
        <v>105.9152</v>
      </c>
      <c r="AT25" s="172">
        <v>20.743400000000001</v>
      </c>
      <c r="AU25" s="172">
        <v>0.11459999999999999</v>
      </c>
      <c r="AV25" s="247"/>
      <c r="AW25" s="182" t="s">
        <v>386</v>
      </c>
    </row>
    <row r="26" spans="2:49" ht="15" customHeight="1">
      <c r="B26" s="44" t="s">
        <v>0</v>
      </c>
      <c r="C26" s="38">
        <f t="shared" ref="C26:M26" si="1">0.857*C25^0.1381</f>
        <v>0.99740437116576985</v>
      </c>
      <c r="D26" s="38">
        <f t="shared" si="1"/>
        <v>1.0703075267127806</v>
      </c>
      <c r="E26" s="38">
        <f t="shared" si="1"/>
        <v>1.1778251456268247</v>
      </c>
      <c r="F26" s="38">
        <f t="shared" si="1"/>
        <v>1.2456585830046105</v>
      </c>
      <c r="G26" s="38">
        <f t="shared" si="1"/>
        <v>1.2961434345244294</v>
      </c>
      <c r="H26" s="38">
        <f t="shared" si="1"/>
        <v>1.3707910720153493</v>
      </c>
      <c r="I26" s="38">
        <f t="shared" si="1"/>
        <v>1.4263473734606966</v>
      </c>
      <c r="J26" s="38">
        <f t="shared" si="1"/>
        <v>1.4709861359579548</v>
      </c>
      <c r="K26" s="38">
        <f t="shared" si="1"/>
        <v>1.5084937307496846</v>
      </c>
      <c r="L26" s="38">
        <f t="shared" si="1"/>
        <v>1.5696309340367858</v>
      </c>
      <c r="M26" s="104">
        <f t="shared" si="1"/>
        <v>1.6187538782623698</v>
      </c>
      <c r="N26" s="1261" t="s">
        <v>53</v>
      </c>
      <c r="O26" s="1262"/>
      <c r="P26" s="1262"/>
      <c r="Q26" s="1262"/>
      <c r="R26" s="1263"/>
      <c r="AA26" s="45">
        <v>9.5000000000000001E-2</v>
      </c>
      <c r="AB26" s="46">
        <f>(AB25+AB27)/2</f>
        <v>1.87</v>
      </c>
      <c r="AC26" s="47">
        <f>(AC25+AC27)/2</f>
        <v>2.3650000000000002</v>
      </c>
      <c r="AN26" s="169">
        <f t="shared" si="0"/>
        <v>24</v>
      </c>
      <c r="AO26" s="178" t="s">
        <v>793</v>
      </c>
      <c r="AP26" s="171" t="s">
        <v>434</v>
      </c>
      <c r="AQ26" s="172" t="s">
        <v>25</v>
      </c>
      <c r="AR26" s="249" t="s">
        <v>1226</v>
      </c>
      <c r="AS26" s="172">
        <v>105.5397</v>
      </c>
      <c r="AT26" s="172">
        <v>21.107099999999999</v>
      </c>
      <c r="AU26" s="172">
        <v>0.11409999999999999</v>
      </c>
      <c r="AV26" s="247"/>
      <c r="AW26" s="182" t="s">
        <v>208</v>
      </c>
    </row>
    <row r="27" spans="2:49" ht="15" customHeight="1">
      <c r="B27" s="44" t="s">
        <v>1</v>
      </c>
      <c r="C27" s="38">
        <f t="shared" ref="C27:M27" si="2">0.6583*C25^0.1808</f>
        <v>0.80294792097044654</v>
      </c>
      <c r="D27" s="38">
        <f t="shared" si="2"/>
        <v>0.88063842645364043</v>
      </c>
      <c r="E27" s="38">
        <f t="shared" si="2"/>
        <v>0.99821445628827221</v>
      </c>
      <c r="F27" s="38">
        <f t="shared" si="2"/>
        <v>1.0741406557004951</v>
      </c>
      <c r="G27" s="38">
        <f t="shared" si="2"/>
        <v>1.1314883280253343</v>
      </c>
      <c r="H27" s="38">
        <f t="shared" si="2"/>
        <v>1.2175516061967382</v>
      </c>
      <c r="I27" s="38">
        <f t="shared" si="2"/>
        <v>1.2825558960727386</v>
      </c>
      <c r="J27" s="38">
        <f t="shared" si="2"/>
        <v>1.3353577518593045</v>
      </c>
      <c r="K27" s="38">
        <f t="shared" si="2"/>
        <v>1.3801096773359693</v>
      </c>
      <c r="L27" s="38">
        <f t="shared" si="2"/>
        <v>1.4537928371048248</v>
      </c>
      <c r="M27" s="104">
        <f t="shared" si="2"/>
        <v>1.5136443881860717</v>
      </c>
      <c r="N27" s="1261" t="s">
        <v>54</v>
      </c>
      <c r="O27" s="1262"/>
      <c r="P27" s="1262"/>
      <c r="Q27" s="1262"/>
      <c r="R27" s="1263"/>
      <c r="AA27" s="45">
        <v>0.1</v>
      </c>
      <c r="AB27" s="46">
        <v>1.9</v>
      </c>
      <c r="AC27" s="47">
        <v>2.4</v>
      </c>
      <c r="AN27" s="169">
        <f t="shared" si="0"/>
        <v>25</v>
      </c>
      <c r="AO27" s="178" t="s">
        <v>793</v>
      </c>
      <c r="AP27" s="171" t="s">
        <v>435</v>
      </c>
      <c r="AQ27" s="172" t="s">
        <v>25</v>
      </c>
      <c r="AR27" s="249" t="s">
        <v>1227</v>
      </c>
      <c r="AS27" s="172">
        <v>105.6431</v>
      </c>
      <c r="AT27" s="172">
        <v>20.9923</v>
      </c>
      <c r="AU27" s="172">
        <v>0.11609999999999999</v>
      </c>
      <c r="AV27" s="247"/>
      <c r="AW27" s="182" t="s">
        <v>408</v>
      </c>
    </row>
    <row r="28" spans="2:49" ht="15" customHeight="1">
      <c r="B28" s="44" t="s">
        <v>2</v>
      </c>
      <c r="C28" s="38">
        <f t="shared" ref="C28:M28" si="3">0.346*C25^0.2791</f>
        <v>0.47015454736070317</v>
      </c>
      <c r="D28" s="38">
        <f t="shared" si="3"/>
        <v>0.54219889356260553</v>
      </c>
      <c r="E28" s="38">
        <f t="shared" si="3"/>
        <v>0.65792456014200529</v>
      </c>
      <c r="F28" s="38">
        <f t="shared" si="3"/>
        <v>0.73675513116300839</v>
      </c>
      <c r="G28" s="38">
        <f t="shared" si="3"/>
        <v>0.79835044294141455</v>
      </c>
      <c r="H28" s="38">
        <f t="shared" si="3"/>
        <v>0.8940064270839716</v>
      </c>
      <c r="I28" s="38">
        <f t="shared" si="3"/>
        <v>0.9687484984709881</v>
      </c>
      <c r="J28" s="38">
        <f t="shared" si="3"/>
        <v>1.0309999091232924</v>
      </c>
      <c r="K28" s="38">
        <f t="shared" si="3"/>
        <v>1.0848210726483747</v>
      </c>
      <c r="L28" s="38">
        <f t="shared" si="3"/>
        <v>1.1755159173358933</v>
      </c>
      <c r="M28" s="104">
        <f t="shared" si="3"/>
        <v>1.2510541238093964</v>
      </c>
      <c r="N28" s="1261" t="s">
        <v>55</v>
      </c>
      <c r="O28" s="1262"/>
      <c r="P28" s="1262"/>
      <c r="Q28" s="1262"/>
      <c r="R28" s="1263"/>
      <c r="AA28" s="45">
        <v>0.105</v>
      </c>
      <c r="AB28" s="46">
        <f>(AB27+AB29)/2</f>
        <v>1.9249999999999998</v>
      </c>
      <c r="AC28" s="47">
        <f>(AC27+AC29)/2</f>
        <v>2.4299999999999997</v>
      </c>
      <c r="AN28" s="169">
        <f t="shared" si="0"/>
        <v>26</v>
      </c>
      <c r="AO28" s="178" t="s">
        <v>793</v>
      </c>
      <c r="AP28" s="171" t="s">
        <v>436</v>
      </c>
      <c r="AQ28" s="172" t="s">
        <v>25</v>
      </c>
      <c r="AR28" s="249" t="s">
        <v>1228</v>
      </c>
      <c r="AS28" s="172">
        <v>105.57689999999999</v>
      </c>
      <c r="AT28" s="172">
        <v>21.054400000000001</v>
      </c>
      <c r="AU28" s="172">
        <v>0.114</v>
      </c>
      <c r="AV28" s="247"/>
      <c r="AW28" s="182" t="s">
        <v>420</v>
      </c>
    </row>
    <row r="29" spans="2:49" ht="15" customHeight="1">
      <c r="B29" s="30"/>
      <c r="R29" s="31"/>
      <c r="AA29" s="45">
        <v>0.11</v>
      </c>
      <c r="AB29" s="46">
        <v>1.95</v>
      </c>
      <c r="AC29" s="47">
        <v>2.46</v>
      </c>
      <c r="AN29" s="169">
        <f t="shared" si="0"/>
        <v>27</v>
      </c>
      <c r="AO29" s="178" t="s">
        <v>793</v>
      </c>
      <c r="AP29" s="171" t="s">
        <v>437</v>
      </c>
      <c r="AQ29" s="172" t="s">
        <v>25</v>
      </c>
      <c r="AR29" s="249" t="s">
        <v>1229</v>
      </c>
      <c r="AS29" s="172">
        <v>105.76479999999999</v>
      </c>
      <c r="AT29" s="172">
        <v>20.855</v>
      </c>
      <c r="AU29" s="172">
        <v>0.1128</v>
      </c>
      <c r="AV29" s="247"/>
      <c r="AW29" s="182" t="s">
        <v>2143</v>
      </c>
    </row>
    <row r="30" spans="2:49" ht="15" customHeight="1">
      <c r="B30" s="21" t="s">
        <v>62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R30" s="31"/>
      <c r="AA30" s="45">
        <v>0.115</v>
      </c>
      <c r="AB30" s="46">
        <f>(AB29+AB31)/2</f>
        <v>1.9649999999999999</v>
      </c>
      <c r="AC30" s="47">
        <f>(AC29+AC31)/2</f>
        <v>2.4900000000000002</v>
      </c>
      <c r="AN30" s="169">
        <f t="shared" si="0"/>
        <v>28</v>
      </c>
      <c r="AO30" s="178" t="s">
        <v>793</v>
      </c>
      <c r="AP30" s="171" t="s">
        <v>841</v>
      </c>
      <c r="AQ30" s="172" t="s">
        <v>25</v>
      </c>
      <c r="AR30" s="249" t="s">
        <v>1230</v>
      </c>
      <c r="AS30" s="172">
        <v>105.8612</v>
      </c>
      <c r="AT30" s="172">
        <v>20.870899999999999</v>
      </c>
      <c r="AU30" s="172">
        <v>0.1104</v>
      </c>
      <c r="AV30" s="247"/>
      <c r="AW30" s="182" t="s">
        <v>2144</v>
      </c>
    </row>
    <row r="31" spans="2:49" ht="15" customHeight="1">
      <c r="B31" s="30"/>
      <c r="R31" s="31"/>
      <c r="AA31" s="45">
        <v>0.12</v>
      </c>
      <c r="AB31" s="46">
        <v>1.98</v>
      </c>
      <c r="AC31" s="47">
        <v>2.52</v>
      </c>
      <c r="AN31" s="169">
        <f t="shared" si="0"/>
        <v>29</v>
      </c>
      <c r="AO31" s="178" t="s">
        <v>793</v>
      </c>
      <c r="AP31" s="171" t="s">
        <v>843</v>
      </c>
      <c r="AQ31" s="172" t="s">
        <v>25</v>
      </c>
      <c r="AR31" s="249" t="s">
        <v>1231</v>
      </c>
      <c r="AS31" s="172">
        <v>105.7701</v>
      </c>
      <c r="AT31" s="172">
        <v>20.738499999999998</v>
      </c>
      <c r="AU31" s="172">
        <v>0.11169999999999999</v>
      </c>
      <c r="AV31" s="247"/>
      <c r="AW31" s="182" t="s">
        <v>2145</v>
      </c>
    </row>
    <row r="32" spans="2:49" ht="15" customHeight="1">
      <c r="B32" s="37"/>
      <c r="C32" s="38">
        <v>5</v>
      </c>
      <c r="D32" s="38">
        <v>10</v>
      </c>
      <c r="E32" s="38">
        <v>20</v>
      </c>
      <c r="F32" s="38">
        <v>40</v>
      </c>
      <c r="G32" s="38">
        <v>60</v>
      </c>
      <c r="H32" s="38">
        <v>80</v>
      </c>
      <c r="I32" s="38">
        <v>100</v>
      </c>
      <c r="J32" s="38">
        <v>150</v>
      </c>
      <c r="K32" s="38">
        <v>200</v>
      </c>
      <c r="L32" s="38">
        <v>250</v>
      </c>
      <c r="M32" s="38">
        <v>300</v>
      </c>
      <c r="N32" s="38">
        <v>350</v>
      </c>
      <c r="O32" s="38">
        <v>480</v>
      </c>
      <c r="R32" s="31"/>
      <c r="AA32" s="45">
        <v>0.125</v>
      </c>
      <c r="AB32" s="46">
        <f>(AB31+AB33)/2</f>
        <v>1.99</v>
      </c>
      <c r="AC32" s="47">
        <f>(AC31+AC33)/2</f>
        <v>2.5700000000000003</v>
      </c>
      <c r="AN32" s="169">
        <f t="shared" si="0"/>
        <v>30</v>
      </c>
      <c r="AO32" s="171" t="s">
        <v>793</v>
      </c>
      <c r="AP32" s="171" t="s">
        <v>776</v>
      </c>
      <c r="AQ32" s="172" t="s">
        <v>25</v>
      </c>
      <c r="AR32" s="249" t="s">
        <v>1566</v>
      </c>
      <c r="AS32" s="172">
        <v>105.70489999999999</v>
      </c>
      <c r="AT32" s="172">
        <v>21.237200000000001</v>
      </c>
      <c r="AU32" s="172">
        <v>7.9299999999999995E-2</v>
      </c>
      <c r="AV32" s="247"/>
      <c r="AW32" s="182" t="s">
        <v>2146</v>
      </c>
    </row>
    <row r="33" spans="2:49" ht="15" customHeight="1">
      <c r="B33" s="44" t="s">
        <v>0</v>
      </c>
      <c r="C33" s="114">
        <v>0.318</v>
      </c>
      <c r="D33" s="114">
        <v>0.30299999999999999</v>
      </c>
      <c r="E33" s="114">
        <v>0.28899999999999998</v>
      </c>
      <c r="F33" s="114">
        <v>0.27500000000000002</v>
      </c>
      <c r="G33" s="114">
        <v>0.26700000000000002</v>
      </c>
      <c r="H33" s="114">
        <v>0.26200000000000001</v>
      </c>
      <c r="I33" s="114">
        <v>0.25800000000000001</v>
      </c>
      <c r="J33" s="114">
        <v>0.251</v>
      </c>
      <c r="K33" s="114">
        <v>0.246</v>
      </c>
      <c r="L33" s="114">
        <v>0.24199999999999999</v>
      </c>
      <c r="M33" s="114">
        <v>0.23899999999999999</v>
      </c>
      <c r="N33" s="114">
        <v>0.23599999999999999</v>
      </c>
      <c r="O33" s="114">
        <v>0.23100000000000001</v>
      </c>
      <c r="R33" s="31"/>
      <c r="AA33" s="45">
        <v>0.13</v>
      </c>
      <c r="AB33" s="46">
        <v>2</v>
      </c>
      <c r="AC33" s="47">
        <v>2.62</v>
      </c>
      <c r="AN33" s="174">
        <f t="shared" si="0"/>
        <v>31</v>
      </c>
      <c r="AO33" s="175" t="s">
        <v>794</v>
      </c>
      <c r="AP33" s="176" t="s">
        <v>180</v>
      </c>
      <c r="AQ33" s="177" t="s">
        <v>23</v>
      </c>
      <c r="AR33" s="250" t="s">
        <v>958</v>
      </c>
      <c r="AS33" s="177">
        <v>106.6986</v>
      </c>
      <c r="AT33" s="177">
        <v>10.782500000000001</v>
      </c>
      <c r="AU33" s="177">
        <v>8.48E-2</v>
      </c>
      <c r="AV33" s="247"/>
      <c r="AW33" s="182" t="s">
        <v>2147</v>
      </c>
    </row>
    <row r="34" spans="2:49" ht="15" customHeight="1">
      <c r="B34" s="44" t="s">
        <v>1</v>
      </c>
      <c r="C34" s="114">
        <v>0.51700000000000002</v>
      </c>
      <c r="D34" s="114">
        <v>0.48599999999999999</v>
      </c>
      <c r="E34" s="114">
        <v>0.45700000000000002</v>
      </c>
      <c r="F34" s="114">
        <v>0.42899999999999999</v>
      </c>
      <c r="G34" s="114">
        <v>0.41399999999999998</v>
      </c>
      <c r="H34" s="114">
        <v>0.40300000000000002</v>
      </c>
      <c r="I34" s="114">
        <v>0.39500000000000002</v>
      </c>
      <c r="J34" s="114">
        <v>0.38100000000000001</v>
      </c>
      <c r="K34" s="114">
        <v>0.371</v>
      </c>
      <c r="L34" s="114">
        <v>0.36399999999999999</v>
      </c>
      <c r="M34" s="114">
        <v>0.35799999999999998</v>
      </c>
      <c r="N34" s="114">
        <v>0.35299999999999998</v>
      </c>
      <c r="O34" s="114">
        <v>0.34300000000000003</v>
      </c>
      <c r="P34" s="22"/>
      <c r="Q34" s="22"/>
      <c r="R34" s="23"/>
      <c r="AA34" s="45">
        <v>0.13500000000000001</v>
      </c>
      <c r="AB34" s="46">
        <f>(AB33+AB35)/2</f>
        <v>2.0300000000000002</v>
      </c>
      <c r="AC34" s="47">
        <f>(AC33+AC35)/2</f>
        <v>2.6550000000000002</v>
      </c>
      <c r="AN34" s="174">
        <f t="shared" si="0"/>
        <v>32</v>
      </c>
      <c r="AO34" s="175" t="s">
        <v>794</v>
      </c>
      <c r="AP34" s="176" t="s">
        <v>181</v>
      </c>
      <c r="AQ34" s="177" t="s">
        <v>23</v>
      </c>
      <c r="AR34" s="250" t="s">
        <v>959</v>
      </c>
      <c r="AS34" s="177">
        <v>106.7482</v>
      </c>
      <c r="AT34" s="177">
        <v>10.792400000000001</v>
      </c>
      <c r="AU34" s="177">
        <v>8.5599999999999996E-2</v>
      </c>
      <c r="AV34" s="247"/>
      <c r="AW34" s="182" t="s">
        <v>2148</v>
      </c>
    </row>
    <row r="35" spans="2:49" ht="15" customHeight="1">
      <c r="B35" s="44" t="s">
        <v>2</v>
      </c>
      <c r="C35" s="114">
        <v>0.754</v>
      </c>
      <c r="D35" s="114">
        <v>0.68400000000000005</v>
      </c>
      <c r="E35" s="114">
        <v>0.621</v>
      </c>
      <c r="F35" s="114">
        <v>0.56299999999999994</v>
      </c>
      <c r="G35" s="114">
        <v>0.53200000000000003</v>
      </c>
      <c r="H35" s="114">
        <v>0.51100000000000001</v>
      </c>
      <c r="I35" s="114">
        <v>0.496</v>
      </c>
      <c r="J35" s="114">
        <v>0.46800000000000003</v>
      </c>
      <c r="K35" s="114">
        <v>0.45</v>
      </c>
      <c r="L35" s="114">
        <v>0.436</v>
      </c>
      <c r="M35" s="114">
        <v>0.42499999999999999</v>
      </c>
      <c r="N35" s="114">
        <v>0.41599999999999998</v>
      </c>
      <c r="O35" s="114">
        <v>0.39800000000000002</v>
      </c>
      <c r="R35" s="31"/>
      <c r="AA35" s="45">
        <v>0.14000000000000001</v>
      </c>
      <c r="AB35" s="115">
        <v>2.06</v>
      </c>
      <c r="AC35" s="47">
        <v>2.69</v>
      </c>
      <c r="AN35" s="174">
        <f t="shared" si="0"/>
        <v>33</v>
      </c>
      <c r="AO35" s="175" t="s">
        <v>794</v>
      </c>
      <c r="AP35" s="176" t="s">
        <v>182</v>
      </c>
      <c r="AQ35" s="177" t="s">
        <v>23</v>
      </c>
      <c r="AR35" s="250" t="s">
        <v>960</v>
      </c>
      <c r="AS35" s="177">
        <v>106.6861</v>
      </c>
      <c r="AT35" s="177">
        <v>10.7759</v>
      </c>
      <c r="AU35" s="177">
        <v>8.43E-2</v>
      </c>
      <c r="AV35" s="247"/>
      <c r="AW35" s="182" t="s">
        <v>2149</v>
      </c>
    </row>
    <row r="36" spans="2:49" ht="15" customHeight="1">
      <c r="B36" s="30"/>
      <c r="R36" s="31"/>
      <c r="AA36" s="45">
        <v>0.14499999999999999</v>
      </c>
      <c r="AB36" s="46">
        <f>(AB35+AB37)/2</f>
        <v>2.08</v>
      </c>
      <c r="AC36" s="47">
        <f>(AC35+AC37)/2</f>
        <v>2.7149999999999999</v>
      </c>
      <c r="AN36" s="174">
        <f t="shared" si="0"/>
        <v>34</v>
      </c>
      <c r="AO36" s="175" t="s">
        <v>794</v>
      </c>
      <c r="AP36" s="176" t="s">
        <v>183</v>
      </c>
      <c r="AQ36" s="177" t="s">
        <v>23</v>
      </c>
      <c r="AR36" s="250" t="s">
        <v>961</v>
      </c>
      <c r="AS36" s="177">
        <v>106.7063</v>
      </c>
      <c r="AT36" s="177">
        <v>10.7674</v>
      </c>
      <c r="AU36" s="177">
        <v>8.4699999999999998E-2</v>
      </c>
      <c r="AV36" s="247"/>
      <c r="AW36" s="182" t="s">
        <v>2150</v>
      </c>
    </row>
    <row r="37" spans="2:49" ht="15" customHeight="1">
      <c r="B37" s="30"/>
      <c r="R37" s="31"/>
      <c r="AA37" s="45">
        <v>0.15</v>
      </c>
      <c r="AB37" s="115">
        <v>2.1</v>
      </c>
      <c r="AC37" s="47">
        <v>2.74</v>
      </c>
      <c r="AN37" s="174">
        <f t="shared" si="0"/>
        <v>35</v>
      </c>
      <c r="AO37" s="175" t="s">
        <v>794</v>
      </c>
      <c r="AP37" s="176" t="s">
        <v>184</v>
      </c>
      <c r="AQ37" s="177" t="s">
        <v>23</v>
      </c>
      <c r="AR37" s="250" t="s">
        <v>963</v>
      </c>
      <c r="AS37" s="177">
        <v>106.6695</v>
      </c>
      <c r="AT37" s="177">
        <v>10.7578</v>
      </c>
      <c r="AU37" s="177">
        <v>7.7399999999999997E-2</v>
      </c>
      <c r="AV37" s="247"/>
      <c r="AW37" s="182" t="s">
        <v>2151</v>
      </c>
    </row>
    <row r="38" spans="2:49" ht="15" customHeight="1">
      <c r="B38" s="30"/>
      <c r="R38" s="31"/>
      <c r="AA38" s="45">
        <v>0.155</v>
      </c>
      <c r="AB38" s="46">
        <f>(AB37+AB39)/2</f>
        <v>2.1150000000000002</v>
      </c>
      <c r="AC38" s="47">
        <f>(AC37+AC39)/2</f>
        <v>2.7650000000000001</v>
      </c>
      <c r="AN38" s="174">
        <f t="shared" si="0"/>
        <v>36</v>
      </c>
      <c r="AO38" s="175" t="s">
        <v>794</v>
      </c>
      <c r="AP38" s="176" t="s">
        <v>185</v>
      </c>
      <c r="AQ38" s="177" t="s">
        <v>23</v>
      </c>
      <c r="AR38" s="250" t="s">
        <v>967</v>
      </c>
      <c r="AS38" s="177">
        <v>106.6506</v>
      </c>
      <c r="AT38" s="177">
        <v>10.7477</v>
      </c>
      <c r="AU38" s="177">
        <v>7.0000000000000007E-2</v>
      </c>
      <c r="AV38" s="247"/>
      <c r="AW38" s="182" t="s">
        <v>2152</v>
      </c>
    </row>
    <row r="39" spans="2:49" ht="15" customHeight="1">
      <c r="B39" s="30"/>
      <c r="R39" s="31"/>
      <c r="AA39" s="45">
        <v>0.16</v>
      </c>
      <c r="AB39" s="115">
        <v>2.13</v>
      </c>
      <c r="AC39" s="47">
        <v>2.79</v>
      </c>
      <c r="AN39" s="174">
        <f t="shared" si="0"/>
        <v>37</v>
      </c>
      <c r="AO39" s="175" t="s">
        <v>794</v>
      </c>
      <c r="AP39" s="176" t="s">
        <v>186</v>
      </c>
      <c r="AQ39" s="177" t="s">
        <v>23</v>
      </c>
      <c r="AR39" s="250" t="s">
        <v>969</v>
      </c>
      <c r="AS39" s="177">
        <v>106.7338</v>
      </c>
      <c r="AT39" s="177">
        <v>10.728400000000001</v>
      </c>
      <c r="AU39" s="177">
        <v>8.4599999999999995E-2</v>
      </c>
      <c r="AV39" s="247"/>
      <c r="AW39" s="182" t="s">
        <v>2153</v>
      </c>
    </row>
    <row r="40" spans="2:49" ht="15" customHeight="1">
      <c r="B40" s="30"/>
      <c r="R40" s="31"/>
      <c r="AA40" s="45">
        <v>0.16500000000000001</v>
      </c>
      <c r="AB40" s="46">
        <f>(AB39+AB41)/2</f>
        <v>2.13</v>
      </c>
      <c r="AC40" s="47">
        <f>(AC39+AC41)/2</f>
        <v>2.81</v>
      </c>
      <c r="AN40" s="174">
        <f t="shared" si="0"/>
        <v>38</v>
      </c>
      <c r="AO40" s="175" t="s">
        <v>794</v>
      </c>
      <c r="AP40" s="176" t="s">
        <v>187</v>
      </c>
      <c r="AQ40" s="177" t="s">
        <v>23</v>
      </c>
      <c r="AR40" s="250" t="s">
        <v>971</v>
      </c>
      <c r="AS40" s="177">
        <v>106.66419999999999</v>
      </c>
      <c r="AT40" s="177">
        <v>10.749499999999999</v>
      </c>
      <c r="AU40" s="177">
        <v>7.4499999999999997E-2</v>
      </c>
      <c r="AV40" s="247"/>
      <c r="AW40" s="182" t="s">
        <v>2154</v>
      </c>
    </row>
    <row r="41" spans="2:49" ht="15" customHeight="1">
      <c r="B41" s="30"/>
      <c r="R41" s="31"/>
      <c r="AA41" s="45">
        <v>0.17</v>
      </c>
      <c r="AB41" s="115">
        <v>2.13</v>
      </c>
      <c r="AC41" s="47">
        <v>2.83</v>
      </c>
      <c r="AN41" s="174">
        <f t="shared" si="0"/>
        <v>39</v>
      </c>
      <c r="AO41" s="175" t="s">
        <v>794</v>
      </c>
      <c r="AP41" s="176" t="s">
        <v>188</v>
      </c>
      <c r="AQ41" s="177" t="s">
        <v>23</v>
      </c>
      <c r="AR41" s="250" t="s">
        <v>973</v>
      </c>
      <c r="AS41" s="177">
        <v>106.7698</v>
      </c>
      <c r="AT41" s="177">
        <v>10.8428</v>
      </c>
      <c r="AU41" s="177">
        <v>7.4700000000000003E-2</v>
      </c>
      <c r="AV41" s="247"/>
      <c r="AW41" s="182" t="s">
        <v>2155</v>
      </c>
    </row>
    <row r="42" spans="2:49" ht="15" customHeight="1">
      <c r="B42" s="30"/>
      <c r="R42" s="31"/>
      <c r="AA42" s="45">
        <v>0.17499999999999999</v>
      </c>
      <c r="AB42" s="46">
        <f>(AB41+AB43)/2</f>
        <v>2.13</v>
      </c>
      <c r="AC42" s="47">
        <f>(AC41+AC43)/2</f>
        <v>2.83</v>
      </c>
      <c r="AN42" s="174">
        <f t="shared" si="0"/>
        <v>40</v>
      </c>
      <c r="AO42" s="175" t="s">
        <v>794</v>
      </c>
      <c r="AP42" s="176" t="s">
        <v>189</v>
      </c>
      <c r="AQ42" s="177" t="s">
        <v>23</v>
      </c>
      <c r="AR42" s="250" t="s">
        <v>975</v>
      </c>
      <c r="AS42" s="177">
        <v>106.6653</v>
      </c>
      <c r="AT42" s="177">
        <v>10.7689</v>
      </c>
      <c r="AU42" s="177">
        <v>7.7700000000000005E-2</v>
      </c>
      <c r="AV42" s="247"/>
      <c r="AW42" s="182" t="s">
        <v>2156</v>
      </c>
    </row>
    <row r="43" spans="2:49" ht="15" customHeight="1">
      <c r="B43" s="30"/>
      <c r="R43" s="31"/>
      <c r="AA43" s="45">
        <v>0.18</v>
      </c>
      <c r="AB43" s="115">
        <v>2.13</v>
      </c>
      <c r="AC43" s="47">
        <v>2.83</v>
      </c>
      <c r="AN43" s="174">
        <f t="shared" si="0"/>
        <v>41</v>
      </c>
      <c r="AO43" s="175" t="s">
        <v>794</v>
      </c>
      <c r="AP43" s="176" t="s">
        <v>190</v>
      </c>
      <c r="AQ43" s="177" t="s">
        <v>23</v>
      </c>
      <c r="AR43" s="250" t="s">
        <v>976</v>
      </c>
      <c r="AS43" s="177">
        <v>106.643</v>
      </c>
      <c r="AT43" s="177">
        <v>10.764699999999999</v>
      </c>
      <c r="AU43" s="177">
        <v>7.0099999999999996E-2</v>
      </c>
      <c r="AV43" s="247"/>
      <c r="AW43" s="182" t="s">
        <v>2157</v>
      </c>
    </row>
    <row r="44" spans="2:49" ht="15" customHeight="1">
      <c r="B44" s="30"/>
      <c r="R44" s="31"/>
      <c r="AA44" s="45">
        <v>0.185</v>
      </c>
      <c r="AB44" s="46">
        <f>(AB43+AB45)/2</f>
        <v>2.13</v>
      </c>
      <c r="AC44" s="47">
        <f>(AC43+AC45)/2</f>
        <v>2.83</v>
      </c>
      <c r="AN44" s="174">
        <f t="shared" si="0"/>
        <v>42</v>
      </c>
      <c r="AO44" s="175" t="s">
        <v>794</v>
      </c>
      <c r="AP44" s="176" t="s">
        <v>191</v>
      </c>
      <c r="AQ44" s="177" t="s">
        <v>23</v>
      </c>
      <c r="AR44" s="250" t="s">
        <v>978</v>
      </c>
      <c r="AS44" s="177">
        <v>106.6498</v>
      </c>
      <c r="AT44" s="177">
        <v>10.863</v>
      </c>
      <c r="AU44" s="177">
        <v>8.1299999999999997E-2</v>
      </c>
      <c r="AV44" s="247"/>
      <c r="AW44" s="182" t="s">
        <v>2158</v>
      </c>
    </row>
    <row r="45" spans="2:49" ht="15" customHeight="1">
      <c r="B45" s="30"/>
      <c r="R45" s="31"/>
      <c r="AA45" s="45">
        <v>0.19</v>
      </c>
      <c r="AB45" s="115">
        <v>2.13</v>
      </c>
      <c r="AC45" s="47">
        <v>2.83</v>
      </c>
      <c r="AN45" s="174">
        <f t="shared" si="0"/>
        <v>43</v>
      </c>
      <c r="AO45" s="175" t="s">
        <v>794</v>
      </c>
      <c r="AP45" s="176" t="s">
        <v>192</v>
      </c>
      <c r="AQ45" s="177" t="s">
        <v>23</v>
      </c>
      <c r="AR45" s="250" t="s">
        <v>975</v>
      </c>
      <c r="AS45" s="177">
        <v>106.69499999999999</v>
      </c>
      <c r="AT45" s="177">
        <v>10.803800000000001</v>
      </c>
      <c r="AU45" s="177">
        <v>8.5300000000000001E-2</v>
      </c>
      <c r="AV45" s="247"/>
      <c r="AW45" s="182" t="s">
        <v>2159</v>
      </c>
    </row>
    <row r="46" spans="2:49" ht="15" customHeight="1">
      <c r="B46" s="30"/>
      <c r="R46" s="31"/>
      <c r="AA46" s="45">
        <v>0.19500000000000001</v>
      </c>
      <c r="AB46" s="46">
        <f>(AB45+AB47)/2</f>
        <v>2.13</v>
      </c>
      <c r="AC46" s="47">
        <f>(AC45+AC47)/2</f>
        <v>2.83</v>
      </c>
      <c r="AN46" s="174">
        <f t="shared" si="0"/>
        <v>44</v>
      </c>
      <c r="AO46" s="175" t="s">
        <v>794</v>
      </c>
      <c r="AP46" s="176" t="s">
        <v>193</v>
      </c>
      <c r="AQ46" s="177" t="s">
        <v>23</v>
      </c>
      <c r="AR46" s="250" t="s">
        <v>976</v>
      </c>
      <c r="AS46" s="177">
        <v>106.6647</v>
      </c>
      <c r="AT46" s="177">
        <v>10.835000000000001</v>
      </c>
      <c r="AU46" s="177">
        <v>8.3199999999999996E-2</v>
      </c>
      <c r="AV46" s="247"/>
      <c r="AW46" s="182" t="s">
        <v>2160</v>
      </c>
    </row>
    <row r="47" spans="2:49" ht="15" customHeight="1" thickBot="1">
      <c r="B47" s="30"/>
      <c r="R47" s="31"/>
      <c r="AA47" s="120">
        <v>0.2</v>
      </c>
      <c r="AB47" s="121">
        <v>2.13</v>
      </c>
      <c r="AC47" s="122">
        <v>2.83</v>
      </c>
      <c r="AN47" s="174">
        <f t="shared" si="0"/>
        <v>45</v>
      </c>
      <c r="AO47" s="175" t="s">
        <v>794</v>
      </c>
      <c r="AP47" s="176" t="s">
        <v>194</v>
      </c>
      <c r="AQ47" s="177" t="s">
        <v>23</v>
      </c>
      <c r="AR47" s="250" t="s">
        <v>971</v>
      </c>
      <c r="AS47" s="177">
        <v>106.6746</v>
      </c>
      <c r="AT47" s="177">
        <v>10.7959</v>
      </c>
      <c r="AU47" s="177">
        <v>8.4400000000000003E-2</v>
      </c>
      <c r="AV47" s="247"/>
      <c r="AW47" s="182" t="s">
        <v>2161</v>
      </c>
    </row>
    <row r="48" spans="2:49" ht="15" customHeight="1">
      <c r="B48" s="30"/>
      <c r="R48" s="31"/>
      <c r="AN48" s="174">
        <f t="shared" si="0"/>
        <v>46</v>
      </c>
      <c r="AO48" s="175" t="s">
        <v>794</v>
      </c>
      <c r="AP48" s="176" t="s">
        <v>195</v>
      </c>
      <c r="AQ48" s="177" t="s">
        <v>23</v>
      </c>
      <c r="AR48" s="250" t="s">
        <v>960</v>
      </c>
      <c r="AS48" s="177">
        <v>106.65730000000001</v>
      </c>
      <c r="AT48" s="177">
        <v>10.797800000000001</v>
      </c>
      <c r="AU48" s="177">
        <v>7.0199999999999999E-2</v>
      </c>
      <c r="AV48" s="247"/>
      <c r="AW48" s="182" t="s">
        <v>2162</v>
      </c>
    </row>
    <row r="49" spans="2:49" ht="15" customHeight="1">
      <c r="B49" s="30"/>
      <c r="R49" s="31"/>
      <c r="AN49" s="174">
        <f t="shared" si="0"/>
        <v>47</v>
      </c>
      <c r="AO49" s="175" t="s">
        <v>794</v>
      </c>
      <c r="AP49" s="176" t="s">
        <v>982</v>
      </c>
      <c r="AQ49" s="177" t="s">
        <v>23</v>
      </c>
      <c r="AR49" s="250" t="s">
        <v>960</v>
      </c>
      <c r="AS49" s="177">
        <v>106.6349</v>
      </c>
      <c r="AT49" s="177">
        <v>10.7834</v>
      </c>
      <c r="AU49" s="177">
        <v>7.0199999999999999E-2</v>
      </c>
      <c r="AV49" s="247"/>
      <c r="AW49" s="182" t="s">
        <v>2163</v>
      </c>
    </row>
    <row r="50" spans="2:49" ht="15" customHeight="1">
      <c r="B50" s="30"/>
      <c r="R50" s="31"/>
      <c r="AN50" s="174">
        <f t="shared" si="0"/>
        <v>48</v>
      </c>
      <c r="AO50" s="175" t="s">
        <v>794</v>
      </c>
      <c r="AP50" s="176" t="s">
        <v>196</v>
      </c>
      <c r="AQ50" s="177" t="s">
        <v>23</v>
      </c>
      <c r="AR50" s="250" t="s">
        <v>983</v>
      </c>
      <c r="AS50" s="177">
        <v>106.7727</v>
      </c>
      <c r="AT50" s="177">
        <v>10.851100000000001</v>
      </c>
      <c r="AU50" s="177">
        <v>7.2700000000000001E-2</v>
      </c>
      <c r="AV50" s="247"/>
      <c r="AW50" s="182" t="s">
        <v>2164</v>
      </c>
    </row>
    <row r="51" spans="2:49" ht="15" customHeight="1">
      <c r="B51" s="30"/>
      <c r="R51" s="31"/>
      <c r="AN51" s="174">
        <f t="shared" si="0"/>
        <v>49</v>
      </c>
      <c r="AO51" s="175" t="s">
        <v>794</v>
      </c>
      <c r="AP51" s="176" t="s">
        <v>2183</v>
      </c>
      <c r="AQ51" s="177" t="s">
        <v>23</v>
      </c>
      <c r="AR51" s="250" t="s">
        <v>984</v>
      </c>
      <c r="AS51" s="177">
        <v>106.61539999999999</v>
      </c>
      <c r="AT51" s="177">
        <v>10.7392</v>
      </c>
      <c r="AU51" s="177">
        <v>5.8900000000000001E-2</v>
      </c>
      <c r="AV51" s="247"/>
      <c r="AW51" s="182" t="s">
        <v>2165</v>
      </c>
    </row>
    <row r="52" spans="2:49" ht="15" customHeight="1">
      <c r="B52" s="30"/>
      <c r="R52" s="31"/>
      <c r="AN52" s="174">
        <f t="shared" si="0"/>
        <v>50</v>
      </c>
      <c r="AO52" s="175" t="s">
        <v>794</v>
      </c>
      <c r="AP52" s="176" t="s">
        <v>202</v>
      </c>
      <c r="AQ52" s="177" t="s">
        <v>23</v>
      </c>
      <c r="AR52" s="250" t="s">
        <v>984</v>
      </c>
      <c r="AS52" s="177">
        <v>106.61539999999999</v>
      </c>
      <c r="AT52" s="177">
        <v>10.7392</v>
      </c>
      <c r="AU52" s="177">
        <v>5.8900000000000001E-2</v>
      </c>
      <c r="AV52" s="247"/>
      <c r="AW52" s="182" t="s">
        <v>2166</v>
      </c>
    </row>
    <row r="53" spans="2:49" ht="15" customHeight="1">
      <c r="B53" s="37"/>
      <c r="C53" s="38">
        <v>5</v>
      </c>
      <c r="D53" s="38">
        <v>10</v>
      </c>
      <c r="E53" s="38">
        <v>20</v>
      </c>
      <c r="F53" s="38">
        <v>40</v>
      </c>
      <c r="G53" s="38">
        <v>60</v>
      </c>
      <c r="H53" s="38">
        <v>80</v>
      </c>
      <c r="I53" s="38">
        <v>100</v>
      </c>
      <c r="J53" s="38">
        <v>150</v>
      </c>
      <c r="K53" s="38">
        <v>200</v>
      </c>
      <c r="L53" s="38">
        <v>250</v>
      </c>
      <c r="M53" s="38">
        <v>300</v>
      </c>
      <c r="N53" s="38">
        <v>350</v>
      </c>
      <c r="O53" s="38">
        <v>480</v>
      </c>
      <c r="P53" s="1256" t="s">
        <v>59</v>
      </c>
      <c r="Q53" s="1256"/>
      <c r="R53" s="1257"/>
      <c r="AN53" s="174">
        <f t="shared" si="0"/>
        <v>51</v>
      </c>
      <c r="AO53" s="175" t="s">
        <v>794</v>
      </c>
      <c r="AP53" s="176" t="s">
        <v>203</v>
      </c>
      <c r="AQ53" s="177" t="s">
        <v>23</v>
      </c>
      <c r="AR53" s="250" t="s">
        <v>985</v>
      </c>
      <c r="AS53" s="177">
        <v>106.9512</v>
      </c>
      <c r="AT53" s="177">
        <v>10.4162</v>
      </c>
      <c r="AU53" s="177">
        <v>6.1800000000000001E-2</v>
      </c>
      <c r="AV53" s="247"/>
      <c r="AW53" s="182" t="s">
        <v>2167</v>
      </c>
    </row>
    <row r="54" spans="2:49" ht="15" customHeight="1">
      <c r="B54" s="44" t="s">
        <v>0</v>
      </c>
      <c r="C54" s="114">
        <f t="shared" ref="C54:O54" si="4">0.356*C53^-0.07</f>
        <v>0.31806955236113821</v>
      </c>
      <c r="D54" s="114">
        <f t="shared" si="4"/>
        <v>0.30300514160004599</v>
      </c>
      <c r="E54" s="114">
        <f t="shared" si="4"/>
        <v>0.2886542114908876</v>
      </c>
      <c r="F54" s="114">
        <f t="shared" si="4"/>
        <v>0.27498297016163042</v>
      </c>
      <c r="G54" s="114">
        <f t="shared" si="4"/>
        <v>0.26728796865716264</v>
      </c>
      <c r="H54" s="114">
        <f t="shared" si="4"/>
        <v>0.26195922619095141</v>
      </c>
      <c r="I54" s="114">
        <f t="shared" si="4"/>
        <v>0.25789920178669645</v>
      </c>
      <c r="J54" s="114">
        <f t="shared" si="4"/>
        <v>0.25068226488117396</v>
      </c>
      <c r="K54" s="114">
        <f t="shared" si="4"/>
        <v>0.24568457928720794</v>
      </c>
      <c r="L54" s="114">
        <f t="shared" si="4"/>
        <v>0.24187679056314113</v>
      </c>
      <c r="M54" s="114">
        <f t="shared" si="4"/>
        <v>0.23880945096152151</v>
      </c>
      <c r="N54" s="114">
        <f t="shared" si="4"/>
        <v>0.23624641934283433</v>
      </c>
      <c r="O54" s="114">
        <f t="shared" si="4"/>
        <v>0.23108040038476688</v>
      </c>
      <c r="P54" s="1249" t="s">
        <v>56</v>
      </c>
      <c r="Q54" s="1249"/>
      <c r="R54" s="1250"/>
      <c r="AN54" s="174">
        <f t="shared" si="0"/>
        <v>52</v>
      </c>
      <c r="AO54" s="175" t="s">
        <v>794</v>
      </c>
      <c r="AP54" s="176" t="s">
        <v>204</v>
      </c>
      <c r="AQ54" s="177" t="s">
        <v>18</v>
      </c>
      <c r="AR54" s="250" t="s">
        <v>986</v>
      </c>
      <c r="AS54" s="177">
        <v>106.49339999999999</v>
      </c>
      <c r="AT54" s="177">
        <v>10.9749</v>
      </c>
      <c r="AU54" s="177">
        <v>8.0799999999999997E-2</v>
      </c>
      <c r="AV54" s="247"/>
      <c r="AW54" s="182" t="s">
        <v>2168</v>
      </c>
    </row>
    <row r="55" spans="2:49" ht="15" customHeight="1">
      <c r="B55" s="44" t="s">
        <v>1</v>
      </c>
      <c r="C55" s="114">
        <f t="shared" ref="C55:O55" si="5">0.5979*C53^-0.0899</f>
        <v>0.51735797734400502</v>
      </c>
      <c r="D55" s="114">
        <f t="shared" si="5"/>
        <v>0.48610328214626608</v>
      </c>
      <c r="E55" s="114">
        <f t="shared" si="5"/>
        <v>0.45673674952585624</v>
      </c>
      <c r="F55" s="114">
        <f t="shared" si="5"/>
        <v>0.42914431156767102</v>
      </c>
      <c r="G55" s="114">
        <f t="shared" si="5"/>
        <v>0.41378310672465762</v>
      </c>
      <c r="H55" s="114">
        <f t="shared" si="5"/>
        <v>0.40321879144184031</v>
      </c>
      <c r="I55" s="114">
        <f t="shared" si="5"/>
        <v>0.39521057185712061</v>
      </c>
      <c r="J55" s="114">
        <f t="shared" si="5"/>
        <v>0.38106402397851868</v>
      </c>
      <c r="K55" s="114">
        <f t="shared" si="5"/>
        <v>0.37133506108268238</v>
      </c>
      <c r="L55" s="114">
        <f t="shared" si="5"/>
        <v>0.36396007566094174</v>
      </c>
      <c r="M55" s="114">
        <f t="shared" si="5"/>
        <v>0.35804313623379724</v>
      </c>
      <c r="N55" s="114">
        <f t="shared" si="5"/>
        <v>0.35311554463904243</v>
      </c>
      <c r="O55" s="114">
        <f t="shared" si="5"/>
        <v>0.34322978334131793</v>
      </c>
      <c r="P55" s="1249" t="s">
        <v>57</v>
      </c>
      <c r="Q55" s="1249"/>
      <c r="R55" s="1250"/>
      <c r="AN55" s="174">
        <f t="shared" si="0"/>
        <v>53</v>
      </c>
      <c r="AO55" s="175" t="s">
        <v>794</v>
      </c>
      <c r="AP55" s="176" t="s">
        <v>205</v>
      </c>
      <c r="AQ55" s="177" t="s">
        <v>23</v>
      </c>
      <c r="AR55" s="250" t="s">
        <v>987</v>
      </c>
      <c r="AS55" s="177">
        <v>106.59569999999999</v>
      </c>
      <c r="AT55" s="177">
        <v>10.888999999999999</v>
      </c>
      <c r="AU55" s="177">
        <v>8.0199999999999994E-2</v>
      </c>
      <c r="AV55" s="247"/>
      <c r="AW55" s="182" t="s">
        <v>2169</v>
      </c>
    </row>
    <row r="56" spans="2:49" ht="15" customHeight="1" thickBot="1">
      <c r="B56" s="136" t="s">
        <v>2</v>
      </c>
      <c r="C56" s="137">
        <f t="shared" ref="C56:O56" si="6">0.944*C53^-0.1399</f>
        <v>0.75367843796632339</v>
      </c>
      <c r="D56" s="137">
        <f t="shared" si="6"/>
        <v>0.68402503076293408</v>
      </c>
      <c r="E56" s="137">
        <f t="shared" si="6"/>
        <v>0.62080884783271417</v>
      </c>
      <c r="F56" s="137">
        <f t="shared" si="6"/>
        <v>0.56343497418145405</v>
      </c>
      <c r="G56" s="137">
        <f t="shared" si="6"/>
        <v>0.53236394462774561</v>
      </c>
      <c r="H56" s="137">
        <f t="shared" si="6"/>
        <v>0.51136347563203488</v>
      </c>
      <c r="I56" s="137">
        <f t="shared" si="6"/>
        <v>0.49564644354897558</v>
      </c>
      <c r="J56" s="137">
        <f t="shared" si="6"/>
        <v>0.46831366159294996</v>
      </c>
      <c r="K56" s="137">
        <f t="shared" si="6"/>
        <v>0.44983982122529037</v>
      </c>
      <c r="L56" s="137">
        <f t="shared" si="6"/>
        <v>0.43601375182583435</v>
      </c>
      <c r="M56" s="137">
        <f t="shared" si="6"/>
        <v>0.42503307861931106</v>
      </c>
      <c r="N56" s="137">
        <f t="shared" si="6"/>
        <v>0.4159650814155485</v>
      </c>
      <c r="O56" s="137">
        <f t="shared" si="6"/>
        <v>0.39798467129541748</v>
      </c>
      <c r="P56" s="1251" t="s">
        <v>58</v>
      </c>
      <c r="Q56" s="1251"/>
      <c r="R56" s="1252"/>
      <c r="AN56" s="174">
        <f t="shared" si="0"/>
        <v>54</v>
      </c>
      <c r="AO56" s="175" t="s">
        <v>794</v>
      </c>
      <c r="AP56" s="176" t="s">
        <v>206</v>
      </c>
      <c r="AQ56" s="177" t="s">
        <v>23</v>
      </c>
      <c r="AR56" s="250" t="s">
        <v>988</v>
      </c>
      <c r="AS56" s="177">
        <v>106.7419</v>
      </c>
      <c r="AT56" s="177">
        <v>10.700699999999999</v>
      </c>
      <c r="AU56" s="177">
        <v>8.1900000000000001E-2</v>
      </c>
      <c r="AV56" s="247"/>
      <c r="AW56" s="182" t="s">
        <v>2170</v>
      </c>
    </row>
    <row r="57" spans="2:49" ht="15" customHeight="1">
      <c r="AN57" s="169">
        <f t="shared" si="0"/>
        <v>55</v>
      </c>
      <c r="AO57" s="178" t="s">
        <v>795</v>
      </c>
      <c r="AP57" s="171" t="s">
        <v>211</v>
      </c>
      <c r="AQ57" s="172" t="s">
        <v>32</v>
      </c>
      <c r="AR57" s="249" t="s">
        <v>992</v>
      </c>
      <c r="AS57" s="172">
        <v>106.6814</v>
      </c>
      <c r="AT57" s="172">
        <v>20.857800000000001</v>
      </c>
      <c r="AU57" s="172">
        <v>0.129</v>
      </c>
      <c r="AV57" s="247"/>
      <c r="AW57" s="182" t="s">
        <v>2171</v>
      </c>
    </row>
    <row r="58" spans="2:49" ht="15" customHeight="1">
      <c r="AN58" s="169">
        <f t="shared" si="0"/>
        <v>56</v>
      </c>
      <c r="AO58" s="178" t="s">
        <v>795</v>
      </c>
      <c r="AP58" s="171" t="s">
        <v>212</v>
      </c>
      <c r="AQ58" s="172" t="s">
        <v>32</v>
      </c>
      <c r="AR58" s="249" t="s">
        <v>993</v>
      </c>
      <c r="AS58" s="172">
        <v>106.624</v>
      </c>
      <c r="AT58" s="172">
        <v>20.811199999999999</v>
      </c>
      <c r="AU58" s="172">
        <v>0.12809999999999999</v>
      </c>
      <c r="AV58" s="247"/>
      <c r="AW58" s="182" t="s">
        <v>2172</v>
      </c>
    </row>
    <row r="59" spans="2:49" ht="15" customHeight="1">
      <c r="AN59" s="169">
        <f t="shared" si="0"/>
        <v>57</v>
      </c>
      <c r="AO59" s="178" t="s">
        <v>795</v>
      </c>
      <c r="AP59" s="171" t="s">
        <v>1583</v>
      </c>
      <c r="AQ59" s="172" t="s">
        <v>32</v>
      </c>
      <c r="AR59" s="249" t="s">
        <v>993</v>
      </c>
      <c r="AS59" s="172">
        <v>106.68</v>
      </c>
      <c r="AT59" s="172">
        <v>20.840599999999998</v>
      </c>
      <c r="AU59" s="172">
        <v>0.12909999999999999</v>
      </c>
      <c r="AV59" s="247"/>
      <c r="AW59" s="182" t="s">
        <v>2173</v>
      </c>
    </row>
    <row r="60" spans="2:49" ht="15" customHeight="1">
      <c r="AN60" s="169">
        <f t="shared" si="0"/>
        <v>58</v>
      </c>
      <c r="AO60" s="178" t="s">
        <v>795</v>
      </c>
      <c r="AP60" s="171" t="s">
        <v>213</v>
      </c>
      <c r="AQ60" s="172" t="s">
        <v>32</v>
      </c>
      <c r="AR60" s="249" t="s">
        <v>997</v>
      </c>
      <c r="AS60" s="172">
        <v>106.6784</v>
      </c>
      <c r="AT60" s="172">
        <v>20.851400000000002</v>
      </c>
      <c r="AU60" s="172">
        <v>0.1293</v>
      </c>
      <c r="AV60" s="247"/>
      <c r="AW60" s="182" t="s">
        <v>2174</v>
      </c>
    </row>
    <row r="61" spans="2:49" ht="15" customHeight="1">
      <c r="AN61" s="169">
        <f t="shared" si="0"/>
        <v>59</v>
      </c>
      <c r="AO61" s="178" t="s">
        <v>795</v>
      </c>
      <c r="AP61" s="171" t="s">
        <v>214</v>
      </c>
      <c r="AQ61" s="172" t="s">
        <v>32</v>
      </c>
      <c r="AR61" s="249" t="s">
        <v>999</v>
      </c>
      <c r="AS61" s="172">
        <v>106.6952</v>
      </c>
      <c r="AT61" s="172">
        <v>20.862500000000001</v>
      </c>
      <c r="AU61" s="172">
        <v>0.12759999999999999</v>
      </c>
      <c r="AV61" s="247"/>
      <c r="AW61" s="182" t="s">
        <v>2175</v>
      </c>
    </row>
    <row r="62" spans="2:49" ht="15" customHeight="1">
      <c r="AN62" s="169">
        <f t="shared" si="0"/>
        <v>60</v>
      </c>
      <c r="AO62" s="178" t="s">
        <v>795</v>
      </c>
      <c r="AP62" s="171" t="s">
        <v>2184</v>
      </c>
      <c r="AQ62" s="172" t="s">
        <v>32</v>
      </c>
      <c r="AR62" s="249" t="s">
        <v>1002</v>
      </c>
      <c r="AS62" s="172">
        <v>106.78060000000001</v>
      </c>
      <c r="AT62" s="172">
        <v>20.720199999999998</v>
      </c>
      <c r="AU62" s="172">
        <v>8.6999999999999994E-2</v>
      </c>
      <c r="AV62" s="247"/>
      <c r="AW62" s="182" t="s">
        <v>2176</v>
      </c>
    </row>
    <row r="63" spans="2:49" ht="15" customHeight="1">
      <c r="AN63" s="169">
        <f t="shared" si="0"/>
        <v>61</v>
      </c>
      <c r="AO63" s="178" t="s">
        <v>795</v>
      </c>
      <c r="AP63" s="171" t="s">
        <v>790</v>
      </c>
      <c r="AQ63" s="172" t="s">
        <v>32</v>
      </c>
      <c r="AR63" s="249" t="s">
        <v>1004</v>
      </c>
      <c r="AS63" s="172">
        <v>106.6035</v>
      </c>
      <c r="AT63" s="172">
        <v>20.890999999999998</v>
      </c>
      <c r="AU63" s="172">
        <v>0.13339999999999999</v>
      </c>
      <c r="AV63" s="247"/>
      <c r="AW63" s="182" t="s">
        <v>2177</v>
      </c>
    </row>
    <row r="64" spans="2:49" ht="15" customHeight="1">
      <c r="AN64" s="169">
        <f t="shared" si="0"/>
        <v>62</v>
      </c>
      <c r="AO64" s="178" t="s">
        <v>795</v>
      </c>
      <c r="AP64" s="171" t="s">
        <v>216</v>
      </c>
      <c r="AQ64" s="172" t="s">
        <v>32</v>
      </c>
      <c r="AR64" s="249" t="s">
        <v>1006</v>
      </c>
      <c r="AS64" s="172">
        <v>106.5553</v>
      </c>
      <c r="AT64" s="172">
        <v>20.8232</v>
      </c>
      <c r="AU64" s="172">
        <v>0.1331</v>
      </c>
      <c r="AV64" s="247"/>
      <c r="AW64" s="182" t="s">
        <v>2178</v>
      </c>
    </row>
    <row r="65" spans="40:49" ht="15" customHeight="1">
      <c r="AN65" s="169">
        <f t="shared" si="0"/>
        <v>63</v>
      </c>
      <c r="AO65" s="178" t="s">
        <v>795</v>
      </c>
      <c r="AP65" s="171" t="s">
        <v>217</v>
      </c>
      <c r="AQ65" s="172" t="s">
        <v>207</v>
      </c>
      <c r="AR65" s="249" t="s">
        <v>1008</v>
      </c>
      <c r="AS65" s="172">
        <v>107.7629</v>
      </c>
      <c r="AT65" s="172">
        <v>20.390499999999999</v>
      </c>
      <c r="AU65" s="172">
        <v>6.3E-3</v>
      </c>
      <c r="AV65" s="247"/>
      <c r="AW65" s="182" t="s">
        <v>2179</v>
      </c>
    </row>
    <row r="66" spans="40:49" ht="15" customHeight="1">
      <c r="AN66" s="169">
        <f t="shared" si="0"/>
        <v>64</v>
      </c>
      <c r="AO66" s="178" t="s">
        <v>795</v>
      </c>
      <c r="AP66" s="171" t="s">
        <v>218</v>
      </c>
      <c r="AQ66" s="172" t="s">
        <v>32</v>
      </c>
      <c r="AR66" s="249" t="s">
        <v>1010</v>
      </c>
      <c r="AS66" s="172">
        <v>107.04989999999999</v>
      </c>
      <c r="AT66" s="172">
        <v>20.725100000000001</v>
      </c>
      <c r="AU66" s="172">
        <v>3.6799999999999999E-2</v>
      </c>
      <c r="AV66" s="247"/>
    </row>
    <row r="67" spans="40:49" ht="15" customHeight="1">
      <c r="AN67" s="169">
        <f t="shared" si="0"/>
        <v>65</v>
      </c>
      <c r="AO67" s="178" t="s">
        <v>795</v>
      </c>
      <c r="AP67" s="171" t="s">
        <v>219</v>
      </c>
      <c r="AQ67" s="172" t="s">
        <v>32</v>
      </c>
      <c r="AR67" s="249" t="s">
        <v>1012</v>
      </c>
      <c r="AS67" s="172">
        <v>106.6688</v>
      </c>
      <c r="AT67" s="172">
        <v>20.752199999999998</v>
      </c>
      <c r="AU67" s="172">
        <v>0.1168</v>
      </c>
      <c r="AV67" s="247"/>
    </row>
    <row r="68" spans="40:49" ht="15" customHeight="1">
      <c r="AN68" s="169">
        <f t="shared" si="0"/>
        <v>66</v>
      </c>
      <c r="AO68" s="178" t="s">
        <v>795</v>
      </c>
      <c r="AP68" s="171" t="s">
        <v>220</v>
      </c>
      <c r="AQ68" s="172" t="s">
        <v>32</v>
      </c>
      <c r="AR68" s="249" t="s">
        <v>1012</v>
      </c>
      <c r="AS68" s="172">
        <v>106.6688</v>
      </c>
      <c r="AT68" s="172">
        <v>20.752199999999998</v>
      </c>
      <c r="AU68" s="172">
        <v>0.1168</v>
      </c>
      <c r="AV68" s="247"/>
    </row>
    <row r="69" spans="40:49" ht="15" customHeight="1">
      <c r="AN69" s="169">
        <f t="shared" ref="AN69:AN132" si="7">AN68+1</f>
        <v>67</v>
      </c>
      <c r="AO69" s="178" t="s">
        <v>795</v>
      </c>
      <c r="AP69" s="171" t="s">
        <v>791</v>
      </c>
      <c r="AQ69" s="172" t="s">
        <v>28</v>
      </c>
      <c r="AR69" s="249" t="s">
        <v>1015</v>
      </c>
      <c r="AS69" s="172">
        <v>106.6747</v>
      </c>
      <c r="AT69" s="172">
        <v>20.917400000000001</v>
      </c>
      <c r="AU69" s="172">
        <v>0.12720000000000001</v>
      </c>
      <c r="AV69" s="247"/>
    </row>
    <row r="70" spans="40:49" ht="15" customHeight="1">
      <c r="AN70" s="169">
        <f t="shared" si="7"/>
        <v>68</v>
      </c>
      <c r="AO70" s="178" t="s">
        <v>795</v>
      </c>
      <c r="AP70" s="171" t="s">
        <v>221</v>
      </c>
      <c r="AQ70" s="172" t="s">
        <v>32</v>
      </c>
      <c r="AR70" s="249" t="s">
        <v>1016</v>
      </c>
      <c r="AS70" s="172">
        <v>106.5535</v>
      </c>
      <c r="AT70" s="172">
        <v>20.7257</v>
      </c>
      <c r="AU70" s="172">
        <v>0.1019</v>
      </c>
      <c r="AV70" s="247"/>
    </row>
    <row r="71" spans="40:49" ht="15" customHeight="1">
      <c r="AN71" s="169">
        <f t="shared" si="7"/>
        <v>69</v>
      </c>
      <c r="AO71" s="178" t="s">
        <v>795</v>
      </c>
      <c r="AP71" s="171" t="s">
        <v>222</v>
      </c>
      <c r="AQ71" s="172" t="s">
        <v>32</v>
      </c>
      <c r="AR71" s="249" t="s">
        <v>1018</v>
      </c>
      <c r="AS71" s="172">
        <v>106.4786</v>
      </c>
      <c r="AT71" s="172">
        <v>20.693100000000001</v>
      </c>
      <c r="AU71" s="172">
        <v>7.4700000000000003E-2</v>
      </c>
      <c r="AV71" s="247"/>
    </row>
    <row r="72" spans="40:49" ht="15" customHeight="1">
      <c r="AN72" s="174">
        <f t="shared" si="7"/>
        <v>70</v>
      </c>
      <c r="AO72" s="175" t="s">
        <v>796</v>
      </c>
      <c r="AP72" s="176" t="s">
        <v>223</v>
      </c>
      <c r="AQ72" s="177" t="s">
        <v>25</v>
      </c>
      <c r="AR72" s="250" t="s">
        <v>1020</v>
      </c>
      <c r="AS72" s="177">
        <v>108.2234</v>
      </c>
      <c r="AT72" s="177">
        <v>16.0749</v>
      </c>
      <c r="AU72" s="177">
        <v>0.10059999999999999</v>
      </c>
      <c r="AV72" s="247"/>
    </row>
    <row r="73" spans="40:49" ht="15" customHeight="1">
      <c r="AN73" s="174">
        <f t="shared" si="7"/>
        <v>71</v>
      </c>
      <c r="AO73" s="175" t="s">
        <v>796</v>
      </c>
      <c r="AP73" s="176" t="s">
        <v>224</v>
      </c>
      <c r="AQ73" s="177" t="s">
        <v>25</v>
      </c>
      <c r="AR73" s="250" t="s">
        <v>1021</v>
      </c>
      <c r="AS73" s="177">
        <v>108.15779999999999</v>
      </c>
      <c r="AT73" s="177">
        <v>16.062799999999999</v>
      </c>
      <c r="AU73" s="177">
        <v>9.4E-2</v>
      </c>
      <c r="AV73" s="247"/>
    </row>
    <row r="74" spans="40:49" ht="15" customHeight="1">
      <c r="AN74" s="174">
        <f t="shared" si="7"/>
        <v>72</v>
      </c>
      <c r="AO74" s="175" t="s">
        <v>796</v>
      </c>
      <c r="AP74" s="176" t="s">
        <v>225</v>
      </c>
      <c r="AQ74" s="177" t="s">
        <v>25</v>
      </c>
      <c r="AR74" s="250" t="s">
        <v>1023</v>
      </c>
      <c r="AS74" s="177">
        <v>108.26009999999999</v>
      </c>
      <c r="AT74" s="177">
        <v>16.0017</v>
      </c>
      <c r="AU74" s="177">
        <v>6.7400000000000002E-2</v>
      </c>
      <c r="AV74" s="247"/>
    </row>
    <row r="75" spans="40:49" ht="15" customHeight="1">
      <c r="AN75" s="174">
        <f t="shared" si="7"/>
        <v>73</v>
      </c>
      <c r="AO75" s="175" t="s">
        <v>796</v>
      </c>
      <c r="AP75" s="176" t="s">
        <v>226</v>
      </c>
      <c r="AQ75" s="177" t="s">
        <v>28</v>
      </c>
      <c r="AR75" s="250" t="s">
        <v>1025</v>
      </c>
      <c r="AS75" s="177">
        <v>108.2364</v>
      </c>
      <c r="AT75" s="177">
        <v>16.056799999999999</v>
      </c>
      <c r="AU75" s="177">
        <v>9.1800000000000007E-2</v>
      </c>
      <c r="AV75" s="247"/>
    </row>
    <row r="76" spans="40:49" ht="15" customHeight="1">
      <c r="AN76" s="174">
        <f t="shared" si="7"/>
        <v>74</v>
      </c>
      <c r="AO76" s="175" t="s">
        <v>796</v>
      </c>
      <c r="AP76" s="176" t="s">
        <v>227</v>
      </c>
      <c r="AQ76" s="177" t="s">
        <v>25</v>
      </c>
      <c r="AR76" s="250" t="s">
        <v>1026</v>
      </c>
      <c r="AS76" s="177">
        <v>108.1987</v>
      </c>
      <c r="AT76" s="177">
        <v>16.0655</v>
      </c>
      <c r="AU76" s="177">
        <v>9.6699999999999994E-2</v>
      </c>
      <c r="AV76" s="247"/>
    </row>
    <row r="77" spans="40:49" ht="15" customHeight="1">
      <c r="AN77" s="174">
        <f t="shared" si="7"/>
        <v>75</v>
      </c>
      <c r="AO77" s="175" t="s">
        <v>796</v>
      </c>
      <c r="AP77" s="176" t="s">
        <v>228</v>
      </c>
      <c r="AQ77" s="177" t="s">
        <v>25</v>
      </c>
      <c r="AR77" s="250" t="s">
        <v>1028</v>
      </c>
      <c r="AS77" s="177">
        <v>108.20399999999999</v>
      </c>
      <c r="AT77" s="177">
        <v>16.0168</v>
      </c>
      <c r="AU77" s="177">
        <v>7.2999999999999995E-2</v>
      </c>
      <c r="AV77" s="247"/>
    </row>
    <row r="78" spans="40:49" ht="15" customHeight="1">
      <c r="AN78" s="174">
        <f t="shared" si="7"/>
        <v>76</v>
      </c>
      <c r="AO78" s="175" t="s">
        <v>796</v>
      </c>
      <c r="AP78" s="176" t="s">
        <v>792</v>
      </c>
      <c r="AQ78" s="177" t="s">
        <v>207</v>
      </c>
      <c r="AR78" s="250" t="s">
        <v>1029</v>
      </c>
      <c r="AS78" s="177">
        <v>111.7766</v>
      </c>
      <c r="AT78" s="177">
        <v>16.2423</v>
      </c>
      <c r="AU78" s="177">
        <v>5.4399999999999997E-2</v>
      </c>
      <c r="AV78" s="247"/>
    </row>
    <row r="79" spans="40:49" ht="15" customHeight="1">
      <c r="AN79" s="169">
        <f t="shared" si="7"/>
        <v>77</v>
      </c>
      <c r="AO79" s="178" t="s">
        <v>797</v>
      </c>
      <c r="AP79" s="171" t="s">
        <v>229</v>
      </c>
      <c r="AQ79" s="172" t="s">
        <v>23</v>
      </c>
      <c r="AR79" s="249"/>
      <c r="AS79" s="172">
        <v>105.7385</v>
      </c>
      <c r="AT79" s="172">
        <v>10.078799999999999</v>
      </c>
      <c r="AU79" s="172">
        <v>6.8500000000000005E-2</v>
      </c>
      <c r="AV79" s="247"/>
    </row>
    <row r="80" spans="40:49" ht="15" customHeight="1">
      <c r="AN80" s="169">
        <f t="shared" si="7"/>
        <v>78</v>
      </c>
      <c r="AO80" s="178" t="s">
        <v>797</v>
      </c>
      <c r="AP80" s="171" t="s">
        <v>230</v>
      </c>
      <c r="AQ80" s="172" t="s">
        <v>23</v>
      </c>
      <c r="AR80" s="249"/>
      <c r="AS80" s="172">
        <v>105.7496</v>
      </c>
      <c r="AT80" s="172">
        <v>10.005000000000001</v>
      </c>
      <c r="AU80" s="172">
        <v>5.1499999999999997E-2</v>
      </c>
      <c r="AV80" s="247"/>
    </row>
    <row r="81" spans="40:48" ht="15" customHeight="1">
      <c r="AN81" s="169">
        <f t="shared" si="7"/>
        <v>79</v>
      </c>
      <c r="AO81" s="178" t="s">
        <v>797</v>
      </c>
      <c r="AP81" s="171" t="s">
        <v>231</v>
      </c>
      <c r="AQ81" s="172" t="s">
        <v>23</v>
      </c>
      <c r="AR81" s="249"/>
      <c r="AS81" s="172">
        <v>105.78879999999999</v>
      </c>
      <c r="AT81" s="172">
        <v>10.036099999999999</v>
      </c>
      <c r="AU81" s="172">
        <v>6.6199999999999995E-2</v>
      </c>
      <c r="AV81" s="247"/>
    </row>
    <row r="82" spans="40:48" ht="15" customHeight="1">
      <c r="AN82" s="169">
        <f t="shared" si="7"/>
        <v>80</v>
      </c>
      <c r="AO82" s="178" t="s">
        <v>797</v>
      </c>
      <c r="AP82" s="171" t="s">
        <v>232</v>
      </c>
      <c r="AQ82" s="172" t="s">
        <v>23</v>
      </c>
      <c r="AR82" s="249"/>
      <c r="AS82" s="172">
        <v>105.6254</v>
      </c>
      <c r="AT82" s="172">
        <v>10.1197</v>
      </c>
      <c r="AU82" s="172">
        <v>5.4600000000000003E-2</v>
      </c>
      <c r="AV82" s="247"/>
    </row>
    <row r="83" spans="40:48" ht="15" customHeight="1">
      <c r="AN83" s="169">
        <f t="shared" si="7"/>
        <v>81</v>
      </c>
      <c r="AO83" s="178" t="s">
        <v>797</v>
      </c>
      <c r="AP83" s="171" t="s">
        <v>233</v>
      </c>
      <c r="AQ83" s="172" t="s">
        <v>23</v>
      </c>
      <c r="AR83" s="249" t="s">
        <v>1031</v>
      </c>
      <c r="AS83" s="172">
        <v>105.4289</v>
      </c>
      <c r="AT83" s="172">
        <v>10.098599999999999</v>
      </c>
      <c r="AU83" s="172">
        <v>2.3599999999999999E-2</v>
      </c>
      <c r="AV83" s="247"/>
    </row>
    <row r="84" spans="40:48" ht="15" customHeight="1">
      <c r="AN84" s="169">
        <f t="shared" si="7"/>
        <v>82</v>
      </c>
      <c r="AO84" s="178" t="s">
        <v>797</v>
      </c>
      <c r="AP84" s="171" t="s">
        <v>234</v>
      </c>
      <c r="AQ84" s="172" t="s">
        <v>23</v>
      </c>
      <c r="AR84" s="249" t="s">
        <v>1032</v>
      </c>
      <c r="AS84" s="172">
        <v>105.3301</v>
      </c>
      <c r="AT84" s="172">
        <v>10.1418</v>
      </c>
      <c r="AU84" s="172">
        <v>1.9900000000000001E-2</v>
      </c>
      <c r="AV84" s="247"/>
    </row>
    <row r="85" spans="40:48" ht="15" customHeight="1">
      <c r="AN85" s="169">
        <f t="shared" si="7"/>
        <v>83</v>
      </c>
      <c r="AO85" s="178" t="s">
        <v>797</v>
      </c>
      <c r="AP85" s="171" t="s">
        <v>235</v>
      </c>
      <c r="AQ85" s="172" t="s">
        <v>18</v>
      </c>
      <c r="AR85" s="249" t="s">
        <v>1033</v>
      </c>
      <c r="AS85" s="172">
        <v>105.5373</v>
      </c>
      <c r="AT85" s="172">
        <v>10.2699</v>
      </c>
      <c r="AU85" s="172">
        <v>6.9800000000000001E-2</v>
      </c>
      <c r="AV85" s="247"/>
    </row>
    <row r="86" spans="40:48" ht="15" customHeight="1">
      <c r="AN86" s="169">
        <f t="shared" si="7"/>
        <v>84</v>
      </c>
      <c r="AO86" s="178" t="s">
        <v>797</v>
      </c>
      <c r="AP86" s="171" t="s">
        <v>236</v>
      </c>
      <c r="AQ86" s="172" t="s">
        <v>18</v>
      </c>
      <c r="AR86" s="249" t="s">
        <v>1034</v>
      </c>
      <c r="AS86" s="172">
        <v>105.559</v>
      </c>
      <c r="AT86" s="172">
        <v>10.065099999999999</v>
      </c>
      <c r="AU86" s="172">
        <v>3.3099999999999997E-2</v>
      </c>
      <c r="AV86" s="247"/>
    </row>
    <row r="87" spans="40:48" ht="15" customHeight="1">
      <c r="AN87" s="174">
        <f t="shared" si="7"/>
        <v>85</v>
      </c>
      <c r="AO87" s="175" t="s">
        <v>798</v>
      </c>
      <c r="AP87" s="176" t="s">
        <v>237</v>
      </c>
      <c r="AQ87" s="177" t="s">
        <v>18</v>
      </c>
      <c r="AR87" s="250" t="s">
        <v>1035</v>
      </c>
      <c r="AS87" s="177">
        <v>105.437</v>
      </c>
      <c r="AT87" s="177">
        <v>10.388</v>
      </c>
      <c r="AU87" s="177">
        <v>6.7000000000000004E-2</v>
      </c>
      <c r="AV87" s="247"/>
    </row>
    <row r="88" spans="40:48" ht="15" customHeight="1">
      <c r="AN88" s="174">
        <f t="shared" si="7"/>
        <v>86</v>
      </c>
      <c r="AO88" s="175" t="s">
        <v>798</v>
      </c>
      <c r="AP88" s="176" t="s">
        <v>238</v>
      </c>
      <c r="AQ88" s="177" t="s">
        <v>18</v>
      </c>
      <c r="AR88" s="250" t="s">
        <v>1036</v>
      </c>
      <c r="AS88" s="177">
        <v>105.113</v>
      </c>
      <c r="AT88" s="177">
        <v>10.717700000000001</v>
      </c>
      <c r="AU88" s="177">
        <v>6.5500000000000003E-2</v>
      </c>
      <c r="AV88" s="247"/>
    </row>
    <row r="89" spans="40:48" ht="15" customHeight="1">
      <c r="AN89" s="174">
        <f t="shared" si="7"/>
        <v>87</v>
      </c>
      <c r="AO89" s="175" t="s">
        <v>798</v>
      </c>
      <c r="AP89" s="176" t="s">
        <v>239</v>
      </c>
      <c r="AQ89" s="177" t="s">
        <v>18</v>
      </c>
      <c r="AR89" s="250" t="s">
        <v>1037</v>
      </c>
      <c r="AS89" s="177">
        <v>105.0941</v>
      </c>
      <c r="AT89" s="177">
        <v>10.810600000000001</v>
      </c>
      <c r="AU89" s="177">
        <v>6.9699999999999998E-2</v>
      </c>
      <c r="AV89" s="247"/>
    </row>
    <row r="90" spans="40:48" ht="15" customHeight="1">
      <c r="AN90" s="174">
        <f t="shared" si="7"/>
        <v>88</v>
      </c>
      <c r="AO90" s="175" t="s">
        <v>798</v>
      </c>
      <c r="AP90" s="176" t="s">
        <v>240</v>
      </c>
      <c r="AQ90" s="177" t="s">
        <v>18</v>
      </c>
      <c r="AR90" s="250" t="s">
        <v>1038</v>
      </c>
      <c r="AS90" s="177">
        <v>105.23350000000001</v>
      </c>
      <c r="AT90" s="177">
        <v>10.5801</v>
      </c>
      <c r="AU90" s="177">
        <v>6.0699999999999997E-2</v>
      </c>
      <c r="AV90" s="247"/>
    </row>
    <row r="91" spans="40:48" ht="15" customHeight="1">
      <c r="AN91" s="174">
        <f t="shared" si="7"/>
        <v>89</v>
      </c>
      <c r="AO91" s="175" t="s">
        <v>798</v>
      </c>
      <c r="AP91" s="176" t="s">
        <v>241</v>
      </c>
      <c r="AQ91" s="177" t="s">
        <v>18</v>
      </c>
      <c r="AR91" s="250" t="s">
        <v>1039</v>
      </c>
      <c r="AS91" s="177">
        <v>105.389</v>
      </c>
      <c r="AT91" s="177">
        <v>10.444000000000001</v>
      </c>
      <c r="AU91" s="177">
        <v>6.5299999999999997E-2</v>
      </c>
      <c r="AV91" s="247"/>
    </row>
    <row r="92" spans="40:48" ht="15" customHeight="1">
      <c r="AN92" s="174">
        <f t="shared" si="7"/>
        <v>90</v>
      </c>
      <c r="AO92" s="175" t="s">
        <v>798</v>
      </c>
      <c r="AP92" s="176" t="s">
        <v>242</v>
      </c>
      <c r="AQ92" s="177" t="s">
        <v>18</v>
      </c>
      <c r="AR92" s="250" t="s">
        <v>1040</v>
      </c>
      <c r="AS92" s="177">
        <v>105.4033</v>
      </c>
      <c r="AT92" s="177">
        <v>10.551</v>
      </c>
      <c r="AU92" s="177">
        <v>6.0299999999999999E-2</v>
      </c>
      <c r="AV92" s="247"/>
    </row>
    <row r="93" spans="40:48" ht="15" customHeight="1">
      <c r="AN93" s="174">
        <f t="shared" si="7"/>
        <v>91</v>
      </c>
      <c r="AO93" s="175" t="s">
        <v>798</v>
      </c>
      <c r="AP93" s="176" t="s">
        <v>243</v>
      </c>
      <c r="AQ93" s="177" t="s">
        <v>18</v>
      </c>
      <c r="AR93" s="250" t="s">
        <v>1041</v>
      </c>
      <c r="AS93" s="177">
        <v>105.34310000000001</v>
      </c>
      <c r="AT93" s="177">
        <v>10.7165</v>
      </c>
      <c r="AU93" s="177">
        <v>4.4999999999999998E-2</v>
      </c>
      <c r="AV93" s="247"/>
    </row>
    <row r="94" spans="40:48" ht="15" customHeight="1">
      <c r="AN94" s="174">
        <f t="shared" si="7"/>
        <v>92</v>
      </c>
      <c r="AO94" s="175" t="s">
        <v>798</v>
      </c>
      <c r="AP94" s="176" t="s">
        <v>244</v>
      </c>
      <c r="AQ94" s="177" t="s">
        <v>18</v>
      </c>
      <c r="AR94" s="250" t="s">
        <v>1042</v>
      </c>
      <c r="AS94" s="177">
        <v>105.2428</v>
      </c>
      <c r="AT94" s="177">
        <v>10.800700000000001</v>
      </c>
      <c r="AU94" s="177">
        <v>4.99E-2</v>
      </c>
      <c r="AV94" s="247"/>
    </row>
    <row r="95" spans="40:48" ht="15" customHeight="1">
      <c r="AN95" s="174">
        <f t="shared" si="7"/>
        <v>93</v>
      </c>
      <c r="AO95" s="175" t="s">
        <v>798</v>
      </c>
      <c r="AP95" s="176" t="s">
        <v>245</v>
      </c>
      <c r="AQ95" s="177" t="s">
        <v>18</v>
      </c>
      <c r="AR95" s="250" t="s">
        <v>1043</v>
      </c>
      <c r="AS95" s="177">
        <v>105.2607</v>
      </c>
      <c r="AT95" s="177">
        <v>10.2584</v>
      </c>
      <c r="AU95" s="177">
        <v>2.1999999999999999E-2</v>
      </c>
      <c r="AV95" s="247"/>
    </row>
    <row r="96" spans="40:48" ht="15" customHeight="1">
      <c r="AN96" s="174">
        <f t="shared" si="7"/>
        <v>94</v>
      </c>
      <c r="AO96" s="175" t="s">
        <v>798</v>
      </c>
      <c r="AP96" s="176" t="s">
        <v>246</v>
      </c>
      <c r="AQ96" s="177" t="s">
        <v>18</v>
      </c>
      <c r="AR96" s="250" t="s">
        <v>1044</v>
      </c>
      <c r="AS96" s="177">
        <v>105.0009</v>
      </c>
      <c r="AT96" s="177">
        <v>10.4186</v>
      </c>
      <c r="AU96" s="177">
        <v>1.6199999999999999E-2</v>
      </c>
      <c r="AV96" s="247"/>
    </row>
    <row r="97" spans="40:48" ht="15" customHeight="1">
      <c r="AN97" s="174">
        <f t="shared" si="7"/>
        <v>95</v>
      </c>
      <c r="AO97" s="175" t="s">
        <v>798</v>
      </c>
      <c r="AP97" s="176" t="s">
        <v>247</v>
      </c>
      <c r="AQ97" s="177" t="s">
        <v>18</v>
      </c>
      <c r="AR97" s="250" t="s">
        <v>1045</v>
      </c>
      <c r="AS97" s="177">
        <v>105.0081</v>
      </c>
      <c r="AT97" s="177">
        <v>10.6274</v>
      </c>
      <c r="AU97" s="177">
        <v>3.1199999999999999E-2</v>
      </c>
      <c r="AV97" s="247"/>
    </row>
    <row r="98" spans="40:48" ht="15" customHeight="1">
      <c r="AN98" s="169">
        <f t="shared" si="7"/>
        <v>96</v>
      </c>
      <c r="AO98" s="178" t="s">
        <v>799</v>
      </c>
      <c r="AP98" s="171" t="s">
        <v>248</v>
      </c>
      <c r="AQ98" s="172" t="s">
        <v>23</v>
      </c>
      <c r="AR98" s="249" t="s">
        <v>967</v>
      </c>
      <c r="AS98" s="172">
        <v>107.07380000000001</v>
      </c>
      <c r="AT98" s="172">
        <v>10.349399999999999</v>
      </c>
      <c r="AU98" s="172">
        <v>6.1199999999999997E-2</v>
      </c>
      <c r="AV98" s="247"/>
    </row>
    <row r="99" spans="40:48" ht="15" customHeight="1">
      <c r="AN99" s="169">
        <f t="shared" si="7"/>
        <v>97</v>
      </c>
      <c r="AO99" s="178" t="s">
        <v>799</v>
      </c>
      <c r="AP99" s="171" t="s">
        <v>249</v>
      </c>
      <c r="AQ99" s="172" t="s">
        <v>18</v>
      </c>
      <c r="AR99" s="249" t="s">
        <v>1046</v>
      </c>
      <c r="AS99" s="172">
        <v>107.1671</v>
      </c>
      <c r="AT99" s="172">
        <v>10.4968</v>
      </c>
      <c r="AU99" s="172">
        <v>3.3000000000000002E-2</v>
      </c>
      <c r="AV99" s="247"/>
    </row>
    <row r="100" spans="40:48" ht="15" customHeight="1">
      <c r="AN100" s="169">
        <f t="shared" si="7"/>
        <v>98</v>
      </c>
      <c r="AO100" s="178" t="s">
        <v>799</v>
      </c>
      <c r="AP100" s="171" t="s">
        <v>250</v>
      </c>
      <c r="AQ100" s="172" t="s">
        <v>23</v>
      </c>
      <c r="AR100" s="249" t="s">
        <v>1047</v>
      </c>
      <c r="AS100" s="172">
        <v>107.2465</v>
      </c>
      <c r="AT100" s="172">
        <v>10.648099999999999</v>
      </c>
      <c r="AU100" s="172">
        <v>1.9E-2</v>
      </c>
      <c r="AV100" s="247"/>
    </row>
    <row r="101" spans="40:48" ht="15" customHeight="1">
      <c r="AN101" s="169">
        <f t="shared" si="7"/>
        <v>99</v>
      </c>
      <c r="AO101" s="178" t="s">
        <v>799</v>
      </c>
      <c r="AP101" s="171" t="s">
        <v>251</v>
      </c>
      <c r="AQ101" s="172" t="s">
        <v>27</v>
      </c>
      <c r="AR101" s="249" t="s">
        <v>2185</v>
      </c>
      <c r="AS101" s="172">
        <v>106.6063</v>
      </c>
      <c r="AT101" s="172">
        <v>8.6920000000000002</v>
      </c>
      <c r="AU101" s="172">
        <v>5.57E-2</v>
      </c>
      <c r="AV101" s="247"/>
    </row>
    <row r="102" spans="40:48" ht="15" customHeight="1">
      <c r="AN102" s="169">
        <f t="shared" si="7"/>
        <v>100</v>
      </c>
      <c r="AO102" s="178" t="s">
        <v>799</v>
      </c>
      <c r="AP102" s="171" t="s">
        <v>252</v>
      </c>
      <c r="AQ102" s="172" t="s">
        <v>23</v>
      </c>
      <c r="AR102" s="249" t="s">
        <v>1049</v>
      </c>
      <c r="AS102" s="172">
        <v>107.27070000000001</v>
      </c>
      <c r="AT102" s="172">
        <v>10.490600000000001</v>
      </c>
      <c r="AU102" s="172">
        <v>2.5100000000000001E-2</v>
      </c>
      <c r="AV102" s="247"/>
    </row>
    <row r="103" spans="40:48" ht="15" customHeight="1">
      <c r="AN103" s="169">
        <f t="shared" si="7"/>
        <v>101</v>
      </c>
      <c r="AO103" s="178" t="s">
        <v>799</v>
      </c>
      <c r="AP103" s="171" t="s">
        <v>253</v>
      </c>
      <c r="AQ103" s="172" t="s">
        <v>23</v>
      </c>
      <c r="AR103" s="249" t="s">
        <v>1050</v>
      </c>
      <c r="AS103" s="172">
        <v>107.2101</v>
      </c>
      <c r="AT103" s="172">
        <v>10.4841</v>
      </c>
      <c r="AU103" s="172">
        <v>2.9499999999999998E-2</v>
      </c>
      <c r="AV103" s="247"/>
    </row>
    <row r="104" spans="40:48" ht="15" customHeight="1">
      <c r="AN104" s="169">
        <f t="shared" si="7"/>
        <v>102</v>
      </c>
      <c r="AO104" s="178" t="s">
        <v>799</v>
      </c>
      <c r="AP104" s="171" t="s">
        <v>254</v>
      </c>
      <c r="AQ104" s="172" t="s">
        <v>23</v>
      </c>
      <c r="AR104" s="249" t="s">
        <v>1051</v>
      </c>
      <c r="AS104" s="172">
        <v>107.0545</v>
      </c>
      <c r="AT104" s="172">
        <v>10.589499999999999</v>
      </c>
      <c r="AU104" s="172">
        <v>4.4200000000000003E-2</v>
      </c>
      <c r="AV104" s="247"/>
    </row>
    <row r="105" spans="40:48" ht="15" customHeight="1">
      <c r="AN105" s="174">
        <f t="shared" si="7"/>
        <v>103</v>
      </c>
      <c r="AO105" s="178" t="s">
        <v>799</v>
      </c>
      <c r="AP105" s="171" t="s">
        <v>255</v>
      </c>
      <c r="AQ105" s="172" t="s">
        <v>23</v>
      </c>
      <c r="AR105" s="249" t="s">
        <v>1052</v>
      </c>
      <c r="AS105" s="172">
        <v>107.3981</v>
      </c>
      <c r="AT105" s="172">
        <v>10.5349</v>
      </c>
      <c r="AU105" s="172">
        <v>2.1399999999999999E-2</v>
      </c>
      <c r="AV105" s="247"/>
    </row>
    <row r="106" spans="40:48" ht="15" customHeight="1">
      <c r="AN106" s="174">
        <f t="shared" si="7"/>
        <v>104</v>
      </c>
      <c r="AO106" s="175" t="s">
        <v>800</v>
      </c>
      <c r="AP106" s="176" t="s">
        <v>256</v>
      </c>
      <c r="AQ106" s="177" t="s">
        <v>23</v>
      </c>
      <c r="AR106" s="250" t="s">
        <v>1053</v>
      </c>
      <c r="AS106" s="177">
        <v>105.72029999999999</v>
      </c>
      <c r="AT106" s="177">
        <v>9.2828999999999997</v>
      </c>
      <c r="AU106" s="177">
        <v>2.4799999999999999E-2</v>
      </c>
      <c r="AV106" s="247"/>
    </row>
    <row r="107" spans="40:48" ht="15" customHeight="1">
      <c r="AN107" s="174">
        <f t="shared" si="7"/>
        <v>105</v>
      </c>
      <c r="AO107" s="175" t="s">
        <v>800</v>
      </c>
      <c r="AP107" s="176" t="s">
        <v>1584</v>
      </c>
      <c r="AQ107" s="177" t="s">
        <v>23</v>
      </c>
      <c r="AR107" s="250" t="s">
        <v>1054</v>
      </c>
      <c r="AS107" s="177">
        <v>105.42100000000001</v>
      </c>
      <c r="AT107" s="177">
        <v>9.0361999999999991</v>
      </c>
      <c r="AU107" s="177">
        <v>2.7300000000000001E-2</v>
      </c>
      <c r="AV107" s="247"/>
    </row>
    <row r="108" spans="40:48" ht="15" customHeight="1">
      <c r="AN108" s="174">
        <f t="shared" si="7"/>
        <v>106</v>
      </c>
      <c r="AO108" s="175" t="s">
        <v>800</v>
      </c>
      <c r="AP108" s="176" t="s">
        <v>257</v>
      </c>
      <c r="AQ108" s="177" t="s">
        <v>23</v>
      </c>
      <c r="AR108" s="250" t="s">
        <v>1055</v>
      </c>
      <c r="AS108" s="177">
        <v>105.4564</v>
      </c>
      <c r="AT108" s="177">
        <v>9.2370999999999999</v>
      </c>
      <c r="AU108" s="177">
        <v>1.6199999999999999E-2</v>
      </c>
      <c r="AV108" s="247"/>
    </row>
    <row r="109" spans="40:48" ht="15" customHeight="1">
      <c r="AN109" s="174">
        <f t="shared" si="7"/>
        <v>107</v>
      </c>
      <c r="AO109" s="175" t="s">
        <v>800</v>
      </c>
      <c r="AP109" s="176" t="s">
        <v>258</v>
      </c>
      <c r="AQ109" s="177" t="s">
        <v>23</v>
      </c>
      <c r="AR109" s="250" t="s">
        <v>1056</v>
      </c>
      <c r="AS109" s="177">
        <v>105.452</v>
      </c>
      <c r="AT109" s="177">
        <v>9.5814000000000004</v>
      </c>
      <c r="AU109" s="177">
        <v>9.4000000000000004E-3</v>
      </c>
      <c r="AV109" s="247"/>
    </row>
    <row r="110" spans="40:48" ht="15" customHeight="1">
      <c r="AN110" s="174">
        <f t="shared" si="7"/>
        <v>108</v>
      </c>
      <c r="AO110" s="175" t="s">
        <v>800</v>
      </c>
      <c r="AP110" s="176" t="s">
        <v>802</v>
      </c>
      <c r="AQ110" s="177" t="s">
        <v>23</v>
      </c>
      <c r="AR110" s="250" t="s">
        <v>1057</v>
      </c>
      <c r="AS110" s="177">
        <v>105.4603</v>
      </c>
      <c r="AT110" s="177">
        <v>9.4382999999999999</v>
      </c>
      <c r="AU110" s="177">
        <v>1.0500000000000001E-2</v>
      </c>
      <c r="AV110" s="247"/>
    </row>
    <row r="111" spans="40:48" ht="15" customHeight="1">
      <c r="AN111" s="174">
        <f t="shared" si="7"/>
        <v>109</v>
      </c>
      <c r="AO111" s="175" t="s">
        <v>800</v>
      </c>
      <c r="AP111" s="176" t="s">
        <v>259</v>
      </c>
      <c r="AQ111" s="177" t="s">
        <v>23</v>
      </c>
      <c r="AR111" s="250" t="s">
        <v>1058</v>
      </c>
      <c r="AS111" s="177">
        <v>105.63200000000001</v>
      </c>
      <c r="AT111" s="177">
        <v>9.2851999999999997</v>
      </c>
      <c r="AU111" s="177">
        <v>2.0500000000000001E-2</v>
      </c>
      <c r="AV111" s="247"/>
    </row>
    <row r="112" spans="40:48" ht="15" customHeight="1">
      <c r="AN112" s="174">
        <f t="shared" si="7"/>
        <v>110</v>
      </c>
      <c r="AO112" s="178" t="s">
        <v>801</v>
      </c>
      <c r="AP112" s="171" t="s">
        <v>2186</v>
      </c>
      <c r="AQ112" s="172" t="s">
        <v>25</v>
      </c>
      <c r="AR112" s="249" t="s">
        <v>1059</v>
      </c>
      <c r="AS112" s="172">
        <v>106.1895</v>
      </c>
      <c r="AT112" s="172">
        <v>21.276499999999999</v>
      </c>
      <c r="AU112" s="172">
        <v>0.1089</v>
      </c>
      <c r="AV112" s="247"/>
    </row>
    <row r="113" spans="40:48" ht="15" customHeight="1">
      <c r="AN113" s="169">
        <f t="shared" si="7"/>
        <v>111</v>
      </c>
      <c r="AO113" s="178" t="s">
        <v>801</v>
      </c>
      <c r="AP113" s="171" t="s">
        <v>261</v>
      </c>
      <c r="AQ113" s="172" t="s">
        <v>25</v>
      </c>
      <c r="AR113" s="249" t="s">
        <v>1060</v>
      </c>
      <c r="AS113" s="172">
        <v>105.9825</v>
      </c>
      <c r="AT113" s="172">
        <v>21.3565</v>
      </c>
      <c r="AU113" s="172">
        <v>9.4100000000000003E-2</v>
      </c>
      <c r="AV113" s="247"/>
    </row>
    <row r="114" spans="40:48" ht="15" customHeight="1">
      <c r="AN114" s="169">
        <f t="shared" si="7"/>
        <v>112</v>
      </c>
      <c r="AO114" s="178" t="s">
        <v>801</v>
      </c>
      <c r="AP114" s="171" t="s">
        <v>262</v>
      </c>
      <c r="AQ114" s="172" t="s">
        <v>25</v>
      </c>
      <c r="AR114" s="249" t="s">
        <v>1061</v>
      </c>
      <c r="AS114" s="172">
        <v>106.2606</v>
      </c>
      <c r="AT114" s="172">
        <v>21.352699999999999</v>
      </c>
      <c r="AU114" s="172">
        <v>9.8000000000000004E-2</v>
      </c>
      <c r="AV114" s="247"/>
    </row>
    <row r="115" spans="40:48" ht="15" customHeight="1">
      <c r="AN115" s="169">
        <f t="shared" si="7"/>
        <v>113</v>
      </c>
      <c r="AO115" s="178" t="s">
        <v>801</v>
      </c>
      <c r="AP115" s="171" t="s">
        <v>263</v>
      </c>
      <c r="AQ115" s="172" t="s">
        <v>25</v>
      </c>
      <c r="AR115" s="249" t="s">
        <v>1062</v>
      </c>
      <c r="AS115" s="172">
        <v>106.3837</v>
      </c>
      <c r="AT115" s="172">
        <v>21.302099999999999</v>
      </c>
      <c r="AU115" s="172">
        <v>0.10920000000000001</v>
      </c>
      <c r="AV115" s="247"/>
    </row>
    <row r="116" spans="40:48" ht="15" customHeight="1">
      <c r="AN116" s="169">
        <f t="shared" si="7"/>
        <v>114</v>
      </c>
      <c r="AO116" s="178" t="s">
        <v>801</v>
      </c>
      <c r="AP116" s="171" t="s">
        <v>264</v>
      </c>
      <c r="AQ116" s="172" t="s">
        <v>25</v>
      </c>
      <c r="AR116" s="249" t="s">
        <v>1063</v>
      </c>
      <c r="AS116" s="172">
        <v>106.56570000000001</v>
      </c>
      <c r="AT116" s="172">
        <v>21.372399999999999</v>
      </c>
      <c r="AU116" s="172">
        <v>6.3600000000000004E-2</v>
      </c>
      <c r="AV116" s="247"/>
    </row>
    <row r="117" spans="40:48" ht="15" customHeight="1">
      <c r="AN117" s="169">
        <f t="shared" si="7"/>
        <v>115</v>
      </c>
      <c r="AO117" s="178" t="s">
        <v>801</v>
      </c>
      <c r="AP117" s="171" t="s">
        <v>265</v>
      </c>
      <c r="AQ117" s="172" t="s">
        <v>25</v>
      </c>
      <c r="AR117" s="249" t="s">
        <v>1039</v>
      </c>
      <c r="AS117" s="172">
        <v>106.8515</v>
      </c>
      <c r="AT117" s="172">
        <v>21.336200000000002</v>
      </c>
      <c r="AU117" s="172">
        <v>4.7100000000000003E-2</v>
      </c>
      <c r="AV117" s="247"/>
    </row>
    <row r="118" spans="40:48" ht="15" customHeight="1">
      <c r="AN118" s="169">
        <f t="shared" si="7"/>
        <v>116</v>
      </c>
      <c r="AO118" s="178" t="s">
        <v>801</v>
      </c>
      <c r="AP118" s="171" t="s">
        <v>266</v>
      </c>
      <c r="AQ118" s="172" t="s">
        <v>25</v>
      </c>
      <c r="AR118" s="249" t="s">
        <v>1064</v>
      </c>
      <c r="AS118" s="172">
        <v>106.1262</v>
      </c>
      <c r="AT118" s="172">
        <v>21.386399999999998</v>
      </c>
      <c r="AU118" s="172">
        <v>7.1900000000000006E-2</v>
      </c>
      <c r="AV118" s="247"/>
    </row>
    <row r="119" spans="40:48" ht="15" customHeight="1">
      <c r="AN119" s="169">
        <f t="shared" si="7"/>
        <v>117</v>
      </c>
      <c r="AO119" s="178" t="s">
        <v>801</v>
      </c>
      <c r="AP119" s="171" t="s">
        <v>267</v>
      </c>
      <c r="AQ119" s="172" t="s">
        <v>25</v>
      </c>
      <c r="AR119" s="249" t="s">
        <v>1065</v>
      </c>
      <c r="AS119" s="172">
        <v>106.1</v>
      </c>
      <c r="AT119" s="172">
        <v>21.271999999999998</v>
      </c>
      <c r="AU119" s="172">
        <v>0.11219999999999999</v>
      </c>
      <c r="AV119" s="247"/>
    </row>
    <row r="120" spans="40:48" ht="15" customHeight="1">
      <c r="AN120" s="169">
        <f t="shared" si="7"/>
        <v>118</v>
      </c>
      <c r="AO120" s="178" t="s">
        <v>801</v>
      </c>
      <c r="AP120" s="171" t="s">
        <v>268</v>
      </c>
      <c r="AQ120" s="172" t="s">
        <v>25</v>
      </c>
      <c r="AR120" s="249" t="s">
        <v>1066</v>
      </c>
      <c r="AS120" s="172">
        <v>106.24290000000001</v>
      </c>
      <c r="AT120" s="172">
        <v>21.203600000000002</v>
      </c>
      <c r="AU120" s="172">
        <v>0.1087</v>
      </c>
      <c r="AV120" s="247"/>
    </row>
    <row r="121" spans="40:48" ht="15" customHeight="1">
      <c r="AN121" s="174">
        <f t="shared" si="7"/>
        <v>119</v>
      </c>
      <c r="AO121" s="178" t="s">
        <v>801</v>
      </c>
      <c r="AP121" s="171" t="s">
        <v>269</v>
      </c>
      <c r="AQ121" s="172" t="s">
        <v>18</v>
      </c>
      <c r="AR121" s="249" t="s">
        <v>1067</v>
      </c>
      <c r="AS121" s="172">
        <v>106.12649999999999</v>
      </c>
      <c r="AT121" s="172">
        <v>21.4771</v>
      </c>
      <c r="AU121" s="172">
        <v>7.9100000000000004E-2</v>
      </c>
      <c r="AV121" s="247"/>
    </row>
    <row r="122" spans="40:48" ht="15" customHeight="1">
      <c r="AN122" s="174">
        <f t="shared" si="7"/>
        <v>120</v>
      </c>
      <c r="AO122" s="175" t="s">
        <v>270</v>
      </c>
      <c r="AP122" s="176" t="s">
        <v>2187</v>
      </c>
      <c r="AQ122" s="177" t="s">
        <v>18</v>
      </c>
      <c r="AR122" s="250" t="s">
        <v>1068</v>
      </c>
      <c r="AS122" s="177">
        <v>105.8265</v>
      </c>
      <c r="AT122" s="177">
        <v>22.143899999999999</v>
      </c>
      <c r="AU122" s="177">
        <v>5.96E-2</v>
      </c>
      <c r="AV122" s="247"/>
    </row>
    <row r="123" spans="40:48" ht="15" customHeight="1">
      <c r="AN123" s="174">
        <f t="shared" si="7"/>
        <v>121</v>
      </c>
      <c r="AO123" s="175" t="s">
        <v>270</v>
      </c>
      <c r="AP123" s="176" t="s">
        <v>272</v>
      </c>
      <c r="AQ123" s="177" t="s">
        <v>18</v>
      </c>
      <c r="AR123" s="250" t="s">
        <v>1069</v>
      </c>
      <c r="AS123" s="177">
        <v>105.7186</v>
      </c>
      <c r="AT123" s="177">
        <v>22.451499999999999</v>
      </c>
      <c r="AU123" s="177">
        <v>4.8300000000000003E-2</v>
      </c>
      <c r="AV123" s="247"/>
    </row>
    <row r="124" spans="40:48" ht="15" customHeight="1">
      <c r="AN124" s="174">
        <f t="shared" si="7"/>
        <v>122</v>
      </c>
      <c r="AO124" s="175" t="s">
        <v>270</v>
      </c>
      <c r="AP124" s="176" t="s">
        <v>273</v>
      </c>
      <c r="AQ124" s="177" t="s">
        <v>18</v>
      </c>
      <c r="AR124" s="250" t="s">
        <v>1070</v>
      </c>
      <c r="AS124" s="177">
        <v>105.8785</v>
      </c>
      <c r="AT124" s="177">
        <v>22.2727</v>
      </c>
      <c r="AU124" s="177">
        <v>6.1499999999999999E-2</v>
      </c>
      <c r="AV124" s="247"/>
    </row>
    <row r="125" spans="40:48" ht="15" customHeight="1">
      <c r="AN125" s="174">
        <f t="shared" si="7"/>
        <v>123</v>
      </c>
      <c r="AO125" s="175" t="s">
        <v>270</v>
      </c>
      <c r="AP125" s="176" t="s">
        <v>274</v>
      </c>
      <c r="AQ125" s="177" t="s">
        <v>18</v>
      </c>
      <c r="AR125" s="250" t="s">
        <v>1071</v>
      </c>
      <c r="AS125" s="177">
        <v>105.59480000000001</v>
      </c>
      <c r="AT125" s="177">
        <v>22.157499999999999</v>
      </c>
      <c r="AU125" s="177">
        <v>2.1700000000000001E-2</v>
      </c>
      <c r="AV125" s="247"/>
    </row>
    <row r="126" spans="40:48" ht="15" customHeight="1">
      <c r="AN126" s="174">
        <f t="shared" si="7"/>
        <v>124</v>
      </c>
      <c r="AO126" s="175" t="s">
        <v>270</v>
      </c>
      <c r="AP126" s="176" t="s">
        <v>242</v>
      </c>
      <c r="AQ126" s="177" t="s">
        <v>18</v>
      </c>
      <c r="AR126" s="250" t="s">
        <v>1040</v>
      </c>
      <c r="AS126" s="177">
        <v>105.7752</v>
      </c>
      <c r="AT126" s="177">
        <v>21.8826</v>
      </c>
      <c r="AU126" s="177">
        <v>5.8500000000000003E-2</v>
      </c>
      <c r="AV126" s="247"/>
    </row>
    <row r="127" spans="40:48" ht="15" customHeight="1">
      <c r="AN127" s="174">
        <f t="shared" si="7"/>
        <v>125</v>
      </c>
      <c r="AO127" s="175" t="s">
        <v>270</v>
      </c>
      <c r="AP127" s="176" t="s">
        <v>275</v>
      </c>
      <c r="AQ127" s="177" t="s">
        <v>18</v>
      </c>
      <c r="AR127" s="250" t="s">
        <v>1072</v>
      </c>
      <c r="AS127" s="177">
        <v>106.1837</v>
      </c>
      <c r="AT127" s="177">
        <v>22.2376</v>
      </c>
      <c r="AU127" s="177">
        <v>2.7099999999999999E-2</v>
      </c>
      <c r="AV127" s="247"/>
    </row>
    <row r="128" spans="40:48" ht="15" customHeight="1">
      <c r="AN128" s="174">
        <f t="shared" si="7"/>
        <v>126</v>
      </c>
      <c r="AO128" s="175" t="s">
        <v>270</v>
      </c>
      <c r="AP128" s="176" t="s">
        <v>276</v>
      </c>
      <c r="AQ128" s="177" t="s">
        <v>18</v>
      </c>
      <c r="AR128" s="250" t="s">
        <v>1073</v>
      </c>
      <c r="AS128" s="177">
        <v>105.9974</v>
      </c>
      <c r="AT128" s="177">
        <v>22.4268</v>
      </c>
      <c r="AU128" s="177">
        <v>3.1399999999999997E-2</v>
      </c>
      <c r="AV128" s="247"/>
    </row>
    <row r="129" spans="40:48" ht="15" customHeight="1">
      <c r="AN129" s="169">
        <f t="shared" si="7"/>
        <v>127</v>
      </c>
      <c r="AO129" s="175" t="s">
        <v>270</v>
      </c>
      <c r="AP129" s="176" t="s">
        <v>1585</v>
      </c>
      <c r="AQ129" s="177" t="s">
        <v>18</v>
      </c>
      <c r="AR129" s="250" t="s">
        <v>1074</v>
      </c>
      <c r="AS129" s="177">
        <v>105.6643</v>
      </c>
      <c r="AT129" s="177">
        <v>22.6158</v>
      </c>
      <c r="AU129" s="177">
        <v>5.6099999999999997E-2</v>
      </c>
      <c r="AV129" s="247"/>
    </row>
    <row r="130" spans="40:48" ht="15" customHeight="1">
      <c r="AN130" s="169">
        <f t="shared" si="7"/>
        <v>128</v>
      </c>
      <c r="AO130" s="178" t="s">
        <v>277</v>
      </c>
      <c r="AP130" s="171" t="s">
        <v>2188</v>
      </c>
      <c r="AQ130" s="172" t="s">
        <v>25</v>
      </c>
      <c r="AR130" s="249" t="s">
        <v>1075</v>
      </c>
      <c r="AS130" s="172">
        <v>106.0707</v>
      </c>
      <c r="AT130" s="172">
        <v>21.186299999999999</v>
      </c>
      <c r="AU130" s="172">
        <v>0.1192</v>
      </c>
      <c r="AV130" s="247"/>
    </row>
    <row r="131" spans="40:48" ht="15" customHeight="1">
      <c r="AN131" s="169">
        <f t="shared" si="7"/>
        <v>129</v>
      </c>
      <c r="AO131" s="178" t="s">
        <v>277</v>
      </c>
      <c r="AP131" s="171" t="s">
        <v>279</v>
      </c>
      <c r="AQ131" s="172" t="s">
        <v>25</v>
      </c>
      <c r="AR131" s="249" t="s">
        <v>1076</v>
      </c>
      <c r="AS131" s="172">
        <v>106.19459999999999</v>
      </c>
      <c r="AT131" s="172">
        <v>21.0565</v>
      </c>
      <c r="AU131" s="172">
        <v>0.12970000000000001</v>
      </c>
      <c r="AV131" s="247"/>
    </row>
    <row r="132" spans="40:48" ht="15" customHeight="1">
      <c r="AN132" s="169">
        <f t="shared" si="7"/>
        <v>130</v>
      </c>
      <c r="AO132" s="178" t="s">
        <v>277</v>
      </c>
      <c r="AP132" s="171" t="s">
        <v>804</v>
      </c>
      <c r="AQ132" s="172" t="s">
        <v>25</v>
      </c>
      <c r="AR132" s="249" t="s">
        <v>1077</v>
      </c>
      <c r="AS132" s="172">
        <v>106.2012</v>
      </c>
      <c r="AT132" s="172">
        <v>21.017399999999999</v>
      </c>
      <c r="AU132" s="172">
        <v>0.13159999999999999</v>
      </c>
      <c r="AV132" s="247"/>
    </row>
    <row r="133" spans="40:48" ht="15" customHeight="1">
      <c r="AN133" s="169">
        <f t="shared" ref="AN133:AN196" si="8">AN132+1</f>
        <v>131</v>
      </c>
      <c r="AO133" s="178" t="s">
        <v>277</v>
      </c>
      <c r="AP133" s="171" t="s">
        <v>280</v>
      </c>
      <c r="AQ133" s="172" t="s">
        <v>25</v>
      </c>
      <c r="AR133" s="249" t="s">
        <v>1078</v>
      </c>
      <c r="AS133" s="172">
        <v>106.1532</v>
      </c>
      <c r="AT133" s="172">
        <v>21.153500000000001</v>
      </c>
      <c r="AU133" s="172">
        <v>0.1226</v>
      </c>
      <c r="AV133" s="247"/>
    </row>
    <row r="134" spans="40:48" ht="15" customHeight="1">
      <c r="AN134" s="169">
        <f t="shared" si="8"/>
        <v>132</v>
      </c>
      <c r="AO134" s="178" t="s">
        <v>277</v>
      </c>
      <c r="AP134" s="171" t="s">
        <v>281</v>
      </c>
      <c r="AQ134" s="172" t="s">
        <v>25</v>
      </c>
      <c r="AR134" s="249" t="s">
        <v>1079</v>
      </c>
      <c r="AS134" s="172">
        <v>106.0856</v>
      </c>
      <c r="AT134" s="172">
        <v>21.0642</v>
      </c>
      <c r="AU134" s="172">
        <v>0.1108</v>
      </c>
      <c r="AV134" s="247"/>
    </row>
    <row r="135" spans="40:48" ht="15" customHeight="1">
      <c r="AN135" s="169">
        <f t="shared" si="8"/>
        <v>133</v>
      </c>
      <c r="AO135" s="178" t="s">
        <v>277</v>
      </c>
      <c r="AP135" s="171" t="s">
        <v>282</v>
      </c>
      <c r="AQ135" s="172" t="s">
        <v>25</v>
      </c>
      <c r="AR135" s="249" t="s">
        <v>1080</v>
      </c>
      <c r="AS135" s="172">
        <v>106.0194</v>
      </c>
      <c r="AT135" s="172">
        <v>21.142600000000002</v>
      </c>
      <c r="AU135" s="172">
        <v>0.1109</v>
      </c>
      <c r="AV135" s="247"/>
    </row>
    <row r="136" spans="40:48" ht="15" customHeight="1">
      <c r="AN136" s="169">
        <f t="shared" si="8"/>
        <v>134</v>
      </c>
      <c r="AO136" s="178" t="s">
        <v>277</v>
      </c>
      <c r="AP136" s="171" t="s">
        <v>283</v>
      </c>
      <c r="AQ136" s="172" t="s">
        <v>25</v>
      </c>
      <c r="AR136" s="249" t="s">
        <v>1081</v>
      </c>
      <c r="AS136" s="172">
        <v>105.9588</v>
      </c>
      <c r="AT136" s="172">
        <v>21.116399999999999</v>
      </c>
      <c r="AU136" s="172">
        <v>9.1899999999999996E-2</v>
      </c>
      <c r="AV136" s="247"/>
    </row>
    <row r="137" spans="40:48" ht="15" customHeight="1">
      <c r="AN137" s="169">
        <f t="shared" si="8"/>
        <v>135</v>
      </c>
      <c r="AO137" s="178" t="s">
        <v>277</v>
      </c>
      <c r="AP137" s="171" t="s">
        <v>284</v>
      </c>
      <c r="AQ137" s="172" t="s">
        <v>25</v>
      </c>
      <c r="AR137" s="249" t="s">
        <v>1082</v>
      </c>
      <c r="AS137" s="172">
        <v>105.95480000000001</v>
      </c>
      <c r="AT137" s="172">
        <v>21.193999999999999</v>
      </c>
      <c r="AU137" s="172">
        <v>0.10390000000000001</v>
      </c>
      <c r="AV137" s="247"/>
    </row>
    <row r="138" spans="40:48" ht="15" customHeight="1">
      <c r="AN138" s="174">
        <f t="shared" si="8"/>
        <v>136</v>
      </c>
      <c r="AO138" s="175" t="s">
        <v>803</v>
      </c>
      <c r="AP138" s="176" t="s">
        <v>285</v>
      </c>
      <c r="AQ138" s="177" t="s">
        <v>23</v>
      </c>
      <c r="AR138" s="250" t="s">
        <v>963</v>
      </c>
      <c r="AS138" s="177">
        <v>106.3822</v>
      </c>
      <c r="AT138" s="177">
        <v>10.2356</v>
      </c>
      <c r="AU138" s="177">
        <v>1.8499999999999999E-2</v>
      </c>
      <c r="AV138" s="247"/>
    </row>
    <row r="139" spans="40:48" ht="15" customHeight="1">
      <c r="AN139" s="174">
        <f t="shared" si="8"/>
        <v>137</v>
      </c>
      <c r="AO139" s="175" t="s">
        <v>803</v>
      </c>
      <c r="AP139" s="176" t="s">
        <v>286</v>
      </c>
      <c r="AQ139" s="177" t="s">
        <v>23</v>
      </c>
      <c r="AR139" s="250" t="s">
        <v>1083</v>
      </c>
      <c r="AS139" s="177">
        <v>106.5894</v>
      </c>
      <c r="AT139" s="177">
        <v>10.039</v>
      </c>
      <c r="AU139" s="177">
        <v>2.75E-2</v>
      </c>
      <c r="AV139" s="247"/>
    </row>
    <row r="140" spans="40:48" ht="15" customHeight="1">
      <c r="AN140" s="174">
        <f t="shared" si="8"/>
        <v>138</v>
      </c>
      <c r="AO140" s="175" t="s">
        <v>803</v>
      </c>
      <c r="AP140" s="176" t="s">
        <v>287</v>
      </c>
      <c r="AQ140" s="177" t="s">
        <v>23</v>
      </c>
      <c r="AR140" s="250" t="s">
        <v>1084</v>
      </c>
      <c r="AS140" s="177">
        <v>106.69289999999999</v>
      </c>
      <c r="AT140" s="177">
        <v>10.1858</v>
      </c>
      <c r="AU140" s="177">
        <v>6.6500000000000004E-2</v>
      </c>
      <c r="AV140" s="247"/>
    </row>
    <row r="141" spans="40:48" ht="15" customHeight="1">
      <c r="AN141" s="174">
        <f t="shared" si="8"/>
        <v>139</v>
      </c>
      <c r="AO141" s="175" t="s">
        <v>803</v>
      </c>
      <c r="AP141" s="176" t="s">
        <v>241</v>
      </c>
      <c r="AQ141" s="177" t="s">
        <v>23</v>
      </c>
      <c r="AR141" s="250" t="s">
        <v>1085</v>
      </c>
      <c r="AS141" s="177">
        <v>106.3597</v>
      </c>
      <c r="AT141" s="177">
        <v>10.3108</v>
      </c>
      <c r="AU141" s="177">
        <v>2.0400000000000001E-2</v>
      </c>
      <c r="AV141" s="247"/>
    </row>
    <row r="142" spans="40:48" ht="15" customHeight="1">
      <c r="AN142" s="174">
        <f t="shared" si="8"/>
        <v>140</v>
      </c>
      <c r="AO142" s="175" t="s">
        <v>803</v>
      </c>
      <c r="AP142" s="176" t="s">
        <v>288</v>
      </c>
      <c r="AQ142" s="177" t="s">
        <v>23</v>
      </c>
      <c r="AR142" s="250" t="s">
        <v>1086</v>
      </c>
      <c r="AS142" s="177">
        <v>106.12050000000001</v>
      </c>
      <c r="AT142" s="177">
        <v>10.258800000000001</v>
      </c>
      <c r="AU142" s="177">
        <v>1.5699999999999999E-2</v>
      </c>
      <c r="AV142" s="247"/>
    </row>
    <row r="143" spans="40:48" ht="15" customHeight="1">
      <c r="AN143" s="174">
        <f t="shared" si="8"/>
        <v>141</v>
      </c>
      <c r="AO143" s="175" t="s">
        <v>803</v>
      </c>
      <c r="AP143" s="176" t="s">
        <v>289</v>
      </c>
      <c r="AQ143" s="177" t="s">
        <v>23</v>
      </c>
      <c r="AR143" s="250" t="s">
        <v>1087</v>
      </c>
      <c r="AS143" s="177">
        <v>106.5076</v>
      </c>
      <c r="AT143" s="177">
        <v>10.148999999999999</v>
      </c>
      <c r="AU143" s="177">
        <v>2.3699999999999999E-2</v>
      </c>
      <c r="AV143" s="247"/>
    </row>
    <row r="144" spans="40:48" ht="15" customHeight="1">
      <c r="AN144" s="174">
        <f t="shared" si="8"/>
        <v>142</v>
      </c>
      <c r="AO144" s="175" t="s">
        <v>803</v>
      </c>
      <c r="AP144" s="176" t="s">
        <v>290</v>
      </c>
      <c r="AQ144" s="177" t="s">
        <v>23</v>
      </c>
      <c r="AR144" s="250" t="s">
        <v>1088</v>
      </c>
      <c r="AS144" s="177">
        <v>106.33369999999999</v>
      </c>
      <c r="AT144" s="177">
        <v>10.1234</v>
      </c>
      <c r="AU144" s="177">
        <v>1.5699999999999999E-2</v>
      </c>
      <c r="AV144" s="247"/>
    </row>
    <row r="145" spans="40:48" ht="15" customHeight="1">
      <c r="AN145" s="174">
        <f t="shared" si="8"/>
        <v>143</v>
      </c>
      <c r="AO145" s="175" t="s">
        <v>803</v>
      </c>
      <c r="AP145" s="176" t="s">
        <v>291</v>
      </c>
      <c r="AQ145" s="177" t="s">
        <v>23</v>
      </c>
      <c r="AR145" s="250" t="s">
        <v>1089</v>
      </c>
      <c r="AS145" s="177">
        <v>106.5147</v>
      </c>
      <c r="AT145" s="177">
        <v>9.9474</v>
      </c>
      <c r="AU145" s="177">
        <v>2.0899999999999998E-2</v>
      </c>
      <c r="AV145" s="247"/>
    </row>
    <row r="146" spans="40:48" ht="15" customHeight="1">
      <c r="AN146" s="169">
        <f t="shared" si="8"/>
        <v>144</v>
      </c>
      <c r="AO146" s="178" t="s">
        <v>805</v>
      </c>
      <c r="AP146" s="171" t="s">
        <v>292</v>
      </c>
      <c r="AQ146" s="172" t="s">
        <v>18</v>
      </c>
      <c r="AR146" s="249" t="s">
        <v>1090</v>
      </c>
      <c r="AS146" s="172">
        <v>106.6724</v>
      </c>
      <c r="AT146" s="172">
        <v>11.002800000000001</v>
      </c>
      <c r="AU146" s="172">
        <v>8.1299999999999997E-2</v>
      </c>
      <c r="AV146" s="247"/>
    </row>
    <row r="147" spans="40:48" ht="15" customHeight="1">
      <c r="AN147" s="169">
        <f t="shared" si="8"/>
        <v>145</v>
      </c>
      <c r="AO147" s="178" t="s">
        <v>805</v>
      </c>
      <c r="AP147" s="171" t="s">
        <v>293</v>
      </c>
      <c r="AQ147" s="172" t="s">
        <v>18</v>
      </c>
      <c r="AR147" s="249" t="s">
        <v>1091</v>
      </c>
      <c r="AS147" s="172">
        <v>106.59</v>
      </c>
      <c r="AT147" s="172">
        <v>11.1547</v>
      </c>
      <c r="AU147" s="172">
        <v>8.9700000000000002E-2</v>
      </c>
      <c r="AV147" s="247"/>
    </row>
    <row r="148" spans="40:48" ht="15" customHeight="1">
      <c r="AN148" s="169">
        <f t="shared" si="8"/>
        <v>146</v>
      </c>
      <c r="AO148" s="178" t="s">
        <v>805</v>
      </c>
      <c r="AP148" s="171" t="s">
        <v>294</v>
      </c>
      <c r="AQ148" s="172" t="s">
        <v>18</v>
      </c>
      <c r="AR148" s="249" t="s">
        <v>1092</v>
      </c>
      <c r="AS148" s="172">
        <v>106.36239999999999</v>
      </c>
      <c r="AT148" s="172">
        <v>11.279500000000001</v>
      </c>
      <c r="AU148" s="172">
        <v>6.3899999999999998E-2</v>
      </c>
      <c r="AV148" s="247"/>
    </row>
    <row r="149" spans="40:48" ht="15" customHeight="1">
      <c r="AN149" s="169">
        <f t="shared" si="8"/>
        <v>147</v>
      </c>
      <c r="AO149" s="178" t="s">
        <v>805</v>
      </c>
      <c r="AP149" s="171" t="s">
        <v>295</v>
      </c>
      <c r="AQ149" s="172" t="s">
        <v>18</v>
      </c>
      <c r="AR149" s="249" t="s">
        <v>1093</v>
      </c>
      <c r="AS149" s="172">
        <v>106.76949999999999</v>
      </c>
      <c r="AT149" s="172">
        <v>10.9071</v>
      </c>
      <c r="AU149" s="172">
        <v>6.6299999999999998E-2</v>
      </c>
      <c r="AV149" s="247"/>
    </row>
    <row r="150" spans="40:48" ht="15" customHeight="1">
      <c r="AN150" s="169">
        <f t="shared" si="8"/>
        <v>148</v>
      </c>
      <c r="AO150" s="178" t="s">
        <v>805</v>
      </c>
      <c r="AP150" s="171" t="s">
        <v>296</v>
      </c>
      <c r="AQ150" s="172" t="s">
        <v>18</v>
      </c>
      <c r="AR150" s="249" t="s">
        <v>1094</v>
      </c>
      <c r="AS150" s="172">
        <v>106.7953</v>
      </c>
      <c r="AT150" s="172">
        <v>11.291499999999999</v>
      </c>
      <c r="AU150" s="172">
        <v>8.77E-2</v>
      </c>
      <c r="AV150" s="247"/>
    </row>
    <row r="151" spans="40:48" ht="15" customHeight="1">
      <c r="AN151" s="169">
        <f t="shared" si="8"/>
        <v>149</v>
      </c>
      <c r="AO151" s="178" t="s">
        <v>805</v>
      </c>
      <c r="AP151" s="171" t="s">
        <v>297</v>
      </c>
      <c r="AQ151" s="172" t="s">
        <v>18</v>
      </c>
      <c r="AR151" s="249" t="s">
        <v>1095</v>
      </c>
      <c r="AS151" s="172">
        <v>106.8034</v>
      </c>
      <c r="AT151" s="172">
        <v>11.0647</v>
      </c>
      <c r="AU151" s="172">
        <v>4.3299999999999998E-2</v>
      </c>
      <c r="AV151" s="247"/>
    </row>
    <row r="152" spans="40:48" ht="15" customHeight="1">
      <c r="AN152" s="169">
        <f t="shared" si="8"/>
        <v>150</v>
      </c>
      <c r="AO152" s="178" t="s">
        <v>805</v>
      </c>
      <c r="AP152" s="171" t="s">
        <v>298</v>
      </c>
      <c r="AQ152" s="172" t="s">
        <v>18</v>
      </c>
      <c r="AR152" s="249" t="s">
        <v>1096</v>
      </c>
      <c r="AS152" s="172">
        <v>106.6999</v>
      </c>
      <c r="AT152" s="172">
        <v>10.9053</v>
      </c>
      <c r="AU152" s="172">
        <v>8.1199999999999994E-2</v>
      </c>
      <c r="AV152" s="247"/>
    </row>
    <row r="153" spans="40:48" ht="15" customHeight="1">
      <c r="AN153" s="174">
        <f t="shared" si="8"/>
        <v>151</v>
      </c>
      <c r="AO153" s="175" t="s">
        <v>299</v>
      </c>
      <c r="AP153" s="176" t="s">
        <v>300</v>
      </c>
      <c r="AQ153" s="177" t="s">
        <v>28</v>
      </c>
      <c r="AR153" s="250" t="s">
        <v>1097</v>
      </c>
      <c r="AS153" s="177">
        <v>109.23090000000001</v>
      </c>
      <c r="AT153" s="177">
        <v>13.7704</v>
      </c>
      <c r="AU153" s="177">
        <v>9.4100000000000003E-2</v>
      </c>
      <c r="AV153" s="247"/>
    </row>
    <row r="154" spans="40:48" ht="15" customHeight="1">
      <c r="AN154" s="174">
        <f t="shared" si="8"/>
        <v>152</v>
      </c>
      <c r="AO154" s="175" t="s">
        <v>299</v>
      </c>
      <c r="AP154" s="176" t="s">
        <v>216</v>
      </c>
      <c r="AQ154" s="177" t="s">
        <v>25</v>
      </c>
      <c r="AR154" s="250" t="s">
        <v>1006</v>
      </c>
      <c r="AS154" s="177">
        <v>108.8854</v>
      </c>
      <c r="AT154" s="177">
        <v>14.615600000000001</v>
      </c>
      <c r="AU154" s="177">
        <v>0.1031</v>
      </c>
      <c r="AV154" s="247"/>
    </row>
    <row r="155" spans="40:48" ht="15" customHeight="1">
      <c r="AN155" s="174">
        <f t="shared" si="8"/>
        <v>153</v>
      </c>
      <c r="AO155" s="175" t="s">
        <v>299</v>
      </c>
      <c r="AP155" s="176" t="s">
        <v>301</v>
      </c>
      <c r="AQ155" s="177" t="s">
        <v>28</v>
      </c>
      <c r="AR155" s="250" t="s">
        <v>1098</v>
      </c>
      <c r="AS155" s="177">
        <v>109.11199999999999</v>
      </c>
      <c r="AT155" s="177">
        <v>13.8888</v>
      </c>
      <c r="AU155" s="177">
        <v>0.1061</v>
      </c>
      <c r="AV155" s="247"/>
    </row>
    <row r="156" spans="40:48" ht="15" customHeight="1">
      <c r="AN156" s="174">
        <f t="shared" si="8"/>
        <v>154</v>
      </c>
      <c r="AO156" s="175" t="s">
        <v>299</v>
      </c>
      <c r="AP156" s="176" t="s">
        <v>302</v>
      </c>
      <c r="AQ156" s="177" t="s">
        <v>25</v>
      </c>
      <c r="AR156" s="250" t="s">
        <v>1099</v>
      </c>
      <c r="AS156" s="177">
        <v>108.97199999999999</v>
      </c>
      <c r="AT156" s="177">
        <v>14.366099999999999</v>
      </c>
      <c r="AU156" s="177">
        <v>0.1057</v>
      </c>
      <c r="AV156" s="247"/>
    </row>
    <row r="157" spans="40:48" ht="15" customHeight="1">
      <c r="AN157" s="174">
        <f t="shared" si="8"/>
        <v>155</v>
      </c>
      <c r="AO157" s="175" t="s">
        <v>299</v>
      </c>
      <c r="AP157" s="176" t="s">
        <v>303</v>
      </c>
      <c r="AQ157" s="177" t="s">
        <v>28</v>
      </c>
      <c r="AR157" s="250" t="s">
        <v>1100</v>
      </c>
      <c r="AS157" s="177">
        <v>109.0154</v>
      </c>
      <c r="AT157" s="177">
        <v>14.434699999999999</v>
      </c>
      <c r="AU157" s="177">
        <v>0.10489999999999999</v>
      </c>
      <c r="AV157" s="247"/>
    </row>
    <row r="158" spans="40:48" ht="15" customHeight="1">
      <c r="AN158" s="174">
        <f t="shared" si="8"/>
        <v>156</v>
      </c>
      <c r="AO158" s="175" t="s">
        <v>299</v>
      </c>
      <c r="AP158" s="176" t="s">
        <v>304</v>
      </c>
      <c r="AQ158" s="177" t="s">
        <v>28</v>
      </c>
      <c r="AR158" s="250" t="s">
        <v>1101</v>
      </c>
      <c r="AS158" s="177">
        <v>109.05670000000001</v>
      </c>
      <c r="AT158" s="177">
        <v>14.003399999999999</v>
      </c>
      <c r="AU158" s="177">
        <v>0.107</v>
      </c>
      <c r="AV158" s="247"/>
    </row>
    <row r="159" spans="40:48" ht="15" customHeight="1">
      <c r="AN159" s="174">
        <f t="shared" si="8"/>
        <v>157</v>
      </c>
      <c r="AO159" s="175" t="s">
        <v>299</v>
      </c>
      <c r="AP159" s="176" t="s">
        <v>305</v>
      </c>
      <c r="AQ159" s="177" t="s">
        <v>28</v>
      </c>
      <c r="AR159" s="250" t="s">
        <v>1102</v>
      </c>
      <c r="AS159" s="177">
        <v>109.051</v>
      </c>
      <c r="AT159" s="177">
        <v>14.175000000000001</v>
      </c>
      <c r="AU159" s="177">
        <v>0.1008</v>
      </c>
      <c r="AV159" s="247"/>
    </row>
    <row r="160" spans="40:48" ht="15" customHeight="1">
      <c r="AN160" s="174">
        <f t="shared" si="8"/>
        <v>158</v>
      </c>
      <c r="AO160" s="175" t="s">
        <v>299</v>
      </c>
      <c r="AP160" s="176" t="s">
        <v>306</v>
      </c>
      <c r="AQ160" s="177" t="s">
        <v>25</v>
      </c>
      <c r="AR160" s="250" t="s">
        <v>1103</v>
      </c>
      <c r="AS160" s="177">
        <v>108.91379999999999</v>
      </c>
      <c r="AT160" s="177">
        <v>13.9109</v>
      </c>
      <c r="AU160" s="177">
        <v>0.10970000000000001</v>
      </c>
      <c r="AV160" s="247"/>
    </row>
    <row r="161" spans="40:48" ht="15" customHeight="1">
      <c r="AN161" s="174">
        <f t="shared" si="8"/>
        <v>159</v>
      </c>
      <c r="AO161" s="175" t="s">
        <v>299</v>
      </c>
      <c r="AP161" s="176" t="s">
        <v>826</v>
      </c>
      <c r="AQ161" s="177" t="s">
        <v>28</v>
      </c>
      <c r="AR161" s="250" t="s">
        <v>1104</v>
      </c>
      <c r="AS161" s="177">
        <v>109.1645</v>
      </c>
      <c r="AT161" s="177">
        <v>13.8284</v>
      </c>
      <c r="AU161" s="177">
        <v>0.1067</v>
      </c>
      <c r="AV161" s="247"/>
    </row>
    <row r="162" spans="40:48" ht="15" customHeight="1">
      <c r="AN162" s="174">
        <f t="shared" si="8"/>
        <v>160</v>
      </c>
      <c r="AO162" s="175" t="s">
        <v>299</v>
      </c>
      <c r="AP162" s="176" t="s">
        <v>307</v>
      </c>
      <c r="AQ162" s="177" t="s">
        <v>25</v>
      </c>
      <c r="AR162" s="250" t="s">
        <v>1105</v>
      </c>
      <c r="AS162" s="177">
        <v>108.99769999999999</v>
      </c>
      <c r="AT162" s="177">
        <v>13.6225</v>
      </c>
      <c r="AU162" s="177">
        <v>0.1053</v>
      </c>
      <c r="AV162" s="247"/>
    </row>
    <row r="163" spans="40:48" ht="15" customHeight="1">
      <c r="AN163" s="174">
        <f t="shared" si="8"/>
        <v>161</v>
      </c>
      <c r="AO163" s="175" t="s">
        <v>299</v>
      </c>
      <c r="AP163" s="176" t="s">
        <v>236</v>
      </c>
      <c r="AQ163" s="177" t="s">
        <v>18</v>
      </c>
      <c r="AR163" s="250" t="s">
        <v>1106</v>
      </c>
      <c r="AS163" s="177">
        <v>108.78189999999999</v>
      </c>
      <c r="AT163" s="177">
        <v>14.140700000000001</v>
      </c>
      <c r="AU163" s="177">
        <v>9.8500000000000004E-2</v>
      </c>
      <c r="AV163" s="247"/>
    </row>
    <row r="164" spans="40:48" ht="15" customHeight="1">
      <c r="AN164" s="169">
        <f t="shared" si="8"/>
        <v>162</v>
      </c>
      <c r="AO164" s="178" t="s">
        <v>825</v>
      </c>
      <c r="AP164" s="171" t="s">
        <v>308</v>
      </c>
      <c r="AQ164" s="172" t="s">
        <v>18</v>
      </c>
      <c r="AR164" s="249" t="s">
        <v>1107</v>
      </c>
      <c r="AS164" s="172">
        <v>106.9008</v>
      </c>
      <c r="AT164" s="172">
        <v>11.5396</v>
      </c>
      <c r="AU164" s="172">
        <v>6.7799999999999999E-2</v>
      </c>
      <c r="AV164" s="247"/>
    </row>
    <row r="165" spans="40:48" ht="15" customHeight="1">
      <c r="AN165" s="169">
        <f t="shared" si="8"/>
        <v>163</v>
      </c>
      <c r="AO165" s="178" t="s">
        <v>825</v>
      </c>
      <c r="AP165" s="171" t="s">
        <v>309</v>
      </c>
      <c r="AQ165" s="172" t="s">
        <v>18</v>
      </c>
      <c r="AR165" s="249" t="s">
        <v>1108</v>
      </c>
      <c r="AS165" s="172">
        <v>106.6073</v>
      </c>
      <c r="AT165" s="172">
        <v>11.651400000000001</v>
      </c>
      <c r="AU165" s="172">
        <v>7.17E-2</v>
      </c>
      <c r="AV165" s="247"/>
    </row>
    <row r="166" spans="40:48" ht="15" customHeight="1">
      <c r="AN166" s="169">
        <f t="shared" si="8"/>
        <v>164</v>
      </c>
      <c r="AO166" s="178" t="s">
        <v>825</v>
      </c>
      <c r="AP166" s="171" t="s">
        <v>310</v>
      </c>
      <c r="AQ166" s="172" t="s">
        <v>18</v>
      </c>
      <c r="AR166" s="249" t="s">
        <v>1109</v>
      </c>
      <c r="AS166" s="172">
        <v>107.24760000000001</v>
      </c>
      <c r="AT166" s="172">
        <v>11.8131</v>
      </c>
      <c r="AU166" s="172">
        <v>3.7900000000000003E-2</v>
      </c>
      <c r="AV166" s="247"/>
    </row>
    <row r="167" spans="40:48" ht="15" customHeight="1">
      <c r="AN167" s="169">
        <f t="shared" si="8"/>
        <v>165</v>
      </c>
      <c r="AO167" s="178" t="s">
        <v>825</v>
      </c>
      <c r="AP167" s="171" t="s">
        <v>311</v>
      </c>
      <c r="AQ167" s="172" t="s">
        <v>18</v>
      </c>
      <c r="AR167" s="249" t="s">
        <v>1110</v>
      </c>
      <c r="AS167" s="172">
        <v>106.8113</v>
      </c>
      <c r="AT167" s="172">
        <v>12.0151</v>
      </c>
      <c r="AU167" s="172">
        <v>2.0199999999999999E-2</v>
      </c>
      <c r="AV167" s="247"/>
    </row>
    <row r="168" spans="40:48" ht="15" customHeight="1">
      <c r="AN168" s="169">
        <f t="shared" si="8"/>
        <v>166</v>
      </c>
      <c r="AO168" s="178" t="s">
        <v>825</v>
      </c>
      <c r="AP168" s="171" t="s">
        <v>312</v>
      </c>
      <c r="AQ168" s="172" t="s">
        <v>18</v>
      </c>
      <c r="AR168" s="249" t="s">
        <v>1111</v>
      </c>
      <c r="AS168" s="172">
        <v>106.61579999999999</v>
      </c>
      <c r="AT168" s="172">
        <v>11.417</v>
      </c>
      <c r="AU168" s="172">
        <v>5.67E-2</v>
      </c>
      <c r="AV168" s="247"/>
    </row>
    <row r="169" spans="40:48" ht="15" customHeight="1">
      <c r="AN169" s="169">
        <f t="shared" si="8"/>
        <v>167</v>
      </c>
      <c r="AO169" s="178" t="s">
        <v>825</v>
      </c>
      <c r="AP169" s="171" t="s">
        <v>313</v>
      </c>
      <c r="AQ169" s="172" t="s">
        <v>18</v>
      </c>
      <c r="AR169" s="249" t="s">
        <v>1112</v>
      </c>
      <c r="AS169" s="172">
        <v>106.861</v>
      </c>
      <c r="AT169" s="172">
        <v>11.4649</v>
      </c>
      <c r="AU169" s="172">
        <v>7.4200000000000002E-2</v>
      </c>
      <c r="AV169" s="247"/>
    </row>
    <row r="170" spans="40:48" ht="15" customHeight="1">
      <c r="AN170" s="169">
        <f t="shared" si="8"/>
        <v>168</v>
      </c>
      <c r="AO170" s="178" t="s">
        <v>825</v>
      </c>
      <c r="AP170" s="171" t="s">
        <v>314</v>
      </c>
      <c r="AQ170" s="172" t="s">
        <v>18</v>
      </c>
      <c r="AR170" s="249" t="s">
        <v>1110</v>
      </c>
      <c r="AS170" s="172">
        <v>106.58969999999999</v>
      </c>
      <c r="AT170" s="172">
        <v>11.845700000000001</v>
      </c>
      <c r="AU170" s="172">
        <v>8.0600000000000005E-2</v>
      </c>
      <c r="AV170" s="247"/>
    </row>
    <row r="171" spans="40:48" ht="15" customHeight="1">
      <c r="AN171" s="169">
        <f t="shared" si="8"/>
        <v>169</v>
      </c>
      <c r="AO171" s="178" t="s">
        <v>825</v>
      </c>
      <c r="AP171" s="171" t="s">
        <v>802</v>
      </c>
      <c r="AQ171" s="172" t="s">
        <v>18</v>
      </c>
      <c r="AR171" s="249" t="s">
        <v>1113</v>
      </c>
      <c r="AS171" s="172">
        <v>107.00060000000001</v>
      </c>
      <c r="AT171" s="172">
        <v>11.8582</v>
      </c>
      <c r="AU171" s="172">
        <v>1.7899999999999999E-2</v>
      </c>
      <c r="AV171" s="247"/>
    </row>
    <row r="172" spans="40:48" ht="15" customHeight="1">
      <c r="AN172" s="169">
        <f t="shared" si="8"/>
        <v>170</v>
      </c>
      <c r="AO172" s="175" t="s">
        <v>315</v>
      </c>
      <c r="AP172" s="176" t="s">
        <v>316</v>
      </c>
      <c r="AQ172" s="177" t="s">
        <v>23</v>
      </c>
      <c r="AR172" s="250" t="s">
        <v>1114</v>
      </c>
      <c r="AS172" s="177">
        <v>108.1022</v>
      </c>
      <c r="AT172" s="177">
        <v>10.923400000000001</v>
      </c>
      <c r="AU172" s="177">
        <v>2.46E-2</v>
      </c>
      <c r="AV172" s="247"/>
    </row>
    <row r="173" spans="40:48" ht="15" customHeight="1">
      <c r="AN173" s="174">
        <f t="shared" si="8"/>
        <v>171</v>
      </c>
      <c r="AO173" s="175" t="s">
        <v>315</v>
      </c>
      <c r="AP173" s="176" t="s">
        <v>317</v>
      </c>
      <c r="AQ173" s="177" t="s">
        <v>23</v>
      </c>
      <c r="AR173" s="250" t="s">
        <v>1115</v>
      </c>
      <c r="AS173" s="177">
        <v>108.50369999999999</v>
      </c>
      <c r="AT173" s="177">
        <v>11.2216</v>
      </c>
      <c r="AU173" s="177">
        <v>2.2200000000000001E-2</v>
      </c>
      <c r="AV173" s="247"/>
    </row>
    <row r="174" spans="40:48" ht="15" customHeight="1">
      <c r="AN174" s="174">
        <f t="shared" si="8"/>
        <v>172</v>
      </c>
      <c r="AO174" s="175" t="s">
        <v>315</v>
      </c>
      <c r="AP174" s="176" t="s">
        <v>318</v>
      </c>
      <c r="AQ174" s="177" t="s">
        <v>18</v>
      </c>
      <c r="AR174" s="250" t="s">
        <v>1116</v>
      </c>
      <c r="AS174" s="177">
        <v>107.5659</v>
      </c>
      <c r="AT174" s="177">
        <v>11.1891</v>
      </c>
      <c r="AU174" s="177">
        <v>2.5100000000000001E-2</v>
      </c>
      <c r="AV174" s="247"/>
    </row>
    <row r="175" spans="40:48" ht="15" customHeight="1">
      <c r="AN175" s="174">
        <f t="shared" si="8"/>
        <v>173</v>
      </c>
      <c r="AO175" s="175" t="s">
        <v>315</v>
      </c>
      <c r="AP175" s="176" t="s">
        <v>319</v>
      </c>
      <c r="AQ175" s="177" t="s">
        <v>23</v>
      </c>
      <c r="AR175" s="250" t="s">
        <v>1117</v>
      </c>
      <c r="AS175" s="177">
        <v>107.7569</v>
      </c>
      <c r="AT175" s="177">
        <v>10.6869</v>
      </c>
      <c r="AU175" s="177">
        <v>5.57E-2</v>
      </c>
      <c r="AV175" s="247"/>
    </row>
    <row r="176" spans="40:48" ht="15" customHeight="1">
      <c r="AN176" s="174">
        <f t="shared" si="8"/>
        <v>174</v>
      </c>
      <c r="AO176" s="175" t="s">
        <v>315</v>
      </c>
      <c r="AP176" s="176" t="s">
        <v>320</v>
      </c>
      <c r="AQ176" s="177" t="s">
        <v>23</v>
      </c>
      <c r="AR176" s="250" t="s">
        <v>1118</v>
      </c>
      <c r="AS176" s="177">
        <v>108.1302</v>
      </c>
      <c r="AT176" s="177">
        <v>11.070399999999999</v>
      </c>
      <c r="AU176" s="177">
        <v>2.1999999999999999E-2</v>
      </c>
      <c r="AV176" s="247"/>
    </row>
    <row r="177" spans="40:48" ht="15" customHeight="1">
      <c r="AN177" s="174">
        <f t="shared" si="8"/>
        <v>175</v>
      </c>
      <c r="AO177" s="175" t="s">
        <v>315</v>
      </c>
      <c r="AP177" s="176" t="s">
        <v>321</v>
      </c>
      <c r="AQ177" s="177" t="s">
        <v>18</v>
      </c>
      <c r="AR177" s="250" t="s">
        <v>1119</v>
      </c>
      <c r="AS177" s="177">
        <v>107.8772</v>
      </c>
      <c r="AT177" s="177">
        <v>10.8474</v>
      </c>
      <c r="AU177" s="177">
        <v>3.0200000000000001E-2</v>
      </c>
      <c r="AV177" s="247"/>
    </row>
    <row r="178" spans="40:48" ht="15" customHeight="1">
      <c r="AN178" s="174">
        <f t="shared" si="8"/>
        <v>176</v>
      </c>
      <c r="AO178" s="175" t="s">
        <v>315</v>
      </c>
      <c r="AP178" s="176" t="s">
        <v>322</v>
      </c>
      <c r="AQ178" s="177" t="s">
        <v>27</v>
      </c>
      <c r="AR178" s="250" t="s">
        <v>1120</v>
      </c>
      <c r="AS178" s="177">
        <v>108.93770000000001</v>
      </c>
      <c r="AT178" s="177">
        <v>10.5421</v>
      </c>
      <c r="AU178" s="177">
        <v>5.3999999999999999E-2</v>
      </c>
      <c r="AV178" s="247"/>
    </row>
    <row r="179" spans="40:48" ht="15" customHeight="1">
      <c r="AN179" s="174">
        <f t="shared" si="8"/>
        <v>177</v>
      </c>
      <c r="AO179" s="175" t="s">
        <v>315</v>
      </c>
      <c r="AP179" s="176" t="s">
        <v>323</v>
      </c>
      <c r="AQ179" s="177" t="s">
        <v>18</v>
      </c>
      <c r="AR179" s="250" t="s">
        <v>1121</v>
      </c>
      <c r="AS179" s="177">
        <v>107.6803</v>
      </c>
      <c r="AT179" s="177">
        <v>11.085599999999999</v>
      </c>
      <c r="AU179" s="177">
        <v>4.2200000000000001E-2</v>
      </c>
      <c r="AV179" s="247"/>
    </row>
    <row r="180" spans="40:48" ht="15" customHeight="1">
      <c r="AN180" s="174">
        <f t="shared" si="8"/>
        <v>178</v>
      </c>
      <c r="AO180" s="175" t="s">
        <v>315</v>
      </c>
      <c r="AP180" s="176" t="s">
        <v>324</v>
      </c>
      <c r="AQ180" s="177" t="s">
        <v>23</v>
      </c>
      <c r="AR180" s="250" t="s">
        <v>1122</v>
      </c>
      <c r="AS180" s="177">
        <v>108.7334</v>
      </c>
      <c r="AT180" s="177">
        <v>11.2285</v>
      </c>
      <c r="AU180" s="177">
        <v>3.73E-2</v>
      </c>
      <c r="AV180" s="247"/>
    </row>
    <row r="181" spans="40:48" ht="15" customHeight="1">
      <c r="AN181" s="169">
        <f t="shared" si="8"/>
        <v>179</v>
      </c>
      <c r="AO181" s="178" t="s">
        <v>325</v>
      </c>
      <c r="AP181" s="171" t="s">
        <v>326</v>
      </c>
      <c r="AQ181" s="172" t="s">
        <v>23</v>
      </c>
      <c r="AR181" s="249" t="s">
        <v>1123</v>
      </c>
      <c r="AS181" s="172">
        <v>105.1502</v>
      </c>
      <c r="AT181" s="172">
        <v>9.1759000000000004</v>
      </c>
      <c r="AU181" s="172">
        <v>1.1299999999999999E-2</v>
      </c>
      <c r="AV181" s="247"/>
    </row>
    <row r="182" spans="40:48" ht="15" customHeight="1">
      <c r="AN182" s="169">
        <f t="shared" si="8"/>
        <v>180</v>
      </c>
      <c r="AO182" s="178" t="s">
        <v>325</v>
      </c>
      <c r="AP182" s="171" t="s">
        <v>827</v>
      </c>
      <c r="AQ182" s="172" t="s">
        <v>23</v>
      </c>
      <c r="AR182" s="249" t="s">
        <v>1124</v>
      </c>
      <c r="AS182" s="172">
        <v>105.0132</v>
      </c>
      <c r="AT182" s="172">
        <v>8.9382999999999999</v>
      </c>
      <c r="AU182" s="172">
        <v>1.54E-2</v>
      </c>
      <c r="AV182" s="247"/>
    </row>
    <row r="183" spans="40:48" ht="15" customHeight="1">
      <c r="AN183" s="169">
        <f t="shared" si="8"/>
        <v>181</v>
      </c>
      <c r="AO183" s="178" t="s">
        <v>325</v>
      </c>
      <c r="AP183" s="171" t="s">
        <v>327</v>
      </c>
      <c r="AQ183" s="172" t="s">
        <v>23</v>
      </c>
      <c r="AR183" s="249" t="s">
        <v>1125</v>
      </c>
      <c r="AS183" s="172">
        <v>105.196</v>
      </c>
      <c r="AT183" s="172">
        <v>8.9907000000000004</v>
      </c>
      <c r="AU183" s="172">
        <v>1.9099999999999999E-2</v>
      </c>
      <c r="AV183" s="247"/>
    </row>
    <row r="184" spans="40:48" ht="15" customHeight="1">
      <c r="AN184" s="169">
        <f t="shared" si="8"/>
        <v>182</v>
      </c>
      <c r="AO184" s="178" t="s">
        <v>325</v>
      </c>
      <c r="AP184" s="171" t="s">
        <v>328</v>
      </c>
      <c r="AQ184" s="172" t="s">
        <v>23</v>
      </c>
      <c r="AR184" s="249" t="s">
        <v>1126</v>
      </c>
      <c r="AS184" s="172">
        <v>104.9932</v>
      </c>
      <c r="AT184" s="172">
        <v>8.7609999999999992</v>
      </c>
      <c r="AU184" s="172">
        <v>2.5600000000000001E-2</v>
      </c>
      <c r="AV184" s="247"/>
    </row>
    <row r="185" spans="40:48" ht="15" customHeight="1">
      <c r="AN185" s="169">
        <f t="shared" si="8"/>
        <v>183</v>
      </c>
      <c r="AO185" s="178" t="s">
        <v>325</v>
      </c>
      <c r="AP185" s="171" t="s">
        <v>329</v>
      </c>
      <c r="AQ185" s="172" t="s">
        <v>23</v>
      </c>
      <c r="AR185" s="249" t="s">
        <v>1125</v>
      </c>
      <c r="AS185" s="172">
        <v>104.7574</v>
      </c>
      <c r="AT185" s="172">
        <v>8.6012000000000004</v>
      </c>
      <c r="AU185" s="172">
        <v>1.3299999999999999E-2</v>
      </c>
      <c r="AV185" s="247"/>
    </row>
    <row r="186" spans="40:48" ht="15" customHeight="1">
      <c r="AN186" s="169">
        <f t="shared" si="8"/>
        <v>184</v>
      </c>
      <c r="AO186" s="178" t="s">
        <v>325</v>
      </c>
      <c r="AP186" s="171" t="s">
        <v>243</v>
      </c>
      <c r="AQ186" s="172" t="s">
        <v>23</v>
      </c>
      <c r="AR186" s="249" t="s">
        <v>1127</v>
      </c>
      <c r="AS186" s="172">
        <v>104.84699999999999</v>
      </c>
      <c r="AT186" s="172">
        <v>8.8713999999999995</v>
      </c>
      <c r="AU186" s="172">
        <v>1.3100000000000001E-2</v>
      </c>
      <c r="AV186" s="247"/>
    </row>
    <row r="187" spans="40:48" ht="15" customHeight="1">
      <c r="AN187" s="169">
        <f t="shared" si="8"/>
        <v>185</v>
      </c>
      <c r="AO187" s="178" t="s">
        <v>325</v>
      </c>
      <c r="AP187" s="171" t="s">
        <v>330</v>
      </c>
      <c r="AQ187" s="172" t="s">
        <v>23</v>
      </c>
      <c r="AR187" s="249" t="s">
        <v>1128</v>
      </c>
      <c r="AS187" s="172">
        <v>105.0946</v>
      </c>
      <c r="AT187" s="172">
        <v>9.3516999999999992</v>
      </c>
      <c r="AU187" s="172">
        <v>8.3999999999999995E-3</v>
      </c>
      <c r="AV187" s="247"/>
    </row>
    <row r="188" spans="40:48" ht="15" customHeight="1">
      <c r="AN188" s="169">
        <f t="shared" si="8"/>
        <v>186</v>
      </c>
      <c r="AO188" s="178" t="s">
        <v>325</v>
      </c>
      <c r="AP188" s="171" t="s">
        <v>331</v>
      </c>
      <c r="AQ188" s="172" t="s">
        <v>23</v>
      </c>
      <c r="AR188" s="249" t="s">
        <v>1129</v>
      </c>
      <c r="AS188" s="172">
        <v>104.9774</v>
      </c>
      <c r="AT188" s="172">
        <v>9.0789000000000009</v>
      </c>
      <c r="AU188" s="172">
        <v>1.0800000000000001E-2</v>
      </c>
      <c r="AV188" s="247"/>
    </row>
    <row r="189" spans="40:48" ht="15" customHeight="1">
      <c r="AN189" s="169">
        <f t="shared" si="8"/>
        <v>187</v>
      </c>
      <c r="AO189" s="178" t="s">
        <v>325</v>
      </c>
      <c r="AP189" s="171" t="s">
        <v>332</v>
      </c>
      <c r="AQ189" s="172" t="s">
        <v>23</v>
      </c>
      <c r="AR189" s="249" t="s">
        <v>1130</v>
      </c>
      <c r="AS189" s="172">
        <v>104.9695</v>
      </c>
      <c r="AT189" s="172">
        <v>9.4105000000000008</v>
      </c>
      <c r="AU189" s="172">
        <v>6.7999999999999996E-3</v>
      </c>
      <c r="AV189" s="247"/>
    </row>
    <row r="190" spans="40:48" ht="15" customHeight="1">
      <c r="AN190" s="174">
        <f t="shared" si="8"/>
        <v>188</v>
      </c>
      <c r="AO190" s="175" t="s">
        <v>333</v>
      </c>
      <c r="AP190" s="176" t="s">
        <v>334</v>
      </c>
      <c r="AQ190" s="177" t="s">
        <v>18</v>
      </c>
      <c r="AR190" s="250" t="s">
        <v>1131</v>
      </c>
      <c r="AS190" s="177">
        <v>106.2606</v>
      </c>
      <c r="AT190" s="177">
        <v>22.666499999999999</v>
      </c>
      <c r="AU190" s="177">
        <v>8.14E-2</v>
      </c>
      <c r="AV190" s="247"/>
    </row>
    <row r="191" spans="40:48" ht="15" customHeight="1">
      <c r="AN191" s="174">
        <f t="shared" si="8"/>
        <v>189</v>
      </c>
      <c r="AO191" s="175" t="s">
        <v>333</v>
      </c>
      <c r="AP191" s="176" t="s">
        <v>335</v>
      </c>
      <c r="AQ191" s="177" t="s">
        <v>18</v>
      </c>
      <c r="AR191" s="250" t="s">
        <v>1132</v>
      </c>
      <c r="AS191" s="177">
        <v>105.4919</v>
      </c>
      <c r="AT191" s="177">
        <v>22.8323</v>
      </c>
      <c r="AU191" s="177">
        <v>4.6600000000000003E-2</v>
      </c>
      <c r="AV191" s="247"/>
    </row>
    <row r="192" spans="40:48" ht="15" customHeight="1">
      <c r="AN192" s="174">
        <f t="shared" si="8"/>
        <v>190</v>
      </c>
      <c r="AO192" s="175" t="s">
        <v>333</v>
      </c>
      <c r="AP192" s="176" t="s">
        <v>336</v>
      </c>
      <c r="AQ192" s="177" t="s">
        <v>18</v>
      </c>
      <c r="AR192" s="250" t="s">
        <v>1133</v>
      </c>
      <c r="AS192" s="177">
        <v>105.67919999999999</v>
      </c>
      <c r="AT192" s="177">
        <v>22.9499</v>
      </c>
      <c r="AU192" s="177">
        <v>3.8399999999999997E-2</v>
      </c>
      <c r="AV192" s="247"/>
    </row>
    <row r="193" spans="40:48" ht="15" customHeight="1">
      <c r="AN193" s="174">
        <f t="shared" si="8"/>
        <v>191</v>
      </c>
      <c r="AO193" s="175" t="s">
        <v>333</v>
      </c>
      <c r="AP193" s="176" t="s">
        <v>337</v>
      </c>
      <c r="AQ193" s="177" t="s">
        <v>18</v>
      </c>
      <c r="AR193" s="250" t="s">
        <v>1134</v>
      </c>
      <c r="AS193" s="177">
        <v>106.0776</v>
      </c>
      <c r="AT193" s="177">
        <v>22.901</v>
      </c>
      <c r="AU193" s="177">
        <v>6.3500000000000001E-2</v>
      </c>
      <c r="AV193" s="247"/>
    </row>
    <row r="194" spans="40:48" ht="15" customHeight="1">
      <c r="AN194" s="174">
        <f t="shared" si="8"/>
        <v>192</v>
      </c>
      <c r="AO194" s="175" t="s">
        <v>333</v>
      </c>
      <c r="AP194" s="176" t="s">
        <v>338</v>
      </c>
      <c r="AQ194" s="177" t="s">
        <v>18</v>
      </c>
      <c r="AR194" s="250" t="s">
        <v>1135</v>
      </c>
      <c r="AS194" s="177">
        <v>106.6799</v>
      </c>
      <c r="AT194" s="177">
        <v>22.695699999999999</v>
      </c>
      <c r="AU194" s="177">
        <v>1.55E-2</v>
      </c>
      <c r="AV194" s="247"/>
    </row>
    <row r="195" spans="40:48" ht="15" customHeight="1">
      <c r="AN195" s="174">
        <f t="shared" si="8"/>
        <v>193</v>
      </c>
      <c r="AO195" s="175" t="s">
        <v>333</v>
      </c>
      <c r="AP195" s="176" t="s">
        <v>339</v>
      </c>
      <c r="AQ195" s="177" t="s">
        <v>18</v>
      </c>
      <c r="AR195" s="250" t="s">
        <v>1136</v>
      </c>
      <c r="AS195" s="177">
        <v>106.1464</v>
      </c>
      <c r="AT195" s="177">
        <v>22.7425</v>
      </c>
      <c r="AU195" s="177">
        <v>7.6499999999999999E-2</v>
      </c>
      <c r="AV195" s="247"/>
    </row>
    <row r="196" spans="40:48" ht="15" customHeight="1">
      <c r="AN196" s="174">
        <f t="shared" si="8"/>
        <v>194</v>
      </c>
      <c r="AO196" s="175" t="s">
        <v>333</v>
      </c>
      <c r="AP196" s="176" t="s">
        <v>340</v>
      </c>
      <c r="AQ196" s="177" t="s">
        <v>18</v>
      </c>
      <c r="AR196" s="250" t="s">
        <v>1137</v>
      </c>
      <c r="AS196" s="177">
        <v>105.9627</v>
      </c>
      <c r="AT196" s="177">
        <v>22.651399999999999</v>
      </c>
      <c r="AU196" s="177">
        <v>3.15E-2</v>
      </c>
      <c r="AV196" s="247"/>
    </row>
    <row r="197" spans="40:48" ht="15" customHeight="1">
      <c r="AN197" s="174">
        <f t="shared" ref="AN197:AN260" si="9">AN196+1</f>
        <v>195</v>
      </c>
      <c r="AO197" s="175" t="s">
        <v>333</v>
      </c>
      <c r="AP197" s="176" t="s">
        <v>341</v>
      </c>
      <c r="AQ197" s="177" t="s">
        <v>18</v>
      </c>
      <c r="AR197" s="250" t="s">
        <v>1138</v>
      </c>
      <c r="AS197" s="177">
        <v>106.5643</v>
      </c>
      <c r="AT197" s="177">
        <v>22.498100000000001</v>
      </c>
      <c r="AU197" s="177">
        <v>3.6999999999999998E-2</v>
      </c>
      <c r="AV197" s="247"/>
    </row>
    <row r="198" spans="40:48" ht="15" customHeight="1">
      <c r="AN198" s="174">
        <f t="shared" si="9"/>
        <v>196</v>
      </c>
      <c r="AO198" s="175" t="s">
        <v>333</v>
      </c>
      <c r="AP198" s="176" t="s">
        <v>342</v>
      </c>
      <c r="AQ198" s="177" t="s">
        <v>18</v>
      </c>
      <c r="AR198" s="250" t="s">
        <v>1139</v>
      </c>
      <c r="AS198" s="177">
        <v>106.441</v>
      </c>
      <c r="AT198" s="177">
        <v>22.696999999999999</v>
      </c>
      <c r="AU198" s="177">
        <v>3.8800000000000001E-2</v>
      </c>
      <c r="AV198" s="247"/>
    </row>
    <row r="199" spans="40:48" ht="15" customHeight="1">
      <c r="AN199" s="174">
        <f t="shared" si="9"/>
        <v>197</v>
      </c>
      <c r="AO199" s="175" t="s">
        <v>333</v>
      </c>
      <c r="AP199" s="176" t="s">
        <v>343</v>
      </c>
      <c r="AQ199" s="177" t="s">
        <v>18</v>
      </c>
      <c r="AR199" s="250" t="s">
        <v>1140</v>
      </c>
      <c r="AS199" s="177">
        <v>106.43300000000001</v>
      </c>
      <c r="AT199" s="177">
        <v>22.428599999999999</v>
      </c>
      <c r="AU199" s="177">
        <v>7.85E-2</v>
      </c>
      <c r="AV199" s="247"/>
    </row>
    <row r="200" spans="40:48" ht="15" customHeight="1">
      <c r="AN200" s="174">
        <f t="shared" si="9"/>
        <v>198</v>
      </c>
      <c r="AO200" s="175" t="s">
        <v>333</v>
      </c>
      <c r="AP200" s="176" t="s">
        <v>344</v>
      </c>
      <c r="AQ200" s="177" t="s">
        <v>18</v>
      </c>
      <c r="AR200" s="250" t="s">
        <v>1141</v>
      </c>
      <c r="AS200" s="177">
        <v>105.9817</v>
      </c>
      <c r="AT200" s="177">
        <v>22.785299999999999</v>
      </c>
      <c r="AU200" s="177">
        <v>4.7300000000000002E-2</v>
      </c>
      <c r="AV200" s="247"/>
    </row>
    <row r="201" spans="40:48" ht="15" customHeight="1">
      <c r="AN201" s="174">
        <f t="shared" si="9"/>
        <v>199</v>
      </c>
      <c r="AO201" s="175" t="s">
        <v>333</v>
      </c>
      <c r="AP201" s="176" t="s">
        <v>345</v>
      </c>
      <c r="AQ201" s="177" t="s">
        <v>18</v>
      </c>
      <c r="AR201" s="250" t="s">
        <v>1142</v>
      </c>
      <c r="AS201" s="177">
        <v>106.32250000000001</v>
      </c>
      <c r="AT201" s="177">
        <v>22.8277</v>
      </c>
      <c r="AU201" s="177">
        <v>3.6200000000000003E-2</v>
      </c>
      <c r="AV201" s="247"/>
    </row>
    <row r="202" spans="40:48" ht="15" customHeight="1">
      <c r="AN202" s="174">
        <f t="shared" si="9"/>
        <v>200</v>
      </c>
      <c r="AO202" s="175" t="s">
        <v>333</v>
      </c>
      <c r="AP202" s="176" t="s">
        <v>346</v>
      </c>
      <c r="AQ202" s="177" t="s">
        <v>18</v>
      </c>
      <c r="AR202" s="250" t="s">
        <v>1143</v>
      </c>
      <c r="AS202" s="177">
        <v>106.5222</v>
      </c>
      <c r="AT202" s="177">
        <v>22.834099999999999</v>
      </c>
      <c r="AU202" s="177">
        <v>1.8100000000000002E-2</v>
      </c>
      <c r="AV202" s="247"/>
    </row>
    <row r="203" spans="40:48" ht="15" customHeight="1">
      <c r="AN203" s="169">
        <f t="shared" si="9"/>
        <v>201</v>
      </c>
      <c r="AO203" s="178" t="s">
        <v>347</v>
      </c>
      <c r="AP203" s="171" t="s">
        <v>348</v>
      </c>
      <c r="AQ203" s="172" t="s">
        <v>18</v>
      </c>
      <c r="AR203" s="249" t="s">
        <v>1144</v>
      </c>
      <c r="AS203" s="172">
        <v>108.0427</v>
      </c>
      <c r="AT203" s="172">
        <v>12.6736</v>
      </c>
      <c r="AU203" s="172">
        <v>1.2699999999999999E-2</v>
      </c>
      <c r="AV203" s="247"/>
    </row>
    <row r="204" spans="40:48" ht="15" customHeight="1">
      <c r="AN204" s="169">
        <f t="shared" si="9"/>
        <v>202</v>
      </c>
      <c r="AO204" s="178" t="s">
        <v>347</v>
      </c>
      <c r="AP204" s="171" t="s">
        <v>349</v>
      </c>
      <c r="AQ204" s="172" t="s">
        <v>18</v>
      </c>
      <c r="AR204" s="249" t="s">
        <v>1145</v>
      </c>
      <c r="AS204" s="172">
        <v>107.8954</v>
      </c>
      <c r="AT204" s="172">
        <v>12.811199999999999</v>
      </c>
      <c r="AU204" s="172">
        <v>8.3999999999999995E-3</v>
      </c>
      <c r="AV204" s="247"/>
    </row>
    <row r="205" spans="40:48" ht="15" customHeight="1">
      <c r="AN205" s="169">
        <f t="shared" si="9"/>
        <v>203</v>
      </c>
      <c r="AO205" s="178" t="s">
        <v>347</v>
      </c>
      <c r="AP205" s="171" t="s">
        <v>350</v>
      </c>
      <c r="AQ205" s="172" t="s">
        <v>18</v>
      </c>
      <c r="AR205" s="249" t="s">
        <v>1146</v>
      </c>
      <c r="AS205" s="172">
        <v>108.07769999999999</v>
      </c>
      <c r="AT205" s="172">
        <v>12.817500000000001</v>
      </c>
      <c r="AU205" s="172">
        <v>1.01E-2</v>
      </c>
      <c r="AV205" s="247"/>
    </row>
    <row r="206" spans="40:48" ht="15" customHeight="1">
      <c r="AN206" s="169">
        <f t="shared" si="9"/>
        <v>204</v>
      </c>
      <c r="AO206" s="178" t="s">
        <v>347</v>
      </c>
      <c r="AP206" s="171" t="s">
        <v>351</v>
      </c>
      <c r="AQ206" s="172" t="s">
        <v>18</v>
      </c>
      <c r="AR206" s="249" t="s">
        <v>1147</v>
      </c>
      <c r="AS206" s="172">
        <v>108.20780000000001</v>
      </c>
      <c r="AT206" s="172">
        <v>13.2079</v>
      </c>
      <c r="AU206" s="172">
        <v>1.46E-2</v>
      </c>
      <c r="AV206" s="247"/>
    </row>
    <row r="207" spans="40:48" ht="15" customHeight="1">
      <c r="AN207" s="169">
        <f t="shared" si="9"/>
        <v>205</v>
      </c>
      <c r="AO207" s="178" t="s">
        <v>347</v>
      </c>
      <c r="AP207" s="171" t="s">
        <v>352</v>
      </c>
      <c r="AQ207" s="172" t="s">
        <v>18</v>
      </c>
      <c r="AR207" s="249" t="s">
        <v>1148</v>
      </c>
      <c r="AS207" s="172">
        <v>108.4528</v>
      </c>
      <c r="AT207" s="172">
        <v>12.816800000000001</v>
      </c>
      <c r="AU207" s="172">
        <v>1.89E-2</v>
      </c>
      <c r="AV207" s="247"/>
    </row>
    <row r="208" spans="40:48" ht="15" customHeight="1">
      <c r="AN208" s="169">
        <f t="shared" si="9"/>
        <v>206</v>
      </c>
      <c r="AO208" s="178" t="s">
        <v>347</v>
      </c>
      <c r="AP208" s="171" t="s">
        <v>353</v>
      </c>
      <c r="AQ208" s="172" t="s">
        <v>18</v>
      </c>
      <c r="AR208" s="249" t="s">
        <v>1149</v>
      </c>
      <c r="AS208" s="172">
        <v>107.8853</v>
      </c>
      <c r="AT208" s="172">
        <v>13.0753</v>
      </c>
      <c r="AU208" s="172">
        <v>7.4999999999999997E-3</v>
      </c>
      <c r="AV208" s="247"/>
    </row>
    <row r="209" spans="40:48" ht="15" customHeight="1">
      <c r="AN209" s="169">
        <f t="shared" si="9"/>
        <v>207</v>
      </c>
      <c r="AO209" s="178" t="s">
        <v>347</v>
      </c>
      <c r="AP209" s="171" t="s">
        <v>354</v>
      </c>
      <c r="AQ209" s="172" t="s">
        <v>18</v>
      </c>
      <c r="AR209" s="249" t="s">
        <v>1150</v>
      </c>
      <c r="AS209" s="172">
        <v>108.0322</v>
      </c>
      <c r="AT209" s="172">
        <v>12.4854</v>
      </c>
      <c r="AU209" s="172">
        <v>2.1499999999999998E-2</v>
      </c>
      <c r="AV209" s="247"/>
    </row>
    <row r="210" spans="40:48" ht="15" customHeight="1">
      <c r="AN210" s="169">
        <f t="shared" si="9"/>
        <v>208</v>
      </c>
      <c r="AO210" s="178" t="s">
        <v>347</v>
      </c>
      <c r="AP210" s="171" t="s">
        <v>355</v>
      </c>
      <c r="AQ210" s="172" t="s">
        <v>18</v>
      </c>
      <c r="AR210" s="249" t="s">
        <v>1151</v>
      </c>
      <c r="AS210" s="172">
        <v>108.3404</v>
      </c>
      <c r="AT210" s="172">
        <v>12.511900000000001</v>
      </c>
      <c r="AU210" s="172">
        <v>4.5499999999999999E-2</v>
      </c>
      <c r="AV210" s="247"/>
    </row>
    <row r="211" spans="40:48" ht="15" customHeight="1">
      <c r="AN211" s="169">
        <f t="shared" si="9"/>
        <v>209</v>
      </c>
      <c r="AO211" s="178" t="s">
        <v>347</v>
      </c>
      <c r="AP211" s="171" t="s">
        <v>356</v>
      </c>
      <c r="AQ211" s="172" t="s">
        <v>18</v>
      </c>
      <c r="AR211" s="249" t="s">
        <v>1152</v>
      </c>
      <c r="AS211" s="172">
        <v>108.2649</v>
      </c>
      <c r="AT211" s="172">
        <v>12.9116</v>
      </c>
      <c r="AU211" s="172">
        <v>1.14E-2</v>
      </c>
      <c r="AV211" s="247"/>
    </row>
    <row r="212" spans="40:48" ht="15" customHeight="1">
      <c r="AN212" s="169">
        <f t="shared" si="9"/>
        <v>210</v>
      </c>
      <c r="AO212" s="178" t="s">
        <v>347</v>
      </c>
      <c r="AP212" s="171" t="s">
        <v>357</v>
      </c>
      <c r="AQ212" s="172" t="s">
        <v>18</v>
      </c>
      <c r="AR212" s="249" t="s">
        <v>1153</v>
      </c>
      <c r="AS212" s="172">
        <v>108.3514</v>
      </c>
      <c r="AT212" s="172">
        <v>12.9534</v>
      </c>
      <c r="AU212" s="172">
        <v>1.29E-2</v>
      </c>
      <c r="AV212" s="247"/>
    </row>
    <row r="213" spans="40:48" ht="15" customHeight="1">
      <c r="AN213" s="169">
        <f t="shared" si="9"/>
        <v>211</v>
      </c>
      <c r="AO213" s="178" t="s">
        <v>347</v>
      </c>
      <c r="AP213" s="171" t="s">
        <v>358</v>
      </c>
      <c r="AQ213" s="172" t="s">
        <v>18</v>
      </c>
      <c r="AR213" s="249" t="s">
        <v>1154</v>
      </c>
      <c r="AS213" s="172">
        <v>108.3083</v>
      </c>
      <c r="AT213" s="172">
        <v>12.7112</v>
      </c>
      <c r="AU213" s="172">
        <v>1.8800000000000001E-2</v>
      </c>
      <c r="AV213" s="247"/>
    </row>
    <row r="214" spans="40:48" ht="15" customHeight="1">
      <c r="AN214" s="169">
        <f t="shared" si="9"/>
        <v>212</v>
      </c>
      <c r="AO214" s="178" t="s">
        <v>347</v>
      </c>
      <c r="AP214" s="171" t="s">
        <v>359</v>
      </c>
      <c r="AQ214" s="172" t="s">
        <v>18</v>
      </c>
      <c r="AR214" s="249" t="s">
        <v>1155</v>
      </c>
      <c r="AS214" s="172">
        <v>108.17100000000001</v>
      </c>
      <c r="AT214" s="172">
        <v>12.4077</v>
      </c>
      <c r="AU214" s="172">
        <v>4.4999999999999998E-2</v>
      </c>
      <c r="AV214" s="247"/>
    </row>
    <row r="215" spans="40:48" ht="15" customHeight="1">
      <c r="AN215" s="169">
        <f t="shared" si="9"/>
        <v>213</v>
      </c>
      <c r="AO215" s="178" t="s">
        <v>347</v>
      </c>
      <c r="AP215" s="171" t="s">
        <v>360</v>
      </c>
      <c r="AQ215" s="172" t="s">
        <v>18</v>
      </c>
      <c r="AR215" s="249" t="s">
        <v>1156</v>
      </c>
      <c r="AS215" s="172">
        <v>108.74339999999999</v>
      </c>
      <c r="AT215" s="172">
        <v>12.749499999999999</v>
      </c>
      <c r="AU215" s="172">
        <v>5.67E-2</v>
      </c>
      <c r="AV215" s="247"/>
    </row>
    <row r="216" spans="40:48" ht="15" customHeight="1">
      <c r="AN216" s="174">
        <f t="shared" si="9"/>
        <v>214</v>
      </c>
      <c r="AO216" s="175" t="s">
        <v>361</v>
      </c>
      <c r="AP216" s="176" t="s">
        <v>2189</v>
      </c>
      <c r="AQ216" s="177" t="s">
        <v>18</v>
      </c>
      <c r="AR216" s="250" t="s">
        <v>1159</v>
      </c>
      <c r="AS216" s="177">
        <v>107.68810000000001</v>
      </c>
      <c r="AT216" s="177">
        <v>12.0031</v>
      </c>
      <c r="AU216" s="177">
        <v>5.8400000000000001E-2</v>
      </c>
      <c r="AV216" s="247"/>
    </row>
    <row r="217" spans="40:48" ht="15" customHeight="1">
      <c r="AN217" s="174">
        <f t="shared" si="9"/>
        <v>215</v>
      </c>
      <c r="AO217" s="175" t="s">
        <v>361</v>
      </c>
      <c r="AP217" s="176" t="s">
        <v>2190</v>
      </c>
      <c r="AQ217" s="177" t="s">
        <v>18</v>
      </c>
      <c r="AR217" s="250" t="s">
        <v>1160</v>
      </c>
      <c r="AS217" s="177">
        <v>107.5093</v>
      </c>
      <c r="AT217" s="177">
        <v>11.9975</v>
      </c>
      <c r="AU217" s="177">
        <v>3.39E-2</v>
      </c>
      <c r="AV217" s="247"/>
    </row>
    <row r="218" spans="40:48" ht="15" customHeight="1">
      <c r="AN218" s="174">
        <f t="shared" si="9"/>
        <v>216</v>
      </c>
      <c r="AO218" s="175" t="s">
        <v>361</v>
      </c>
      <c r="AP218" s="176" t="s">
        <v>836</v>
      </c>
      <c r="AQ218" s="177" t="s">
        <v>18</v>
      </c>
      <c r="AR218" s="250" t="s">
        <v>1157</v>
      </c>
      <c r="AS218" s="177">
        <v>107.893</v>
      </c>
      <c r="AT218" s="177">
        <v>12.588200000000001</v>
      </c>
      <c r="AU218" s="177">
        <v>1.23E-2</v>
      </c>
      <c r="AV218" s="247"/>
    </row>
    <row r="219" spans="40:48" ht="15" customHeight="1">
      <c r="AN219" s="936">
        <f t="shared" si="9"/>
        <v>217</v>
      </c>
      <c r="AO219" s="175" t="s">
        <v>361</v>
      </c>
      <c r="AP219" s="176" t="s">
        <v>362</v>
      </c>
      <c r="AQ219" s="177" t="s">
        <v>18</v>
      </c>
      <c r="AR219" s="250" t="s">
        <v>1158</v>
      </c>
      <c r="AS219" s="177">
        <v>107.6195</v>
      </c>
      <c r="AT219" s="177">
        <v>12.449199999999999</v>
      </c>
      <c r="AU219" s="177">
        <v>1.0999999999999999E-2</v>
      </c>
      <c r="AV219" s="247"/>
    </row>
    <row r="220" spans="40:48" ht="15" customHeight="1">
      <c r="AN220" s="936">
        <f t="shared" si="9"/>
        <v>218</v>
      </c>
      <c r="AO220" s="175" t="s">
        <v>361</v>
      </c>
      <c r="AP220" s="176" t="s">
        <v>2191</v>
      </c>
      <c r="AQ220" s="177" t="s">
        <v>18</v>
      </c>
      <c r="AR220" s="250" t="s">
        <v>1159</v>
      </c>
      <c r="AS220" s="177">
        <v>107.68810000000001</v>
      </c>
      <c r="AT220" s="177">
        <v>12.0031</v>
      </c>
      <c r="AU220" s="177">
        <v>5.8400000000000001E-2</v>
      </c>
      <c r="AV220" s="247"/>
    </row>
    <row r="221" spans="40:48" ht="15" customHeight="1">
      <c r="AN221" s="936">
        <f t="shared" si="9"/>
        <v>219</v>
      </c>
      <c r="AO221" s="175" t="s">
        <v>361</v>
      </c>
      <c r="AP221" s="176" t="s">
        <v>364</v>
      </c>
      <c r="AQ221" s="177" t="s">
        <v>18</v>
      </c>
      <c r="AR221" s="250" t="s">
        <v>1160</v>
      </c>
      <c r="AS221" s="177">
        <v>107.5093</v>
      </c>
      <c r="AT221" s="177">
        <v>11.9975</v>
      </c>
      <c r="AU221" s="177">
        <v>3.39E-2</v>
      </c>
      <c r="AV221" s="247"/>
    </row>
    <row r="222" spans="40:48" ht="15" customHeight="1">
      <c r="AN222" s="936">
        <f t="shared" si="9"/>
        <v>220</v>
      </c>
      <c r="AO222" s="175" t="s">
        <v>361</v>
      </c>
      <c r="AP222" s="176" t="s">
        <v>365</v>
      </c>
      <c r="AQ222" s="177" t="s">
        <v>18</v>
      </c>
      <c r="AR222" s="250" t="s">
        <v>1161</v>
      </c>
      <c r="AS222" s="177">
        <v>107.6027</v>
      </c>
      <c r="AT222" s="177">
        <v>12.2692</v>
      </c>
      <c r="AU222" s="177">
        <v>1.6400000000000001E-2</v>
      </c>
      <c r="AV222" s="247"/>
    </row>
    <row r="223" spans="40:48" ht="15" customHeight="1">
      <c r="AN223" s="936">
        <f t="shared" si="9"/>
        <v>221</v>
      </c>
      <c r="AO223" s="175" t="s">
        <v>361</v>
      </c>
      <c r="AP223" s="176" t="s">
        <v>366</v>
      </c>
      <c r="AQ223" s="177" t="s">
        <v>18</v>
      </c>
      <c r="AR223" s="250" t="s">
        <v>1162</v>
      </c>
      <c r="AS223" s="177">
        <v>107.878</v>
      </c>
      <c r="AT223" s="177">
        <v>12.454499999999999</v>
      </c>
      <c r="AU223" s="177">
        <v>1.72E-2</v>
      </c>
      <c r="AV223" s="247"/>
    </row>
    <row r="224" spans="40:48" ht="15" customHeight="1">
      <c r="AN224" s="169">
        <f t="shared" si="9"/>
        <v>222</v>
      </c>
      <c r="AO224" s="178" t="s">
        <v>367</v>
      </c>
      <c r="AP224" s="171" t="s">
        <v>368</v>
      </c>
      <c r="AQ224" s="172" t="s">
        <v>23</v>
      </c>
      <c r="AR224" s="249" t="s">
        <v>1163</v>
      </c>
      <c r="AS224" s="172">
        <v>103.0326</v>
      </c>
      <c r="AT224" s="172">
        <v>21.406099999999999</v>
      </c>
      <c r="AU224" s="172">
        <v>0.12809999999999999</v>
      </c>
      <c r="AV224" s="247"/>
    </row>
    <row r="225" spans="40:48" ht="15" customHeight="1">
      <c r="AN225" s="169">
        <f t="shared" si="9"/>
        <v>223</v>
      </c>
      <c r="AO225" s="178" t="s">
        <v>367</v>
      </c>
      <c r="AP225" s="171" t="s">
        <v>2192</v>
      </c>
      <c r="AQ225" s="172" t="s">
        <v>23</v>
      </c>
      <c r="AR225" s="249" t="s">
        <v>1164</v>
      </c>
      <c r="AS225" s="172">
        <v>103.1484</v>
      </c>
      <c r="AT225" s="172">
        <v>22.034199999999998</v>
      </c>
      <c r="AU225" s="172">
        <v>0.14860000000000001</v>
      </c>
      <c r="AV225" s="247"/>
    </row>
    <row r="226" spans="40:48" ht="15" customHeight="1">
      <c r="AN226" s="169">
        <f t="shared" si="9"/>
        <v>224</v>
      </c>
      <c r="AO226" s="178" t="s">
        <v>367</v>
      </c>
      <c r="AP226" s="171" t="s">
        <v>370</v>
      </c>
      <c r="AQ226" s="172" t="s">
        <v>18</v>
      </c>
      <c r="AR226" s="249" t="s">
        <v>1165</v>
      </c>
      <c r="AS226" s="172">
        <v>103.00879999999999</v>
      </c>
      <c r="AT226" s="172">
        <v>21.364100000000001</v>
      </c>
      <c r="AU226" s="172">
        <v>0.12809999999999999</v>
      </c>
      <c r="AV226" s="247"/>
    </row>
    <row r="227" spans="40:48" ht="15" customHeight="1">
      <c r="AN227" s="169">
        <f t="shared" si="9"/>
        <v>225</v>
      </c>
      <c r="AO227" s="178" t="s">
        <v>367</v>
      </c>
      <c r="AP227" s="171" t="s">
        <v>371</v>
      </c>
      <c r="AQ227" s="172" t="s">
        <v>18</v>
      </c>
      <c r="AR227" s="249" t="s">
        <v>1166</v>
      </c>
      <c r="AS227" s="172">
        <v>103.2483</v>
      </c>
      <c r="AT227" s="172">
        <v>21.255299999999998</v>
      </c>
      <c r="AU227" s="172">
        <v>0.1183</v>
      </c>
      <c r="AV227" s="247"/>
    </row>
    <row r="228" spans="40:48" ht="15" customHeight="1">
      <c r="AN228" s="169">
        <f t="shared" si="9"/>
        <v>226</v>
      </c>
      <c r="AO228" s="178" t="s">
        <v>367</v>
      </c>
      <c r="AP228" s="171" t="s">
        <v>2193</v>
      </c>
      <c r="AQ228" s="172" t="s">
        <v>18</v>
      </c>
      <c r="AR228" s="249" t="s">
        <v>1167</v>
      </c>
      <c r="AS228" s="172">
        <v>103.0913</v>
      </c>
      <c r="AT228" s="172">
        <v>21.758800000000001</v>
      </c>
      <c r="AU228" s="172">
        <v>0.15160000000000001</v>
      </c>
      <c r="AV228" s="247"/>
    </row>
    <row r="229" spans="40:48" ht="15" customHeight="1">
      <c r="AN229" s="169">
        <f t="shared" si="9"/>
        <v>227</v>
      </c>
      <c r="AO229" s="178" t="s">
        <v>367</v>
      </c>
      <c r="AP229" s="171" t="s">
        <v>849</v>
      </c>
      <c r="AQ229" s="172" t="s">
        <v>18</v>
      </c>
      <c r="AR229" s="249" t="s">
        <v>1166</v>
      </c>
      <c r="AS229" s="172">
        <v>102.50060000000001</v>
      </c>
      <c r="AT229" s="172">
        <v>22.1587</v>
      </c>
      <c r="AU229" s="172">
        <v>0.11409999999999999</v>
      </c>
      <c r="AV229" s="247"/>
    </row>
    <row r="230" spans="40:48" ht="15" customHeight="1">
      <c r="AN230" s="169">
        <f t="shared" si="9"/>
        <v>228</v>
      </c>
      <c r="AO230" s="178" t="s">
        <v>367</v>
      </c>
      <c r="AP230" s="171" t="s">
        <v>372</v>
      </c>
      <c r="AQ230" s="172" t="s">
        <v>18</v>
      </c>
      <c r="AR230" s="249" t="s">
        <v>1168</v>
      </c>
      <c r="AS230" s="172">
        <v>103.3329</v>
      </c>
      <c r="AT230" s="172">
        <v>21.855899999999998</v>
      </c>
      <c r="AU230" s="172">
        <v>0.1404</v>
      </c>
      <c r="AV230" s="247"/>
    </row>
    <row r="231" spans="40:48" ht="15" customHeight="1">
      <c r="AN231" s="169">
        <f t="shared" si="9"/>
        <v>229</v>
      </c>
      <c r="AO231" s="178" t="s">
        <v>367</v>
      </c>
      <c r="AP231" s="171" t="s">
        <v>373</v>
      </c>
      <c r="AQ231" s="172" t="s">
        <v>18</v>
      </c>
      <c r="AR231" s="249" t="s">
        <v>1169</v>
      </c>
      <c r="AS231" s="172">
        <v>103.4205</v>
      </c>
      <c r="AT231" s="172">
        <v>21.593599999999999</v>
      </c>
      <c r="AU231" s="172">
        <v>0.1124</v>
      </c>
      <c r="AV231" s="247"/>
    </row>
    <row r="232" spans="40:48" ht="15" customHeight="1">
      <c r="AN232" s="169">
        <f t="shared" si="9"/>
        <v>230</v>
      </c>
      <c r="AO232" s="178" t="s">
        <v>367</v>
      </c>
      <c r="AP232" s="171" t="s">
        <v>2194</v>
      </c>
      <c r="AQ232" s="172" t="s">
        <v>18</v>
      </c>
      <c r="AR232" s="249" t="s">
        <v>1169</v>
      </c>
      <c r="AS232" s="172">
        <v>103.4205</v>
      </c>
      <c r="AT232" s="172">
        <v>21.593599999999999</v>
      </c>
      <c r="AU232" s="172">
        <v>0.1124</v>
      </c>
      <c r="AV232" s="247"/>
    </row>
    <row r="233" spans="40:48" ht="15" customHeight="1">
      <c r="AN233" s="174">
        <f t="shared" si="9"/>
        <v>231</v>
      </c>
      <c r="AO233" s="175" t="s">
        <v>374</v>
      </c>
      <c r="AP233" s="176" t="s">
        <v>375</v>
      </c>
      <c r="AQ233" s="177" t="s">
        <v>23</v>
      </c>
      <c r="AR233" s="250" t="s">
        <v>1170</v>
      </c>
      <c r="AS233" s="177">
        <v>106.8172</v>
      </c>
      <c r="AT233" s="177">
        <v>10.9467</v>
      </c>
      <c r="AU233" s="177">
        <v>4.5400000000000003E-2</v>
      </c>
      <c r="AV233" s="247"/>
    </row>
    <row r="234" spans="40:48" ht="15" customHeight="1">
      <c r="AN234" s="174">
        <f t="shared" si="9"/>
        <v>232</v>
      </c>
      <c r="AO234" s="175" t="s">
        <v>374</v>
      </c>
      <c r="AP234" s="176" t="s">
        <v>376</v>
      </c>
      <c r="AQ234" s="177" t="s">
        <v>23</v>
      </c>
      <c r="AR234" s="250" t="s">
        <v>1171</v>
      </c>
      <c r="AS234" s="177">
        <v>107.2467</v>
      </c>
      <c r="AT234" s="177">
        <v>10.9336</v>
      </c>
      <c r="AU234" s="177">
        <v>3.0099999999999998E-2</v>
      </c>
      <c r="AV234" s="247"/>
    </row>
    <row r="235" spans="40:48" ht="15" customHeight="1">
      <c r="AN235" s="174">
        <f t="shared" si="9"/>
        <v>233</v>
      </c>
      <c r="AO235" s="175" t="s">
        <v>374</v>
      </c>
      <c r="AP235" s="176" t="s">
        <v>377</v>
      </c>
      <c r="AQ235" s="177" t="s">
        <v>18</v>
      </c>
      <c r="AR235" s="250" t="s">
        <v>1172</v>
      </c>
      <c r="AS235" s="177">
        <v>107.23139999999999</v>
      </c>
      <c r="AT235" s="177">
        <v>10.8249</v>
      </c>
      <c r="AU235" s="177">
        <v>2.07E-2</v>
      </c>
      <c r="AV235" s="247"/>
    </row>
    <row r="236" spans="40:48" ht="15" customHeight="1">
      <c r="AN236" s="174">
        <f t="shared" si="9"/>
        <v>234</v>
      </c>
      <c r="AO236" s="175" t="s">
        <v>374</v>
      </c>
      <c r="AP236" s="176" t="s">
        <v>378</v>
      </c>
      <c r="AQ236" s="177" t="s">
        <v>18</v>
      </c>
      <c r="AR236" s="250" t="s">
        <v>1173</v>
      </c>
      <c r="AS236" s="177">
        <v>107.3514</v>
      </c>
      <c r="AT236" s="177">
        <v>11.1975</v>
      </c>
      <c r="AU236" s="177">
        <v>4.41E-2</v>
      </c>
      <c r="AV236" s="247"/>
    </row>
    <row r="237" spans="40:48" ht="15" customHeight="1">
      <c r="AN237" s="174">
        <f t="shared" si="9"/>
        <v>235</v>
      </c>
      <c r="AO237" s="175" t="s">
        <v>374</v>
      </c>
      <c r="AP237" s="176" t="s">
        <v>379</v>
      </c>
      <c r="AQ237" s="177" t="s">
        <v>23</v>
      </c>
      <c r="AR237" s="250" t="s">
        <v>1174</v>
      </c>
      <c r="AS237" s="177">
        <v>106.95</v>
      </c>
      <c r="AT237" s="177">
        <v>10.7799</v>
      </c>
      <c r="AU237" s="177">
        <v>3.7400000000000003E-2</v>
      </c>
      <c r="AV237" s="247"/>
    </row>
    <row r="238" spans="40:48" ht="15" customHeight="1">
      <c r="AN238" s="174">
        <f t="shared" si="9"/>
        <v>236</v>
      </c>
      <c r="AO238" s="175" t="s">
        <v>374</v>
      </c>
      <c r="AP238" s="176" t="s">
        <v>380</v>
      </c>
      <c r="AQ238" s="177" t="s">
        <v>23</v>
      </c>
      <c r="AR238" s="250" t="s">
        <v>1175</v>
      </c>
      <c r="AS238" s="177">
        <v>106.9281</v>
      </c>
      <c r="AT238" s="177">
        <v>10.7363</v>
      </c>
      <c r="AU238" s="177">
        <v>4.7199999999999999E-2</v>
      </c>
      <c r="AV238" s="247"/>
    </row>
    <row r="239" spans="40:48" ht="15" customHeight="1">
      <c r="AN239" s="174">
        <f t="shared" si="9"/>
        <v>237</v>
      </c>
      <c r="AO239" s="175" t="s">
        <v>374</v>
      </c>
      <c r="AP239" s="176" t="s">
        <v>381</v>
      </c>
      <c r="AQ239" s="177" t="s">
        <v>18</v>
      </c>
      <c r="AR239" s="250" t="s">
        <v>1176</v>
      </c>
      <c r="AS239" s="177">
        <v>107.43519999999999</v>
      </c>
      <c r="AT239" s="177">
        <v>11.271000000000001</v>
      </c>
      <c r="AU239" s="177">
        <v>2.3599999999999999E-2</v>
      </c>
      <c r="AV239" s="247"/>
    </row>
    <row r="240" spans="40:48" ht="15" customHeight="1">
      <c r="AN240" s="174">
        <f t="shared" si="9"/>
        <v>238</v>
      </c>
      <c r="AO240" s="175" t="s">
        <v>374</v>
      </c>
      <c r="AP240" s="176" t="s">
        <v>382</v>
      </c>
      <c r="AQ240" s="177" t="s">
        <v>18</v>
      </c>
      <c r="AR240" s="250" t="s">
        <v>1173</v>
      </c>
      <c r="AS240" s="177">
        <v>107.16800000000001</v>
      </c>
      <c r="AT240" s="177">
        <v>11.060499999999999</v>
      </c>
      <c r="AU240" s="177">
        <v>3.8300000000000001E-2</v>
      </c>
      <c r="AV240" s="247"/>
    </row>
    <row r="241" spans="40:48" ht="15" customHeight="1">
      <c r="AN241" s="174">
        <f t="shared" si="9"/>
        <v>239</v>
      </c>
      <c r="AO241" s="175" t="s">
        <v>374</v>
      </c>
      <c r="AP241" s="176" t="s">
        <v>383</v>
      </c>
      <c r="AQ241" s="177" t="s">
        <v>18</v>
      </c>
      <c r="AR241" s="250" t="s">
        <v>1172</v>
      </c>
      <c r="AS241" s="177">
        <v>107.00360000000001</v>
      </c>
      <c r="AT241" s="177">
        <v>10.955299999999999</v>
      </c>
      <c r="AU241" s="177">
        <v>2.1700000000000001E-2</v>
      </c>
      <c r="AV241" s="247"/>
    </row>
    <row r="242" spans="40:48" ht="15" customHeight="1">
      <c r="AN242" s="174">
        <f t="shared" si="9"/>
        <v>240</v>
      </c>
      <c r="AO242" s="175" t="s">
        <v>374</v>
      </c>
      <c r="AP242" s="176" t="s">
        <v>384</v>
      </c>
      <c r="AQ242" s="177" t="s">
        <v>18</v>
      </c>
      <c r="AR242" s="250" t="s">
        <v>1177</v>
      </c>
      <c r="AS242" s="177">
        <v>107.0385</v>
      </c>
      <c r="AT242" s="177">
        <v>11.0982</v>
      </c>
      <c r="AU242" s="177">
        <v>2.8400000000000002E-2</v>
      </c>
      <c r="AV242" s="247"/>
    </row>
    <row r="243" spans="40:48" ht="15" customHeight="1">
      <c r="AN243" s="174">
        <f t="shared" si="9"/>
        <v>241</v>
      </c>
      <c r="AO243" s="175" t="s">
        <v>374</v>
      </c>
      <c r="AP243" s="176" t="s">
        <v>385</v>
      </c>
      <c r="AQ243" s="177" t="s">
        <v>18</v>
      </c>
      <c r="AR243" s="250" t="s">
        <v>1178</v>
      </c>
      <c r="AS243" s="177">
        <v>107.4037</v>
      </c>
      <c r="AT243" s="177">
        <v>10.9277</v>
      </c>
      <c r="AU243" s="177">
        <v>5.0900000000000001E-2</v>
      </c>
      <c r="AV243" s="247"/>
    </row>
    <row r="244" spans="40:48" ht="15" customHeight="1">
      <c r="AN244" s="169">
        <f t="shared" si="9"/>
        <v>242</v>
      </c>
      <c r="AO244" s="178" t="s">
        <v>386</v>
      </c>
      <c r="AP244" s="171" t="s">
        <v>2195</v>
      </c>
      <c r="AQ244" s="172" t="s">
        <v>18</v>
      </c>
      <c r="AR244" s="249" t="s">
        <v>1179</v>
      </c>
      <c r="AS244" s="172">
        <v>105.6332</v>
      </c>
      <c r="AT244" s="172">
        <v>10.456</v>
      </c>
      <c r="AU244" s="172">
        <v>3.6600000000000001E-2</v>
      </c>
      <c r="AV244" s="247"/>
    </row>
    <row r="245" spans="40:48" ht="15" customHeight="1">
      <c r="AN245" s="169">
        <f t="shared" si="9"/>
        <v>243</v>
      </c>
      <c r="AO245" s="178" t="s">
        <v>386</v>
      </c>
      <c r="AP245" s="171" t="s">
        <v>388</v>
      </c>
      <c r="AQ245" s="172" t="s">
        <v>18</v>
      </c>
      <c r="AR245" s="249" t="s">
        <v>967</v>
      </c>
      <c r="AS245" s="172">
        <v>105.7629</v>
      </c>
      <c r="AT245" s="172">
        <v>10.2981</v>
      </c>
      <c r="AU245" s="172">
        <v>0.04</v>
      </c>
      <c r="AV245" s="247"/>
    </row>
    <row r="246" spans="40:48" ht="15" customHeight="1">
      <c r="AN246" s="169">
        <f t="shared" si="9"/>
        <v>244</v>
      </c>
      <c r="AO246" s="178" t="s">
        <v>386</v>
      </c>
      <c r="AP246" s="171" t="s">
        <v>389</v>
      </c>
      <c r="AQ246" s="172" t="s">
        <v>18</v>
      </c>
      <c r="AR246" s="249" t="s">
        <v>1179</v>
      </c>
      <c r="AS246" s="172">
        <v>105.70180000000001</v>
      </c>
      <c r="AT246" s="172">
        <v>10.442</v>
      </c>
      <c r="AU246" s="172">
        <v>2.9100000000000001E-2</v>
      </c>
      <c r="AV246" s="247"/>
    </row>
    <row r="247" spans="40:48" ht="15" customHeight="1">
      <c r="AN247" s="169">
        <f t="shared" si="9"/>
        <v>245</v>
      </c>
      <c r="AO247" s="178" t="s">
        <v>386</v>
      </c>
      <c r="AP247" s="171" t="s">
        <v>241</v>
      </c>
      <c r="AQ247" s="172" t="s">
        <v>23</v>
      </c>
      <c r="AR247" s="249" t="s">
        <v>1180</v>
      </c>
      <c r="AS247" s="172">
        <v>105.8733</v>
      </c>
      <c r="AT247" s="172">
        <v>10.2601</v>
      </c>
      <c r="AU247" s="172">
        <v>2.98E-2</v>
      </c>
      <c r="AV247" s="247"/>
    </row>
    <row r="248" spans="40:48" ht="15" customHeight="1">
      <c r="AN248" s="169">
        <f t="shared" si="9"/>
        <v>246</v>
      </c>
      <c r="AO248" s="178" t="s">
        <v>386</v>
      </c>
      <c r="AP248" s="171" t="s">
        <v>390</v>
      </c>
      <c r="AQ248" s="172" t="s">
        <v>18</v>
      </c>
      <c r="AR248" s="249" t="s">
        <v>1181</v>
      </c>
      <c r="AS248" s="172">
        <v>105.34</v>
      </c>
      <c r="AT248" s="172">
        <v>10.8119</v>
      </c>
      <c r="AU248" s="172">
        <v>3.2099999999999997E-2</v>
      </c>
      <c r="AV248" s="247"/>
    </row>
    <row r="249" spans="40:48" ht="15" customHeight="1">
      <c r="AN249" s="169">
        <f t="shared" si="9"/>
        <v>247</v>
      </c>
      <c r="AO249" s="178" t="s">
        <v>386</v>
      </c>
      <c r="AP249" s="171" t="s">
        <v>391</v>
      </c>
      <c r="AQ249" s="172" t="s">
        <v>18</v>
      </c>
      <c r="AR249" s="249" t="s">
        <v>1182</v>
      </c>
      <c r="AS249" s="172">
        <v>105.65940000000001</v>
      </c>
      <c r="AT249" s="172">
        <v>10.287599999999999</v>
      </c>
      <c r="AU249" s="172">
        <v>6.0699999999999997E-2</v>
      </c>
      <c r="AV249" s="247"/>
    </row>
    <row r="250" spans="40:48" ht="15" customHeight="1">
      <c r="AN250" s="169">
        <f t="shared" si="9"/>
        <v>248</v>
      </c>
      <c r="AO250" s="178" t="s">
        <v>386</v>
      </c>
      <c r="AP250" s="171" t="s">
        <v>392</v>
      </c>
      <c r="AQ250" s="172" t="s">
        <v>18</v>
      </c>
      <c r="AR250" s="249" t="s">
        <v>1183</v>
      </c>
      <c r="AS250" s="172">
        <v>105.5228</v>
      </c>
      <c r="AT250" s="172">
        <v>10.363799999999999</v>
      </c>
      <c r="AU250" s="172">
        <v>7.3400000000000007E-2</v>
      </c>
      <c r="AV250" s="247"/>
    </row>
    <row r="251" spans="40:48" ht="15" customHeight="1">
      <c r="AN251" s="169">
        <f t="shared" si="9"/>
        <v>249</v>
      </c>
      <c r="AO251" s="178" t="s">
        <v>386</v>
      </c>
      <c r="AP251" s="171" t="s">
        <v>393</v>
      </c>
      <c r="AQ251" s="172" t="s">
        <v>18</v>
      </c>
      <c r="AR251" s="249" t="s">
        <v>1184</v>
      </c>
      <c r="AS251" s="172">
        <v>105.5609</v>
      </c>
      <c r="AT251" s="172">
        <v>10.674799999999999</v>
      </c>
      <c r="AU251" s="172">
        <v>2.2499999999999999E-2</v>
      </c>
      <c r="AV251" s="247"/>
    </row>
    <row r="252" spans="40:48" ht="15" customHeight="1">
      <c r="AN252" s="169">
        <f t="shared" si="9"/>
        <v>250</v>
      </c>
      <c r="AO252" s="178" t="s">
        <v>386</v>
      </c>
      <c r="AP252" s="171" t="s">
        <v>394</v>
      </c>
      <c r="AQ252" s="172" t="s">
        <v>18</v>
      </c>
      <c r="AR252" s="249" t="s">
        <v>1185</v>
      </c>
      <c r="AS252" s="172">
        <v>105.4571</v>
      </c>
      <c r="AT252" s="172">
        <v>10.8712</v>
      </c>
      <c r="AU252" s="172">
        <v>1.8200000000000001E-2</v>
      </c>
      <c r="AV252" s="247"/>
    </row>
    <row r="253" spans="40:48" ht="15" customHeight="1">
      <c r="AN253" s="169">
        <f t="shared" si="9"/>
        <v>251</v>
      </c>
      <c r="AO253" s="178" t="s">
        <v>386</v>
      </c>
      <c r="AP253" s="171" t="s">
        <v>395</v>
      </c>
      <c r="AQ253" s="172" t="s">
        <v>18</v>
      </c>
      <c r="AR253" s="249" t="s">
        <v>1186</v>
      </c>
      <c r="AS253" s="172">
        <v>105.4862</v>
      </c>
      <c r="AT253" s="172">
        <v>10.5616</v>
      </c>
      <c r="AU253" s="172">
        <v>4.36E-2</v>
      </c>
      <c r="AV253" s="247"/>
    </row>
    <row r="254" spans="40:48" ht="15" customHeight="1">
      <c r="AN254" s="169">
        <f t="shared" si="9"/>
        <v>252</v>
      </c>
      <c r="AO254" s="178" t="s">
        <v>386</v>
      </c>
      <c r="AP254" s="171" t="s">
        <v>837</v>
      </c>
      <c r="AQ254" s="172" t="s">
        <v>18</v>
      </c>
      <c r="AR254" s="249" t="s">
        <v>1187</v>
      </c>
      <c r="AS254" s="172">
        <v>105.84350000000001</v>
      </c>
      <c r="AT254" s="172">
        <v>10.524100000000001</v>
      </c>
      <c r="AU254" s="172">
        <v>1.55E-2</v>
      </c>
      <c r="AV254" s="247"/>
    </row>
    <row r="255" spans="40:48" ht="15" customHeight="1">
      <c r="AN255" s="936">
        <f t="shared" si="9"/>
        <v>253</v>
      </c>
      <c r="AO255" s="175" t="s">
        <v>208</v>
      </c>
      <c r="AP255" s="176" t="s">
        <v>396</v>
      </c>
      <c r="AQ255" s="177" t="s">
        <v>18</v>
      </c>
      <c r="AR255" s="250" t="s">
        <v>1188</v>
      </c>
      <c r="AS255" s="177">
        <v>107.99120000000001</v>
      </c>
      <c r="AT255" s="177">
        <v>13.9742</v>
      </c>
      <c r="AU255" s="177">
        <v>5.11E-2</v>
      </c>
      <c r="AV255" s="247"/>
    </row>
    <row r="256" spans="40:48" ht="15" customHeight="1">
      <c r="AN256" s="936">
        <f t="shared" si="9"/>
        <v>254</v>
      </c>
      <c r="AO256" s="175" t="s">
        <v>208</v>
      </c>
      <c r="AP256" s="176" t="s">
        <v>397</v>
      </c>
      <c r="AQ256" s="177" t="s">
        <v>18</v>
      </c>
      <c r="AR256" s="250" t="s">
        <v>1189</v>
      </c>
      <c r="AS256" s="177">
        <v>108.6641</v>
      </c>
      <c r="AT256" s="177">
        <v>13.951700000000001</v>
      </c>
      <c r="AU256" s="177">
        <v>7.7299999999999994E-2</v>
      </c>
      <c r="AV256" s="247"/>
    </row>
    <row r="257" spans="40:48" ht="15" customHeight="1">
      <c r="AN257" s="936">
        <f t="shared" si="9"/>
        <v>255</v>
      </c>
      <c r="AO257" s="175" t="s">
        <v>208</v>
      </c>
      <c r="AP257" s="176" t="s">
        <v>398</v>
      </c>
      <c r="AQ257" s="177" t="s">
        <v>18</v>
      </c>
      <c r="AR257" s="250" t="s">
        <v>1190</v>
      </c>
      <c r="AS257" s="177">
        <v>108.43980000000001</v>
      </c>
      <c r="AT257" s="177">
        <v>13.410299999999999</v>
      </c>
      <c r="AU257" s="177">
        <v>5.0799999999999998E-2</v>
      </c>
      <c r="AV257" s="247"/>
    </row>
    <row r="258" spans="40:48" ht="15" customHeight="1">
      <c r="AN258" s="936">
        <f t="shared" si="9"/>
        <v>256</v>
      </c>
      <c r="AO258" s="175" t="s">
        <v>208</v>
      </c>
      <c r="AP258" s="176" t="s">
        <v>839</v>
      </c>
      <c r="AQ258" s="177" t="s">
        <v>18</v>
      </c>
      <c r="AR258" s="250" t="s">
        <v>1191</v>
      </c>
      <c r="AS258" s="177">
        <v>107.9699</v>
      </c>
      <c r="AT258" s="177">
        <v>14.1073</v>
      </c>
      <c r="AU258" s="177">
        <v>5.9400000000000001E-2</v>
      </c>
      <c r="AV258" s="247"/>
    </row>
    <row r="259" spans="40:48" ht="15" customHeight="1">
      <c r="AN259" s="936">
        <f t="shared" si="9"/>
        <v>257</v>
      </c>
      <c r="AO259" s="175" t="s">
        <v>208</v>
      </c>
      <c r="AP259" s="176" t="s">
        <v>838</v>
      </c>
      <c r="AQ259" s="177" t="s">
        <v>18</v>
      </c>
      <c r="AR259" s="250" t="s">
        <v>1192</v>
      </c>
      <c r="AS259" s="177">
        <v>107.8897</v>
      </c>
      <c r="AT259" s="177">
        <v>13.7597</v>
      </c>
      <c r="AU259" s="177">
        <v>2.1000000000000001E-2</v>
      </c>
      <c r="AV259" s="247"/>
    </row>
    <row r="260" spans="40:48" ht="15" customHeight="1">
      <c r="AN260" s="936">
        <f t="shared" si="9"/>
        <v>258</v>
      </c>
      <c r="AO260" s="175" t="s">
        <v>208</v>
      </c>
      <c r="AP260" s="176" t="s">
        <v>840</v>
      </c>
      <c r="AQ260" s="177" t="s">
        <v>18</v>
      </c>
      <c r="AR260" s="250" t="s">
        <v>1193</v>
      </c>
      <c r="AS260" s="177">
        <v>108.0732</v>
      </c>
      <c r="AT260" s="177">
        <v>13.700699999999999</v>
      </c>
      <c r="AU260" s="177">
        <v>3.4500000000000003E-2</v>
      </c>
      <c r="AV260" s="247"/>
    </row>
    <row r="261" spans="40:48" ht="15" customHeight="1">
      <c r="AN261" s="936">
        <f t="shared" ref="AN261:AN324" si="10">AN260+1</f>
        <v>259</v>
      </c>
      <c r="AO261" s="175" t="s">
        <v>208</v>
      </c>
      <c r="AP261" s="176" t="s">
        <v>399</v>
      </c>
      <c r="AQ261" s="177" t="s">
        <v>18</v>
      </c>
      <c r="AR261" s="250" t="s">
        <v>1194</v>
      </c>
      <c r="AS261" s="177">
        <v>108.12050000000001</v>
      </c>
      <c r="AT261" s="177">
        <v>13.9945</v>
      </c>
      <c r="AU261" s="177">
        <v>5.7700000000000001E-2</v>
      </c>
      <c r="AV261" s="247"/>
    </row>
    <row r="262" spans="40:48" ht="15" customHeight="1">
      <c r="AN262" s="936">
        <f t="shared" si="10"/>
        <v>260</v>
      </c>
      <c r="AO262" s="175" t="s">
        <v>208</v>
      </c>
      <c r="AP262" s="176" t="s">
        <v>400</v>
      </c>
      <c r="AQ262" s="177" t="s">
        <v>18</v>
      </c>
      <c r="AR262" s="250" t="s">
        <v>1195</v>
      </c>
      <c r="AS262" s="177">
        <v>108.6712</v>
      </c>
      <c r="AT262" s="177">
        <v>14.0825</v>
      </c>
      <c r="AU262" s="177">
        <v>7.3099999999999998E-2</v>
      </c>
      <c r="AV262" s="247"/>
    </row>
    <row r="263" spans="40:48" ht="15" customHeight="1">
      <c r="AN263" s="936">
        <f t="shared" si="10"/>
        <v>261</v>
      </c>
      <c r="AO263" s="175" t="s">
        <v>208</v>
      </c>
      <c r="AP263" s="176" t="s">
        <v>401</v>
      </c>
      <c r="AQ263" s="177" t="s">
        <v>18</v>
      </c>
      <c r="AR263" s="250" t="s">
        <v>1196</v>
      </c>
      <c r="AS263" s="177">
        <v>107.6949</v>
      </c>
      <c r="AT263" s="177">
        <v>13.8011</v>
      </c>
      <c r="AU263" s="177">
        <v>2.0199999999999999E-2</v>
      </c>
      <c r="AV263" s="247"/>
    </row>
    <row r="264" spans="40:48" ht="15" customHeight="1">
      <c r="AN264" s="936">
        <f t="shared" si="10"/>
        <v>262</v>
      </c>
      <c r="AO264" s="175" t="s">
        <v>208</v>
      </c>
      <c r="AP264" s="176" t="s">
        <v>402</v>
      </c>
      <c r="AQ264" s="177" t="s">
        <v>18</v>
      </c>
      <c r="AR264" s="250" t="s">
        <v>1197</v>
      </c>
      <c r="AS264" s="177">
        <v>107.8351</v>
      </c>
      <c r="AT264" s="177">
        <v>13.9612</v>
      </c>
      <c r="AU264" s="177">
        <v>2.75E-2</v>
      </c>
      <c r="AV264" s="247"/>
    </row>
    <row r="265" spans="40:48" ht="15" customHeight="1">
      <c r="AN265" s="936">
        <f t="shared" si="10"/>
        <v>263</v>
      </c>
      <c r="AO265" s="175" t="s">
        <v>208</v>
      </c>
      <c r="AP265" s="176" t="s">
        <v>2196</v>
      </c>
      <c r="AQ265" s="177" t="s">
        <v>18</v>
      </c>
      <c r="AR265" s="250" t="s">
        <v>1198</v>
      </c>
      <c r="AS265" s="177">
        <v>108.4572</v>
      </c>
      <c r="AT265" s="177">
        <v>13.540800000000001</v>
      </c>
      <c r="AU265" s="177">
        <v>6.2199999999999998E-2</v>
      </c>
      <c r="AV265" s="247"/>
    </row>
    <row r="266" spans="40:48" ht="15" customHeight="1">
      <c r="AN266" s="936">
        <f t="shared" si="10"/>
        <v>264</v>
      </c>
      <c r="AO266" s="175" t="s">
        <v>208</v>
      </c>
      <c r="AP266" s="176" t="s">
        <v>404</v>
      </c>
      <c r="AQ266" s="177" t="s">
        <v>18</v>
      </c>
      <c r="AR266" s="250" t="s">
        <v>1199</v>
      </c>
      <c r="AS266" s="177">
        <v>108.5984</v>
      </c>
      <c r="AT266" s="177">
        <v>14.145300000000001</v>
      </c>
      <c r="AU266" s="177">
        <v>6.9699999999999998E-2</v>
      </c>
      <c r="AV266" s="247"/>
    </row>
    <row r="267" spans="40:48" ht="15" customHeight="1">
      <c r="AN267" s="936">
        <f t="shared" si="10"/>
        <v>265</v>
      </c>
      <c r="AO267" s="175" t="s">
        <v>208</v>
      </c>
      <c r="AP267" s="176" t="s">
        <v>405</v>
      </c>
      <c r="AQ267" s="177" t="s">
        <v>18</v>
      </c>
      <c r="AR267" s="250" t="s">
        <v>1200</v>
      </c>
      <c r="AS267" s="177">
        <v>108.5214</v>
      </c>
      <c r="AT267" s="177">
        <v>13.801299999999999</v>
      </c>
      <c r="AU267" s="177">
        <v>7.17E-2</v>
      </c>
      <c r="AV267" s="247"/>
    </row>
    <row r="268" spans="40:48" ht="15" customHeight="1">
      <c r="AN268" s="936">
        <f t="shared" si="10"/>
        <v>266</v>
      </c>
      <c r="AO268" s="175" t="s">
        <v>208</v>
      </c>
      <c r="AP268" s="176" t="s">
        <v>406</v>
      </c>
      <c r="AQ268" s="177" t="s">
        <v>18</v>
      </c>
      <c r="AR268" s="250" t="s">
        <v>1201</v>
      </c>
      <c r="AS268" s="177">
        <v>108.69580000000001</v>
      </c>
      <c r="AT268" s="177">
        <v>13.198399999999999</v>
      </c>
      <c r="AU268" s="177">
        <v>6.0400000000000002E-2</v>
      </c>
      <c r="AV268" s="247"/>
    </row>
    <row r="269" spans="40:48" ht="15" customHeight="1">
      <c r="AN269" s="936">
        <f t="shared" si="10"/>
        <v>267</v>
      </c>
      <c r="AO269" s="175" t="s">
        <v>208</v>
      </c>
      <c r="AP269" s="176" t="s">
        <v>2197</v>
      </c>
      <c r="AQ269" s="177" t="s">
        <v>18</v>
      </c>
      <c r="AR269" s="250" t="s">
        <v>1202</v>
      </c>
      <c r="AS269" s="177">
        <v>108.2525</v>
      </c>
      <c r="AT269" s="177">
        <v>14.0427</v>
      </c>
      <c r="AU269" s="177">
        <v>4.0500000000000001E-2</v>
      </c>
      <c r="AV269" s="247"/>
    </row>
    <row r="270" spans="40:48" ht="15" customHeight="1">
      <c r="AN270" s="169">
        <f t="shared" si="10"/>
        <v>268</v>
      </c>
      <c r="AO270" s="178" t="s">
        <v>408</v>
      </c>
      <c r="AP270" s="171" t="s">
        <v>409</v>
      </c>
      <c r="AQ270" s="172" t="s">
        <v>18</v>
      </c>
      <c r="AR270" s="249" t="s">
        <v>1059</v>
      </c>
      <c r="AS270" s="172">
        <v>104.9838</v>
      </c>
      <c r="AT270" s="172">
        <v>22.832799999999999</v>
      </c>
      <c r="AU270" s="172">
        <v>6.8199999999999997E-2</v>
      </c>
      <c r="AV270" s="247"/>
    </row>
    <row r="271" spans="40:48" ht="15" customHeight="1">
      <c r="AN271" s="169">
        <f t="shared" si="10"/>
        <v>269</v>
      </c>
      <c r="AO271" s="178" t="s">
        <v>408</v>
      </c>
      <c r="AP271" s="171" t="s">
        <v>410</v>
      </c>
      <c r="AQ271" s="172" t="s">
        <v>18</v>
      </c>
      <c r="AR271" s="249" t="s">
        <v>1203</v>
      </c>
      <c r="AS271" s="172">
        <v>105.3053</v>
      </c>
      <c r="AT271" s="172">
        <v>22.741199999999999</v>
      </c>
      <c r="AU271" s="172">
        <v>3.56E-2</v>
      </c>
      <c r="AV271" s="247"/>
    </row>
    <row r="272" spans="40:48" ht="15" customHeight="1">
      <c r="AN272" s="169">
        <f t="shared" si="10"/>
        <v>270</v>
      </c>
      <c r="AO272" s="178" t="s">
        <v>408</v>
      </c>
      <c r="AP272" s="171" t="s">
        <v>411</v>
      </c>
      <c r="AQ272" s="172" t="s">
        <v>18</v>
      </c>
      <c r="AR272" s="249" t="s">
        <v>1204</v>
      </c>
      <c r="AS272" s="172">
        <v>104.806</v>
      </c>
      <c r="AT272" s="172">
        <v>22.414999999999999</v>
      </c>
      <c r="AU272" s="172">
        <v>3.2000000000000001E-2</v>
      </c>
      <c r="AV272" s="247"/>
    </row>
    <row r="273" spans="40:48" ht="15" customHeight="1">
      <c r="AN273" s="169">
        <f t="shared" si="10"/>
        <v>271</v>
      </c>
      <c r="AO273" s="178" t="s">
        <v>408</v>
      </c>
      <c r="AP273" s="171" t="s">
        <v>412</v>
      </c>
      <c r="AQ273" s="172" t="s">
        <v>18</v>
      </c>
      <c r="AR273" s="249" t="s">
        <v>1205</v>
      </c>
      <c r="AS273" s="172">
        <v>105.3565</v>
      </c>
      <c r="AT273" s="172">
        <v>23.280899999999999</v>
      </c>
      <c r="AU273" s="172">
        <v>2.2100000000000002E-2</v>
      </c>
      <c r="AV273" s="247"/>
    </row>
    <row r="274" spans="40:48" ht="15" customHeight="1">
      <c r="AN274" s="169">
        <f t="shared" si="10"/>
        <v>272</v>
      </c>
      <c r="AO274" s="178" t="s">
        <v>408</v>
      </c>
      <c r="AP274" s="171" t="s">
        <v>413</v>
      </c>
      <c r="AQ274" s="172" t="s">
        <v>18</v>
      </c>
      <c r="AR274" s="249" t="s">
        <v>1206</v>
      </c>
      <c r="AS274" s="172">
        <v>104.68510000000001</v>
      </c>
      <c r="AT274" s="172">
        <v>22.738800000000001</v>
      </c>
      <c r="AU274" s="172">
        <v>1.7600000000000001E-2</v>
      </c>
      <c r="AV274" s="247"/>
    </row>
    <row r="275" spans="40:48" ht="15" customHeight="1">
      <c r="AN275" s="169">
        <f t="shared" si="10"/>
        <v>273</v>
      </c>
      <c r="AO275" s="178" t="s">
        <v>408</v>
      </c>
      <c r="AP275" s="171" t="s">
        <v>414</v>
      </c>
      <c r="AQ275" s="172" t="s">
        <v>18</v>
      </c>
      <c r="AR275" s="249" t="s">
        <v>1207</v>
      </c>
      <c r="AS275" s="172">
        <v>105.4104</v>
      </c>
      <c r="AT275" s="172">
        <v>23.160499999999999</v>
      </c>
      <c r="AU275" s="172">
        <v>3.6900000000000002E-2</v>
      </c>
      <c r="AV275" s="247"/>
    </row>
    <row r="276" spans="40:48" ht="15" customHeight="1">
      <c r="AN276" s="169">
        <f t="shared" si="10"/>
        <v>274</v>
      </c>
      <c r="AO276" s="178" t="s">
        <v>408</v>
      </c>
      <c r="AP276" s="171" t="s">
        <v>415</v>
      </c>
      <c r="AQ276" s="172" t="s">
        <v>18</v>
      </c>
      <c r="AR276" s="249" t="s">
        <v>1208</v>
      </c>
      <c r="AS276" s="172">
        <v>104.5866</v>
      </c>
      <c r="AT276" s="172">
        <v>22.4133</v>
      </c>
      <c r="AU276" s="172">
        <v>5.1999999999999998E-2</v>
      </c>
      <c r="AV276" s="247"/>
    </row>
    <row r="277" spans="40:48" ht="15" customHeight="1">
      <c r="AN277" s="169">
        <f t="shared" si="10"/>
        <v>275</v>
      </c>
      <c r="AO277" s="178" t="s">
        <v>408</v>
      </c>
      <c r="AP277" s="171" t="s">
        <v>416</v>
      </c>
      <c r="AQ277" s="172" t="s">
        <v>18</v>
      </c>
      <c r="AR277" s="249" t="s">
        <v>1209</v>
      </c>
      <c r="AS277" s="172">
        <v>104.9897</v>
      </c>
      <c r="AT277" s="172">
        <v>23.066199999999998</v>
      </c>
      <c r="AU277" s="172">
        <v>3.8600000000000002E-2</v>
      </c>
      <c r="AV277" s="247"/>
    </row>
    <row r="278" spans="40:48" ht="15" customHeight="1">
      <c r="AN278" s="169">
        <f t="shared" si="10"/>
        <v>276</v>
      </c>
      <c r="AO278" s="178" t="s">
        <v>408</v>
      </c>
      <c r="AP278" s="171" t="s">
        <v>417</v>
      </c>
      <c r="AQ278" s="172" t="s">
        <v>18</v>
      </c>
      <c r="AR278" s="249" t="s">
        <v>1210</v>
      </c>
      <c r="AS278" s="172">
        <v>104.9799</v>
      </c>
      <c r="AT278" s="172">
        <v>22.667200000000001</v>
      </c>
      <c r="AU278" s="172">
        <v>3.85E-2</v>
      </c>
      <c r="AV278" s="247"/>
    </row>
    <row r="279" spans="40:48" ht="15" customHeight="1">
      <c r="AN279" s="169">
        <f t="shared" si="10"/>
        <v>277</v>
      </c>
      <c r="AO279" s="178" t="s">
        <v>408</v>
      </c>
      <c r="AP279" s="171" t="s">
        <v>418</v>
      </c>
      <c r="AQ279" s="172" t="s">
        <v>18</v>
      </c>
      <c r="AR279" s="249" t="s">
        <v>1211</v>
      </c>
      <c r="AS279" s="172">
        <v>104.4546</v>
      </c>
      <c r="AT279" s="172">
        <v>22.694700000000001</v>
      </c>
      <c r="AU279" s="172">
        <v>2.1600000000000001E-2</v>
      </c>
      <c r="AV279" s="247"/>
    </row>
    <row r="280" spans="40:48" ht="15" customHeight="1">
      <c r="AN280" s="169">
        <f t="shared" si="10"/>
        <v>278</v>
      </c>
      <c r="AO280" s="178" t="s">
        <v>408</v>
      </c>
      <c r="AP280" s="171" t="s">
        <v>419</v>
      </c>
      <c r="AQ280" s="172" t="s">
        <v>18</v>
      </c>
      <c r="AR280" s="249" t="s">
        <v>1212</v>
      </c>
      <c r="AS280" s="172">
        <v>105.1463</v>
      </c>
      <c r="AT280" s="172">
        <v>23.118400000000001</v>
      </c>
      <c r="AU280" s="172">
        <v>5.6800000000000003E-2</v>
      </c>
      <c r="AV280" s="247"/>
    </row>
    <row r="281" spans="40:48" ht="15" customHeight="1">
      <c r="AN281" s="174">
        <f t="shared" si="10"/>
        <v>279</v>
      </c>
      <c r="AO281" s="175" t="s">
        <v>420</v>
      </c>
      <c r="AP281" s="176" t="s">
        <v>2198</v>
      </c>
      <c r="AQ281" s="177" t="s">
        <v>28</v>
      </c>
      <c r="AR281" s="250" t="s">
        <v>1213</v>
      </c>
      <c r="AS281" s="177">
        <v>105.91549999999999</v>
      </c>
      <c r="AT281" s="177">
        <v>20.544799999999999</v>
      </c>
      <c r="AU281" s="177">
        <v>0.11890000000000001</v>
      </c>
      <c r="AV281" s="247"/>
    </row>
    <row r="282" spans="40:48" ht="15" customHeight="1">
      <c r="AN282" s="174">
        <f t="shared" si="10"/>
        <v>280</v>
      </c>
      <c r="AO282" s="175" t="s">
        <v>420</v>
      </c>
      <c r="AP282" s="176" t="s">
        <v>422</v>
      </c>
      <c r="AQ282" s="177" t="s">
        <v>32</v>
      </c>
      <c r="AR282" s="250" t="s">
        <v>1214</v>
      </c>
      <c r="AS282" s="177">
        <v>106.0031</v>
      </c>
      <c r="AT282" s="177">
        <v>20.493099999999998</v>
      </c>
      <c r="AU282" s="177">
        <v>0.1143</v>
      </c>
      <c r="AV282" s="247"/>
    </row>
    <row r="283" spans="40:48" ht="15" customHeight="1">
      <c r="AN283" s="174">
        <f t="shared" si="10"/>
        <v>281</v>
      </c>
      <c r="AO283" s="175" t="s">
        <v>420</v>
      </c>
      <c r="AP283" s="176" t="s">
        <v>423</v>
      </c>
      <c r="AQ283" s="177" t="s">
        <v>28</v>
      </c>
      <c r="AR283" s="250" t="s">
        <v>1215</v>
      </c>
      <c r="AS283" s="177">
        <v>105.99079999999999</v>
      </c>
      <c r="AT283" s="177">
        <v>20.642299999999999</v>
      </c>
      <c r="AU283" s="177">
        <v>0.1118</v>
      </c>
      <c r="AV283" s="247"/>
    </row>
    <row r="284" spans="40:48" ht="15" customHeight="1">
      <c r="AN284" s="174">
        <f t="shared" si="10"/>
        <v>282</v>
      </c>
      <c r="AO284" s="175" t="s">
        <v>420</v>
      </c>
      <c r="AP284" s="176" t="s">
        <v>424</v>
      </c>
      <c r="AQ284" s="177" t="s">
        <v>28</v>
      </c>
      <c r="AR284" s="250" t="s">
        <v>1216</v>
      </c>
      <c r="AS284" s="177">
        <v>105.8728</v>
      </c>
      <c r="AT284" s="177">
        <v>20.577200000000001</v>
      </c>
      <c r="AU284" s="177">
        <v>0.1134</v>
      </c>
      <c r="AV284" s="247"/>
    </row>
    <row r="285" spans="40:48" ht="15" customHeight="1">
      <c r="AN285" s="174">
        <f t="shared" si="10"/>
        <v>283</v>
      </c>
      <c r="AO285" s="175" t="s">
        <v>420</v>
      </c>
      <c r="AP285" s="176" t="s">
        <v>425</v>
      </c>
      <c r="AQ285" s="177" t="s">
        <v>28</v>
      </c>
      <c r="AR285" s="250" t="s">
        <v>1217</v>
      </c>
      <c r="AS285" s="177">
        <v>106.0292</v>
      </c>
      <c r="AT285" s="177">
        <v>20.56</v>
      </c>
      <c r="AU285" s="177">
        <v>0.11310000000000001</v>
      </c>
      <c r="AV285" s="247"/>
    </row>
    <row r="286" spans="40:48" ht="15" customHeight="1">
      <c r="AN286" s="174">
        <f t="shared" si="10"/>
        <v>284</v>
      </c>
      <c r="AO286" s="175" t="s">
        <v>420</v>
      </c>
      <c r="AP286" s="176" t="s">
        <v>426</v>
      </c>
      <c r="AQ286" s="177" t="s">
        <v>28</v>
      </c>
      <c r="AR286" s="250" t="s">
        <v>1218</v>
      </c>
      <c r="AS286" s="177">
        <v>105.9491</v>
      </c>
      <c r="AT286" s="177">
        <v>20.4726</v>
      </c>
      <c r="AU286" s="177">
        <v>0.1149</v>
      </c>
      <c r="AV286" s="247"/>
    </row>
    <row r="287" spans="40:48" ht="15" customHeight="1">
      <c r="AN287" s="169">
        <f t="shared" si="10"/>
        <v>285</v>
      </c>
      <c r="AO287" s="175" t="s">
        <v>2143</v>
      </c>
      <c r="AP287" s="176" t="s">
        <v>2199</v>
      </c>
      <c r="AQ287" s="177" t="s">
        <v>32</v>
      </c>
      <c r="AR287" s="250" t="s">
        <v>1232</v>
      </c>
      <c r="AS287" s="177">
        <v>105.8967</v>
      </c>
      <c r="AT287" s="177">
        <v>18.3462</v>
      </c>
      <c r="AU287" s="177">
        <v>0.1168</v>
      </c>
      <c r="AV287" s="247"/>
    </row>
    <row r="288" spans="40:48" ht="15" customHeight="1">
      <c r="AN288" s="169">
        <f t="shared" si="10"/>
        <v>286</v>
      </c>
      <c r="AO288" s="175" t="s">
        <v>2143</v>
      </c>
      <c r="AP288" s="176" t="s">
        <v>440</v>
      </c>
      <c r="AQ288" s="177" t="s">
        <v>32</v>
      </c>
      <c r="AR288" s="250" t="s">
        <v>1233</v>
      </c>
      <c r="AS288" s="177">
        <v>105.7076</v>
      </c>
      <c r="AT288" s="177">
        <v>18.527000000000001</v>
      </c>
      <c r="AU288" s="177">
        <v>0.111</v>
      </c>
      <c r="AV288" s="247"/>
    </row>
    <row r="289" spans="40:48" ht="15" customHeight="1">
      <c r="AN289" s="169">
        <f t="shared" si="10"/>
        <v>287</v>
      </c>
      <c r="AO289" s="175" t="s">
        <v>2143</v>
      </c>
      <c r="AP289" s="176" t="s">
        <v>441</v>
      </c>
      <c r="AQ289" s="177" t="s">
        <v>32</v>
      </c>
      <c r="AR289" s="250" t="s">
        <v>1234</v>
      </c>
      <c r="AS289" s="177">
        <v>105.7753</v>
      </c>
      <c r="AT289" s="177">
        <v>18.454799999999999</v>
      </c>
      <c r="AU289" s="177">
        <v>0.1172</v>
      </c>
      <c r="AV289" s="247"/>
    </row>
    <row r="290" spans="40:48" ht="15" customHeight="1">
      <c r="AN290" s="169">
        <f t="shared" si="10"/>
        <v>288</v>
      </c>
      <c r="AO290" s="175" t="s">
        <v>2143</v>
      </c>
      <c r="AP290" s="176" t="s">
        <v>442</v>
      </c>
      <c r="AQ290" s="177" t="s">
        <v>32</v>
      </c>
      <c r="AR290" s="250" t="s">
        <v>1235</v>
      </c>
      <c r="AS290" s="177">
        <v>105.9943</v>
      </c>
      <c r="AT290" s="177">
        <v>18.256499999999999</v>
      </c>
      <c r="AU290" s="177">
        <v>0.1133</v>
      </c>
      <c r="AV290" s="247"/>
    </row>
    <row r="291" spans="40:48" ht="15" customHeight="1">
      <c r="AN291" s="169">
        <f t="shared" si="10"/>
        <v>289</v>
      </c>
      <c r="AO291" s="175" t="s">
        <v>2143</v>
      </c>
      <c r="AP291" s="176" t="s">
        <v>443</v>
      </c>
      <c r="AQ291" s="177" t="s">
        <v>25</v>
      </c>
      <c r="AR291" s="250" t="s">
        <v>1236</v>
      </c>
      <c r="AS291" s="177">
        <v>105.5835</v>
      </c>
      <c r="AT291" s="177">
        <v>18.532800000000002</v>
      </c>
      <c r="AU291" s="177">
        <v>0.11409999999999999</v>
      </c>
      <c r="AV291" s="247"/>
    </row>
    <row r="292" spans="40:48" ht="15" customHeight="1">
      <c r="AN292" s="169">
        <f t="shared" si="10"/>
        <v>290</v>
      </c>
      <c r="AO292" s="175" t="s">
        <v>2143</v>
      </c>
      <c r="AP292" s="176" t="s">
        <v>807</v>
      </c>
      <c r="AQ292" s="177" t="s">
        <v>25</v>
      </c>
      <c r="AR292" s="250" t="s">
        <v>1237</v>
      </c>
      <c r="AS292" s="177">
        <v>105.7056</v>
      </c>
      <c r="AT292" s="177">
        <v>18.173400000000001</v>
      </c>
      <c r="AU292" s="177">
        <v>4.9799999999999997E-2</v>
      </c>
      <c r="AV292" s="247"/>
    </row>
    <row r="293" spans="40:48" ht="15" customHeight="1">
      <c r="AN293" s="169">
        <f t="shared" si="10"/>
        <v>291</v>
      </c>
      <c r="AO293" s="175" t="s">
        <v>2143</v>
      </c>
      <c r="AP293" s="176" t="s">
        <v>808</v>
      </c>
      <c r="AQ293" s="177" t="s">
        <v>25</v>
      </c>
      <c r="AR293" s="250" t="s">
        <v>1238</v>
      </c>
      <c r="AS293" s="177">
        <v>105.42310000000001</v>
      </c>
      <c r="AT293" s="177">
        <v>18.512</v>
      </c>
      <c r="AU293" s="177">
        <v>8.7300000000000003E-2</v>
      </c>
      <c r="AV293" s="247"/>
    </row>
    <row r="294" spans="40:48" ht="15" customHeight="1">
      <c r="AN294" s="169">
        <f t="shared" si="10"/>
        <v>292</v>
      </c>
      <c r="AO294" s="175" t="s">
        <v>2143</v>
      </c>
      <c r="AP294" s="176" t="s">
        <v>444</v>
      </c>
      <c r="AQ294" s="177" t="s">
        <v>32</v>
      </c>
      <c r="AR294" s="250" t="s">
        <v>1239</v>
      </c>
      <c r="AS294" s="177">
        <v>106.3004</v>
      </c>
      <c r="AT294" s="177">
        <v>18.069600000000001</v>
      </c>
      <c r="AU294" s="177">
        <v>0.1013</v>
      </c>
      <c r="AV294" s="247"/>
    </row>
    <row r="295" spans="40:48" ht="15" customHeight="1">
      <c r="AN295" s="169">
        <f t="shared" si="10"/>
        <v>293</v>
      </c>
      <c r="AO295" s="175" t="s">
        <v>2143</v>
      </c>
      <c r="AP295" s="176" t="s">
        <v>445</v>
      </c>
      <c r="AQ295" s="177" t="s">
        <v>32</v>
      </c>
      <c r="AR295" s="250" t="s">
        <v>1240</v>
      </c>
      <c r="AS295" s="177">
        <v>105.7546</v>
      </c>
      <c r="AT295" s="177">
        <v>18.662400000000002</v>
      </c>
      <c r="AU295" s="177">
        <v>0.10829999999999999</v>
      </c>
      <c r="AV295" s="247"/>
    </row>
    <row r="296" spans="40:48" ht="15" customHeight="1">
      <c r="AN296" s="169">
        <f t="shared" si="10"/>
        <v>294</v>
      </c>
      <c r="AO296" s="175" t="s">
        <v>2143</v>
      </c>
      <c r="AP296" s="176" t="s">
        <v>446</v>
      </c>
      <c r="AQ296" s="177" t="s">
        <v>32</v>
      </c>
      <c r="AR296" s="250" t="s">
        <v>1241</v>
      </c>
      <c r="AS296" s="177">
        <v>105.8647</v>
      </c>
      <c r="AT296" s="177">
        <v>18.364999999999998</v>
      </c>
      <c r="AU296" s="177">
        <v>0.1163</v>
      </c>
      <c r="AV296" s="247"/>
    </row>
    <row r="297" spans="40:48" ht="15" customHeight="1">
      <c r="AN297" s="169">
        <f t="shared" si="10"/>
        <v>295</v>
      </c>
      <c r="AO297" s="175" t="s">
        <v>2143</v>
      </c>
      <c r="AP297" s="176" t="s">
        <v>447</v>
      </c>
      <c r="AQ297" s="177" t="s">
        <v>25</v>
      </c>
      <c r="AR297" s="250" t="s">
        <v>1242</v>
      </c>
      <c r="AS297" s="177">
        <v>105.49890000000001</v>
      </c>
      <c r="AT297" s="177">
        <v>18.379799999999999</v>
      </c>
      <c r="AU297" s="177">
        <v>5.9700000000000003E-2</v>
      </c>
      <c r="AV297" s="247"/>
    </row>
    <row r="298" spans="40:48" ht="15" customHeight="1">
      <c r="AN298" s="174">
        <f t="shared" si="10"/>
        <v>296</v>
      </c>
      <c r="AO298" s="178" t="s">
        <v>2144</v>
      </c>
      <c r="AP298" s="171" t="s">
        <v>810</v>
      </c>
      <c r="AQ298" s="172" t="s">
        <v>28</v>
      </c>
      <c r="AR298" s="249" t="s">
        <v>1219</v>
      </c>
      <c r="AS298" s="172">
        <v>106.32640000000001</v>
      </c>
      <c r="AT298" s="172">
        <v>20.9406</v>
      </c>
      <c r="AU298" s="172">
        <v>0.1303</v>
      </c>
      <c r="AV298" s="247"/>
    </row>
    <row r="299" spans="40:48" ht="15" customHeight="1">
      <c r="AN299" s="174">
        <f t="shared" si="10"/>
        <v>297</v>
      </c>
      <c r="AO299" s="178" t="s">
        <v>2144</v>
      </c>
      <c r="AP299" s="171" t="s">
        <v>448</v>
      </c>
      <c r="AQ299" s="172" t="s">
        <v>28</v>
      </c>
      <c r="AR299" s="249" t="s">
        <v>1243</v>
      </c>
      <c r="AS299" s="172">
        <v>106.1447</v>
      </c>
      <c r="AT299" s="172">
        <v>20.908799999999999</v>
      </c>
      <c r="AU299" s="172">
        <v>7.5200000000000003E-2</v>
      </c>
      <c r="AV299" s="247"/>
    </row>
    <row r="300" spans="40:48" ht="15" customHeight="1">
      <c r="AN300" s="174">
        <f t="shared" si="10"/>
        <v>298</v>
      </c>
      <c r="AO300" s="178" t="s">
        <v>2144</v>
      </c>
      <c r="AP300" s="171" t="s">
        <v>449</v>
      </c>
      <c r="AQ300" s="172" t="s">
        <v>25</v>
      </c>
      <c r="AR300" s="249" t="s">
        <v>1244</v>
      </c>
      <c r="AS300" s="172">
        <v>106.27460000000001</v>
      </c>
      <c r="AT300" s="172">
        <v>20.945699999999999</v>
      </c>
      <c r="AU300" s="172">
        <v>0.12230000000000001</v>
      </c>
      <c r="AV300" s="247"/>
    </row>
    <row r="301" spans="40:48" ht="15" customHeight="1">
      <c r="AN301" s="174">
        <f t="shared" si="10"/>
        <v>299</v>
      </c>
      <c r="AO301" s="178" t="s">
        <v>2144</v>
      </c>
      <c r="AP301" s="171" t="s">
        <v>450</v>
      </c>
      <c r="AQ301" s="172" t="s">
        <v>25</v>
      </c>
      <c r="AR301" s="249" t="s">
        <v>1245</v>
      </c>
      <c r="AS301" s="172">
        <v>106.39190000000001</v>
      </c>
      <c r="AT301" s="172">
        <v>21.112100000000002</v>
      </c>
      <c r="AU301" s="172">
        <v>0.11890000000000001</v>
      </c>
      <c r="AV301" s="247"/>
    </row>
    <row r="302" spans="40:48" ht="15" customHeight="1">
      <c r="AN302" s="174">
        <f t="shared" si="10"/>
        <v>300</v>
      </c>
      <c r="AO302" s="178" t="s">
        <v>2144</v>
      </c>
      <c r="AP302" s="171" t="s">
        <v>451</v>
      </c>
      <c r="AQ302" s="172" t="s">
        <v>28</v>
      </c>
      <c r="AR302" s="249" t="s">
        <v>1246</v>
      </c>
      <c r="AS302" s="172">
        <v>106.29510000000001</v>
      </c>
      <c r="AT302" s="172">
        <v>20.869199999999999</v>
      </c>
      <c r="AU302" s="172">
        <v>0.10009999999999999</v>
      </c>
      <c r="AV302" s="247"/>
    </row>
    <row r="303" spans="40:48" ht="15" customHeight="1">
      <c r="AN303" s="174">
        <f t="shared" si="10"/>
        <v>301</v>
      </c>
      <c r="AO303" s="178" t="s">
        <v>2144</v>
      </c>
      <c r="AP303" s="171" t="s">
        <v>452</v>
      </c>
      <c r="AQ303" s="172" t="s">
        <v>25</v>
      </c>
      <c r="AR303" s="249" t="s">
        <v>1247</v>
      </c>
      <c r="AS303" s="172">
        <v>106.5129</v>
      </c>
      <c r="AT303" s="172">
        <v>20.9678</v>
      </c>
      <c r="AU303" s="172">
        <v>0.1265</v>
      </c>
      <c r="AV303" s="247"/>
    </row>
    <row r="304" spans="40:48" ht="15" customHeight="1">
      <c r="AN304" s="174">
        <f t="shared" si="10"/>
        <v>302</v>
      </c>
      <c r="AO304" s="178" t="s">
        <v>2144</v>
      </c>
      <c r="AP304" s="171" t="s">
        <v>453</v>
      </c>
      <c r="AQ304" s="172" t="s">
        <v>25</v>
      </c>
      <c r="AR304" s="249" t="s">
        <v>1248</v>
      </c>
      <c r="AS304" s="172">
        <v>106.5532</v>
      </c>
      <c r="AT304" s="172">
        <v>20.988600000000002</v>
      </c>
      <c r="AU304" s="172">
        <v>0.1212</v>
      </c>
      <c r="AV304" s="247"/>
    </row>
    <row r="305" spans="40:48" ht="15" customHeight="1">
      <c r="AN305" s="174">
        <f t="shared" si="10"/>
        <v>303</v>
      </c>
      <c r="AO305" s="178" t="s">
        <v>2144</v>
      </c>
      <c r="AP305" s="171" t="s">
        <v>454</v>
      </c>
      <c r="AQ305" s="172" t="s">
        <v>28</v>
      </c>
      <c r="AR305" s="249" t="s">
        <v>1249</v>
      </c>
      <c r="AS305" s="172">
        <v>106.334</v>
      </c>
      <c r="AT305" s="172">
        <v>20.992699999999999</v>
      </c>
      <c r="AU305" s="172">
        <v>0.13350000000000001</v>
      </c>
      <c r="AV305" s="247"/>
    </row>
    <row r="306" spans="40:48" ht="15" customHeight="1">
      <c r="AN306" s="174">
        <f t="shared" si="10"/>
        <v>304</v>
      </c>
      <c r="AO306" s="178" t="s">
        <v>2144</v>
      </c>
      <c r="AP306" s="171" t="s">
        <v>455</v>
      </c>
      <c r="AQ306" s="172" t="s">
        <v>28</v>
      </c>
      <c r="AR306" s="249" t="s">
        <v>1250</v>
      </c>
      <c r="AS306" s="172">
        <v>106.3959</v>
      </c>
      <c r="AT306" s="172">
        <v>20.731400000000001</v>
      </c>
      <c r="AU306" s="172">
        <v>7.0099999999999996E-2</v>
      </c>
      <c r="AV306" s="247"/>
    </row>
    <row r="307" spans="40:48" ht="15" customHeight="1">
      <c r="AN307" s="174">
        <f t="shared" si="10"/>
        <v>305</v>
      </c>
      <c r="AO307" s="178" t="s">
        <v>2144</v>
      </c>
      <c r="AP307" s="171" t="s">
        <v>456</v>
      </c>
      <c r="AQ307" s="172" t="s">
        <v>28</v>
      </c>
      <c r="AR307" s="249" t="s">
        <v>1251</v>
      </c>
      <c r="AS307" s="172">
        <v>106.4697</v>
      </c>
      <c r="AT307" s="172">
        <v>20.845600000000001</v>
      </c>
      <c r="AU307" s="172">
        <v>0.13600000000000001</v>
      </c>
      <c r="AV307" s="247"/>
    </row>
    <row r="308" spans="40:48" ht="15" customHeight="1">
      <c r="AN308" s="174">
        <f t="shared" si="10"/>
        <v>306</v>
      </c>
      <c r="AO308" s="178" t="s">
        <v>2144</v>
      </c>
      <c r="AP308" s="171" t="s">
        <v>457</v>
      </c>
      <c r="AQ308" s="172" t="s">
        <v>28</v>
      </c>
      <c r="AR308" s="249" t="s">
        <v>1252</v>
      </c>
      <c r="AS308" s="172">
        <v>106.24509999999999</v>
      </c>
      <c r="AT308" s="172">
        <v>20.788699999999999</v>
      </c>
      <c r="AU308" s="172">
        <v>6.3600000000000004E-2</v>
      </c>
      <c r="AV308" s="247"/>
    </row>
    <row r="309" spans="40:48" ht="15" customHeight="1">
      <c r="AN309" s="174">
        <f t="shared" si="10"/>
        <v>307</v>
      </c>
      <c r="AO309" s="178" t="s">
        <v>2144</v>
      </c>
      <c r="AP309" s="171" t="s">
        <v>458</v>
      </c>
      <c r="AQ309" s="172" t="s">
        <v>32</v>
      </c>
      <c r="AR309" s="249" t="s">
        <v>1253</v>
      </c>
      <c r="AS309" s="172">
        <v>106.4012</v>
      </c>
      <c r="AT309" s="172">
        <v>20.8216</v>
      </c>
      <c r="AU309" s="172">
        <v>0.11360000000000001</v>
      </c>
      <c r="AV309" s="247"/>
    </row>
    <row r="310" spans="40:48" ht="15" customHeight="1">
      <c r="AN310" s="169">
        <f t="shared" si="10"/>
        <v>308</v>
      </c>
      <c r="AO310" s="175" t="s">
        <v>2145</v>
      </c>
      <c r="AP310" s="176" t="s">
        <v>460</v>
      </c>
      <c r="AQ310" s="177" t="s">
        <v>18</v>
      </c>
      <c r="AR310" s="250" t="s">
        <v>1254</v>
      </c>
      <c r="AS310" s="177">
        <v>105.4718</v>
      </c>
      <c r="AT310" s="177">
        <v>9.7861999999999991</v>
      </c>
      <c r="AU310" s="177">
        <v>1.2E-2</v>
      </c>
      <c r="AV310" s="247"/>
    </row>
    <row r="311" spans="40:48" ht="15" customHeight="1">
      <c r="AN311" s="169">
        <f t="shared" si="10"/>
        <v>309</v>
      </c>
      <c r="AO311" s="175" t="s">
        <v>2145</v>
      </c>
      <c r="AP311" s="176" t="s">
        <v>241</v>
      </c>
      <c r="AQ311" s="177" t="s">
        <v>18</v>
      </c>
      <c r="AR311" s="250" t="s">
        <v>1255</v>
      </c>
      <c r="AS311" s="177">
        <v>105.8081</v>
      </c>
      <c r="AT311" s="177">
        <v>9.9217999999999993</v>
      </c>
      <c r="AU311" s="177">
        <v>4.5600000000000002E-2</v>
      </c>
      <c r="AV311" s="247"/>
    </row>
    <row r="312" spans="40:48" ht="15" customHeight="1">
      <c r="AN312" s="169">
        <f t="shared" si="10"/>
        <v>310</v>
      </c>
      <c r="AO312" s="175" t="s">
        <v>2145</v>
      </c>
      <c r="AP312" s="176" t="s">
        <v>461</v>
      </c>
      <c r="AQ312" s="177" t="s">
        <v>18</v>
      </c>
      <c r="AR312" s="250" t="s">
        <v>1256</v>
      </c>
      <c r="AS312" s="177">
        <v>105.6293</v>
      </c>
      <c r="AT312" s="177">
        <v>9.9234000000000009</v>
      </c>
      <c r="AU312" s="177">
        <v>2.47E-2</v>
      </c>
      <c r="AV312" s="247"/>
    </row>
    <row r="313" spans="40:48" ht="15" customHeight="1">
      <c r="AN313" s="169">
        <f t="shared" si="10"/>
        <v>311</v>
      </c>
      <c r="AO313" s="175" t="s">
        <v>2145</v>
      </c>
      <c r="AP313" s="176" t="s">
        <v>462</v>
      </c>
      <c r="AQ313" s="177" t="s">
        <v>18</v>
      </c>
      <c r="AR313" s="250" t="s">
        <v>1257</v>
      </c>
      <c r="AS313" s="177">
        <v>105.5715</v>
      </c>
      <c r="AT313" s="177">
        <v>9.6795000000000009</v>
      </c>
      <c r="AU313" s="177">
        <v>1.18E-2</v>
      </c>
      <c r="AV313" s="247"/>
    </row>
    <row r="314" spans="40:48" ht="15" customHeight="1">
      <c r="AN314" s="169">
        <f t="shared" si="10"/>
        <v>312</v>
      </c>
      <c r="AO314" s="175" t="s">
        <v>2145</v>
      </c>
      <c r="AP314" s="176" t="s">
        <v>463</v>
      </c>
      <c r="AQ314" s="177" t="s">
        <v>18</v>
      </c>
      <c r="AR314" s="250" t="s">
        <v>1258</v>
      </c>
      <c r="AS314" s="177">
        <v>105.8244</v>
      </c>
      <c r="AT314" s="177">
        <v>9.8102</v>
      </c>
      <c r="AU314" s="177">
        <v>3.0800000000000001E-2</v>
      </c>
      <c r="AV314" s="247"/>
    </row>
    <row r="315" spans="40:48" ht="15" customHeight="1">
      <c r="AN315" s="169">
        <f t="shared" si="10"/>
        <v>313</v>
      </c>
      <c r="AO315" s="175" t="s">
        <v>2145</v>
      </c>
      <c r="AP315" s="176" t="s">
        <v>464</v>
      </c>
      <c r="AQ315" s="177" t="s">
        <v>18</v>
      </c>
      <c r="AR315" s="250" t="s">
        <v>1259</v>
      </c>
      <c r="AS315" s="177">
        <v>105.5354</v>
      </c>
      <c r="AT315" s="177">
        <v>9.7520000000000007</v>
      </c>
      <c r="AU315" s="177">
        <v>1.26E-2</v>
      </c>
      <c r="AV315" s="247"/>
    </row>
    <row r="316" spans="40:48" ht="15" customHeight="1">
      <c r="AN316" s="169">
        <f t="shared" si="10"/>
        <v>314</v>
      </c>
      <c r="AO316" s="175" t="s">
        <v>2145</v>
      </c>
      <c r="AP316" s="176" t="s">
        <v>2200</v>
      </c>
      <c r="AQ316" s="177" t="s">
        <v>18</v>
      </c>
      <c r="AR316" s="250" t="s">
        <v>1258</v>
      </c>
      <c r="AS316" s="177">
        <v>105.8244</v>
      </c>
      <c r="AT316" s="177">
        <v>9.8102</v>
      </c>
      <c r="AU316" s="177">
        <v>3.0800000000000001E-2</v>
      </c>
      <c r="AV316" s="247"/>
    </row>
    <row r="317" spans="40:48" ht="15" customHeight="1">
      <c r="AN317" s="174">
        <f t="shared" si="10"/>
        <v>315</v>
      </c>
      <c r="AO317" s="178" t="s">
        <v>2146</v>
      </c>
      <c r="AP317" s="171" t="s">
        <v>2201</v>
      </c>
      <c r="AQ317" s="172" t="s">
        <v>18</v>
      </c>
      <c r="AR317" s="249" t="s">
        <v>1260</v>
      </c>
      <c r="AS317" s="172">
        <v>105.3399</v>
      </c>
      <c r="AT317" s="172">
        <v>20.820900000000002</v>
      </c>
      <c r="AU317" s="172">
        <v>8.8499999999999995E-2</v>
      </c>
      <c r="AV317" s="247"/>
    </row>
    <row r="318" spans="40:48" ht="15" customHeight="1">
      <c r="AN318" s="174">
        <f t="shared" si="10"/>
        <v>316</v>
      </c>
      <c r="AO318" s="178" t="s">
        <v>2146</v>
      </c>
      <c r="AP318" s="171" t="s">
        <v>466</v>
      </c>
      <c r="AQ318" s="172" t="s">
        <v>18</v>
      </c>
      <c r="AR318" s="249" t="s">
        <v>1261</v>
      </c>
      <c r="AS318" s="172">
        <v>105.32470000000001</v>
      </c>
      <c r="AT318" s="172">
        <v>20.707899999999999</v>
      </c>
      <c r="AU318" s="172">
        <v>6.7100000000000007E-2</v>
      </c>
      <c r="AV318" s="247"/>
    </row>
    <row r="319" spans="40:48" ht="15" customHeight="1">
      <c r="AN319" s="174">
        <f t="shared" si="10"/>
        <v>317</v>
      </c>
      <c r="AO319" s="178" t="s">
        <v>2146</v>
      </c>
      <c r="AP319" s="171" t="s">
        <v>467</v>
      </c>
      <c r="AQ319" s="172" t="s">
        <v>18</v>
      </c>
      <c r="AR319" s="249" t="s">
        <v>1262</v>
      </c>
      <c r="AS319" s="172">
        <v>105.2542</v>
      </c>
      <c r="AT319" s="172">
        <v>20.877800000000001</v>
      </c>
      <c r="AU319" s="172">
        <v>9.0499999999999997E-2</v>
      </c>
      <c r="AV319" s="247"/>
    </row>
    <row r="320" spans="40:48" ht="15" customHeight="1">
      <c r="AN320" s="174">
        <f t="shared" si="10"/>
        <v>318</v>
      </c>
      <c r="AO320" s="178" t="s">
        <v>2146</v>
      </c>
      <c r="AP320" s="171" t="s">
        <v>468</v>
      </c>
      <c r="AQ320" s="172" t="s">
        <v>25</v>
      </c>
      <c r="AR320" s="249" t="s">
        <v>1263</v>
      </c>
      <c r="AS320" s="172">
        <v>105.53619999999999</v>
      </c>
      <c r="AT320" s="172">
        <v>20.671800000000001</v>
      </c>
      <c r="AU320" s="172">
        <v>4.0599999999999997E-2</v>
      </c>
      <c r="AV320" s="247"/>
    </row>
    <row r="321" spans="40:48" ht="15" customHeight="1">
      <c r="AN321" s="174">
        <f t="shared" si="10"/>
        <v>319</v>
      </c>
      <c r="AO321" s="178" t="s">
        <v>2146</v>
      </c>
      <c r="AP321" s="171" t="s">
        <v>469</v>
      </c>
      <c r="AQ321" s="172" t="s">
        <v>18</v>
      </c>
      <c r="AR321" s="249" t="s">
        <v>1264</v>
      </c>
      <c r="AS321" s="172">
        <v>105.3561</v>
      </c>
      <c r="AT321" s="172">
        <v>20.887899999999998</v>
      </c>
      <c r="AU321" s="172">
        <v>9.1700000000000004E-2</v>
      </c>
      <c r="AV321" s="247"/>
    </row>
    <row r="322" spans="40:48" ht="15" customHeight="1">
      <c r="AN322" s="174">
        <f t="shared" si="10"/>
        <v>320</v>
      </c>
      <c r="AO322" s="178" t="s">
        <v>2146</v>
      </c>
      <c r="AP322" s="171" t="s">
        <v>470</v>
      </c>
      <c r="AQ322" s="172" t="s">
        <v>25</v>
      </c>
      <c r="AR322" s="249" t="s">
        <v>1265</v>
      </c>
      <c r="AS322" s="172">
        <v>105.44280000000001</v>
      </c>
      <c r="AT322" s="172">
        <v>20.464400000000001</v>
      </c>
      <c r="AU322" s="172">
        <v>0.1177</v>
      </c>
      <c r="AV322" s="247"/>
    </row>
    <row r="323" spans="40:48" ht="15" customHeight="1">
      <c r="AN323" s="174">
        <f t="shared" si="10"/>
        <v>321</v>
      </c>
      <c r="AO323" s="178" t="s">
        <v>2146</v>
      </c>
      <c r="AP323" s="171" t="s">
        <v>471</v>
      </c>
      <c r="AQ323" s="172" t="s">
        <v>25</v>
      </c>
      <c r="AR323" s="249" t="s">
        <v>1266</v>
      </c>
      <c r="AS323" s="172">
        <v>105.7775</v>
      </c>
      <c r="AT323" s="172">
        <v>20.490400000000001</v>
      </c>
      <c r="AU323" s="172">
        <v>6.4199999999999993E-2</v>
      </c>
      <c r="AV323" s="247"/>
    </row>
    <row r="324" spans="40:48" ht="15" customHeight="1">
      <c r="AN324" s="174">
        <f t="shared" si="10"/>
        <v>322</v>
      </c>
      <c r="AO324" s="178" t="s">
        <v>2146</v>
      </c>
      <c r="AP324" s="171" t="s">
        <v>472</v>
      </c>
      <c r="AQ324" s="172" t="s">
        <v>25</v>
      </c>
      <c r="AR324" s="249" t="s">
        <v>1267</v>
      </c>
      <c r="AS324" s="172">
        <v>105.5389</v>
      </c>
      <c r="AT324" s="172">
        <v>20.8766</v>
      </c>
      <c r="AU324" s="172">
        <v>6.9800000000000001E-2</v>
      </c>
      <c r="AV324" s="247"/>
    </row>
    <row r="325" spans="40:48" ht="15" customHeight="1">
      <c r="AN325" s="174">
        <f t="shared" ref="AN325:AN388" si="11">AN324+1</f>
        <v>323</v>
      </c>
      <c r="AO325" s="178" t="s">
        <v>2146</v>
      </c>
      <c r="AP325" s="171" t="s">
        <v>473</v>
      </c>
      <c r="AQ325" s="172" t="s">
        <v>18</v>
      </c>
      <c r="AR325" s="249" t="s">
        <v>1268</v>
      </c>
      <c r="AS325" s="172">
        <v>105.0924</v>
      </c>
      <c r="AT325" s="172">
        <v>20.664100000000001</v>
      </c>
      <c r="AU325" s="172">
        <v>0.12690000000000001</v>
      </c>
      <c r="AV325" s="247"/>
    </row>
    <row r="326" spans="40:48" ht="15" customHeight="1">
      <c r="AN326" s="174">
        <f t="shared" si="11"/>
        <v>324</v>
      </c>
      <c r="AO326" s="178" t="s">
        <v>2146</v>
      </c>
      <c r="AP326" s="171" t="s">
        <v>474</v>
      </c>
      <c r="AQ326" s="172" t="s">
        <v>18</v>
      </c>
      <c r="AR326" s="249" t="s">
        <v>1269</v>
      </c>
      <c r="AS326" s="172">
        <v>105.27670000000001</v>
      </c>
      <c r="AT326" s="172">
        <v>20.621099999999998</v>
      </c>
      <c r="AU326" s="172">
        <v>8.48E-2</v>
      </c>
      <c r="AV326" s="247"/>
    </row>
    <row r="327" spans="40:48" ht="15" customHeight="1">
      <c r="AN327" s="174">
        <f t="shared" si="11"/>
        <v>325</v>
      </c>
      <c r="AO327" s="178" t="s">
        <v>2146</v>
      </c>
      <c r="AP327" s="171" t="s">
        <v>475</v>
      </c>
      <c r="AQ327" s="172" t="s">
        <v>25</v>
      </c>
      <c r="AR327" s="249" t="s">
        <v>1270</v>
      </c>
      <c r="AS327" s="172">
        <v>105.6228</v>
      </c>
      <c r="AT327" s="172">
        <v>20.3949</v>
      </c>
      <c r="AU327" s="172">
        <v>9.64E-2</v>
      </c>
      <c r="AV327" s="247"/>
    </row>
    <row r="328" spans="40:48" ht="15" customHeight="1">
      <c r="AN328" s="169">
        <f t="shared" si="11"/>
        <v>326</v>
      </c>
      <c r="AO328" s="175" t="s">
        <v>2147</v>
      </c>
      <c r="AP328" s="176" t="s">
        <v>845</v>
      </c>
      <c r="AQ328" s="177" t="s">
        <v>28</v>
      </c>
      <c r="AR328" s="250" t="s">
        <v>1271</v>
      </c>
      <c r="AS328" s="177">
        <v>106.0513</v>
      </c>
      <c r="AT328" s="177">
        <v>20.646999999999998</v>
      </c>
      <c r="AU328" s="177">
        <v>0.11269999999999999</v>
      </c>
      <c r="AV328" s="247"/>
    </row>
    <row r="329" spans="40:48" ht="15" customHeight="1">
      <c r="AN329" s="169">
        <f t="shared" si="11"/>
        <v>327</v>
      </c>
      <c r="AO329" s="175" t="s">
        <v>2147</v>
      </c>
      <c r="AP329" s="176" t="s">
        <v>476</v>
      </c>
      <c r="AQ329" s="177" t="s">
        <v>28</v>
      </c>
      <c r="AR329" s="250" t="s">
        <v>1272</v>
      </c>
      <c r="AS329" s="177">
        <v>106.089</v>
      </c>
      <c r="AT329" s="177">
        <v>20.8188</v>
      </c>
      <c r="AU329" s="177">
        <v>8.1100000000000005E-2</v>
      </c>
      <c r="AV329" s="247"/>
    </row>
    <row r="330" spans="40:48" ht="15" customHeight="1">
      <c r="AN330" s="169">
        <f t="shared" si="11"/>
        <v>328</v>
      </c>
      <c r="AO330" s="175" t="s">
        <v>2147</v>
      </c>
      <c r="AP330" s="176" t="s">
        <v>477</v>
      </c>
      <c r="AQ330" s="177" t="s">
        <v>25</v>
      </c>
      <c r="AR330" s="250" t="s">
        <v>1273</v>
      </c>
      <c r="AS330" s="177">
        <v>105.9776</v>
      </c>
      <c r="AT330" s="177">
        <v>20.839300000000001</v>
      </c>
      <c r="AU330" s="177">
        <v>0.1046</v>
      </c>
      <c r="AV330" s="247"/>
    </row>
    <row r="331" spans="40:48" ht="15" customHeight="1">
      <c r="AN331" s="169">
        <f t="shared" si="11"/>
        <v>329</v>
      </c>
      <c r="AO331" s="175" t="s">
        <v>2147</v>
      </c>
      <c r="AP331" s="176" t="s">
        <v>478</v>
      </c>
      <c r="AQ331" s="177" t="s">
        <v>28</v>
      </c>
      <c r="AR331" s="250" t="s">
        <v>1274</v>
      </c>
      <c r="AS331" s="177">
        <v>106.0598</v>
      </c>
      <c r="AT331" s="177">
        <v>20.739699999999999</v>
      </c>
      <c r="AU331" s="177">
        <v>0.1081</v>
      </c>
      <c r="AV331" s="247"/>
    </row>
    <row r="332" spans="40:48" ht="15" customHeight="1">
      <c r="AN332" s="169">
        <f t="shared" si="11"/>
        <v>330</v>
      </c>
      <c r="AO332" s="175" t="s">
        <v>2147</v>
      </c>
      <c r="AP332" s="176" t="s">
        <v>479</v>
      </c>
      <c r="AQ332" s="177" t="s">
        <v>25</v>
      </c>
      <c r="AR332" s="250" t="s">
        <v>1275</v>
      </c>
      <c r="AS332" s="177">
        <v>106.0581</v>
      </c>
      <c r="AT332" s="177">
        <v>20.9346</v>
      </c>
      <c r="AU332" s="177">
        <v>7.2499999999999995E-2</v>
      </c>
      <c r="AV332" s="247"/>
    </row>
    <row r="333" spans="40:48" ht="15" customHeight="1">
      <c r="AN333" s="169">
        <f t="shared" si="11"/>
        <v>331</v>
      </c>
      <c r="AO333" s="175" t="s">
        <v>2147</v>
      </c>
      <c r="AP333" s="176" t="s">
        <v>480</v>
      </c>
      <c r="AQ333" s="177" t="s">
        <v>28</v>
      </c>
      <c r="AR333" s="250" t="s">
        <v>1276</v>
      </c>
      <c r="AS333" s="177">
        <v>106.1782</v>
      </c>
      <c r="AT333" s="177">
        <v>20.733699999999999</v>
      </c>
      <c r="AU333" s="177">
        <v>7.9500000000000001E-2</v>
      </c>
      <c r="AV333" s="247"/>
    </row>
    <row r="334" spans="40:48" ht="15" customHeight="1">
      <c r="AN334" s="169">
        <f t="shared" si="11"/>
        <v>332</v>
      </c>
      <c r="AO334" s="175" t="s">
        <v>2147</v>
      </c>
      <c r="AP334" s="176" t="s">
        <v>481</v>
      </c>
      <c r="AQ334" s="177" t="s">
        <v>28</v>
      </c>
      <c r="AR334" s="250" t="s">
        <v>1277</v>
      </c>
      <c r="AS334" s="177">
        <v>106.1174</v>
      </c>
      <c r="AT334" s="177">
        <v>20.700800000000001</v>
      </c>
      <c r="AU334" s="177">
        <v>0.1047</v>
      </c>
      <c r="AV334" s="247"/>
    </row>
    <row r="335" spans="40:48" ht="15" customHeight="1">
      <c r="AN335" s="169">
        <f t="shared" si="11"/>
        <v>333</v>
      </c>
      <c r="AO335" s="175" t="s">
        <v>2147</v>
      </c>
      <c r="AP335" s="176" t="s">
        <v>482</v>
      </c>
      <c r="AQ335" s="177" t="s">
        <v>25</v>
      </c>
      <c r="AR335" s="250" t="s">
        <v>1278</v>
      </c>
      <c r="AS335" s="177">
        <v>105.9272</v>
      </c>
      <c r="AT335" s="177">
        <v>20.9359</v>
      </c>
      <c r="AU335" s="177">
        <v>8.8499999999999995E-2</v>
      </c>
      <c r="AV335" s="247"/>
    </row>
    <row r="336" spans="40:48" ht="15" customHeight="1">
      <c r="AN336" s="169">
        <f t="shared" si="11"/>
        <v>334</v>
      </c>
      <c r="AO336" s="175" t="s">
        <v>2147</v>
      </c>
      <c r="AP336" s="176" t="s">
        <v>483</v>
      </c>
      <c r="AQ336" s="177" t="s">
        <v>25</v>
      </c>
      <c r="AR336" s="250" t="s">
        <v>1279</v>
      </c>
      <c r="AS336" s="177">
        <v>105.98820000000001</v>
      </c>
      <c r="AT336" s="177">
        <v>20.977799999999998</v>
      </c>
      <c r="AU336" s="177">
        <v>7.4800000000000005E-2</v>
      </c>
      <c r="AV336" s="247"/>
    </row>
    <row r="337" spans="40:48" ht="15" customHeight="1">
      <c r="AN337" s="169">
        <f t="shared" si="11"/>
        <v>335</v>
      </c>
      <c r="AO337" s="175" t="s">
        <v>2147</v>
      </c>
      <c r="AP337" s="176" t="s">
        <v>484</v>
      </c>
      <c r="AQ337" s="177" t="s">
        <v>25</v>
      </c>
      <c r="AR337" s="250" t="s">
        <v>1280</v>
      </c>
      <c r="AS337" s="177">
        <v>106.0341</v>
      </c>
      <c r="AT337" s="177">
        <v>20.882899999999999</v>
      </c>
      <c r="AU337" s="177">
        <v>8.0799999999999997E-2</v>
      </c>
      <c r="AV337" s="247"/>
    </row>
    <row r="338" spans="40:48" ht="15" customHeight="1">
      <c r="AN338" s="174">
        <f t="shared" si="11"/>
        <v>336</v>
      </c>
      <c r="AO338" s="171" t="s">
        <v>2148</v>
      </c>
      <c r="AP338" s="171" t="s">
        <v>486</v>
      </c>
      <c r="AQ338" s="172" t="s">
        <v>23</v>
      </c>
      <c r="AR338" s="249" t="s">
        <v>1281</v>
      </c>
      <c r="AS338" s="172">
        <v>109.19159999999999</v>
      </c>
      <c r="AT338" s="172">
        <v>12.2448</v>
      </c>
      <c r="AU338" s="172">
        <v>3.32E-2</v>
      </c>
      <c r="AV338" s="247"/>
    </row>
    <row r="339" spans="40:48" ht="15" customHeight="1">
      <c r="AN339" s="174">
        <f t="shared" si="11"/>
        <v>337</v>
      </c>
      <c r="AO339" s="171" t="s">
        <v>2148</v>
      </c>
      <c r="AP339" s="171" t="s">
        <v>487</v>
      </c>
      <c r="AQ339" s="172" t="s">
        <v>23</v>
      </c>
      <c r="AR339" s="249" t="s">
        <v>1282</v>
      </c>
      <c r="AS339" s="172">
        <v>109.13330000000001</v>
      </c>
      <c r="AT339" s="172">
        <v>11.913</v>
      </c>
      <c r="AU339" s="172">
        <v>2.1499999999999998E-2</v>
      </c>
      <c r="AV339" s="247"/>
    </row>
    <row r="340" spans="40:48" ht="15" customHeight="1">
      <c r="AN340" s="174">
        <f t="shared" si="11"/>
        <v>338</v>
      </c>
      <c r="AO340" s="171" t="s">
        <v>2148</v>
      </c>
      <c r="AP340" s="171" t="s">
        <v>488</v>
      </c>
      <c r="AQ340" s="172" t="s">
        <v>23</v>
      </c>
      <c r="AR340" s="249" t="s">
        <v>1283</v>
      </c>
      <c r="AS340" s="172">
        <v>109.0984</v>
      </c>
      <c r="AT340" s="172">
        <v>12.2577</v>
      </c>
      <c r="AU340" s="172">
        <v>2.9899999999999999E-2</v>
      </c>
      <c r="AV340" s="247"/>
    </row>
    <row r="341" spans="40:48" ht="15" customHeight="1">
      <c r="AN341" s="174">
        <f t="shared" si="11"/>
        <v>339</v>
      </c>
      <c r="AO341" s="171" t="s">
        <v>2148</v>
      </c>
      <c r="AP341" s="171" t="s">
        <v>489</v>
      </c>
      <c r="AQ341" s="172" t="s">
        <v>18</v>
      </c>
      <c r="AR341" s="249" t="s">
        <v>1284</v>
      </c>
      <c r="AS341" s="172">
        <v>108.9512</v>
      </c>
      <c r="AT341" s="172">
        <v>12.002800000000001</v>
      </c>
      <c r="AU341" s="172">
        <v>4.4999999999999998E-2</v>
      </c>
      <c r="AV341" s="247"/>
    </row>
    <row r="342" spans="40:48" ht="15" customHeight="1">
      <c r="AN342" s="174">
        <f t="shared" si="11"/>
        <v>340</v>
      </c>
      <c r="AO342" s="171" t="s">
        <v>2148</v>
      </c>
      <c r="AP342" s="171" t="s">
        <v>490</v>
      </c>
      <c r="AQ342" s="172" t="s">
        <v>18</v>
      </c>
      <c r="AR342" s="249" t="s">
        <v>1285</v>
      </c>
      <c r="AS342" s="172">
        <v>108.9046</v>
      </c>
      <c r="AT342" s="172">
        <v>12.2799</v>
      </c>
      <c r="AU342" s="172">
        <v>2.01E-2</v>
      </c>
      <c r="AV342" s="247"/>
    </row>
    <row r="343" spans="40:48" ht="15" customHeight="1">
      <c r="AN343" s="174">
        <f t="shared" si="11"/>
        <v>341</v>
      </c>
      <c r="AO343" s="171" t="s">
        <v>2148</v>
      </c>
      <c r="AP343" s="171" t="s">
        <v>491</v>
      </c>
      <c r="AQ343" s="172" t="s">
        <v>23</v>
      </c>
      <c r="AR343" s="249" t="s">
        <v>1286</v>
      </c>
      <c r="AS343" s="172">
        <v>109.12569999999999</v>
      </c>
      <c r="AT343" s="172">
        <v>12.490500000000001</v>
      </c>
      <c r="AU343" s="172">
        <v>3.4299999999999997E-2</v>
      </c>
      <c r="AV343" s="247"/>
    </row>
    <row r="344" spans="40:48" ht="15" customHeight="1">
      <c r="AN344" s="174">
        <f t="shared" si="11"/>
        <v>342</v>
      </c>
      <c r="AO344" s="171" t="s">
        <v>2148</v>
      </c>
      <c r="AP344" s="171" t="s">
        <v>850</v>
      </c>
      <c r="AQ344" s="172" t="s">
        <v>28</v>
      </c>
      <c r="AR344" s="249" t="s">
        <v>2202</v>
      </c>
      <c r="AS344" s="172">
        <v>114.41800000000001</v>
      </c>
      <c r="AT344" s="172">
        <v>7.8177000000000003</v>
      </c>
      <c r="AU344" s="172">
        <v>1.6899999999999998E-2</v>
      </c>
      <c r="AV344" s="247"/>
    </row>
    <row r="345" spans="40:48" ht="15" customHeight="1">
      <c r="AN345" s="174">
        <f t="shared" si="11"/>
        <v>343</v>
      </c>
      <c r="AO345" s="171" t="s">
        <v>2148</v>
      </c>
      <c r="AP345" s="171" t="s">
        <v>492</v>
      </c>
      <c r="AQ345" s="172" t="s">
        <v>23</v>
      </c>
      <c r="AR345" s="249" t="s">
        <v>1287</v>
      </c>
      <c r="AS345" s="172">
        <v>109.22709999999999</v>
      </c>
      <c r="AT345" s="172">
        <v>12.698399999999999</v>
      </c>
      <c r="AU345" s="172">
        <v>1.9699999999999999E-2</v>
      </c>
      <c r="AV345" s="247"/>
    </row>
    <row r="346" spans="40:48" ht="15" customHeight="1">
      <c r="AN346" s="169">
        <f t="shared" si="11"/>
        <v>344</v>
      </c>
      <c r="AO346" s="176" t="s">
        <v>2149</v>
      </c>
      <c r="AP346" s="176" t="s">
        <v>494</v>
      </c>
      <c r="AQ346" s="177" t="s">
        <v>18</v>
      </c>
      <c r="AR346" s="250" t="s">
        <v>1288</v>
      </c>
      <c r="AS346" s="177">
        <v>104.4902</v>
      </c>
      <c r="AT346" s="177">
        <v>10.3857</v>
      </c>
      <c r="AU346" s="177">
        <v>5.7000000000000002E-3</v>
      </c>
      <c r="AV346" s="247"/>
    </row>
    <row r="347" spans="40:48" ht="15" customHeight="1">
      <c r="AN347" s="169">
        <f t="shared" si="11"/>
        <v>345</v>
      </c>
      <c r="AO347" s="176" t="s">
        <v>2149</v>
      </c>
      <c r="AP347" s="176" t="s">
        <v>2203</v>
      </c>
      <c r="AQ347" s="177" t="s">
        <v>18</v>
      </c>
      <c r="AR347" s="250" t="s">
        <v>1289</v>
      </c>
      <c r="AS347" s="177">
        <v>105.0866</v>
      </c>
      <c r="AT347" s="177">
        <v>10.0106</v>
      </c>
      <c r="AU347" s="177">
        <v>9.4000000000000004E-3</v>
      </c>
      <c r="AV347" s="247"/>
    </row>
    <row r="348" spans="40:48" ht="15" customHeight="1">
      <c r="AN348" s="169">
        <f t="shared" si="11"/>
        <v>346</v>
      </c>
      <c r="AO348" s="176" t="s">
        <v>2149</v>
      </c>
      <c r="AP348" s="176" t="s">
        <v>496</v>
      </c>
      <c r="AQ348" s="177" t="s">
        <v>18</v>
      </c>
      <c r="AR348" s="250" t="s">
        <v>1290</v>
      </c>
      <c r="AS348" s="177">
        <v>105.0617</v>
      </c>
      <c r="AT348" s="177">
        <v>9.8110999999999997</v>
      </c>
      <c r="AU348" s="177">
        <v>7.4000000000000003E-3</v>
      </c>
      <c r="AV348" s="247"/>
    </row>
    <row r="349" spans="40:48" ht="15" customHeight="1">
      <c r="AN349" s="169">
        <f t="shared" si="11"/>
        <v>347</v>
      </c>
      <c r="AO349" s="176" t="s">
        <v>2149</v>
      </c>
      <c r="AP349" s="176" t="s">
        <v>497</v>
      </c>
      <c r="AQ349" s="177" t="s">
        <v>18</v>
      </c>
      <c r="AR349" s="250" t="s">
        <v>1291</v>
      </c>
      <c r="AS349" s="177">
        <v>104.9464</v>
      </c>
      <c r="AT349" s="177">
        <v>9.6122999999999994</v>
      </c>
      <c r="AU349" s="177">
        <v>5.8999999999999999E-3</v>
      </c>
      <c r="AV349" s="247"/>
    </row>
    <row r="350" spans="40:48" ht="15" customHeight="1">
      <c r="AN350" s="169">
        <f t="shared" si="11"/>
        <v>348</v>
      </c>
      <c r="AO350" s="176" t="s">
        <v>2149</v>
      </c>
      <c r="AP350" s="176" t="s">
        <v>241</v>
      </c>
      <c r="AQ350" s="177" t="s">
        <v>18</v>
      </c>
      <c r="AR350" s="250" t="s">
        <v>1292</v>
      </c>
      <c r="AS350" s="177">
        <v>105.1587</v>
      </c>
      <c r="AT350" s="177">
        <v>9.9032999999999998</v>
      </c>
      <c r="AU350" s="177">
        <v>9.1999999999999998E-3</v>
      </c>
      <c r="AV350" s="247"/>
    </row>
    <row r="351" spans="40:48" ht="15" customHeight="1">
      <c r="AN351" s="169">
        <f t="shared" si="11"/>
        <v>349</v>
      </c>
      <c r="AO351" s="176" t="s">
        <v>2149</v>
      </c>
      <c r="AP351" s="176" t="s">
        <v>498</v>
      </c>
      <c r="AQ351" s="177" t="s">
        <v>23</v>
      </c>
      <c r="AR351" s="250" t="s">
        <v>1293</v>
      </c>
      <c r="AS351" s="177">
        <v>105.3125</v>
      </c>
      <c r="AT351" s="177">
        <v>9.9085000000000001</v>
      </c>
      <c r="AU351" s="177">
        <v>1.17E-2</v>
      </c>
      <c r="AV351" s="247"/>
    </row>
    <row r="352" spans="40:48" ht="15" customHeight="1">
      <c r="AN352" s="169">
        <f t="shared" si="11"/>
        <v>350</v>
      </c>
      <c r="AO352" s="176" t="s">
        <v>2149</v>
      </c>
      <c r="AP352" s="176" t="s">
        <v>499</v>
      </c>
      <c r="AQ352" s="177" t="s">
        <v>23</v>
      </c>
      <c r="AR352" s="250" t="s">
        <v>1294</v>
      </c>
      <c r="AS352" s="177">
        <v>105.27209999999999</v>
      </c>
      <c r="AT352" s="177">
        <v>9.7311999999999994</v>
      </c>
      <c r="AU352" s="177">
        <v>8.6999999999999994E-3</v>
      </c>
      <c r="AV352" s="247"/>
    </row>
    <row r="353" spans="40:48" ht="15" customHeight="1">
      <c r="AN353" s="169">
        <f t="shared" si="11"/>
        <v>351</v>
      </c>
      <c r="AO353" s="176" t="s">
        <v>2149</v>
      </c>
      <c r="AP353" s="176" t="s">
        <v>500</v>
      </c>
      <c r="AQ353" s="177" t="s">
        <v>18</v>
      </c>
      <c r="AR353" s="250" t="s">
        <v>1295</v>
      </c>
      <c r="AS353" s="177">
        <v>104.9258</v>
      </c>
      <c r="AT353" s="177">
        <v>10.1869</v>
      </c>
      <c r="AU353" s="177">
        <v>9.4000000000000004E-3</v>
      </c>
      <c r="AV353" s="247"/>
    </row>
    <row r="354" spans="40:48" ht="15" customHeight="1">
      <c r="AN354" s="169">
        <f t="shared" si="11"/>
        <v>352</v>
      </c>
      <c r="AO354" s="176" t="s">
        <v>2149</v>
      </c>
      <c r="AP354" s="176" t="s">
        <v>501</v>
      </c>
      <c r="AQ354" s="177" t="s">
        <v>23</v>
      </c>
      <c r="AR354" s="250" t="s">
        <v>1029</v>
      </c>
      <c r="AS354" s="177">
        <v>104.30200000000001</v>
      </c>
      <c r="AT354" s="177">
        <v>9.7204999999999995</v>
      </c>
      <c r="AU354" s="177">
        <v>4.0000000000000001E-3</v>
      </c>
      <c r="AV354" s="247"/>
    </row>
    <row r="355" spans="40:48" ht="15" customHeight="1">
      <c r="AN355" s="169">
        <f t="shared" si="11"/>
        <v>353</v>
      </c>
      <c r="AO355" s="176" t="s">
        <v>2149</v>
      </c>
      <c r="AP355" s="176" t="s">
        <v>811</v>
      </c>
      <c r="AQ355" s="177" t="s">
        <v>18</v>
      </c>
      <c r="AR355" s="250" t="s">
        <v>1296</v>
      </c>
      <c r="AS355" s="177">
        <v>104.643</v>
      </c>
      <c r="AT355" s="177">
        <v>10.2858</v>
      </c>
      <c r="AU355" s="177">
        <v>6.8999999999999999E-3</v>
      </c>
      <c r="AV355" s="247"/>
    </row>
    <row r="356" spans="40:48" ht="15" customHeight="1">
      <c r="AN356" s="169">
        <f t="shared" si="11"/>
        <v>354</v>
      </c>
      <c r="AO356" s="176" t="s">
        <v>2149</v>
      </c>
      <c r="AP356" s="176" t="s">
        <v>502</v>
      </c>
      <c r="AQ356" s="177" t="s">
        <v>27</v>
      </c>
      <c r="AR356" s="250" t="s">
        <v>1297</v>
      </c>
      <c r="AS356" s="177">
        <v>103.9584</v>
      </c>
      <c r="AT356" s="177">
        <v>10.2125</v>
      </c>
      <c r="AU356" s="177">
        <v>4.0000000000000001E-3</v>
      </c>
      <c r="AV356" s="247"/>
    </row>
    <row r="357" spans="40:48" ht="15" customHeight="1">
      <c r="AN357" s="169">
        <f t="shared" si="11"/>
        <v>355</v>
      </c>
      <c r="AO357" s="176" t="s">
        <v>2149</v>
      </c>
      <c r="AP357" s="176" t="s">
        <v>503</v>
      </c>
      <c r="AQ357" s="177" t="s">
        <v>18</v>
      </c>
      <c r="AR357" s="250" t="s">
        <v>1298</v>
      </c>
      <c r="AS357" s="177">
        <v>105.29989999999999</v>
      </c>
      <c r="AT357" s="177">
        <v>10.1309</v>
      </c>
      <c r="AU357" s="177">
        <v>1.7899999999999999E-2</v>
      </c>
      <c r="AV357" s="247"/>
    </row>
    <row r="358" spans="40:48" ht="15" customHeight="1">
      <c r="AN358" s="169">
        <f t="shared" si="11"/>
        <v>356</v>
      </c>
      <c r="AO358" s="176" t="s">
        <v>2149</v>
      </c>
      <c r="AP358" s="176" t="s">
        <v>504</v>
      </c>
      <c r="AQ358" s="177" t="s">
        <v>23</v>
      </c>
      <c r="AR358" s="250" t="s">
        <v>1299</v>
      </c>
      <c r="AS358" s="177">
        <v>105.2589</v>
      </c>
      <c r="AT358" s="177">
        <v>9.5126000000000008</v>
      </c>
      <c r="AU358" s="177">
        <v>8.2000000000000007E-3</v>
      </c>
      <c r="AV358" s="247"/>
    </row>
    <row r="359" spans="40:48" ht="15" customHeight="1">
      <c r="AN359" s="174">
        <f t="shared" si="11"/>
        <v>357</v>
      </c>
      <c r="AO359" s="171" t="s">
        <v>2150</v>
      </c>
      <c r="AP359" s="171" t="s">
        <v>505</v>
      </c>
      <c r="AQ359" s="172" t="s">
        <v>18</v>
      </c>
      <c r="AR359" s="249" t="s">
        <v>1300</v>
      </c>
      <c r="AS359" s="172">
        <v>108.0073</v>
      </c>
      <c r="AT359" s="172">
        <v>14.354699999999999</v>
      </c>
      <c r="AU359" s="172">
        <v>7.5800000000000006E-2</v>
      </c>
      <c r="AV359" s="247"/>
    </row>
    <row r="360" spans="40:48" ht="15" customHeight="1">
      <c r="AN360" s="174">
        <f t="shared" si="11"/>
        <v>358</v>
      </c>
      <c r="AO360" s="171" t="s">
        <v>2150</v>
      </c>
      <c r="AP360" s="171" t="s">
        <v>506</v>
      </c>
      <c r="AQ360" s="172" t="s">
        <v>18</v>
      </c>
      <c r="AR360" s="249" t="s">
        <v>1301</v>
      </c>
      <c r="AS360" s="172">
        <v>107.7364</v>
      </c>
      <c r="AT360" s="172">
        <v>15.0914</v>
      </c>
      <c r="AU360" s="172">
        <v>7.17E-2</v>
      </c>
      <c r="AV360" s="247"/>
    </row>
    <row r="361" spans="40:48" ht="15" customHeight="1">
      <c r="AN361" s="174">
        <f t="shared" si="11"/>
        <v>359</v>
      </c>
      <c r="AO361" s="171" t="s">
        <v>2150</v>
      </c>
      <c r="AP361" s="171" t="s">
        <v>507</v>
      </c>
      <c r="AQ361" s="172" t="s">
        <v>18</v>
      </c>
      <c r="AR361" s="249" t="s">
        <v>1302</v>
      </c>
      <c r="AS361" s="172">
        <v>107.9194</v>
      </c>
      <c r="AT361" s="172">
        <v>14.526400000000001</v>
      </c>
      <c r="AU361" s="172">
        <v>5.0500000000000003E-2</v>
      </c>
      <c r="AV361" s="247"/>
    </row>
    <row r="362" spans="40:48" ht="15" customHeight="1">
      <c r="AN362" s="174">
        <f t="shared" si="11"/>
        <v>360</v>
      </c>
      <c r="AO362" s="171" t="s">
        <v>2150</v>
      </c>
      <c r="AP362" s="171" t="s">
        <v>508</v>
      </c>
      <c r="AQ362" s="172" t="s">
        <v>18</v>
      </c>
      <c r="AR362" s="249" t="s">
        <v>1303</v>
      </c>
      <c r="AS362" s="172">
        <v>107.8386</v>
      </c>
      <c r="AT362" s="172">
        <v>14.6615</v>
      </c>
      <c r="AU362" s="172">
        <v>5.5E-2</v>
      </c>
      <c r="AV362" s="247"/>
    </row>
    <row r="363" spans="40:48" ht="15" customHeight="1">
      <c r="AN363" s="174">
        <f t="shared" si="11"/>
        <v>361</v>
      </c>
      <c r="AO363" s="171" t="s">
        <v>2150</v>
      </c>
      <c r="AP363" s="171" t="s">
        <v>509</v>
      </c>
      <c r="AQ363" s="172" t="s">
        <v>18</v>
      </c>
      <c r="AR363" s="249" t="s">
        <v>1304</v>
      </c>
      <c r="AS363" s="172">
        <v>108.3459</v>
      </c>
      <c r="AT363" s="172">
        <v>14.6134</v>
      </c>
      <c r="AU363" s="172">
        <v>7.6200000000000004E-2</v>
      </c>
      <c r="AV363" s="247"/>
    </row>
    <row r="364" spans="40:48" ht="15" customHeight="1">
      <c r="AN364" s="174">
        <f t="shared" si="11"/>
        <v>362</v>
      </c>
      <c r="AO364" s="171" t="s">
        <v>2150</v>
      </c>
      <c r="AP364" s="171" t="s">
        <v>510</v>
      </c>
      <c r="AQ364" s="172" t="s">
        <v>18</v>
      </c>
      <c r="AR364" s="249" t="s">
        <v>1305</v>
      </c>
      <c r="AS364" s="172">
        <v>108.2508</v>
      </c>
      <c r="AT364" s="172">
        <v>14.5197</v>
      </c>
      <c r="AU364" s="172">
        <v>7.9600000000000004E-2</v>
      </c>
      <c r="AV364" s="247"/>
    </row>
    <row r="365" spans="40:48" ht="15" customHeight="1">
      <c r="AN365" s="174">
        <f t="shared" si="11"/>
        <v>363</v>
      </c>
      <c r="AO365" s="171" t="s">
        <v>2150</v>
      </c>
      <c r="AP365" s="171" t="s">
        <v>511</v>
      </c>
      <c r="AQ365" s="172" t="s">
        <v>18</v>
      </c>
      <c r="AR365" s="249" t="s">
        <v>1306</v>
      </c>
      <c r="AS365" s="172">
        <v>107.6962</v>
      </c>
      <c r="AT365" s="172">
        <v>14.707000000000001</v>
      </c>
      <c r="AU365" s="172">
        <v>7.3800000000000004E-2</v>
      </c>
      <c r="AV365" s="247"/>
    </row>
    <row r="366" spans="40:48" ht="15" customHeight="1">
      <c r="AN366" s="174">
        <f t="shared" si="11"/>
        <v>364</v>
      </c>
      <c r="AO366" s="171" t="s">
        <v>2150</v>
      </c>
      <c r="AP366" s="171" t="s">
        <v>512</v>
      </c>
      <c r="AQ366" s="172" t="s">
        <v>18</v>
      </c>
      <c r="AR366" s="249" t="s">
        <v>1307</v>
      </c>
      <c r="AS366" s="172">
        <v>107.7933</v>
      </c>
      <c r="AT366" s="172">
        <v>14.420199999999999</v>
      </c>
      <c r="AU366" s="172">
        <v>5.4199999999999998E-2</v>
      </c>
      <c r="AV366" s="247"/>
    </row>
    <row r="367" spans="40:48" ht="15" customHeight="1">
      <c r="AN367" s="174">
        <f t="shared" si="11"/>
        <v>365</v>
      </c>
      <c r="AO367" s="171" t="s">
        <v>2150</v>
      </c>
      <c r="AP367" s="171" t="s">
        <v>2204</v>
      </c>
      <c r="AQ367" s="172" t="s">
        <v>18</v>
      </c>
      <c r="AR367" s="249" t="s">
        <v>1303</v>
      </c>
      <c r="AS367" s="172">
        <v>107.8386</v>
      </c>
      <c r="AT367" s="172">
        <v>14.6615</v>
      </c>
      <c r="AU367" s="172">
        <v>5.5E-2</v>
      </c>
      <c r="AV367" s="247"/>
    </row>
    <row r="368" spans="40:48" ht="15" customHeight="1">
      <c r="AN368" s="169">
        <f t="shared" si="11"/>
        <v>366</v>
      </c>
      <c r="AO368" s="176" t="s">
        <v>2151</v>
      </c>
      <c r="AP368" s="176" t="s">
        <v>369</v>
      </c>
      <c r="AQ368" s="177" t="s">
        <v>18</v>
      </c>
      <c r="AR368" s="250"/>
      <c r="AS368" s="177">
        <v>103.4729</v>
      </c>
      <c r="AT368" s="177">
        <v>22.3916</v>
      </c>
      <c r="AU368" s="177">
        <v>7.0000000000000007E-2</v>
      </c>
      <c r="AV368" s="247"/>
    </row>
    <row r="369" spans="40:48" ht="15" customHeight="1">
      <c r="AN369" s="169">
        <f t="shared" si="11"/>
        <v>367</v>
      </c>
      <c r="AO369" s="176" t="s">
        <v>2151</v>
      </c>
      <c r="AP369" s="176" t="s">
        <v>847</v>
      </c>
      <c r="AQ369" s="177" t="s">
        <v>18</v>
      </c>
      <c r="AR369" s="250" t="s">
        <v>1308</v>
      </c>
      <c r="AS369" s="177">
        <v>102.8201</v>
      </c>
      <c r="AT369" s="177">
        <v>22.3871</v>
      </c>
      <c r="AU369" s="177">
        <v>0.1195</v>
      </c>
      <c r="AV369" s="247"/>
    </row>
    <row r="370" spans="40:48" ht="15" customHeight="1">
      <c r="AN370" s="169">
        <f t="shared" si="11"/>
        <v>368</v>
      </c>
      <c r="AO370" s="176" t="s">
        <v>2151</v>
      </c>
      <c r="AP370" s="176" t="s">
        <v>514</v>
      </c>
      <c r="AQ370" s="177" t="s">
        <v>18</v>
      </c>
      <c r="AR370" s="250" t="s">
        <v>1309</v>
      </c>
      <c r="AS370" s="177">
        <v>103.4629</v>
      </c>
      <c r="AT370" s="177">
        <v>22.385899999999999</v>
      </c>
      <c r="AU370" s="177">
        <v>7.0099999999999996E-2</v>
      </c>
      <c r="AV370" s="247"/>
    </row>
    <row r="371" spans="40:48" ht="15" customHeight="1">
      <c r="AN371" s="169">
        <f t="shared" si="11"/>
        <v>369</v>
      </c>
      <c r="AO371" s="176" t="s">
        <v>2151</v>
      </c>
      <c r="AP371" s="176" t="s">
        <v>515</v>
      </c>
      <c r="AQ371" s="177" t="s">
        <v>18</v>
      </c>
      <c r="AR371" s="250" t="s">
        <v>1310</v>
      </c>
      <c r="AS371" s="177">
        <v>103.2513</v>
      </c>
      <c r="AT371" s="177">
        <v>22.351099999999999</v>
      </c>
      <c r="AU371" s="177">
        <v>0.12970000000000001</v>
      </c>
      <c r="AV371" s="247"/>
    </row>
    <row r="372" spans="40:48" ht="15" customHeight="1">
      <c r="AN372" s="169">
        <f t="shared" si="11"/>
        <v>370</v>
      </c>
      <c r="AO372" s="176" t="s">
        <v>2151</v>
      </c>
      <c r="AP372" s="176" t="s">
        <v>851</v>
      </c>
      <c r="AQ372" s="177" t="s">
        <v>18</v>
      </c>
      <c r="AR372" s="250" t="s">
        <v>1311</v>
      </c>
      <c r="AS372" s="177">
        <v>103.4729</v>
      </c>
      <c r="AT372" s="177">
        <v>22.3916</v>
      </c>
      <c r="AU372" s="177">
        <v>7.0099999999999996E-2</v>
      </c>
      <c r="AV372" s="247"/>
    </row>
    <row r="373" spans="40:48" ht="15" customHeight="1">
      <c r="AN373" s="169">
        <f t="shared" si="11"/>
        <v>371</v>
      </c>
      <c r="AO373" s="176" t="s">
        <v>2151</v>
      </c>
      <c r="AP373" s="176" t="s">
        <v>516</v>
      </c>
      <c r="AQ373" s="177" t="s">
        <v>18</v>
      </c>
      <c r="AR373" s="250" t="s">
        <v>1312</v>
      </c>
      <c r="AS373" s="177">
        <v>103.8897</v>
      </c>
      <c r="AT373" s="177">
        <v>21.962800000000001</v>
      </c>
      <c r="AU373" s="177">
        <v>0.1152</v>
      </c>
      <c r="AV373" s="247"/>
    </row>
    <row r="374" spans="40:48" ht="15" customHeight="1">
      <c r="AN374" s="174">
        <f t="shared" si="11"/>
        <v>372</v>
      </c>
      <c r="AO374" s="171" t="s">
        <v>2152</v>
      </c>
      <c r="AP374" s="171" t="s">
        <v>518</v>
      </c>
      <c r="AQ374" s="172" t="s">
        <v>18</v>
      </c>
      <c r="AR374" s="249" t="s">
        <v>1313</v>
      </c>
      <c r="AS374" s="172">
        <v>106.76</v>
      </c>
      <c r="AT374" s="172">
        <v>21.8535</v>
      </c>
      <c r="AU374" s="172">
        <v>8.0500000000000002E-2</v>
      </c>
      <c r="AV374" s="247"/>
    </row>
    <row r="375" spans="40:48" ht="15" customHeight="1">
      <c r="AN375" s="174">
        <f t="shared" si="11"/>
        <v>373</v>
      </c>
      <c r="AO375" s="171" t="s">
        <v>2152</v>
      </c>
      <c r="AP375" s="171" t="s">
        <v>519</v>
      </c>
      <c r="AQ375" s="172" t="s">
        <v>18</v>
      </c>
      <c r="AR375" s="249" t="s">
        <v>1314</v>
      </c>
      <c r="AS375" s="172">
        <v>106.3172</v>
      </c>
      <c r="AT375" s="172">
        <v>21.901900000000001</v>
      </c>
      <c r="AU375" s="172">
        <v>1.7600000000000001E-2</v>
      </c>
      <c r="AV375" s="247"/>
    </row>
    <row r="376" spans="40:48" ht="15" customHeight="1">
      <c r="AN376" s="174">
        <f t="shared" si="11"/>
        <v>374</v>
      </c>
      <c r="AO376" s="171" t="s">
        <v>2152</v>
      </c>
      <c r="AP376" s="171" t="s">
        <v>520</v>
      </c>
      <c r="AQ376" s="172" t="s">
        <v>18</v>
      </c>
      <c r="AR376" s="249" t="s">
        <v>1315</v>
      </c>
      <c r="AS376" s="172">
        <v>106.3716</v>
      </c>
      <c r="AT376" s="172">
        <v>21.948399999999999</v>
      </c>
      <c r="AU376" s="172">
        <v>2.0500000000000001E-2</v>
      </c>
      <c r="AV376" s="247"/>
    </row>
    <row r="377" spans="40:48" ht="15" customHeight="1">
      <c r="AN377" s="174">
        <f t="shared" si="11"/>
        <v>375</v>
      </c>
      <c r="AO377" s="171" t="s">
        <v>2152</v>
      </c>
      <c r="AP377" s="171" t="s">
        <v>521</v>
      </c>
      <c r="AQ377" s="172" t="s">
        <v>18</v>
      </c>
      <c r="AR377" s="249" t="s">
        <v>1316</v>
      </c>
      <c r="AS377" s="172">
        <v>106.7684</v>
      </c>
      <c r="AT377" s="172">
        <v>21.866299999999999</v>
      </c>
      <c r="AU377" s="172">
        <v>8.0199999999999994E-2</v>
      </c>
      <c r="AV377" s="247"/>
    </row>
    <row r="378" spans="40:48" ht="15" customHeight="1">
      <c r="AN378" s="174">
        <f t="shared" si="11"/>
        <v>376</v>
      </c>
      <c r="AO378" s="171" t="s">
        <v>2152</v>
      </c>
      <c r="AP378" s="171" t="s">
        <v>522</v>
      </c>
      <c r="AQ378" s="172" t="s">
        <v>18</v>
      </c>
      <c r="AR378" s="249" t="s">
        <v>1317</v>
      </c>
      <c r="AS378" s="172">
        <v>106.57640000000001</v>
      </c>
      <c r="AT378" s="172">
        <v>21.661000000000001</v>
      </c>
      <c r="AU378" s="172">
        <v>2.1299999999999999E-2</v>
      </c>
      <c r="AV378" s="247"/>
    </row>
    <row r="379" spans="40:48" ht="15" customHeight="1">
      <c r="AN379" s="174">
        <f t="shared" si="11"/>
        <v>377</v>
      </c>
      <c r="AO379" s="171" t="s">
        <v>2152</v>
      </c>
      <c r="AP379" s="171" t="s">
        <v>523</v>
      </c>
      <c r="AQ379" s="172" t="s">
        <v>18</v>
      </c>
      <c r="AR379" s="249" t="s">
        <v>1318</v>
      </c>
      <c r="AS379" s="172">
        <v>107.0962</v>
      </c>
      <c r="AT379" s="172">
        <v>21.546199999999999</v>
      </c>
      <c r="AU379" s="172">
        <v>8.0199999999999994E-2</v>
      </c>
      <c r="AV379" s="247"/>
    </row>
    <row r="380" spans="40:48" ht="15" customHeight="1">
      <c r="AN380" s="174">
        <f t="shared" si="11"/>
        <v>378</v>
      </c>
      <c r="AO380" s="171" t="s">
        <v>2152</v>
      </c>
      <c r="AP380" s="171" t="s">
        <v>524</v>
      </c>
      <c r="AQ380" s="172" t="s">
        <v>18</v>
      </c>
      <c r="AR380" s="249" t="s">
        <v>1319</v>
      </c>
      <c r="AS380" s="172">
        <v>106.3449</v>
      </c>
      <c r="AT380" s="172">
        <v>21.509699999999999</v>
      </c>
      <c r="AU380" s="172">
        <v>8.2000000000000003E-2</v>
      </c>
      <c r="AV380" s="247"/>
    </row>
    <row r="381" spans="40:48" ht="15" customHeight="1">
      <c r="AN381" s="174">
        <f t="shared" si="11"/>
        <v>379</v>
      </c>
      <c r="AO381" s="171" t="s">
        <v>2152</v>
      </c>
      <c r="AP381" s="171" t="s">
        <v>525</v>
      </c>
      <c r="AQ381" s="172" t="s">
        <v>18</v>
      </c>
      <c r="AR381" s="249" t="s">
        <v>1320</v>
      </c>
      <c r="AS381" s="172">
        <v>106.9265</v>
      </c>
      <c r="AT381" s="172">
        <v>21.757300000000001</v>
      </c>
      <c r="AU381" s="172">
        <v>8.0600000000000005E-2</v>
      </c>
      <c r="AV381" s="247"/>
    </row>
    <row r="382" spans="40:48" ht="15" customHeight="1">
      <c r="AN382" s="174">
        <f t="shared" si="11"/>
        <v>380</v>
      </c>
      <c r="AO382" s="171" t="s">
        <v>2152</v>
      </c>
      <c r="AP382" s="171" t="s">
        <v>526</v>
      </c>
      <c r="AQ382" s="172" t="s">
        <v>18</v>
      </c>
      <c r="AR382" s="249" t="s">
        <v>1321</v>
      </c>
      <c r="AS382" s="172">
        <v>106.473</v>
      </c>
      <c r="AT382" s="172">
        <v>22.2531</v>
      </c>
      <c r="AU382" s="172">
        <v>8.0100000000000005E-2</v>
      </c>
      <c r="AV382" s="247"/>
    </row>
    <row r="383" spans="40:48" ht="15" customHeight="1">
      <c r="AN383" s="174">
        <f t="shared" si="11"/>
        <v>381</v>
      </c>
      <c r="AO383" s="171" t="s">
        <v>2152</v>
      </c>
      <c r="AP383" s="171" t="s">
        <v>527</v>
      </c>
      <c r="AQ383" s="172" t="s">
        <v>18</v>
      </c>
      <c r="AR383" s="249" t="s">
        <v>1322</v>
      </c>
      <c r="AS383" s="172">
        <v>106.6161</v>
      </c>
      <c r="AT383" s="172">
        <v>22.054500000000001</v>
      </c>
      <c r="AU383" s="172">
        <v>8.0199999999999994E-2</v>
      </c>
      <c r="AV383" s="247"/>
    </row>
    <row r="384" spans="40:48" ht="15" customHeight="1">
      <c r="AN384" s="174">
        <f t="shared" si="11"/>
        <v>382</v>
      </c>
      <c r="AO384" s="171" t="s">
        <v>2152</v>
      </c>
      <c r="AP384" s="171" t="s">
        <v>528</v>
      </c>
      <c r="AQ384" s="172" t="s">
        <v>18</v>
      </c>
      <c r="AR384" s="249" t="s">
        <v>1323</v>
      </c>
      <c r="AS384" s="172">
        <v>106.54730000000001</v>
      </c>
      <c r="AT384" s="172">
        <v>21.8657</v>
      </c>
      <c r="AU384" s="172">
        <v>3.0099999999999998E-2</v>
      </c>
      <c r="AV384" s="247"/>
    </row>
    <row r="385" spans="40:48" ht="15" customHeight="1">
      <c r="AN385" s="169">
        <f t="shared" si="11"/>
        <v>383</v>
      </c>
      <c r="AO385" s="176" t="s">
        <v>2153</v>
      </c>
      <c r="AP385" s="176" t="s">
        <v>2205</v>
      </c>
      <c r="AQ385" s="177" t="s">
        <v>18</v>
      </c>
      <c r="AR385" s="250" t="s">
        <v>1324</v>
      </c>
      <c r="AS385" s="177">
        <v>103.96850000000001</v>
      </c>
      <c r="AT385" s="177">
        <v>22.507100000000001</v>
      </c>
      <c r="AU385" s="177">
        <v>0.1116</v>
      </c>
      <c r="AV385" s="247"/>
    </row>
    <row r="386" spans="40:48" ht="15" customHeight="1">
      <c r="AN386" s="169">
        <f t="shared" si="11"/>
        <v>384</v>
      </c>
      <c r="AO386" s="176" t="s">
        <v>2153</v>
      </c>
      <c r="AP386" s="176" t="s">
        <v>2206</v>
      </c>
      <c r="AQ386" s="177" t="s">
        <v>18</v>
      </c>
      <c r="AR386" s="250" t="s">
        <v>1325</v>
      </c>
      <c r="AS386" s="177">
        <v>104.01600000000001</v>
      </c>
      <c r="AT386" s="177">
        <v>22.417999999999999</v>
      </c>
      <c r="AU386" s="177">
        <v>9.7199999999999995E-2</v>
      </c>
      <c r="AV386" s="247"/>
    </row>
    <row r="387" spans="40:48" ht="15" customHeight="1">
      <c r="AN387" s="169">
        <f>AN386+1</f>
        <v>385</v>
      </c>
      <c r="AO387" s="176" t="s">
        <v>2153</v>
      </c>
      <c r="AP387" s="176" t="s">
        <v>531</v>
      </c>
      <c r="AQ387" s="177" t="s">
        <v>18</v>
      </c>
      <c r="AR387" s="250" t="s">
        <v>1326</v>
      </c>
      <c r="AS387" s="177">
        <v>104.2915</v>
      </c>
      <c r="AT387" s="177">
        <v>22.5395</v>
      </c>
      <c r="AU387" s="177">
        <v>5.9299999999999999E-2</v>
      </c>
      <c r="AV387" s="247"/>
    </row>
    <row r="388" spans="40:48" ht="15" customHeight="1">
      <c r="AN388" s="169">
        <f t="shared" si="11"/>
        <v>386</v>
      </c>
      <c r="AO388" s="176" t="s">
        <v>2153</v>
      </c>
      <c r="AP388" s="176" t="s">
        <v>532</v>
      </c>
      <c r="AQ388" s="177" t="s">
        <v>18</v>
      </c>
      <c r="AR388" s="250" t="s">
        <v>1327</v>
      </c>
      <c r="AS388" s="177">
        <v>104.1867</v>
      </c>
      <c r="AT388" s="177">
        <v>22.3185</v>
      </c>
      <c r="AU388" s="177">
        <v>0.1094</v>
      </c>
      <c r="AV388" s="247"/>
    </row>
    <row r="389" spans="40:48" ht="15" customHeight="1">
      <c r="AN389" s="169">
        <f t="shared" ref="AN389:AN452" si="12">AN388+1</f>
        <v>387</v>
      </c>
      <c r="AO389" s="176" t="s">
        <v>2153</v>
      </c>
      <c r="AP389" s="176" t="s">
        <v>533</v>
      </c>
      <c r="AQ389" s="177" t="s">
        <v>18</v>
      </c>
      <c r="AR389" s="250" t="s">
        <v>1328</v>
      </c>
      <c r="AS389" s="177">
        <v>104.4765</v>
      </c>
      <c r="AT389" s="177">
        <v>22.237400000000001</v>
      </c>
      <c r="AU389" s="177">
        <v>0.1132</v>
      </c>
      <c r="AV389" s="247"/>
    </row>
    <row r="390" spans="40:48" ht="15" customHeight="1">
      <c r="AN390" s="169">
        <f t="shared" si="12"/>
        <v>388</v>
      </c>
      <c r="AO390" s="176" t="s">
        <v>2153</v>
      </c>
      <c r="AP390" s="176" t="s">
        <v>534</v>
      </c>
      <c r="AQ390" s="177" t="s">
        <v>18</v>
      </c>
      <c r="AR390" s="250" t="s">
        <v>1329</v>
      </c>
      <c r="AS390" s="177">
        <v>103.89360000000001</v>
      </c>
      <c r="AT390" s="177">
        <v>22.536999999999999</v>
      </c>
      <c r="AU390" s="177">
        <v>0.1042</v>
      </c>
      <c r="AV390" s="247"/>
    </row>
    <row r="391" spans="40:48" ht="15" customHeight="1">
      <c r="AN391" s="169">
        <f t="shared" si="12"/>
        <v>389</v>
      </c>
      <c r="AO391" s="176" t="s">
        <v>2153</v>
      </c>
      <c r="AP391" s="176" t="s">
        <v>852</v>
      </c>
      <c r="AQ391" s="177" t="s">
        <v>18</v>
      </c>
      <c r="AR391" s="250" t="s">
        <v>1330</v>
      </c>
      <c r="AS391" s="177">
        <v>104.10299999999999</v>
      </c>
      <c r="AT391" s="177">
        <v>22.7713</v>
      </c>
      <c r="AU391" s="177">
        <v>3.8399999999999997E-2</v>
      </c>
      <c r="AV391" s="247"/>
    </row>
    <row r="392" spans="40:48" ht="15" customHeight="1">
      <c r="AN392" s="169">
        <f t="shared" si="12"/>
        <v>390</v>
      </c>
      <c r="AO392" s="176" t="s">
        <v>2153</v>
      </c>
      <c r="AP392" s="176" t="s">
        <v>535</v>
      </c>
      <c r="AQ392" s="177" t="s">
        <v>18</v>
      </c>
      <c r="AR392" s="250" t="s">
        <v>1331</v>
      </c>
      <c r="AS392" s="177">
        <v>103.8456</v>
      </c>
      <c r="AT392" s="177">
        <v>22.3352</v>
      </c>
      <c r="AU392" s="177">
        <v>4.2700000000000002E-2</v>
      </c>
      <c r="AV392" s="247"/>
    </row>
    <row r="393" spans="40:48" ht="15" customHeight="1">
      <c r="AN393" s="169">
        <f t="shared" si="12"/>
        <v>391</v>
      </c>
      <c r="AO393" s="176" t="s">
        <v>2153</v>
      </c>
      <c r="AP393" s="176" t="s">
        <v>536</v>
      </c>
      <c r="AQ393" s="177" t="s">
        <v>18</v>
      </c>
      <c r="AR393" s="250" t="s">
        <v>1332</v>
      </c>
      <c r="AS393" s="177">
        <v>104.2508</v>
      </c>
      <c r="AT393" s="177">
        <v>22.091799999999999</v>
      </c>
      <c r="AU393" s="177">
        <v>5.67E-2</v>
      </c>
      <c r="AV393" s="247"/>
    </row>
    <row r="394" spans="40:48" ht="15" customHeight="1">
      <c r="AN394" s="169">
        <f t="shared" si="12"/>
        <v>392</v>
      </c>
      <c r="AO394" s="176" t="s">
        <v>2153</v>
      </c>
      <c r="AP394" s="176" t="s">
        <v>537</v>
      </c>
      <c r="AQ394" s="177" t="s">
        <v>18</v>
      </c>
      <c r="AR394" s="250" t="s">
        <v>1333</v>
      </c>
      <c r="AS394" s="177">
        <v>104.2946</v>
      </c>
      <c r="AT394" s="177">
        <v>22.697500000000002</v>
      </c>
      <c r="AU394" s="177">
        <v>2.9100000000000001E-2</v>
      </c>
      <c r="AV394" s="247"/>
    </row>
    <row r="395" spans="40:48" ht="15" customHeight="1">
      <c r="AN395" s="174">
        <f t="shared" si="12"/>
        <v>393</v>
      </c>
      <c r="AO395" s="171" t="s">
        <v>2154</v>
      </c>
      <c r="AP395" s="171" t="s">
        <v>539</v>
      </c>
      <c r="AQ395" s="172" t="s">
        <v>18</v>
      </c>
      <c r="AR395" s="249" t="s">
        <v>1053</v>
      </c>
      <c r="AS395" s="172">
        <v>108.434</v>
      </c>
      <c r="AT395" s="172">
        <v>11.936</v>
      </c>
      <c r="AU395" s="172">
        <v>2.1899999999999999E-2</v>
      </c>
      <c r="AV395" s="247"/>
    </row>
    <row r="396" spans="40:48" ht="15" customHeight="1">
      <c r="AN396" s="174">
        <f t="shared" si="12"/>
        <v>394</v>
      </c>
      <c r="AO396" s="171" t="s">
        <v>2154</v>
      </c>
      <c r="AP396" s="171" t="s">
        <v>540</v>
      </c>
      <c r="AQ396" s="172" t="s">
        <v>18</v>
      </c>
      <c r="AR396" s="249" t="s">
        <v>1334</v>
      </c>
      <c r="AS396" s="172">
        <v>107.8074</v>
      </c>
      <c r="AT396" s="172">
        <v>11.542400000000001</v>
      </c>
      <c r="AU396" s="172">
        <v>1.54E-2</v>
      </c>
      <c r="AV396" s="247"/>
    </row>
    <row r="397" spans="40:48" ht="15" customHeight="1">
      <c r="AN397" s="174">
        <f t="shared" si="12"/>
        <v>395</v>
      </c>
      <c r="AO397" s="171" t="s">
        <v>2154</v>
      </c>
      <c r="AP397" s="171" t="s">
        <v>335</v>
      </c>
      <c r="AQ397" s="172" t="s">
        <v>18</v>
      </c>
      <c r="AR397" s="249" t="s">
        <v>1335</v>
      </c>
      <c r="AS397" s="172">
        <v>107.8259</v>
      </c>
      <c r="AT397" s="172">
        <v>11.642300000000001</v>
      </c>
      <c r="AU397" s="172">
        <v>1.7399999999999999E-2</v>
      </c>
      <c r="AV397" s="247"/>
    </row>
    <row r="398" spans="40:48" ht="15" customHeight="1">
      <c r="AN398" s="174">
        <f t="shared" si="12"/>
        <v>396</v>
      </c>
      <c r="AO398" s="171" t="s">
        <v>2154</v>
      </c>
      <c r="AP398" s="171" t="s">
        <v>541</v>
      </c>
      <c r="AQ398" s="172" t="s">
        <v>18</v>
      </c>
      <c r="AR398" s="249" t="s">
        <v>1336</v>
      </c>
      <c r="AS398" s="172">
        <v>107.3605</v>
      </c>
      <c r="AT398" s="172">
        <v>11.584</v>
      </c>
      <c r="AU398" s="172">
        <v>4.5499999999999999E-2</v>
      </c>
      <c r="AV398" s="247"/>
    </row>
    <row r="399" spans="40:48" ht="15" customHeight="1">
      <c r="AN399" s="174">
        <f t="shared" si="12"/>
        <v>397</v>
      </c>
      <c r="AO399" s="171" t="s">
        <v>2154</v>
      </c>
      <c r="AP399" s="171" t="s">
        <v>542</v>
      </c>
      <c r="AQ399" s="172" t="s">
        <v>18</v>
      </c>
      <c r="AR399" s="249" t="s">
        <v>1337</v>
      </c>
      <c r="AS399" s="172">
        <v>108.0746</v>
      </c>
      <c r="AT399" s="172">
        <v>11.5777</v>
      </c>
      <c r="AU399" s="172">
        <v>2.4500000000000001E-2</v>
      </c>
      <c r="AV399" s="247"/>
    </row>
    <row r="400" spans="40:48" ht="15" customHeight="1">
      <c r="AN400" s="174">
        <f t="shared" si="12"/>
        <v>398</v>
      </c>
      <c r="AO400" s="171" t="s">
        <v>2154</v>
      </c>
      <c r="AP400" s="171" t="s">
        <v>543</v>
      </c>
      <c r="AQ400" s="172" t="s">
        <v>18</v>
      </c>
      <c r="AR400" s="249" t="s">
        <v>1338</v>
      </c>
      <c r="AS400" s="172">
        <v>107.5346</v>
      </c>
      <c r="AT400" s="172">
        <v>11.387700000000001</v>
      </c>
      <c r="AU400" s="172">
        <v>1.54E-2</v>
      </c>
      <c r="AV400" s="247"/>
    </row>
    <row r="401" spans="40:48" ht="15" customHeight="1">
      <c r="AN401" s="174">
        <f t="shared" si="12"/>
        <v>399</v>
      </c>
      <c r="AO401" s="171" t="s">
        <v>2154</v>
      </c>
      <c r="AP401" s="171" t="s">
        <v>544</v>
      </c>
      <c r="AQ401" s="172" t="s">
        <v>18</v>
      </c>
      <c r="AR401" s="249" t="s">
        <v>1339</v>
      </c>
      <c r="AS401" s="172">
        <v>107.4845</v>
      </c>
      <c r="AT401" s="172">
        <v>11.5129</v>
      </c>
      <c r="AU401" s="172">
        <v>2.2800000000000001E-2</v>
      </c>
      <c r="AV401" s="247"/>
    </row>
    <row r="402" spans="40:48" ht="15" customHeight="1">
      <c r="AN402" s="174">
        <f t="shared" si="12"/>
        <v>400</v>
      </c>
      <c r="AO402" s="171" t="s">
        <v>2154</v>
      </c>
      <c r="AP402" s="171" t="s">
        <v>812</v>
      </c>
      <c r="AQ402" s="172" t="s">
        <v>18</v>
      </c>
      <c r="AR402" s="249" t="s">
        <v>1340</v>
      </c>
      <c r="AS402" s="172">
        <v>108.4924</v>
      </c>
      <c r="AT402" s="172">
        <v>11.762600000000001</v>
      </c>
      <c r="AU402" s="172">
        <v>4.5699999999999998E-2</v>
      </c>
      <c r="AV402" s="247"/>
    </row>
    <row r="403" spans="40:48" ht="15" customHeight="1">
      <c r="AN403" s="174">
        <f t="shared" si="12"/>
        <v>401</v>
      </c>
      <c r="AO403" s="171" t="s">
        <v>2154</v>
      </c>
      <c r="AP403" s="171" t="s">
        <v>545</v>
      </c>
      <c r="AQ403" s="172" t="s">
        <v>18</v>
      </c>
      <c r="AR403" s="249" t="s">
        <v>1341</v>
      </c>
      <c r="AS403" s="172">
        <v>108.37520000000001</v>
      </c>
      <c r="AT403" s="172">
        <v>11.7339</v>
      </c>
      <c r="AU403" s="172">
        <v>3.56E-2</v>
      </c>
      <c r="AV403" s="247"/>
    </row>
    <row r="404" spans="40:48" ht="15" customHeight="1">
      <c r="AN404" s="174">
        <f t="shared" si="12"/>
        <v>402</v>
      </c>
      <c r="AO404" s="171" t="s">
        <v>2154</v>
      </c>
      <c r="AP404" s="171" t="s">
        <v>546</v>
      </c>
      <c r="AQ404" s="172" t="s">
        <v>18</v>
      </c>
      <c r="AR404" s="249" t="s">
        <v>1342</v>
      </c>
      <c r="AS404" s="172">
        <v>108.2542</v>
      </c>
      <c r="AT404" s="172">
        <v>11.7882</v>
      </c>
      <c r="AU404" s="172">
        <v>2.1499999999999998E-2</v>
      </c>
      <c r="AV404" s="247"/>
    </row>
    <row r="405" spans="40:48" ht="15" customHeight="1">
      <c r="AN405" s="174">
        <f t="shared" si="12"/>
        <v>403</v>
      </c>
      <c r="AO405" s="171" t="s">
        <v>2154</v>
      </c>
      <c r="AP405" s="171" t="s">
        <v>813</v>
      </c>
      <c r="AQ405" s="172" t="s">
        <v>18</v>
      </c>
      <c r="AR405" s="249" t="s">
        <v>1343</v>
      </c>
      <c r="AS405" s="172">
        <v>108.4085</v>
      </c>
      <c r="AT405" s="172">
        <v>12.0091</v>
      </c>
      <c r="AU405" s="172">
        <v>1.8700000000000001E-2</v>
      </c>
      <c r="AV405" s="247"/>
    </row>
    <row r="406" spans="40:48" ht="15" customHeight="1">
      <c r="AN406" s="169">
        <f t="shared" si="12"/>
        <v>404</v>
      </c>
      <c r="AO406" s="176" t="s">
        <v>2155</v>
      </c>
      <c r="AP406" s="176" t="s">
        <v>547</v>
      </c>
      <c r="AQ406" s="177" t="s">
        <v>23</v>
      </c>
      <c r="AR406" s="250" t="s">
        <v>967</v>
      </c>
      <c r="AS406" s="177">
        <v>106.4117</v>
      </c>
      <c r="AT406" s="177">
        <v>10.5418</v>
      </c>
      <c r="AU406" s="177">
        <v>5.16E-2</v>
      </c>
      <c r="AV406" s="247"/>
    </row>
    <row r="407" spans="40:48" ht="15" customHeight="1">
      <c r="AN407" s="169">
        <f t="shared" si="12"/>
        <v>405</v>
      </c>
      <c r="AO407" s="176" t="s">
        <v>2155</v>
      </c>
      <c r="AP407" s="176" t="s">
        <v>548</v>
      </c>
      <c r="AQ407" s="177" t="s">
        <v>23</v>
      </c>
      <c r="AR407" s="250" t="s">
        <v>1344</v>
      </c>
      <c r="AS407" s="177">
        <v>106.4866</v>
      </c>
      <c r="AT407" s="177">
        <v>10.6381</v>
      </c>
      <c r="AU407" s="177">
        <v>6.4699999999999994E-2</v>
      </c>
      <c r="AV407" s="247"/>
    </row>
    <row r="408" spans="40:48" ht="15" customHeight="1">
      <c r="AN408" s="169">
        <f t="shared" si="12"/>
        <v>406</v>
      </c>
      <c r="AO408" s="176" t="s">
        <v>2155</v>
      </c>
      <c r="AP408" s="176" t="s">
        <v>549</v>
      </c>
      <c r="AQ408" s="177" t="s">
        <v>23</v>
      </c>
      <c r="AR408" s="250" t="s">
        <v>1345</v>
      </c>
      <c r="AS408" s="177">
        <v>106.67100000000001</v>
      </c>
      <c r="AT408" s="177">
        <v>10.6053</v>
      </c>
      <c r="AU408" s="177">
        <v>6.2199999999999998E-2</v>
      </c>
      <c r="AV408" s="247"/>
    </row>
    <row r="409" spans="40:48" ht="15" customHeight="1">
      <c r="AN409" s="169">
        <f t="shared" si="12"/>
        <v>407</v>
      </c>
      <c r="AO409" s="176" t="s">
        <v>2155</v>
      </c>
      <c r="AP409" s="176" t="s">
        <v>828</v>
      </c>
      <c r="AQ409" s="177" t="s">
        <v>23</v>
      </c>
      <c r="AR409" s="250" t="s">
        <v>1346</v>
      </c>
      <c r="AS409" s="177">
        <v>106.6048</v>
      </c>
      <c r="AT409" s="177">
        <v>10.5036</v>
      </c>
      <c r="AU409" s="177">
        <v>6.5000000000000002E-2</v>
      </c>
      <c r="AV409" s="247"/>
    </row>
    <row r="410" spans="40:48" ht="15" customHeight="1">
      <c r="AN410" s="169">
        <f t="shared" si="12"/>
        <v>408</v>
      </c>
      <c r="AO410" s="176" t="s">
        <v>2155</v>
      </c>
      <c r="AP410" s="176" t="s">
        <v>241</v>
      </c>
      <c r="AQ410" s="177" t="s">
        <v>23</v>
      </c>
      <c r="AR410" s="250" t="s">
        <v>1347</v>
      </c>
      <c r="AS410" s="177">
        <v>106.46810000000001</v>
      </c>
      <c r="AT410" s="177">
        <v>10.444800000000001</v>
      </c>
      <c r="AU410" s="177">
        <v>4.8500000000000001E-2</v>
      </c>
      <c r="AV410" s="247"/>
    </row>
    <row r="411" spans="40:48" ht="15" customHeight="1">
      <c r="AN411" s="169">
        <f t="shared" si="12"/>
        <v>409</v>
      </c>
      <c r="AO411" s="176" t="s">
        <v>2155</v>
      </c>
      <c r="AP411" s="176" t="s">
        <v>550</v>
      </c>
      <c r="AQ411" s="177" t="s">
        <v>18</v>
      </c>
      <c r="AR411" s="250" t="s">
        <v>1348</v>
      </c>
      <c r="AS411" s="177">
        <v>106.38720000000001</v>
      </c>
      <c r="AT411" s="177">
        <v>10.9079</v>
      </c>
      <c r="AU411" s="177">
        <v>5.3999999999999999E-2</v>
      </c>
      <c r="AV411" s="247"/>
    </row>
    <row r="412" spans="40:48" ht="15" customHeight="1">
      <c r="AN412" s="169">
        <f t="shared" si="12"/>
        <v>410</v>
      </c>
      <c r="AO412" s="176" t="s">
        <v>2155</v>
      </c>
      <c r="AP412" s="176" t="s">
        <v>551</v>
      </c>
      <c r="AQ412" s="177" t="s">
        <v>18</v>
      </c>
      <c r="AR412" s="250" t="s">
        <v>1349</v>
      </c>
      <c r="AS412" s="177">
        <v>106.29640000000001</v>
      </c>
      <c r="AT412" s="177">
        <v>10.8986</v>
      </c>
      <c r="AU412" s="177">
        <v>6.54E-2</v>
      </c>
      <c r="AV412" s="247"/>
    </row>
    <row r="413" spans="40:48" ht="15" customHeight="1">
      <c r="AN413" s="169">
        <f t="shared" si="12"/>
        <v>411</v>
      </c>
      <c r="AO413" s="176" t="s">
        <v>2155</v>
      </c>
      <c r="AP413" s="176" t="s">
        <v>552</v>
      </c>
      <c r="AQ413" s="177" t="s">
        <v>18</v>
      </c>
      <c r="AR413" s="250" t="s">
        <v>1350</v>
      </c>
      <c r="AS413" s="177">
        <v>105.9376</v>
      </c>
      <c r="AT413" s="177">
        <v>10.7775</v>
      </c>
      <c r="AU413" s="177">
        <v>1.5800000000000002E-2</v>
      </c>
      <c r="AV413" s="247"/>
    </row>
    <row r="414" spans="40:48" ht="15" customHeight="1">
      <c r="AN414" s="169">
        <f t="shared" si="12"/>
        <v>412</v>
      </c>
      <c r="AO414" s="176" t="s">
        <v>2155</v>
      </c>
      <c r="AP414" s="176" t="s">
        <v>860</v>
      </c>
      <c r="AQ414" s="177" t="s">
        <v>18</v>
      </c>
      <c r="AR414" s="250" t="s">
        <v>1351</v>
      </c>
      <c r="AS414" s="177">
        <v>105.66160000000001</v>
      </c>
      <c r="AT414" s="177">
        <v>10.835699999999999</v>
      </c>
      <c r="AU414" s="177">
        <v>1.2999999999999999E-2</v>
      </c>
      <c r="AV414" s="247"/>
    </row>
    <row r="415" spans="40:48" ht="15" customHeight="1">
      <c r="AN415" s="169">
        <f t="shared" si="12"/>
        <v>413</v>
      </c>
      <c r="AO415" s="176" t="s">
        <v>2155</v>
      </c>
      <c r="AP415" s="176" t="s">
        <v>553</v>
      </c>
      <c r="AQ415" s="177" t="s">
        <v>18</v>
      </c>
      <c r="AR415" s="250" t="s">
        <v>1352</v>
      </c>
      <c r="AS415" s="177">
        <v>106.04770000000001</v>
      </c>
      <c r="AT415" s="177">
        <v>10.6081</v>
      </c>
      <c r="AU415" s="177">
        <v>1.5599999999999999E-2</v>
      </c>
      <c r="AV415" s="247"/>
    </row>
    <row r="416" spans="40:48" ht="15" customHeight="1">
      <c r="AN416" s="169">
        <f t="shared" si="12"/>
        <v>414</v>
      </c>
      <c r="AO416" s="176" t="s">
        <v>2155</v>
      </c>
      <c r="AP416" s="176" t="s">
        <v>554</v>
      </c>
      <c r="AQ416" s="177" t="s">
        <v>23</v>
      </c>
      <c r="AR416" s="250" t="s">
        <v>1353</v>
      </c>
      <c r="AS416" s="177">
        <v>106.50790000000001</v>
      </c>
      <c r="AT416" s="177">
        <v>10.514799999999999</v>
      </c>
      <c r="AU416" s="177">
        <v>6.4000000000000001E-2</v>
      </c>
      <c r="AV416" s="247"/>
    </row>
    <row r="417" spans="40:48" ht="15" customHeight="1">
      <c r="AN417" s="169">
        <f t="shared" si="12"/>
        <v>415</v>
      </c>
      <c r="AO417" s="176" t="s">
        <v>2155</v>
      </c>
      <c r="AP417" s="176" t="s">
        <v>555</v>
      </c>
      <c r="AQ417" s="177" t="s">
        <v>18</v>
      </c>
      <c r="AR417" s="250" t="s">
        <v>1354</v>
      </c>
      <c r="AS417" s="177">
        <v>106.16670000000001</v>
      </c>
      <c r="AT417" s="177">
        <v>10.6538</v>
      </c>
      <c r="AU417" s="177">
        <v>2.46E-2</v>
      </c>
      <c r="AV417" s="247"/>
    </row>
    <row r="418" spans="40:48" ht="15" customHeight="1">
      <c r="AN418" s="169">
        <f t="shared" si="12"/>
        <v>416</v>
      </c>
      <c r="AO418" s="176" t="s">
        <v>2155</v>
      </c>
      <c r="AP418" s="176" t="s">
        <v>556</v>
      </c>
      <c r="AQ418" s="177" t="s">
        <v>23</v>
      </c>
      <c r="AR418" s="250" t="s">
        <v>1355</v>
      </c>
      <c r="AS418" s="177">
        <v>106.4051</v>
      </c>
      <c r="AT418" s="177">
        <v>10.6053</v>
      </c>
      <c r="AU418" s="177">
        <v>6.0299999999999999E-2</v>
      </c>
      <c r="AV418" s="247"/>
    </row>
    <row r="419" spans="40:48" ht="15" customHeight="1">
      <c r="AN419" s="169">
        <f t="shared" si="12"/>
        <v>417</v>
      </c>
      <c r="AO419" s="176" t="s">
        <v>2155</v>
      </c>
      <c r="AP419" s="176" t="s">
        <v>861</v>
      </c>
      <c r="AQ419" s="177" t="s">
        <v>18</v>
      </c>
      <c r="AR419" s="250" t="s">
        <v>1356</v>
      </c>
      <c r="AS419" s="177">
        <v>105.78959999999999</v>
      </c>
      <c r="AT419" s="177">
        <v>10.886200000000001</v>
      </c>
      <c r="AU419" s="177">
        <v>1.37E-2</v>
      </c>
      <c r="AV419" s="247"/>
    </row>
    <row r="420" spans="40:48" ht="15" customHeight="1">
      <c r="AN420" s="174">
        <f t="shared" si="12"/>
        <v>418</v>
      </c>
      <c r="AO420" s="171" t="s">
        <v>2156</v>
      </c>
      <c r="AP420" s="171" t="s">
        <v>558</v>
      </c>
      <c r="AQ420" s="172" t="s">
        <v>32</v>
      </c>
      <c r="AR420" s="249" t="s">
        <v>1357</v>
      </c>
      <c r="AS420" s="172">
        <v>106.1713</v>
      </c>
      <c r="AT420" s="172">
        <v>20.427700000000002</v>
      </c>
      <c r="AU420" s="172">
        <v>0.11799999999999999</v>
      </c>
      <c r="AV420" s="247"/>
    </row>
    <row r="421" spans="40:48" ht="15" customHeight="1">
      <c r="AN421" s="174">
        <f t="shared" si="12"/>
        <v>419</v>
      </c>
      <c r="AO421" s="171" t="s">
        <v>2156</v>
      </c>
      <c r="AP421" s="171" t="s">
        <v>559</v>
      </c>
      <c r="AQ421" s="172" t="s">
        <v>32</v>
      </c>
      <c r="AR421" s="249" t="s">
        <v>1358</v>
      </c>
      <c r="AS421" s="172">
        <v>106.44070000000001</v>
      </c>
      <c r="AT421" s="172">
        <v>20.282900000000001</v>
      </c>
      <c r="AU421" s="172">
        <v>0.1145</v>
      </c>
      <c r="AV421" s="247"/>
    </row>
    <row r="422" spans="40:48" ht="15" customHeight="1">
      <c r="AN422" s="174">
        <f t="shared" si="12"/>
        <v>420</v>
      </c>
      <c r="AO422" s="171" t="s">
        <v>2156</v>
      </c>
      <c r="AP422" s="171" t="s">
        <v>560</v>
      </c>
      <c r="AQ422" s="172" t="s">
        <v>32</v>
      </c>
      <c r="AR422" s="249" t="s">
        <v>1359</v>
      </c>
      <c r="AS422" s="172">
        <v>106.2958</v>
      </c>
      <c r="AT422" s="172">
        <v>20.1998</v>
      </c>
      <c r="AU422" s="172">
        <v>0.1139</v>
      </c>
      <c r="AV422" s="247"/>
    </row>
    <row r="423" spans="40:48" ht="15" customHeight="1">
      <c r="AN423" s="174">
        <f t="shared" si="12"/>
        <v>421</v>
      </c>
      <c r="AO423" s="171" t="s">
        <v>2156</v>
      </c>
      <c r="AP423" s="171" t="s">
        <v>561</v>
      </c>
      <c r="AQ423" s="172" t="s">
        <v>32</v>
      </c>
      <c r="AR423" s="249" t="s">
        <v>1360</v>
      </c>
      <c r="AS423" s="172">
        <v>106.0881</v>
      </c>
      <c r="AT423" s="172">
        <v>20.441199999999998</v>
      </c>
      <c r="AU423" s="172">
        <v>0.1167</v>
      </c>
      <c r="AV423" s="247"/>
    </row>
    <row r="424" spans="40:48" ht="15" customHeight="1">
      <c r="AN424" s="174">
        <f t="shared" si="12"/>
        <v>422</v>
      </c>
      <c r="AO424" s="171" t="s">
        <v>2156</v>
      </c>
      <c r="AP424" s="171" t="s">
        <v>562</v>
      </c>
      <c r="AQ424" s="172" t="s">
        <v>32</v>
      </c>
      <c r="AR424" s="249" t="s">
        <v>1361</v>
      </c>
      <c r="AS424" s="172">
        <v>106.17610000000001</v>
      </c>
      <c r="AT424" s="172">
        <v>20.3355</v>
      </c>
      <c r="AU424" s="172">
        <v>0.1142</v>
      </c>
      <c r="AV424" s="247"/>
    </row>
    <row r="425" spans="40:48" ht="15" customHeight="1">
      <c r="AN425" s="174">
        <f t="shared" si="12"/>
        <v>423</v>
      </c>
      <c r="AO425" s="171" t="s">
        <v>2156</v>
      </c>
      <c r="AP425" s="171" t="s">
        <v>859</v>
      </c>
      <c r="AQ425" s="172" t="s">
        <v>32</v>
      </c>
      <c r="AR425" s="249" t="s">
        <v>1362</v>
      </c>
      <c r="AS425" s="172">
        <v>106.18089999999999</v>
      </c>
      <c r="AT425" s="172">
        <v>20.220099999999999</v>
      </c>
      <c r="AU425" s="172">
        <v>0.1157</v>
      </c>
      <c r="AV425" s="247"/>
    </row>
    <row r="426" spans="40:48" ht="15" customHeight="1">
      <c r="AN426" s="174">
        <f t="shared" si="12"/>
        <v>424</v>
      </c>
      <c r="AO426" s="171" t="s">
        <v>2156</v>
      </c>
      <c r="AP426" s="171" t="s">
        <v>563</v>
      </c>
      <c r="AQ426" s="172" t="s">
        <v>32</v>
      </c>
      <c r="AR426" s="249" t="s">
        <v>1363</v>
      </c>
      <c r="AS426" s="172">
        <v>106.2642</v>
      </c>
      <c r="AT426" s="172">
        <v>20.3233</v>
      </c>
      <c r="AU426" s="172">
        <v>0.11550000000000001</v>
      </c>
      <c r="AV426" s="247"/>
    </row>
    <row r="427" spans="40:48" ht="15" customHeight="1">
      <c r="AN427" s="174">
        <f t="shared" si="12"/>
        <v>425</v>
      </c>
      <c r="AO427" s="171" t="s">
        <v>2156</v>
      </c>
      <c r="AP427" s="171" t="s">
        <v>564</v>
      </c>
      <c r="AQ427" s="172" t="s">
        <v>32</v>
      </c>
      <c r="AR427" s="249" t="s">
        <v>1364</v>
      </c>
      <c r="AS427" s="172">
        <v>106.0727</v>
      </c>
      <c r="AT427" s="172">
        <v>20.331600000000002</v>
      </c>
      <c r="AU427" s="172">
        <v>0.1163</v>
      </c>
      <c r="AV427" s="247"/>
    </row>
    <row r="428" spans="40:48" ht="15" customHeight="1">
      <c r="AN428" s="174">
        <f t="shared" si="12"/>
        <v>426</v>
      </c>
      <c r="AO428" s="171" t="s">
        <v>2156</v>
      </c>
      <c r="AP428" s="171" t="s">
        <v>853</v>
      </c>
      <c r="AQ428" s="172" t="s">
        <v>32</v>
      </c>
      <c r="AR428" s="249" t="s">
        <v>1365</v>
      </c>
      <c r="AS428" s="172">
        <v>106.331</v>
      </c>
      <c r="AT428" s="172">
        <v>20.2972</v>
      </c>
      <c r="AU428" s="172">
        <v>0.1176</v>
      </c>
      <c r="AV428" s="247"/>
    </row>
    <row r="429" spans="40:48" ht="15" customHeight="1">
      <c r="AN429" s="174">
        <f t="shared" si="12"/>
        <v>427</v>
      </c>
      <c r="AO429" s="171" t="s">
        <v>2156</v>
      </c>
      <c r="AP429" s="171" t="s">
        <v>858</v>
      </c>
      <c r="AQ429" s="172" t="s">
        <v>32</v>
      </c>
      <c r="AR429" s="249" t="s">
        <v>1366</v>
      </c>
      <c r="AS429" s="172">
        <v>106.0074</v>
      </c>
      <c r="AT429" s="172">
        <v>20.3292</v>
      </c>
      <c r="AU429" s="172">
        <v>0.1123</v>
      </c>
      <c r="AV429" s="247"/>
    </row>
    <row r="430" spans="40:48" ht="15" customHeight="1">
      <c r="AN430" s="169">
        <f t="shared" si="12"/>
        <v>428</v>
      </c>
      <c r="AO430" s="176" t="s">
        <v>2157</v>
      </c>
      <c r="AP430" s="176" t="s">
        <v>566</v>
      </c>
      <c r="AQ430" s="177" t="s">
        <v>28</v>
      </c>
      <c r="AR430" s="250" t="s">
        <v>1367</v>
      </c>
      <c r="AS430" s="177">
        <v>105.6814</v>
      </c>
      <c r="AT430" s="177">
        <v>18.671199999999999</v>
      </c>
      <c r="AU430" s="177">
        <v>0.1041</v>
      </c>
      <c r="AV430" s="247"/>
    </row>
    <row r="431" spans="40:48" ht="15" customHeight="1">
      <c r="AN431" s="169">
        <f t="shared" si="12"/>
        <v>429</v>
      </c>
      <c r="AO431" s="176" t="s">
        <v>2157</v>
      </c>
      <c r="AP431" s="176" t="s">
        <v>567</v>
      </c>
      <c r="AQ431" s="177" t="s">
        <v>28</v>
      </c>
      <c r="AR431" s="250" t="s">
        <v>1368</v>
      </c>
      <c r="AS431" s="177">
        <v>105.7163</v>
      </c>
      <c r="AT431" s="177">
        <v>18.819900000000001</v>
      </c>
      <c r="AU431" s="177">
        <v>0.1071</v>
      </c>
      <c r="AV431" s="247"/>
    </row>
    <row r="432" spans="40:48" ht="15" customHeight="1">
      <c r="AN432" s="169">
        <f t="shared" si="12"/>
        <v>430</v>
      </c>
      <c r="AO432" s="176" t="s">
        <v>2157</v>
      </c>
      <c r="AP432" s="176" t="s">
        <v>568</v>
      </c>
      <c r="AQ432" s="177" t="s">
        <v>18</v>
      </c>
      <c r="AR432" s="250" t="s">
        <v>1369</v>
      </c>
      <c r="AS432" s="177">
        <v>105.08320000000001</v>
      </c>
      <c r="AT432" s="177">
        <v>18.930499999999999</v>
      </c>
      <c r="AU432" s="177">
        <v>0.10730000000000001</v>
      </c>
      <c r="AV432" s="247"/>
    </row>
    <row r="433" spans="40:48" ht="15" customHeight="1">
      <c r="AN433" s="169">
        <f t="shared" si="12"/>
        <v>431</v>
      </c>
      <c r="AO433" s="176" t="s">
        <v>2157</v>
      </c>
      <c r="AP433" s="176" t="s">
        <v>569</v>
      </c>
      <c r="AQ433" s="177" t="s">
        <v>18</v>
      </c>
      <c r="AR433" s="250" t="s">
        <v>1370</v>
      </c>
      <c r="AS433" s="177">
        <v>104.8801</v>
      </c>
      <c r="AT433" s="177">
        <v>19.049600000000002</v>
      </c>
      <c r="AU433" s="177">
        <v>0.11020000000000001</v>
      </c>
      <c r="AV433" s="247"/>
    </row>
    <row r="434" spans="40:48" ht="15" customHeight="1">
      <c r="AN434" s="169">
        <f t="shared" si="12"/>
        <v>432</v>
      </c>
      <c r="AO434" s="176" t="s">
        <v>2157</v>
      </c>
      <c r="AP434" s="176" t="s">
        <v>570</v>
      </c>
      <c r="AQ434" s="177" t="s">
        <v>28</v>
      </c>
      <c r="AR434" s="250" t="s">
        <v>1371</v>
      </c>
      <c r="AS434" s="177">
        <v>105.59910000000001</v>
      </c>
      <c r="AT434" s="177">
        <v>18.9771</v>
      </c>
      <c r="AU434" s="177">
        <v>7.8799999999999995E-2</v>
      </c>
      <c r="AV434" s="247"/>
    </row>
    <row r="435" spans="40:48" ht="15" customHeight="1">
      <c r="AN435" s="169">
        <f t="shared" si="12"/>
        <v>433</v>
      </c>
      <c r="AO435" s="176" t="s">
        <v>2157</v>
      </c>
      <c r="AP435" s="176" t="s">
        <v>814</v>
      </c>
      <c r="AQ435" s="177" t="s">
        <v>25</v>
      </c>
      <c r="AR435" s="250" t="s">
        <v>1372</v>
      </c>
      <c r="AS435" s="177">
        <v>105.3062</v>
      </c>
      <c r="AT435" s="177">
        <v>18.9039</v>
      </c>
      <c r="AU435" s="177">
        <v>0.10920000000000001</v>
      </c>
      <c r="AV435" s="247"/>
    </row>
    <row r="436" spans="40:48" ht="15" customHeight="1">
      <c r="AN436" s="169">
        <f t="shared" si="12"/>
        <v>434</v>
      </c>
      <c r="AO436" s="176" t="s">
        <v>2157</v>
      </c>
      <c r="AP436" s="176" t="s">
        <v>863</v>
      </c>
      <c r="AQ436" s="177" t="s">
        <v>28</v>
      </c>
      <c r="AR436" s="250" t="s">
        <v>1373</v>
      </c>
      <c r="AS436" s="177">
        <v>105.6285</v>
      </c>
      <c r="AT436" s="177">
        <v>18.671199999999999</v>
      </c>
      <c r="AU436" s="177">
        <v>0.1037</v>
      </c>
      <c r="AV436" s="247"/>
    </row>
    <row r="437" spans="40:48" ht="15" customHeight="1">
      <c r="AN437" s="169">
        <f t="shared" si="12"/>
        <v>435</v>
      </c>
      <c r="AO437" s="176" t="s">
        <v>2157</v>
      </c>
      <c r="AP437" s="176" t="s">
        <v>469</v>
      </c>
      <c r="AQ437" s="177" t="s">
        <v>18</v>
      </c>
      <c r="AR437" s="250" t="s">
        <v>1374</v>
      </c>
      <c r="AS437" s="177">
        <v>104.1545</v>
      </c>
      <c r="AT437" s="177">
        <v>19.3947</v>
      </c>
      <c r="AU437" s="177">
        <v>8.8800000000000004E-2</v>
      </c>
      <c r="AV437" s="247"/>
    </row>
    <row r="438" spans="40:48" ht="15" customHeight="1">
      <c r="AN438" s="169">
        <f t="shared" si="12"/>
        <v>436</v>
      </c>
      <c r="AO438" s="176" t="s">
        <v>2157</v>
      </c>
      <c r="AP438" s="176" t="s">
        <v>571</v>
      </c>
      <c r="AQ438" s="177" t="s">
        <v>25</v>
      </c>
      <c r="AR438" s="250" t="s">
        <v>1375</v>
      </c>
      <c r="AS438" s="177">
        <v>105.4922</v>
      </c>
      <c r="AT438" s="177">
        <v>18.702100000000002</v>
      </c>
      <c r="AU438" s="177">
        <v>0.1082</v>
      </c>
      <c r="AV438" s="247"/>
    </row>
    <row r="439" spans="40:48" ht="15" customHeight="1">
      <c r="AN439" s="169">
        <f t="shared" si="12"/>
        <v>437</v>
      </c>
      <c r="AO439" s="176" t="s">
        <v>2157</v>
      </c>
      <c r="AP439" s="176" t="s">
        <v>572</v>
      </c>
      <c r="AQ439" s="177" t="s">
        <v>28</v>
      </c>
      <c r="AR439" s="250" t="s">
        <v>1376</v>
      </c>
      <c r="AS439" s="177">
        <v>105.64570000000001</v>
      </c>
      <c r="AT439" s="177">
        <v>18.783300000000001</v>
      </c>
      <c r="AU439" s="177">
        <v>0.1086</v>
      </c>
      <c r="AV439" s="247"/>
    </row>
    <row r="440" spans="40:48" ht="15" customHeight="1">
      <c r="AN440" s="169">
        <f t="shared" si="12"/>
        <v>438</v>
      </c>
      <c r="AO440" s="176" t="s">
        <v>2157</v>
      </c>
      <c r="AP440" s="176" t="s">
        <v>573</v>
      </c>
      <c r="AQ440" s="177" t="s">
        <v>25</v>
      </c>
      <c r="AR440" s="250" t="s">
        <v>1377</v>
      </c>
      <c r="AS440" s="177">
        <v>105.4359</v>
      </c>
      <c r="AT440" s="177">
        <v>19.325700000000001</v>
      </c>
      <c r="AU440" s="177">
        <v>4.2700000000000002E-2</v>
      </c>
      <c r="AV440" s="247"/>
    </row>
    <row r="441" spans="40:48" ht="15" customHeight="1">
      <c r="AN441" s="169">
        <f t="shared" si="12"/>
        <v>439</v>
      </c>
      <c r="AO441" s="176" t="s">
        <v>2157</v>
      </c>
      <c r="AP441" s="176" t="s">
        <v>574</v>
      </c>
      <c r="AQ441" s="177" t="s">
        <v>18</v>
      </c>
      <c r="AR441" s="250" t="s">
        <v>1378</v>
      </c>
      <c r="AS441" s="177">
        <v>104.9242</v>
      </c>
      <c r="AT441" s="177">
        <v>19.6144</v>
      </c>
      <c r="AU441" s="177">
        <v>2.7699999999999999E-2</v>
      </c>
      <c r="AV441" s="247"/>
    </row>
    <row r="442" spans="40:48" ht="15" customHeight="1">
      <c r="AN442" s="169">
        <f t="shared" si="12"/>
        <v>440</v>
      </c>
      <c r="AO442" s="176" t="s">
        <v>2157</v>
      </c>
      <c r="AP442" s="176" t="s">
        <v>575</v>
      </c>
      <c r="AQ442" s="177" t="s">
        <v>18</v>
      </c>
      <c r="AR442" s="250" t="s">
        <v>1379</v>
      </c>
      <c r="AS442" s="177">
        <v>105.0955</v>
      </c>
      <c r="AT442" s="177">
        <v>19.548500000000001</v>
      </c>
      <c r="AU442" s="177">
        <v>3.5000000000000003E-2</v>
      </c>
      <c r="AV442" s="247"/>
    </row>
    <row r="443" spans="40:48" ht="15" customHeight="1">
      <c r="AN443" s="169">
        <f t="shared" si="12"/>
        <v>441</v>
      </c>
      <c r="AO443" s="176" t="s">
        <v>2157</v>
      </c>
      <c r="AP443" s="176" t="s">
        <v>576</v>
      </c>
      <c r="AQ443" s="177" t="s">
        <v>18</v>
      </c>
      <c r="AR443" s="250" t="s">
        <v>1380</v>
      </c>
      <c r="AS443" s="177">
        <v>105.1837</v>
      </c>
      <c r="AT443" s="177">
        <v>19.325399999999998</v>
      </c>
      <c r="AU443" s="177">
        <v>3.7400000000000003E-2</v>
      </c>
      <c r="AV443" s="247"/>
    </row>
    <row r="444" spans="40:48" ht="15" customHeight="1">
      <c r="AN444" s="169">
        <f t="shared" si="12"/>
        <v>442</v>
      </c>
      <c r="AO444" s="176" t="s">
        <v>2157</v>
      </c>
      <c r="AP444" s="176" t="s">
        <v>862</v>
      </c>
      <c r="AQ444" s="177" t="s">
        <v>28</v>
      </c>
      <c r="AR444" s="250" t="s">
        <v>1381</v>
      </c>
      <c r="AS444" s="177">
        <v>105.6306</v>
      </c>
      <c r="AT444" s="177">
        <v>19.147500000000001</v>
      </c>
      <c r="AU444" s="177">
        <v>3.9E-2</v>
      </c>
      <c r="AV444" s="247"/>
    </row>
    <row r="445" spans="40:48" ht="15" customHeight="1">
      <c r="AN445" s="169">
        <f t="shared" si="12"/>
        <v>443</v>
      </c>
      <c r="AO445" s="176" t="s">
        <v>2157</v>
      </c>
      <c r="AP445" s="176" t="s">
        <v>577</v>
      </c>
      <c r="AQ445" s="177" t="s">
        <v>18</v>
      </c>
      <c r="AR445" s="250" t="s">
        <v>1382</v>
      </c>
      <c r="AS445" s="177">
        <v>105.26949999999999</v>
      </c>
      <c r="AT445" s="177">
        <v>19.048999999999999</v>
      </c>
      <c r="AU445" s="177">
        <v>8.8599999999999998E-2</v>
      </c>
      <c r="AV445" s="247"/>
    </row>
    <row r="446" spans="40:48" ht="15" customHeight="1">
      <c r="AN446" s="169">
        <f t="shared" si="12"/>
        <v>444</v>
      </c>
      <c r="AO446" s="176" t="s">
        <v>2157</v>
      </c>
      <c r="AP446" s="176" t="s">
        <v>815</v>
      </c>
      <c r="AQ446" s="177" t="s">
        <v>25</v>
      </c>
      <c r="AR446" s="250" t="s">
        <v>1383</v>
      </c>
      <c r="AS446" s="177">
        <v>105.33629999999999</v>
      </c>
      <c r="AT446" s="177">
        <v>18.785599999999999</v>
      </c>
      <c r="AU446" s="177">
        <v>0.1071</v>
      </c>
      <c r="AV446" s="247"/>
    </row>
    <row r="447" spans="40:48" ht="15" customHeight="1">
      <c r="AN447" s="169">
        <f t="shared" si="12"/>
        <v>445</v>
      </c>
      <c r="AO447" s="176" t="s">
        <v>2157</v>
      </c>
      <c r="AP447" s="176" t="s">
        <v>816</v>
      </c>
      <c r="AQ447" s="177" t="s">
        <v>18</v>
      </c>
      <c r="AR447" s="250" t="s">
        <v>1058</v>
      </c>
      <c r="AS447" s="177">
        <v>104.4773</v>
      </c>
      <c r="AT447" s="177">
        <v>19.259899999999998</v>
      </c>
      <c r="AU447" s="177">
        <v>9.5399999999999999E-2</v>
      </c>
      <c r="AV447" s="247"/>
    </row>
    <row r="448" spans="40:48" ht="15" customHeight="1">
      <c r="AN448" s="169">
        <f t="shared" si="12"/>
        <v>446</v>
      </c>
      <c r="AO448" s="176" t="s">
        <v>2157</v>
      </c>
      <c r="AP448" s="176" t="s">
        <v>578</v>
      </c>
      <c r="AQ448" s="177" t="s">
        <v>25</v>
      </c>
      <c r="AR448" s="250" t="s">
        <v>1212</v>
      </c>
      <c r="AS448" s="177">
        <v>105.4645</v>
      </c>
      <c r="AT448" s="177">
        <v>18.997199999999999</v>
      </c>
      <c r="AU448" s="177">
        <v>9.2399999999999996E-2</v>
      </c>
      <c r="AV448" s="247"/>
    </row>
    <row r="449" spans="40:48" ht="15" customHeight="1">
      <c r="AN449" s="169">
        <f t="shared" si="12"/>
        <v>447</v>
      </c>
      <c r="AO449" s="176" t="s">
        <v>2157</v>
      </c>
      <c r="AP449" s="176" t="s">
        <v>2207</v>
      </c>
      <c r="AQ449" s="177" t="s">
        <v>25</v>
      </c>
      <c r="AR449" s="250" t="s">
        <v>1377</v>
      </c>
      <c r="AS449" s="177">
        <v>105.4359</v>
      </c>
      <c r="AT449" s="177">
        <v>19.325700000000001</v>
      </c>
      <c r="AU449" s="177">
        <v>4.2700000000000002E-2</v>
      </c>
      <c r="AV449" s="247"/>
    </row>
    <row r="450" spans="40:48" ht="15" customHeight="1">
      <c r="AN450" s="174">
        <f t="shared" si="12"/>
        <v>448</v>
      </c>
      <c r="AO450" s="171" t="s">
        <v>2158</v>
      </c>
      <c r="AP450" s="171" t="s">
        <v>580</v>
      </c>
      <c r="AQ450" s="172" t="s">
        <v>32</v>
      </c>
      <c r="AR450" s="249" t="s">
        <v>1170</v>
      </c>
      <c r="AS450" s="172">
        <v>105.98180000000001</v>
      </c>
      <c r="AT450" s="172">
        <v>20.2563</v>
      </c>
      <c r="AU450" s="172">
        <v>9.8400000000000001E-2</v>
      </c>
      <c r="AV450" s="247"/>
    </row>
    <row r="451" spans="40:48" ht="15" customHeight="1">
      <c r="AN451" s="174">
        <f t="shared" si="12"/>
        <v>449</v>
      </c>
      <c r="AO451" s="171" t="s">
        <v>2158</v>
      </c>
      <c r="AP451" s="171" t="s">
        <v>581</v>
      </c>
      <c r="AQ451" s="172" t="s">
        <v>32</v>
      </c>
      <c r="AR451" s="249" t="s">
        <v>1384</v>
      </c>
      <c r="AS451" s="172">
        <v>105.9191</v>
      </c>
      <c r="AT451" s="172">
        <v>20.1571</v>
      </c>
      <c r="AU451" s="172">
        <v>9.1999999999999998E-2</v>
      </c>
      <c r="AV451" s="247"/>
    </row>
    <row r="452" spans="40:48" ht="15" customHeight="1">
      <c r="AN452" s="174">
        <f t="shared" si="12"/>
        <v>450</v>
      </c>
      <c r="AO452" s="171" t="s">
        <v>2158</v>
      </c>
      <c r="AP452" s="171" t="s">
        <v>582</v>
      </c>
      <c r="AQ452" s="172" t="s">
        <v>28</v>
      </c>
      <c r="AR452" s="249" t="s">
        <v>1385</v>
      </c>
      <c r="AS452" s="172">
        <v>105.83459999999999</v>
      </c>
      <c r="AT452" s="172">
        <v>20.3476</v>
      </c>
      <c r="AU452" s="172">
        <v>7.2400000000000006E-2</v>
      </c>
      <c r="AV452" s="247"/>
    </row>
    <row r="453" spans="40:48" ht="15" customHeight="1">
      <c r="AN453" s="174">
        <f t="shared" ref="AN453:AN516" si="13">AN452+1</f>
        <v>451</v>
      </c>
      <c r="AO453" s="171" t="s">
        <v>2158</v>
      </c>
      <c r="AP453" s="171" t="s">
        <v>864</v>
      </c>
      <c r="AQ453" s="172" t="s">
        <v>28</v>
      </c>
      <c r="AR453" s="249" t="s">
        <v>1386</v>
      </c>
      <c r="AS453" s="172">
        <v>105.9543</v>
      </c>
      <c r="AT453" s="172">
        <v>20.299299999999999</v>
      </c>
      <c r="AU453" s="172">
        <v>9.8299999999999998E-2</v>
      </c>
      <c r="AV453" s="247"/>
    </row>
    <row r="454" spans="40:48" ht="15" customHeight="1">
      <c r="AN454" s="174">
        <f t="shared" si="13"/>
        <v>452</v>
      </c>
      <c r="AO454" s="171" t="s">
        <v>2158</v>
      </c>
      <c r="AP454" s="171" t="s">
        <v>583</v>
      </c>
      <c r="AQ454" s="172" t="s">
        <v>32</v>
      </c>
      <c r="AR454" s="249" t="s">
        <v>1387</v>
      </c>
      <c r="AS454" s="172">
        <v>106.08459999999999</v>
      </c>
      <c r="AT454" s="172">
        <v>20.091899999999999</v>
      </c>
      <c r="AU454" s="172">
        <v>0.1053</v>
      </c>
      <c r="AV454" s="247"/>
    </row>
    <row r="455" spans="40:48" ht="15" customHeight="1">
      <c r="AN455" s="174">
        <f t="shared" si="13"/>
        <v>453</v>
      </c>
      <c r="AO455" s="171" t="s">
        <v>2158</v>
      </c>
      <c r="AP455" s="171" t="s">
        <v>584</v>
      </c>
      <c r="AQ455" s="172" t="s">
        <v>28</v>
      </c>
      <c r="AR455" s="249" t="s">
        <v>1388</v>
      </c>
      <c r="AS455" s="172">
        <v>105.75230000000001</v>
      </c>
      <c r="AT455" s="172">
        <v>20.323399999999999</v>
      </c>
      <c r="AU455" s="172">
        <v>8.2500000000000004E-2</v>
      </c>
      <c r="AV455" s="247"/>
    </row>
    <row r="456" spans="40:48" ht="15" customHeight="1">
      <c r="AN456" s="174">
        <f t="shared" si="13"/>
        <v>454</v>
      </c>
      <c r="AO456" s="171" t="s">
        <v>2158</v>
      </c>
      <c r="AP456" s="171" t="s">
        <v>585</v>
      </c>
      <c r="AQ456" s="172" t="s">
        <v>32</v>
      </c>
      <c r="AR456" s="249" t="s">
        <v>1389</v>
      </c>
      <c r="AS456" s="172">
        <v>106.062</v>
      </c>
      <c r="AT456" s="172">
        <v>20.185700000000001</v>
      </c>
      <c r="AU456" s="172">
        <v>0.1067</v>
      </c>
      <c r="AV456" s="247"/>
    </row>
    <row r="457" spans="40:48" ht="15" customHeight="1">
      <c r="AN457" s="174">
        <f t="shared" si="13"/>
        <v>455</v>
      </c>
      <c r="AO457" s="171" t="s">
        <v>2158</v>
      </c>
      <c r="AP457" s="171" t="s">
        <v>586</v>
      </c>
      <c r="AQ457" s="172" t="s">
        <v>32</v>
      </c>
      <c r="AR457" s="249" t="s">
        <v>1390</v>
      </c>
      <c r="AS457" s="172">
        <v>106.0057</v>
      </c>
      <c r="AT457" s="172">
        <v>20.162600000000001</v>
      </c>
      <c r="AU457" s="172">
        <v>9.2299999999999993E-2</v>
      </c>
      <c r="AV457" s="247"/>
    </row>
    <row r="458" spans="40:48" ht="15" customHeight="1">
      <c r="AN458" s="169">
        <f t="shared" si="13"/>
        <v>456</v>
      </c>
      <c r="AO458" s="176" t="s">
        <v>2159</v>
      </c>
      <c r="AP458" s="176" t="s">
        <v>2208</v>
      </c>
      <c r="AQ458" s="177" t="s">
        <v>23</v>
      </c>
      <c r="AR458" s="250" t="s">
        <v>1391</v>
      </c>
      <c r="AS458" s="177">
        <v>108.9893</v>
      </c>
      <c r="AT458" s="177">
        <v>11.567600000000001</v>
      </c>
      <c r="AU458" s="177">
        <v>2.3099999999999999E-2</v>
      </c>
      <c r="AV458" s="247"/>
    </row>
    <row r="459" spans="40:48" ht="15" customHeight="1">
      <c r="AN459" s="169">
        <f t="shared" si="13"/>
        <v>457</v>
      </c>
      <c r="AO459" s="176" t="s">
        <v>2159</v>
      </c>
      <c r="AP459" s="176" t="s">
        <v>589</v>
      </c>
      <c r="AQ459" s="177" t="s">
        <v>18</v>
      </c>
      <c r="AR459" s="250" t="s">
        <v>1392</v>
      </c>
      <c r="AS459" s="177">
        <v>108.8877</v>
      </c>
      <c r="AT459" s="177">
        <v>11.8302</v>
      </c>
      <c r="AU459" s="177">
        <v>3.2500000000000001E-2</v>
      </c>
      <c r="AV459" s="247"/>
    </row>
    <row r="460" spans="40:48" ht="15" customHeight="1">
      <c r="AN460" s="169">
        <f t="shared" si="13"/>
        <v>458</v>
      </c>
      <c r="AO460" s="176" t="s">
        <v>2159</v>
      </c>
      <c r="AP460" s="176" t="s">
        <v>590</v>
      </c>
      <c r="AQ460" s="177" t="s">
        <v>23</v>
      </c>
      <c r="AR460" s="250" t="s">
        <v>1393</v>
      </c>
      <c r="AS460" s="177">
        <v>109.0365</v>
      </c>
      <c r="AT460" s="177">
        <v>11.590400000000001</v>
      </c>
      <c r="AU460" s="177">
        <v>2.4500000000000001E-2</v>
      </c>
      <c r="AV460" s="247"/>
    </row>
    <row r="461" spans="40:48" ht="15" customHeight="1">
      <c r="AN461" s="169">
        <f t="shared" si="13"/>
        <v>459</v>
      </c>
      <c r="AO461" s="176" t="s">
        <v>2159</v>
      </c>
      <c r="AP461" s="176" t="s">
        <v>829</v>
      </c>
      <c r="AQ461" s="177" t="s">
        <v>23</v>
      </c>
      <c r="AR461" s="250" t="s">
        <v>1394</v>
      </c>
      <c r="AS461" s="177">
        <v>108.9234</v>
      </c>
      <c r="AT461" s="177">
        <v>11.522600000000001</v>
      </c>
      <c r="AU461" s="177">
        <v>2.2200000000000001E-2</v>
      </c>
      <c r="AV461" s="247"/>
    </row>
    <row r="462" spans="40:48" ht="15" customHeight="1">
      <c r="AN462" s="169">
        <f t="shared" si="13"/>
        <v>460</v>
      </c>
      <c r="AO462" s="176" t="s">
        <v>2159</v>
      </c>
      <c r="AP462" s="176" t="s">
        <v>591</v>
      </c>
      <c r="AQ462" s="177" t="s">
        <v>18</v>
      </c>
      <c r="AR462" s="250" t="s">
        <v>1395</v>
      </c>
      <c r="AS462" s="177">
        <v>108.78440000000001</v>
      </c>
      <c r="AT462" s="177">
        <v>11.7736</v>
      </c>
      <c r="AU462" s="177">
        <v>3.6900000000000002E-2</v>
      </c>
      <c r="AV462" s="247"/>
    </row>
    <row r="463" spans="40:48" ht="15" customHeight="1">
      <c r="AN463" s="169">
        <f t="shared" si="13"/>
        <v>461</v>
      </c>
      <c r="AO463" s="176" t="s">
        <v>2159</v>
      </c>
      <c r="AP463" s="176" t="s">
        <v>2209</v>
      </c>
      <c r="AQ463" s="177" t="s">
        <v>23</v>
      </c>
      <c r="AR463" s="250" t="s">
        <v>1393</v>
      </c>
      <c r="AS463" s="177">
        <v>109.0365</v>
      </c>
      <c r="AT463" s="177">
        <v>11.590400000000001</v>
      </c>
      <c r="AU463" s="177">
        <v>2.4500000000000001E-2</v>
      </c>
      <c r="AV463" s="247"/>
    </row>
    <row r="464" spans="40:48" ht="15" customHeight="1">
      <c r="AN464" s="169">
        <f t="shared" si="13"/>
        <v>462</v>
      </c>
      <c r="AO464" s="176" t="s">
        <v>2159</v>
      </c>
      <c r="AP464" s="176" t="s">
        <v>2210</v>
      </c>
      <c r="AQ464" s="177" t="s">
        <v>23</v>
      </c>
      <c r="AR464" s="250" t="s">
        <v>1394</v>
      </c>
      <c r="AS464" s="177">
        <v>108.9234</v>
      </c>
      <c r="AT464" s="177">
        <v>11.522600000000001</v>
      </c>
      <c r="AU464" s="177">
        <v>2.2200000000000001E-2</v>
      </c>
      <c r="AV464" s="247"/>
    </row>
    <row r="465" spans="40:48" ht="15" customHeight="1">
      <c r="AN465" s="174">
        <f t="shared" si="13"/>
        <v>463</v>
      </c>
      <c r="AO465" s="171" t="s">
        <v>2160</v>
      </c>
      <c r="AP465" s="171" t="s">
        <v>593</v>
      </c>
      <c r="AQ465" s="172" t="s">
        <v>23</v>
      </c>
      <c r="AR465" s="249" t="s">
        <v>1396</v>
      </c>
      <c r="AS465" s="172">
        <v>105.4105</v>
      </c>
      <c r="AT465" s="172">
        <v>21.305900000000001</v>
      </c>
      <c r="AU465" s="172">
        <v>0.1128</v>
      </c>
      <c r="AV465" s="247"/>
    </row>
    <row r="466" spans="40:48" ht="15" customHeight="1">
      <c r="AN466" s="174">
        <f t="shared" si="13"/>
        <v>464</v>
      </c>
      <c r="AO466" s="171" t="s">
        <v>2160</v>
      </c>
      <c r="AP466" s="171" t="s">
        <v>594</v>
      </c>
      <c r="AQ466" s="172" t="s">
        <v>23</v>
      </c>
      <c r="AR466" s="249" t="s">
        <v>1397</v>
      </c>
      <c r="AS466" s="172">
        <v>105.2214</v>
      </c>
      <c r="AT466" s="172">
        <v>21.401299999999999</v>
      </c>
      <c r="AU466" s="172">
        <v>0.11600000000000001</v>
      </c>
      <c r="AV466" s="247"/>
    </row>
    <row r="467" spans="40:48" ht="15" customHeight="1">
      <c r="AN467" s="174">
        <f t="shared" si="13"/>
        <v>465</v>
      </c>
      <c r="AO467" s="171" t="s">
        <v>2160</v>
      </c>
      <c r="AP467" s="171" t="s">
        <v>595</v>
      </c>
      <c r="AQ467" s="172" t="s">
        <v>18</v>
      </c>
      <c r="AR467" s="249" t="s">
        <v>1398</v>
      </c>
      <c r="AS467" s="172">
        <v>105.179</v>
      </c>
      <c r="AT467" s="172">
        <v>21.6328</v>
      </c>
      <c r="AU467" s="172">
        <v>0.1089</v>
      </c>
      <c r="AV467" s="247"/>
    </row>
    <row r="468" spans="40:48" ht="15" customHeight="1">
      <c r="AN468" s="174">
        <f t="shared" si="13"/>
        <v>466</v>
      </c>
      <c r="AO468" s="171" t="s">
        <v>2160</v>
      </c>
      <c r="AP468" s="171" t="s">
        <v>596</v>
      </c>
      <c r="AQ468" s="172" t="s">
        <v>18</v>
      </c>
      <c r="AR468" s="249" t="s">
        <v>1399</v>
      </c>
      <c r="AS468" s="172">
        <v>105.0065</v>
      </c>
      <c r="AT468" s="172">
        <v>21.5627</v>
      </c>
      <c r="AU468" s="172">
        <v>0.1111</v>
      </c>
      <c r="AV468" s="247"/>
    </row>
    <row r="469" spans="40:48" ht="15" customHeight="1">
      <c r="AN469" s="174">
        <f t="shared" si="13"/>
        <v>467</v>
      </c>
      <c r="AO469" s="171" t="s">
        <v>2160</v>
      </c>
      <c r="AP469" s="171" t="s">
        <v>597</v>
      </c>
      <c r="AQ469" s="172" t="s">
        <v>23</v>
      </c>
      <c r="AR469" s="249" t="s">
        <v>1400</v>
      </c>
      <c r="AS469" s="172">
        <v>105.28189999999999</v>
      </c>
      <c r="AT469" s="172">
        <v>21.3294</v>
      </c>
      <c r="AU469" s="172">
        <v>0.10979999999999999</v>
      </c>
      <c r="AV469" s="247"/>
    </row>
    <row r="470" spans="40:48" ht="15" customHeight="1">
      <c r="AN470" s="174">
        <f t="shared" si="13"/>
        <v>468</v>
      </c>
      <c r="AO470" s="171" t="s">
        <v>2160</v>
      </c>
      <c r="AP470" s="171" t="s">
        <v>598</v>
      </c>
      <c r="AQ470" s="172" t="s">
        <v>23</v>
      </c>
      <c r="AR470" s="249" t="s">
        <v>1401</v>
      </c>
      <c r="AS470" s="172">
        <v>105.3052</v>
      </c>
      <c r="AT470" s="172">
        <v>21.4101</v>
      </c>
      <c r="AU470" s="172">
        <v>0.1132</v>
      </c>
      <c r="AV470" s="247"/>
    </row>
    <row r="471" spans="40:48" ht="15" customHeight="1">
      <c r="AN471" s="174">
        <f t="shared" si="13"/>
        <v>469</v>
      </c>
      <c r="AO471" s="171" t="s">
        <v>2160</v>
      </c>
      <c r="AP471" s="171" t="s">
        <v>2211</v>
      </c>
      <c r="AQ471" s="172" t="s">
        <v>18</v>
      </c>
      <c r="AR471" s="249" t="s">
        <v>1402</v>
      </c>
      <c r="AS471" s="172">
        <v>105.1326</v>
      </c>
      <c r="AT471" s="172">
        <v>21.4222</v>
      </c>
      <c r="AU471" s="172">
        <v>0.10879999999999999</v>
      </c>
      <c r="AV471" s="247"/>
    </row>
    <row r="472" spans="40:48" ht="15" customHeight="1">
      <c r="AN472" s="174">
        <f t="shared" si="13"/>
        <v>470</v>
      </c>
      <c r="AO472" s="171" t="s">
        <v>2160</v>
      </c>
      <c r="AP472" s="171" t="s">
        <v>393</v>
      </c>
      <c r="AQ472" s="172" t="s">
        <v>25</v>
      </c>
      <c r="AR472" s="249" t="s">
        <v>1403</v>
      </c>
      <c r="AS472" s="172">
        <v>105.2921</v>
      </c>
      <c r="AT472" s="172">
        <v>21.2514</v>
      </c>
      <c r="AU472" s="172">
        <v>0.10970000000000001</v>
      </c>
      <c r="AV472" s="247"/>
    </row>
    <row r="473" spans="40:48" ht="15" customHeight="1">
      <c r="AN473" s="174">
        <f t="shared" si="13"/>
        <v>471</v>
      </c>
      <c r="AO473" s="171" t="s">
        <v>2160</v>
      </c>
      <c r="AP473" s="171" t="s">
        <v>600</v>
      </c>
      <c r="AQ473" s="172" t="s">
        <v>18</v>
      </c>
      <c r="AR473" s="249" t="s">
        <v>1404</v>
      </c>
      <c r="AS473" s="172">
        <v>105.1407</v>
      </c>
      <c r="AT473" s="172">
        <v>21.499099999999999</v>
      </c>
      <c r="AU473" s="172">
        <v>0.11360000000000001</v>
      </c>
      <c r="AV473" s="247"/>
    </row>
    <row r="474" spans="40:48" ht="15" customHeight="1">
      <c r="AN474" s="174">
        <f t="shared" si="13"/>
        <v>472</v>
      </c>
      <c r="AO474" s="171" t="s">
        <v>2160</v>
      </c>
      <c r="AP474" s="171" t="s">
        <v>601</v>
      </c>
      <c r="AQ474" s="172" t="s">
        <v>18</v>
      </c>
      <c r="AR474" s="249" t="s">
        <v>1405</v>
      </c>
      <c r="AS474" s="172">
        <v>105.1797</v>
      </c>
      <c r="AT474" s="172">
        <v>21.202400000000001</v>
      </c>
      <c r="AU474" s="172">
        <v>6.8900000000000003E-2</v>
      </c>
      <c r="AV474" s="247"/>
    </row>
    <row r="475" spans="40:48" ht="15" customHeight="1">
      <c r="AN475" s="174">
        <f t="shared" si="13"/>
        <v>473</v>
      </c>
      <c r="AO475" s="171" t="s">
        <v>2160</v>
      </c>
      <c r="AP475" s="171" t="s">
        <v>602</v>
      </c>
      <c r="AQ475" s="172" t="s">
        <v>25</v>
      </c>
      <c r="AR475" s="249" t="s">
        <v>1406</v>
      </c>
      <c r="AS475" s="172">
        <v>105.2807</v>
      </c>
      <c r="AT475" s="172">
        <v>21.170200000000001</v>
      </c>
      <c r="AU475" s="172">
        <v>9.9699999999999997E-2</v>
      </c>
      <c r="AV475" s="247"/>
    </row>
    <row r="476" spans="40:48" ht="15" customHeight="1">
      <c r="AN476" s="174">
        <f t="shared" si="13"/>
        <v>474</v>
      </c>
      <c r="AO476" s="171" t="s">
        <v>2160</v>
      </c>
      <c r="AP476" s="171" t="s">
        <v>603</v>
      </c>
      <c r="AQ476" s="172" t="s">
        <v>18</v>
      </c>
      <c r="AR476" s="249" t="s">
        <v>1407</v>
      </c>
      <c r="AS476" s="172">
        <v>105.04810000000001</v>
      </c>
      <c r="AT476" s="172">
        <v>21.353999999999999</v>
      </c>
      <c r="AU476" s="172">
        <v>6.1699999999999998E-2</v>
      </c>
      <c r="AV476" s="247"/>
    </row>
    <row r="477" spans="40:48" ht="15" customHeight="1">
      <c r="AN477" s="169">
        <f t="shared" si="13"/>
        <v>475</v>
      </c>
      <c r="AO477" s="176" t="s">
        <v>2161</v>
      </c>
      <c r="AP477" s="176" t="s">
        <v>2212</v>
      </c>
      <c r="AQ477" s="177" t="s">
        <v>28</v>
      </c>
      <c r="AR477" s="250" t="s">
        <v>967</v>
      </c>
      <c r="AS477" s="177">
        <v>109.3244</v>
      </c>
      <c r="AT477" s="177">
        <v>13.0924</v>
      </c>
      <c r="AU477" s="177">
        <v>6.9000000000000006E-2</v>
      </c>
      <c r="AV477" s="247"/>
    </row>
    <row r="478" spans="40:48" ht="15" customHeight="1">
      <c r="AN478" s="169">
        <f t="shared" si="13"/>
        <v>476</v>
      </c>
      <c r="AO478" s="176" t="s">
        <v>2161</v>
      </c>
      <c r="AP478" s="176" t="s">
        <v>606</v>
      </c>
      <c r="AQ478" s="177" t="s">
        <v>25</v>
      </c>
      <c r="AR478" s="250" t="s">
        <v>1408</v>
      </c>
      <c r="AS478" s="177">
        <v>109.1065</v>
      </c>
      <c r="AT478" s="177">
        <v>13.3787</v>
      </c>
      <c r="AU478" s="177">
        <v>0.1095</v>
      </c>
      <c r="AV478" s="247"/>
    </row>
    <row r="479" spans="40:48" ht="15" customHeight="1">
      <c r="AN479" s="169">
        <f t="shared" si="13"/>
        <v>477</v>
      </c>
      <c r="AO479" s="176" t="s">
        <v>2161</v>
      </c>
      <c r="AP479" s="176" t="s">
        <v>607</v>
      </c>
      <c r="AQ479" s="177" t="s">
        <v>28</v>
      </c>
      <c r="AR479" s="250" t="s">
        <v>1409</v>
      </c>
      <c r="AS479" s="177">
        <v>109.2269</v>
      </c>
      <c r="AT479" s="177">
        <v>12.9527</v>
      </c>
      <c r="AU479" s="177">
        <v>5.2299999999999999E-2</v>
      </c>
      <c r="AV479" s="247"/>
    </row>
    <row r="480" spans="40:48" ht="15" customHeight="1">
      <c r="AN480" s="169">
        <f t="shared" si="13"/>
        <v>478</v>
      </c>
      <c r="AO480" s="176" t="s">
        <v>2161</v>
      </c>
      <c r="AP480" s="176" t="s">
        <v>608</v>
      </c>
      <c r="AQ480" s="177" t="s">
        <v>28</v>
      </c>
      <c r="AR480" s="250" t="s">
        <v>1410</v>
      </c>
      <c r="AS480" s="177">
        <v>109.22110000000001</v>
      </c>
      <c r="AT480" s="177">
        <v>13.459</v>
      </c>
      <c r="AU480" s="177">
        <v>0.1033</v>
      </c>
      <c r="AV480" s="247"/>
    </row>
    <row r="481" spans="40:48" ht="15" customHeight="1">
      <c r="AN481" s="169">
        <f t="shared" si="13"/>
        <v>479</v>
      </c>
      <c r="AO481" s="176" t="s">
        <v>2161</v>
      </c>
      <c r="AP481" s="176" t="s">
        <v>609</v>
      </c>
      <c r="AQ481" s="177" t="s">
        <v>18</v>
      </c>
      <c r="AR481" s="250" t="s">
        <v>1411</v>
      </c>
      <c r="AS481" s="177">
        <v>108.9032</v>
      </c>
      <c r="AT481" s="177">
        <v>12.986499999999999</v>
      </c>
      <c r="AU481" s="177">
        <v>5.11E-2</v>
      </c>
      <c r="AV481" s="247"/>
    </row>
    <row r="482" spans="40:48" ht="15" customHeight="1">
      <c r="AN482" s="169">
        <f t="shared" si="13"/>
        <v>480</v>
      </c>
      <c r="AO482" s="176" t="s">
        <v>2161</v>
      </c>
      <c r="AP482" s="176" t="s">
        <v>610</v>
      </c>
      <c r="AQ482" s="177" t="s">
        <v>18</v>
      </c>
      <c r="AR482" s="250" t="s">
        <v>1412</v>
      </c>
      <c r="AS482" s="177">
        <v>108.9598</v>
      </c>
      <c r="AT482" s="177">
        <v>13.0578</v>
      </c>
      <c r="AU482" s="177">
        <v>7.1900000000000006E-2</v>
      </c>
      <c r="AV482" s="247"/>
    </row>
    <row r="483" spans="40:48" ht="15" customHeight="1">
      <c r="AN483" s="169">
        <f t="shared" si="13"/>
        <v>481</v>
      </c>
      <c r="AO483" s="176" t="s">
        <v>2161</v>
      </c>
      <c r="AP483" s="176" t="s">
        <v>611</v>
      </c>
      <c r="AQ483" s="177" t="s">
        <v>28</v>
      </c>
      <c r="AR483" s="250" t="s">
        <v>1413</v>
      </c>
      <c r="AS483" s="177">
        <v>109.21510000000001</v>
      </c>
      <c r="AT483" s="177">
        <v>13.308</v>
      </c>
      <c r="AU483" s="177">
        <v>0.1061</v>
      </c>
      <c r="AV483" s="247"/>
    </row>
    <row r="484" spans="40:48" ht="15" customHeight="1">
      <c r="AN484" s="169">
        <f t="shared" si="13"/>
        <v>482</v>
      </c>
      <c r="AO484" s="176" t="s">
        <v>2161</v>
      </c>
      <c r="AP484" s="176" t="s">
        <v>2142</v>
      </c>
      <c r="AQ484" s="177" t="s">
        <v>28</v>
      </c>
      <c r="AR484" s="250" t="s">
        <v>1414</v>
      </c>
      <c r="AS484" s="177">
        <v>109.3121</v>
      </c>
      <c r="AT484" s="177">
        <v>13.066599999999999</v>
      </c>
      <c r="AU484" s="177">
        <v>6.5600000000000006E-2</v>
      </c>
      <c r="AV484" s="247"/>
    </row>
    <row r="485" spans="40:48" ht="15" customHeight="1">
      <c r="AN485" s="169">
        <f t="shared" si="13"/>
        <v>483</v>
      </c>
      <c r="AO485" s="176" t="s">
        <v>2161</v>
      </c>
      <c r="AP485" s="176" t="s">
        <v>2213</v>
      </c>
      <c r="AQ485" s="177" t="s">
        <v>28</v>
      </c>
      <c r="AR485" s="250" t="s">
        <v>1414</v>
      </c>
      <c r="AS485" s="177">
        <v>109.3121</v>
      </c>
      <c r="AT485" s="177">
        <v>13.066599999999999</v>
      </c>
      <c r="AU485" s="177">
        <v>6.5600000000000006E-2</v>
      </c>
      <c r="AV485" s="247"/>
    </row>
    <row r="486" spans="40:48" ht="15" customHeight="1">
      <c r="AN486" s="174">
        <f t="shared" si="13"/>
        <v>484</v>
      </c>
      <c r="AO486" s="171" t="s">
        <v>2162</v>
      </c>
      <c r="AP486" s="171" t="s">
        <v>2214</v>
      </c>
      <c r="AQ486" s="172" t="s">
        <v>28</v>
      </c>
      <c r="AR486" s="249" t="s">
        <v>1415</v>
      </c>
      <c r="AS486" s="172">
        <v>106.6224</v>
      </c>
      <c r="AT486" s="172">
        <v>17.465499999999999</v>
      </c>
      <c r="AU486" s="172">
        <v>9.5000000000000001E-2</v>
      </c>
      <c r="AV486" s="247"/>
    </row>
    <row r="487" spans="40:48" ht="15" customHeight="1">
      <c r="AN487" s="174">
        <f t="shared" si="13"/>
        <v>485</v>
      </c>
      <c r="AO487" s="171" t="s">
        <v>2162</v>
      </c>
      <c r="AP487" s="171" t="s">
        <v>615</v>
      </c>
      <c r="AQ487" s="172" t="s">
        <v>25</v>
      </c>
      <c r="AR487" s="249" t="s">
        <v>1416</v>
      </c>
      <c r="AS487" s="172">
        <v>106.5333</v>
      </c>
      <c r="AT487" s="172">
        <v>17.587</v>
      </c>
      <c r="AU487" s="172">
        <v>4.07E-2</v>
      </c>
      <c r="AV487" s="247"/>
    </row>
    <row r="488" spans="40:48" ht="15" customHeight="1">
      <c r="AN488" s="174">
        <f t="shared" si="13"/>
        <v>486</v>
      </c>
      <c r="AO488" s="171" t="s">
        <v>2162</v>
      </c>
      <c r="AP488" s="171" t="s">
        <v>616</v>
      </c>
      <c r="AQ488" s="172" t="s">
        <v>28</v>
      </c>
      <c r="AR488" s="249" t="s">
        <v>1417</v>
      </c>
      <c r="AS488" s="172">
        <v>106.7856</v>
      </c>
      <c r="AT488" s="172">
        <v>17.226099999999999</v>
      </c>
      <c r="AU488" s="172">
        <v>3.1899999999999998E-2</v>
      </c>
      <c r="AV488" s="247"/>
    </row>
    <row r="489" spans="40:48" ht="15" customHeight="1">
      <c r="AN489" s="174">
        <f t="shared" si="13"/>
        <v>487</v>
      </c>
      <c r="AO489" s="171" t="s">
        <v>2162</v>
      </c>
      <c r="AP489" s="171" t="s">
        <v>617</v>
      </c>
      <c r="AQ489" s="172" t="s">
        <v>18</v>
      </c>
      <c r="AR489" s="249" t="s">
        <v>1418</v>
      </c>
      <c r="AS489" s="172">
        <v>105.9696</v>
      </c>
      <c r="AT489" s="172">
        <v>17.815100000000001</v>
      </c>
      <c r="AU489" s="172">
        <v>3.15E-2</v>
      </c>
      <c r="AV489" s="247"/>
    </row>
    <row r="490" spans="40:48" ht="15" customHeight="1">
      <c r="AN490" s="174">
        <f t="shared" si="13"/>
        <v>488</v>
      </c>
      <c r="AO490" s="171" t="s">
        <v>2162</v>
      </c>
      <c r="AP490" s="171" t="s">
        <v>618</v>
      </c>
      <c r="AQ490" s="172" t="s">
        <v>28</v>
      </c>
      <c r="AR490" s="249" t="s">
        <v>1419</v>
      </c>
      <c r="AS490" s="172">
        <v>106.6378</v>
      </c>
      <c r="AT490" s="172">
        <v>17.408000000000001</v>
      </c>
      <c r="AU490" s="172">
        <v>2.6599999999999999E-2</v>
      </c>
      <c r="AV490" s="247"/>
    </row>
    <row r="491" spans="40:48" ht="15" customHeight="1">
      <c r="AN491" s="174">
        <f t="shared" si="13"/>
        <v>489</v>
      </c>
      <c r="AO491" s="171" t="s">
        <v>2162</v>
      </c>
      <c r="AP491" s="171" t="s">
        <v>619</v>
      </c>
      <c r="AQ491" s="172" t="s">
        <v>28</v>
      </c>
      <c r="AR491" s="249" t="s">
        <v>1420</v>
      </c>
      <c r="AS491" s="172">
        <v>106.4247</v>
      </c>
      <c r="AT491" s="172">
        <v>17.752400000000002</v>
      </c>
      <c r="AU491" s="172">
        <v>4.3999999999999997E-2</v>
      </c>
      <c r="AV491" s="247"/>
    </row>
    <row r="492" spans="40:48" ht="15" customHeight="1">
      <c r="AN492" s="174">
        <f t="shared" si="13"/>
        <v>490</v>
      </c>
      <c r="AO492" s="171" t="s">
        <v>2162</v>
      </c>
      <c r="AP492" s="171" t="s">
        <v>620</v>
      </c>
      <c r="AQ492" s="172" t="s">
        <v>25</v>
      </c>
      <c r="AR492" s="249" t="s">
        <v>1421</v>
      </c>
      <c r="AS492" s="172">
        <v>106.0193</v>
      </c>
      <c r="AT492" s="172">
        <v>17.883900000000001</v>
      </c>
      <c r="AU492" s="172">
        <v>4.2599999999999999E-2</v>
      </c>
      <c r="AV492" s="247"/>
    </row>
    <row r="493" spans="40:48" ht="15" customHeight="1">
      <c r="AN493" s="169">
        <f t="shared" si="13"/>
        <v>491</v>
      </c>
      <c r="AO493" s="176" t="s">
        <v>2163</v>
      </c>
      <c r="AP493" s="176" t="s">
        <v>2215</v>
      </c>
      <c r="AQ493" s="177" t="s">
        <v>25</v>
      </c>
      <c r="AR493" s="250" t="s">
        <v>1422</v>
      </c>
      <c r="AS493" s="177">
        <v>108.4922</v>
      </c>
      <c r="AT493" s="177">
        <v>15.5656</v>
      </c>
      <c r="AU493" s="177">
        <v>8.0199999999999994E-2</v>
      </c>
      <c r="AV493" s="247"/>
    </row>
    <row r="494" spans="40:48" ht="15" customHeight="1">
      <c r="AN494" s="169">
        <f t="shared" si="13"/>
        <v>492</v>
      </c>
      <c r="AO494" s="176" t="s">
        <v>2163</v>
      </c>
      <c r="AP494" s="176" t="s">
        <v>2216</v>
      </c>
      <c r="AQ494" s="177" t="s">
        <v>28</v>
      </c>
      <c r="AR494" s="250" t="s">
        <v>1423</v>
      </c>
      <c r="AS494" s="177">
        <v>108.3317</v>
      </c>
      <c r="AT494" s="177">
        <v>15.8782</v>
      </c>
      <c r="AU494" s="177">
        <v>3.2399999999999998E-2</v>
      </c>
      <c r="AV494" s="247"/>
    </row>
    <row r="495" spans="40:48" ht="15" customHeight="1">
      <c r="AN495" s="169">
        <f t="shared" si="13"/>
        <v>493</v>
      </c>
      <c r="AO495" s="176" t="s">
        <v>2163</v>
      </c>
      <c r="AP495" s="176" t="s">
        <v>624</v>
      </c>
      <c r="AQ495" s="177" t="s">
        <v>18</v>
      </c>
      <c r="AR495" s="250" t="s">
        <v>1424</v>
      </c>
      <c r="AS495" s="177">
        <v>108.2229</v>
      </c>
      <c r="AT495" s="177">
        <v>15.343500000000001</v>
      </c>
      <c r="AU495" s="177">
        <v>6.93E-2</v>
      </c>
      <c r="AV495" s="247"/>
    </row>
    <row r="496" spans="40:48" ht="15" customHeight="1">
      <c r="AN496" s="169">
        <f t="shared" si="13"/>
        <v>494</v>
      </c>
      <c r="AO496" s="176" t="s">
        <v>2163</v>
      </c>
      <c r="AP496" s="176" t="s">
        <v>625</v>
      </c>
      <c r="AQ496" s="177" t="s">
        <v>25</v>
      </c>
      <c r="AR496" s="250" t="s">
        <v>1425</v>
      </c>
      <c r="AS496" s="177">
        <v>108.2518</v>
      </c>
      <c r="AT496" s="177">
        <v>15.825699999999999</v>
      </c>
      <c r="AU496" s="177">
        <v>2.63E-2</v>
      </c>
      <c r="AV496" s="247"/>
    </row>
    <row r="497" spans="40:48" ht="15" customHeight="1">
      <c r="AN497" s="169">
        <f t="shared" si="13"/>
        <v>495</v>
      </c>
      <c r="AO497" s="176" t="s">
        <v>2163</v>
      </c>
      <c r="AP497" s="176" t="s">
        <v>626</v>
      </c>
      <c r="AQ497" s="177" t="s">
        <v>25</v>
      </c>
      <c r="AR497" s="250" t="s">
        <v>1426</v>
      </c>
      <c r="AS497" s="177">
        <v>108.11369999999999</v>
      </c>
      <c r="AT497" s="177">
        <v>15.882300000000001</v>
      </c>
      <c r="AU497" s="177">
        <v>0.03</v>
      </c>
      <c r="AV497" s="247"/>
    </row>
    <row r="498" spans="40:48" ht="15" customHeight="1">
      <c r="AN498" s="169">
        <f t="shared" si="13"/>
        <v>496</v>
      </c>
      <c r="AO498" s="176" t="s">
        <v>2163</v>
      </c>
      <c r="AP498" s="176" t="s">
        <v>627</v>
      </c>
      <c r="AQ498" s="177" t="s">
        <v>25</v>
      </c>
      <c r="AR498" s="250" t="s">
        <v>1427</v>
      </c>
      <c r="AS498" s="177">
        <v>108.2467</v>
      </c>
      <c r="AT498" s="177">
        <v>15.893599999999999</v>
      </c>
      <c r="AU498" s="177">
        <v>3.4099999999999998E-2</v>
      </c>
      <c r="AV498" s="247"/>
    </row>
    <row r="499" spans="40:48" ht="15" customHeight="1">
      <c r="AN499" s="169">
        <f t="shared" si="13"/>
        <v>497</v>
      </c>
      <c r="AO499" s="176" t="s">
        <v>2163</v>
      </c>
      <c r="AP499" s="176" t="s">
        <v>628</v>
      </c>
      <c r="AQ499" s="177" t="s">
        <v>18</v>
      </c>
      <c r="AR499" s="250" t="s">
        <v>1428</v>
      </c>
      <c r="AS499" s="177">
        <v>107.65309999999999</v>
      </c>
      <c r="AT499" s="177">
        <v>15.928100000000001</v>
      </c>
      <c r="AU499" s="177">
        <v>5.4699999999999999E-2</v>
      </c>
      <c r="AV499" s="247"/>
    </row>
    <row r="500" spans="40:48" ht="15" customHeight="1">
      <c r="AN500" s="169">
        <f t="shared" si="13"/>
        <v>498</v>
      </c>
      <c r="AO500" s="176" t="s">
        <v>2163</v>
      </c>
      <c r="AP500" s="176" t="s">
        <v>629</v>
      </c>
      <c r="AQ500" s="177" t="s">
        <v>25</v>
      </c>
      <c r="AR500" s="250" t="s">
        <v>1429</v>
      </c>
      <c r="AS500" s="177">
        <v>108.11790000000001</v>
      </c>
      <c r="AT500" s="177">
        <v>15.5823</v>
      </c>
      <c r="AU500" s="177">
        <v>8.5999999999999993E-2</v>
      </c>
      <c r="AV500" s="247"/>
    </row>
    <row r="501" spans="40:48" ht="15" customHeight="1">
      <c r="AN501" s="169">
        <f t="shared" si="13"/>
        <v>499</v>
      </c>
      <c r="AO501" s="176" t="s">
        <v>2163</v>
      </c>
      <c r="AP501" s="176" t="s">
        <v>630</v>
      </c>
      <c r="AQ501" s="177" t="s">
        <v>18</v>
      </c>
      <c r="AR501" s="250" t="s">
        <v>1430</v>
      </c>
      <c r="AS501" s="177">
        <v>107.8319</v>
      </c>
      <c r="AT501" s="177">
        <v>15.750500000000001</v>
      </c>
      <c r="AU501" s="177">
        <v>4.1700000000000001E-2</v>
      </c>
      <c r="AV501" s="247"/>
    </row>
    <row r="502" spans="40:48" ht="15" customHeight="1">
      <c r="AN502" s="169">
        <f t="shared" si="13"/>
        <v>500</v>
      </c>
      <c r="AO502" s="176" t="s">
        <v>2163</v>
      </c>
      <c r="AP502" s="176" t="s">
        <v>631</v>
      </c>
      <c r="AQ502" s="177" t="s">
        <v>18</v>
      </c>
      <c r="AR502" s="250" t="s">
        <v>1431</v>
      </c>
      <c r="AS502" s="177">
        <v>108.1127</v>
      </c>
      <c r="AT502" s="177">
        <v>15.157400000000001</v>
      </c>
      <c r="AU502" s="177">
        <v>6.2700000000000006E-2</v>
      </c>
      <c r="AV502" s="247"/>
    </row>
    <row r="503" spans="40:48" ht="15" customHeight="1">
      <c r="AN503" s="169">
        <f t="shared" si="13"/>
        <v>501</v>
      </c>
      <c r="AO503" s="176" t="s">
        <v>2163</v>
      </c>
      <c r="AP503" s="176" t="s">
        <v>632</v>
      </c>
      <c r="AQ503" s="177" t="s">
        <v>28</v>
      </c>
      <c r="AR503" s="250" t="s">
        <v>1432</v>
      </c>
      <c r="AS503" s="177">
        <v>108.6581</v>
      </c>
      <c r="AT503" s="177">
        <v>15.4321</v>
      </c>
      <c r="AU503" s="177">
        <v>5.8000000000000003E-2</v>
      </c>
      <c r="AV503" s="247"/>
    </row>
    <row r="504" spans="40:48" ht="15" customHeight="1">
      <c r="AN504" s="169">
        <f t="shared" si="13"/>
        <v>502</v>
      </c>
      <c r="AO504" s="176" t="s">
        <v>2163</v>
      </c>
      <c r="AP504" s="176" t="s">
        <v>830</v>
      </c>
      <c r="AQ504" s="177" t="s">
        <v>18</v>
      </c>
      <c r="AR504" s="250" t="s">
        <v>1433</v>
      </c>
      <c r="AS504" s="177">
        <v>107.7991</v>
      </c>
      <c r="AT504" s="177">
        <v>15.459899999999999</v>
      </c>
      <c r="AU504" s="177">
        <v>0.1017</v>
      </c>
      <c r="AV504" s="247"/>
    </row>
    <row r="505" spans="40:48" ht="15" customHeight="1">
      <c r="AN505" s="169">
        <f t="shared" si="13"/>
        <v>503</v>
      </c>
      <c r="AO505" s="176" t="s">
        <v>2163</v>
      </c>
      <c r="AP505" s="176" t="s">
        <v>633</v>
      </c>
      <c r="AQ505" s="177" t="s">
        <v>25</v>
      </c>
      <c r="AR505" s="250" t="s">
        <v>1434</v>
      </c>
      <c r="AS505" s="177">
        <v>108.2192</v>
      </c>
      <c r="AT505" s="177">
        <v>15.6736</v>
      </c>
      <c r="AU505" s="177">
        <v>4.9299999999999997E-2</v>
      </c>
      <c r="AV505" s="247"/>
    </row>
    <row r="506" spans="40:48" ht="15" customHeight="1">
      <c r="AN506" s="169">
        <f t="shared" si="13"/>
        <v>504</v>
      </c>
      <c r="AO506" s="176" t="s">
        <v>2163</v>
      </c>
      <c r="AP506" s="176" t="s">
        <v>634</v>
      </c>
      <c r="AQ506" s="177" t="s">
        <v>18</v>
      </c>
      <c r="AR506" s="250" t="s">
        <v>1435</v>
      </c>
      <c r="AS506" s="177">
        <v>107.47580000000001</v>
      </c>
      <c r="AT506" s="177">
        <v>15.8583</v>
      </c>
      <c r="AU506" s="177">
        <v>9.2399999999999996E-2</v>
      </c>
      <c r="AV506" s="247"/>
    </row>
    <row r="507" spans="40:48" ht="15" customHeight="1">
      <c r="AN507" s="169">
        <f t="shared" si="13"/>
        <v>505</v>
      </c>
      <c r="AO507" s="176" t="s">
        <v>2163</v>
      </c>
      <c r="AP507" s="176" t="s">
        <v>635</v>
      </c>
      <c r="AQ507" s="177" t="s">
        <v>28</v>
      </c>
      <c r="AR507" s="250" t="s">
        <v>1436</v>
      </c>
      <c r="AS507" s="177">
        <v>108.3556</v>
      </c>
      <c r="AT507" s="177">
        <v>15.742599999999999</v>
      </c>
      <c r="AU507" s="177">
        <v>3.0099999999999998E-2</v>
      </c>
      <c r="AV507" s="247"/>
    </row>
    <row r="508" spans="40:48" ht="15" customHeight="1">
      <c r="AN508" s="169">
        <f t="shared" si="13"/>
        <v>506</v>
      </c>
      <c r="AO508" s="176" t="s">
        <v>2163</v>
      </c>
      <c r="AP508" s="176" t="s">
        <v>831</v>
      </c>
      <c r="AQ508" s="177" t="s">
        <v>25</v>
      </c>
      <c r="AR508" s="250" t="s">
        <v>1437</v>
      </c>
      <c r="AS508" s="177">
        <v>108.30670000000001</v>
      </c>
      <c r="AT508" s="177">
        <v>15.489800000000001</v>
      </c>
      <c r="AU508" s="177">
        <v>9.1899999999999996E-2</v>
      </c>
      <c r="AV508" s="247"/>
    </row>
    <row r="509" spans="40:48" ht="15" customHeight="1">
      <c r="AN509" s="169">
        <f t="shared" si="13"/>
        <v>507</v>
      </c>
      <c r="AO509" s="176" t="s">
        <v>2163</v>
      </c>
      <c r="AP509" s="176" t="s">
        <v>2217</v>
      </c>
      <c r="AQ509" s="177" t="s">
        <v>25</v>
      </c>
      <c r="AR509" s="250" t="s">
        <v>1422</v>
      </c>
      <c r="AS509" s="177">
        <v>108.4922</v>
      </c>
      <c r="AT509" s="177">
        <v>15.5656</v>
      </c>
      <c r="AU509" s="177">
        <v>8.0199999999999994E-2</v>
      </c>
      <c r="AV509" s="247"/>
    </row>
    <row r="510" spans="40:48" ht="15" customHeight="1">
      <c r="AN510" s="174">
        <f t="shared" si="13"/>
        <v>508</v>
      </c>
      <c r="AO510" s="178" t="s">
        <v>2164</v>
      </c>
      <c r="AP510" s="171" t="s">
        <v>2218</v>
      </c>
      <c r="AQ510" s="172" t="s">
        <v>28</v>
      </c>
      <c r="AR510" s="249" t="s">
        <v>1438</v>
      </c>
      <c r="AS510" s="172">
        <v>108.8009</v>
      </c>
      <c r="AT510" s="172">
        <v>15.1225</v>
      </c>
      <c r="AU510" s="172">
        <v>8.2400000000000001E-2</v>
      </c>
      <c r="AV510" s="247"/>
    </row>
    <row r="511" spans="40:48" ht="15" customHeight="1">
      <c r="AN511" s="174">
        <f t="shared" si="13"/>
        <v>509</v>
      </c>
      <c r="AO511" s="178" t="s">
        <v>2164</v>
      </c>
      <c r="AP511" s="171" t="s">
        <v>637</v>
      </c>
      <c r="AQ511" s="172" t="s">
        <v>18</v>
      </c>
      <c r="AR511" s="249" t="s">
        <v>1439</v>
      </c>
      <c r="AS511" s="172">
        <v>108.7376</v>
      </c>
      <c r="AT511" s="172">
        <v>14.7681</v>
      </c>
      <c r="AU511" s="172">
        <v>0.10680000000000001</v>
      </c>
      <c r="AV511" s="247"/>
    </row>
    <row r="512" spans="40:48" ht="15" customHeight="1">
      <c r="AN512" s="174">
        <f t="shared" si="13"/>
        <v>510</v>
      </c>
      <c r="AO512" s="178" t="s">
        <v>2164</v>
      </c>
      <c r="AP512" s="171" t="s">
        <v>638</v>
      </c>
      <c r="AQ512" s="172" t="s">
        <v>28</v>
      </c>
      <c r="AR512" s="249" t="s">
        <v>1440</v>
      </c>
      <c r="AS512" s="172">
        <v>108.7572</v>
      </c>
      <c r="AT512" s="172">
        <v>15.3001</v>
      </c>
      <c r="AU512" s="172">
        <v>5.1900000000000002E-2</v>
      </c>
      <c r="AV512" s="247"/>
    </row>
    <row r="513" spans="40:48" ht="15" customHeight="1">
      <c r="AN513" s="174">
        <f t="shared" si="13"/>
        <v>511</v>
      </c>
      <c r="AO513" s="178" t="s">
        <v>2164</v>
      </c>
      <c r="AP513" s="171" t="s">
        <v>639</v>
      </c>
      <c r="AQ513" s="172" t="s">
        <v>28</v>
      </c>
      <c r="AR513" s="249" t="s">
        <v>1441</v>
      </c>
      <c r="AS513" s="172">
        <v>108.9563</v>
      </c>
      <c r="AT513" s="172">
        <v>14.811999999999999</v>
      </c>
      <c r="AU513" s="172">
        <v>0.106</v>
      </c>
      <c r="AV513" s="247"/>
    </row>
    <row r="514" spans="40:48" ht="15" customHeight="1">
      <c r="AN514" s="174">
        <f t="shared" si="13"/>
        <v>512</v>
      </c>
      <c r="AO514" s="178" t="s">
        <v>2164</v>
      </c>
      <c r="AP514" s="171" t="s">
        <v>640</v>
      </c>
      <c r="AQ514" s="172" t="s">
        <v>28</v>
      </c>
      <c r="AR514" s="249" t="s">
        <v>1442</v>
      </c>
      <c r="AS514" s="172">
        <v>109.11579999999999</v>
      </c>
      <c r="AT514" s="172">
        <v>15.3751</v>
      </c>
      <c r="AU514" s="172">
        <v>8.0199999999999994E-2</v>
      </c>
      <c r="AV514" s="247"/>
    </row>
    <row r="515" spans="40:48" ht="15" customHeight="1">
      <c r="AN515" s="174">
        <f t="shared" si="13"/>
        <v>513</v>
      </c>
      <c r="AO515" s="178" t="s">
        <v>2164</v>
      </c>
      <c r="AP515" s="171" t="s">
        <v>641</v>
      </c>
      <c r="AQ515" s="172" t="s">
        <v>25</v>
      </c>
      <c r="AR515" s="249" t="s">
        <v>1443</v>
      </c>
      <c r="AS515" s="172">
        <v>108.70050000000001</v>
      </c>
      <c r="AT515" s="172">
        <v>14.931900000000001</v>
      </c>
      <c r="AU515" s="172">
        <v>3.5000000000000003E-2</v>
      </c>
      <c r="AV515" s="247"/>
    </row>
    <row r="516" spans="40:48" ht="15" customHeight="1">
      <c r="AN516" s="174">
        <f t="shared" si="13"/>
        <v>514</v>
      </c>
      <c r="AO516" s="178" t="s">
        <v>2164</v>
      </c>
      <c r="AP516" s="171" t="s">
        <v>642</v>
      </c>
      <c r="AQ516" s="172" t="s">
        <v>28</v>
      </c>
      <c r="AR516" s="249" t="s">
        <v>1444</v>
      </c>
      <c r="AS516" s="172">
        <v>108.8875</v>
      </c>
      <c r="AT516" s="172">
        <v>14.9575</v>
      </c>
      <c r="AU516" s="172">
        <v>4.9299999999999997E-2</v>
      </c>
      <c r="AV516" s="247"/>
    </row>
    <row r="517" spans="40:48" ht="15" customHeight="1">
      <c r="AN517" s="174">
        <f t="shared" ref="AN517:AN580" si="14">AN516+1</f>
        <v>515</v>
      </c>
      <c r="AO517" s="178" t="s">
        <v>2164</v>
      </c>
      <c r="AP517" s="171" t="s">
        <v>643</v>
      </c>
      <c r="AQ517" s="172" t="s">
        <v>25</v>
      </c>
      <c r="AR517" s="249" t="s">
        <v>1445</v>
      </c>
      <c r="AS517" s="172">
        <v>108.7783</v>
      </c>
      <c r="AT517" s="172">
        <v>15.048500000000001</v>
      </c>
      <c r="AU517" s="172">
        <v>5.4199999999999998E-2</v>
      </c>
      <c r="AV517" s="247"/>
    </row>
    <row r="518" spans="40:48" ht="15" customHeight="1">
      <c r="AN518" s="174">
        <f t="shared" si="14"/>
        <v>516</v>
      </c>
      <c r="AO518" s="178" t="s">
        <v>2164</v>
      </c>
      <c r="AP518" s="171" t="s">
        <v>644</v>
      </c>
      <c r="AQ518" s="172" t="s">
        <v>18</v>
      </c>
      <c r="AR518" s="249" t="s">
        <v>1446</v>
      </c>
      <c r="AS518" s="172">
        <v>108.4688</v>
      </c>
      <c r="AT518" s="172">
        <v>15.041499999999999</v>
      </c>
      <c r="AU518" s="172">
        <v>4.5699999999999998E-2</v>
      </c>
      <c r="AV518" s="247"/>
    </row>
    <row r="519" spans="40:48" ht="15" customHeight="1">
      <c r="AN519" s="174">
        <f t="shared" si="14"/>
        <v>517</v>
      </c>
      <c r="AO519" s="178" t="s">
        <v>2164</v>
      </c>
      <c r="AP519" s="171" t="s">
        <v>645</v>
      </c>
      <c r="AQ519" s="172" t="s">
        <v>18</v>
      </c>
      <c r="AR519" s="249" t="s">
        <v>1447</v>
      </c>
      <c r="AS519" s="172">
        <v>108.33750000000001</v>
      </c>
      <c r="AT519" s="172">
        <v>14.994300000000001</v>
      </c>
      <c r="AU519" s="172">
        <v>3.0599999999999999E-2</v>
      </c>
      <c r="AV519" s="247"/>
    </row>
    <row r="520" spans="40:48" ht="15" customHeight="1">
      <c r="AN520" s="174">
        <f t="shared" si="14"/>
        <v>518</v>
      </c>
      <c r="AO520" s="178" t="s">
        <v>2164</v>
      </c>
      <c r="AP520" s="171" t="s">
        <v>646</v>
      </c>
      <c r="AQ520" s="172" t="s">
        <v>25</v>
      </c>
      <c r="AR520" s="249" t="s">
        <v>1448</v>
      </c>
      <c r="AS520" s="172">
        <v>108.79730000000001</v>
      </c>
      <c r="AT520" s="172">
        <v>15.1562</v>
      </c>
      <c r="AU520" s="172">
        <v>9.1200000000000003E-2</v>
      </c>
      <c r="AV520" s="247"/>
    </row>
    <row r="521" spans="40:48" ht="15" customHeight="1">
      <c r="AN521" s="174">
        <f t="shared" si="14"/>
        <v>519</v>
      </c>
      <c r="AO521" s="178" t="s">
        <v>2164</v>
      </c>
      <c r="AP521" s="171" t="s">
        <v>647</v>
      </c>
      <c r="AQ521" s="172" t="s">
        <v>18</v>
      </c>
      <c r="AR521" s="249" t="s">
        <v>1447</v>
      </c>
      <c r="AS521" s="172">
        <v>108.35639999999999</v>
      </c>
      <c r="AT521" s="172">
        <v>15.1677</v>
      </c>
      <c r="AU521" s="172">
        <v>8.8700000000000001E-2</v>
      </c>
      <c r="AV521" s="247"/>
    </row>
    <row r="522" spans="40:48" ht="15" customHeight="1">
      <c r="AN522" s="174">
        <f t="shared" si="14"/>
        <v>520</v>
      </c>
      <c r="AO522" s="178" t="s">
        <v>2164</v>
      </c>
      <c r="AP522" s="171" t="s">
        <v>648</v>
      </c>
      <c r="AQ522" s="172" t="s">
        <v>18</v>
      </c>
      <c r="AR522" s="249" t="s">
        <v>1449</v>
      </c>
      <c r="AS522" s="172">
        <v>108.5231</v>
      </c>
      <c r="AT522" s="172">
        <v>15.2559</v>
      </c>
      <c r="AU522" s="172">
        <v>8.0399999999999999E-2</v>
      </c>
      <c r="AV522" s="247"/>
    </row>
    <row r="523" spans="40:48" ht="15" customHeight="1">
      <c r="AN523" s="174">
        <f t="shared" si="14"/>
        <v>521</v>
      </c>
      <c r="AO523" s="178" t="s">
        <v>2164</v>
      </c>
      <c r="AP523" s="171" t="s">
        <v>866</v>
      </c>
      <c r="AQ523" s="172" t="s">
        <v>25</v>
      </c>
      <c r="AR523" s="249" t="s">
        <v>1450</v>
      </c>
      <c r="AS523" s="172">
        <v>108.8258</v>
      </c>
      <c r="AT523" s="172">
        <v>15.0899</v>
      </c>
      <c r="AU523" s="172">
        <v>7.0699999999999999E-2</v>
      </c>
      <c r="AV523" s="247"/>
    </row>
    <row r="524" spans="40:48" ht="15" customHeight="1">
      <c r="AN524" s="169">
        <f t="shared" si="14"/>
        <v>522</v>
      </c>
      <c r="AO524" s="176" t="s">
        <v>2165</v>
      </c>
      <c r="AP524" s="176" t="s">
        <v>650</v>
      </c>
      <c r="AQ524" s="177" t="s">
        <v>28</v>
      </c>
      <c r="AR524" s="250" t="s">
        <v>1451</v>
      </c>
      <c r="AS524" s="177">
        <v>107.0742</v>
      </c>
      <c r="AT524" s="177">
        <v>20.948599999999999</v>
      </c>
      <c r="AU524" s="177">
        <v>8.8200000000000001E-2</v>
      </c>
      <c r="AV524" s="247"/>
    </row>
    <row r="525" spans="40:48" ht="15" customHeight="1">
      <c r="AN525" s="169">
        <f t="shared" si="14"/>
        <v>523</v>
      </c>
      <c r="AO525" s="176" t="s">
        <v>2165</v>
      </c>
      <c r="AP525" s="176" t="s">
        <v>651</v>
      </c>
      <c r="AQ525" s="177" t="s">
        <v>28</v>
      </c>
      <c r="AR525" s="250" t="s">
        <v>1452</v>
      </c>
      <c r="AS525" s="177">
        <v>107.2782</v>
      </c>
      <c r="AT525" s="177">
        <v>21.0122</v>
      </c>
      <c r="AU525" s="177">
        <v>7.2099999999999997E-2</v>
      </c>
      <c r="AV525" s="247"/>
    </row>
    <row r="526" spans="40:48" ht="15" customHeight="1">
      <c r="AN526" s="169">
        <f t="shared" si="14"/>
        <v>524</v>
      </c>
      <c r="AO526" s="176" t="s">
        <v>2165</v>
      </c>
      <c r="AP526" s="176" t="s">
        <v>652</v>
      </c>
      <c r="AQ526" s="177" t="s">
        <v>28</v>
      </c>
      <c r="AR526" s="250" t="s">
        <v>1059</v>
      </c>
      <c r="AS526" s="177">
        <v>107.9704</v>
      </c>
      <c r="AT526" s="177">
        <v>21.5304</v>
      </c>
      <c r="AU526" s="177">
        <v>5.7700000000000001E-2</v>
      </c>
      <c r="AV526" s="247"/>
    </row>
    <row r="527" spans="40:48" ht="15" customHeight="1">
      <c r="AN527" s="169">
        <f t="shared" si="14"/>
        <v>525</v>
      </c>
      <c r="AO527" s="176" t="s">
        <v>2165</v>
      </c>
      <c r="AP527" s="176" t="s">
        <v>653</v>
      </c>
      <c r="AQ527" s="177" t="s">
        <v>25</v>
      </c>
      <c r="AR527" s="250" t="s">
        <v>1453</v>
      </c>
      <c r="AS527" s="177">
        <v>106.79179999999999</v>
      </c>
      <c r="AT527" s="177">
        <v>21.032800000000002</v>
      </c>
      <c r="AU527" s="177">
        <v>0.1142</v>
      </c>
      <c r="AV527" s="247"/>
    </row>
    <row r="528" spans="40:48" ht="15" customHeight="1">
      <c r="AN528" s="169">
        <f t="shared" si="14"/>
        <v>526</v>
      </c>
      <c r="AO528" s="176" t="s">
        <v>2165</v>
      </c>
      <c r="AP528" s="176" t="s">
        <v>654</v>
      </c>
      <c r="AQ528" s="177" t="s">
        <v>25</v>
      </c>
      <c r="AR528" s="250" t="s">
        <v>1454</v>
      </c>
      <c r="AS528" s="177">
        <v>107.2796</v>
      </c>
      <c r="AT528" s="177">
        <v>21.273</v>
      </c>
      <c r="AU528" s="177">
        <v>0.10340000000000001</v>
      </c>
      <c r="AV528" s="247"/>
    </row>
    <row r="529" spans="40:48" ht="15" customHeight="1">
      <c r="AN529" s="169">
        <f t="shared" si="14"/>
        <v>527</v>
      </c>
      <c r="AO529" s="176" t="s">
        <v>2165</v>
      </c>
      <c r="AP529" s="176" t="s">
        <v>655</v>
      </c>
      <c r="AQ529" s="177" t="s">
        <v>25</v>
      </c>
      <c r="AR529" s="250" t="s">
        <v>1455</v>
      </c>
      <c r="AS529" s="177">
        <v>107.396</v>
      </c>
      <c r="AT529" s="177">
        <v>21.5246</v>
      </c>
      <c r="AU529" s="177">
        <v>4.5499999999999999E-2</v>
      </c>
      <c r="AV529" s="247"/>
    </row>
    <row r="530" spans="40:48" ht="15" customHeight="1">
      <c r="AN530" s="169">
        <f t="shared" si="14"/>
        <v>528</v>
      </c>
      <c r="AO530" s="176" t="s">
        <v>2165</v>
      </c>
      <c r="AP530" s="176" t="s">
        <v>656</v>
      </c>
      <c r="AQ530" s="177" t="s">
        <v>32</v>
      </c>
      <c r="AR530" s="250" t="s">
        <v>1029</v>
      </c>
      <c r="AS530" s="177">
        <v>107.76479999999999</v>
      </c>
      <c r="AT530" s="177">
        <v>20.971699999999998</v>
      </c>
      <c r="AU530" s="177">
        <v>1.6500000000000001E-2</v>
      </c>
      <c r="AV530" s="247"/>
    </row>
    <row r="531" spans="40:48" ht="15" customHeight="1">
      <c r="AN531" s="169">
        <f t="shared" si="14"/>
        <v>529</v>
      </c>
      <c r="AO531" s="176" t="s">
        <v>2165</v>
      </c>
      <c r="AP531" s="176" t="s">
        <v>657</v>
      </c>
      <c r="AQ531" s="177" t="s">
        <v>28</v>
      </c>
      <c r="AR531" s="250" t="s">
        <v>1456</v>
      </c>
      <c r="AS531" s="177">
        <v>107.59529999999999</v>
      </c>
      <c r="AT531" s="177">
        <v>21.353400000000001</v>
      </c>
      <c r="AU531" s="177">
        <v>6.8699999999999997E-2</v>
      </c>
      <c r="AV531" s="247"/>
    </row>
    <row r="532" spans="40:48" ht="15" customHeight="1">
      <c r="AN532" s="169">
        <f t="shared" si="14"/>
        <v>530</v>
      </c>
      <c r="AO532" s="176" t="s">
        <v>2165</v>
      </c>
      <c r="AP532" s="176" t="s">
        <v>658</v>
      </c>
      <c r="AQ532" s="177" t="s">
        <v>25</v>
      </c>
      <c r="AR532" s="250" t="s">
        <v>1457</v>
      </c>
      <c r="AS532" s="177">
        <v>106.51349999999999</v>
      </c>
      <c r="AT532" s="177">
        <v>21.082100000000001</v>
      </c>
      <c r="AU532" s="177">
        <v>0.1118</v>
      </c>
      <c r="AV532" s="247"/>
    </row>
    <row r="533" spans="40:48" ht="15" customHeight="1">
      <c r="AN533" s="169">
        <f t="shared" si="14"/>
        <v>531</v>
      </c>
      <c r="AO533" s="176" t="s">
        <v>2165</v>
      </c>
      <c r="AP533" s="176" t="s">
        <v>659</v>
      </c>
      <c r="AQ533" s="177" t="s">
        <v>28</v>
      </c>
      <c r="AR533" s="250" t="s">
        <v>1458</v>
      </c>
      <c r="AS533" s="177">
        <v>107.75360000000001</v>
      </c>
      <c r="AT533" s="177">
        <v>21.450399999999998</v>
      </c>
      <c r="AU533" s="177">
        <v>5.5800000000000002E-2</v>
      </c>
      <c r="AV533" s="247"/>
    </row>
    <row r="534" spans="40:48" ht="15" customHeight="1">
      <c r="AN534" s="169">
        <f t="shared" si="14"/>
        <v>532</v>
      </c>
      <c r="AO534" s="176" t="s">
        <v>2165</v>
      </c>
      <c r="AP534" s="176" t="s">
        <v>660</v>
      </c>
      <c r="AQ534" s="177" t="s">
        <v>28</v>
      </c>
      <c r="AR534" s="250" t="s">
        <v>1458</v>
      </c>
      <c r="AS534" s="177">
        <v>107.75360000000001</v>
      </c>
      <c r="AT534" s="177">
        <v>21.450399999999998</v>
      </c>
      <c r="AU534" s="177">
        <v>5.5800000000000002E-2</v>
      </c>
      <c r="AV534" s="247"/>
    </row>
    <row r="535" spans="40:48" ht="15" customHeight="1">
      <c r="AN535" s="169">
        <f t="shared" si="14"/>
        <v>533</v>
      </c>
      <c r="AO535" s="176" t="s">
        <v>2165</v>
      </c>
      <c r="AP535" s="176" t="s">
        <v>661</v>
      </c>
      <c r="AQ535" s="177" t="s">
        <v>25</v>
      </c>
      <c r="AR535" s="250" t="s">
        <v>1459</v>
      </c>
      <c r="AS535" s="177">
        <v>106.9905</v>
      </c>
      <c r="AT535" s="177">
        <v>21.028400000000001</v>
      </c>
      <c r="AU535" s="177">
        <v>0.1082</v>
      </c>
      <c r="AV535" s="247"/>
    </row>
    <row r="536" spans="40:48" ht="15" customHeight="1">
      <c r="AN536" s="169">
        <f t="shared" si="14"/>
        <v>534</v>
      </c>
      <c r="AO536" s="176" t="s">
        <v>2165</v>
      </c>
      <c r="AP536" s="176" t="s">
        <v>662</v>
      </c>
      <c r="AQ536" s="177" t="s">
        <v>25</v>
      </c>
      <c r="AR536" s="250" t="s">
        <v>1460</v>
      </c>
      <c r="AS536" s="177">
        <v>107.40389999999999</v>
      </c>
      <c r="AT536" s="177">
        <v>21.3324</v>
      </c>
      <c r="AU536" s="177">
        <v>7.8200000000000006E-2</v>
      </c>
      <c r="AV536" s="247"/>
    </row>
    <row r="537" spans="40:48" ht="15" customHeight="1">
      <c r="AN537" s="169">
        <f t="shared" si="14"/>
        <v>535</v>
      </c>
      <c r="AO537" s="176" t="s">
        <v>2165</v>
      </c>
      <c r="AP537" s="176" t="s">
        <v>663</v>
      </c>
      <c r="AQ537" s="177" t="s">
        <v>32</v>
      </c>
      <c r="AR537" s="250" t="s">
        <v>1461</v>
      </c>
      <c r="AS537" s="177">
        <v>107.4194</v>
      </c>
      <c r="AT537" s="177">
        <v>21.073</v>
      </c>
      <c r="AU537" s="177">
        <v>6.8900000000000003E-2</v>
      </c>
      <c r="AV537" s="247"/>
    </row>
    <row r="538" spans="40:48" ht="15" customHeight="1">
      <c r="AN538" s="169">
        <f t="shared" si="14"/>
        <v>536</v>
      </c>
      <c r="AO538" s="176" t="s">
        <v>2165</v>
      </c>
      <c r="AP538" s="176" t="s">
        <v>867</v>
      </c>
      <c r="AQ538" s="177" t="s">
        <v>32</v>
      </c>
      <c r="AR538" s="250" t="s">
        <v>1462</v>
      </c>
      <c r="AS538" s="177">
        <v>106.79859999999999</v>
      </c>
      <c r="AT538" s="177">
        <v>20.939599999999999</v>
      </c>
      <c r="AU538" s="177">
        <v>0.122</v>
      </c>
      <c r="AV538" s="247"/>
    </row>
    <row r="539" spans="40:48" ht="15" customHeight="1">
      <c r="AN539" s="174">
        <f t="shared" si="14"/>
        <v>537</v>
      </c>
      <c r="AO539" s="171" t="s">
        <v>2166</v>
      </c>
      <c r="AP539" s="171" t="s">
        <v>665</v>
      </c>
      <c r="AQ539" s="172" t="s">
        <v>25</v>
      </c>
      <c r="AR539" s="249" t="s">
        <v>967</v>
      </c>
      <c r="AS539" s="172">
        <v>107.0986</v>
      </c>
      <c r="AT539" s="172">
        <v>16.823499999999999</v>
      </c>
      <c r="AU539" s="172">
        <v>2.75E-2</v>
      </c>
      <c r="AV539" s="247"/>
    </row>
    <row r="540" spans="40:48" ht="15" customHeight="1">
      <c r="AN540" s="174">
        <f t="shared" si="14"/>
        <v>538</v>
      </c>
      <c r="AO540" s="171" t="s">
        <v>2166</v>
      </c>
      <c r="AP540" s="171" t="s">
        <v>666</v>
      </c>
      <c r="AQ540" s="172" t="s">
        <v>25</v>
      </c>
      <c r="AR540" s="249" t="s">
        <v>967</v>
      </c>
      <c r="AS540" s="172">
        <v>107.1872</v>
      </c>
      <c r="AT540" s="172">
        <v>16.742100000000001</v>
      </c>
      <c r="AU540" s="172">
        <v>3.0099999999999998E-2</v>
      </c>
      <c r="AV540" s="247"/>
    </row>
    <row r="541" spans="40:48" ht="15" customHeight="1">
      <c r="AN541" s="174">
        <f t="shared" si="14"/>
        <v>539</v>
      </c>
      <c r="AO541" s="171" t="s">
        <v>2166</v>
      </c>
      <c r="AP541" s="171" t="s">
        <v>667</v>
      </c>
      <c r="AQ541" s="172" t="s">
        <v>25</v>
      </c>
      <c r="AR541" s="249" t="s">
        <v>1463</v>
      </c>
      <c r="AS541" s="172">
        <v>107.0043</v>
      </c>
      <c r="AT541" s="172">
        <v>16.809200000000001</v>
      </c>
      <c r="AU541" s="172">
        <v>2.81E-2</v>
      </c>
      <c r="AV541" s="247"/>
    </row>
    <row r="542" spans="40:48" ht="15" customHeight="1">
      <c r="AN542" s="174">
        <f t="shared" si="14"/>
        <v>540</v>
      </c>
      <c r="AO542" s="171" t="s">
        <v>2166</v>
      </c>
      <c r="AP542" s="171" t="s">
        <v>668</v>
      </c>
      <c r="AQ542" s="172" t="s">
        <v>18</v>
      </c>
      <c r="AR542" s="249" t="s">
        <v>1464</v>
      </c>
      <c r="AS542" s="172">
        <v>106.8158</v>
      </c>
      <c r="AT542" s="172">
        <v>16.66</v>
      </c>
      <c r="AU542" s="172">
        <v>6.1199999999999997E-2</v>
      </c>
      <c r="AV542" s="247"/>
    </row>
    <row r="543" spans="40:48" ht="15" customHeight="1">
      <c r="AN543" s="174">
        <f t="shared" si="14"/>
        <v>541</v>
      </c>
      <c r="AO543" s="171" t="s">
        <v>2166</v>
      </c>
      <c r="AP543" s="171" t="s">
        <v>669</v>
      </c>
      <c r="AQ543" s="172" t="s">
        <v>25</v>
      </c>
      <c r="AR543" s="249" t="s">
        <v>1465</v>
      </c>
      <c r="AS543" s="172">
        <v>107.07599999999999</v>
      </c>
      <c r="AT543" s="172">
        <v>16.933800000000002</v>
      </c>
      <c r="AU543" s="172">
        <v>3.1699999999999999E-2</v>
      </c>
      <c r="AV543" s="247"/>
    </row>
    <row r="544" spans="40:48" ht="15" customHeight="1">
      <c r="AN544" s="174">
        <f t="shared" si="14"/>
        <v>542</v>
      </c>
      <c r="AO544" s="171" t="s">
        <v>2166</v>
      </c>
      <c r="AP544" s="171" t="s">
        <v>670</v>
      </c>
      <c r="AQ544" s="172" t="s">
        <v>25</v>
      </c>
      <c r="AR544" s="249" t="s">
        <v>1466</v>
      </c>
      <c r="AS544" s="172">
        <v>107.2461</v>
      </c>
      <c r="AT544" s="172">
        <v>16.692499999999999</v>
      </c>
      <c r="AU544" s="172">
        <v>3.49E-2</v>
      </c>
      <c r="AV544" s="247"/>
    </row>
    <row r="545" spans="40:48" ht="15" customHeight="1">
      <c r="AN545" s="174">
        <f t="shared" si="14"/>
        <v>543</v>
      </c>
      <c r="AO545" s="171" t="s">
        <v>2166</v>
      </c>
      <c r="AP545" s="171" t="s">
        <v>832</v>
      </c>
      <c r="AQ545" s="172" t="s">
        <v>18</v>
      </c>
      <c r="AR545" s="249" t="s">
        <v>1467</v>
      </c>
      <c r="AS545" s="172">
        <v>106.72929999999999</v>
      </c>
      <c r="AT545" s="172">
        <v>16.624700000000001</v>
      </c>
      <c r="AU545" s="172">
        <v>5.3900000000000003E-2</v>
      </c>
      <c r="AV545" s="247"/>
    </row>
    <row r="546" spans="40:48" ht="15" customHeight="1">
      <c r="AN546" s="174">
        <f t="shared" si="14"/>
        <v>544</v>
      </c>
      <c r="AO546" s="171" t="s">
        <v>2166</v>
      </c>
      <c r="AP546" s="171" t="s">
        <v>671</v>
      </c>
      <c r="AQ546" s="172" t="s">
        <v>28</v>
      </c>
      <c r="AR546" s="249" t="s">
        <v>1468</v>
      </c>
      <c r="AS546" s="172">
        <v>107.1605</v>
      </c>
      <c r="AT546" s="172">
        <v>16.775600000000001</v>
      </c>
      <c r="AU546" s="172">
        <v>2.86E-2</v>
      </c>
      <c r="AV546" s="247"/>
    </row>
    <row r="547" spans="40:48" ht="15" customHeight="1">
      <c r="AN547" s="174">
        <f t="shared" si="14"/>
        <v>545</v>
      </c>
      <c r="AO547" s="171" t="s">
        <v>2166</v>
      </c>
      <c r="AP547" s="171" t="s">
        <v>672</v>
      </c>
      <c r="AQ547" s="172" t="s">
        <v>25</v>
      </c>
      <c r="AR547" s="249" t="s">
        <v>1469</v>
      </c>
      <c r="AS547" s="172">
        <v>107.0141</v>
      </c>
      <c r="AT547" s="172">
        <v>17.060400000000001</v>
      </c>
      <c r="AU547" s="172">
        <v>3.73E-2</v>
      </c>
      <c r="AV547" s="247"/>
    </row>
    <row r="548" spans="40:48" ht="15" customHeight="1">
      <c r="AN548" s="174">
        <f t="shared" si="14"/>
        <v>546</v>
      </c>
      <c r="AO548" s="171" t="s">
        <v>2166</v>
      </c>
      <c r="AP548" s="171" t="s">
        <v>2219</v>
      </c>
      <c r="AQ548" s="172" t="s">
        <v>28</v>
      </c>
      <c r="AR548" s="249" t="s">
        <v>1469</v>
      </c>
      <c r="AS548" s="172">
        <v>107.0141</v>
      </c>
      <c r="AT548" s="172">
        <v>17.060400000000001</v>
      </c>
      <c r="AU548" s="172">
        <v>3.73E-2</v>
      </c>
      <c r="AV548" s="247"/>
    </row>
    <row r="549" spans="40:48" ht="15" customHeight="1">
      <c r="AN549" s="169">
        <f t="shared" si="14"/>
        <v>547</v>
      </c>
      <c r="AO549" s="176" t="s">
        <v>2167</v>
      </c>
      <c r="AP549" s="176" t="s">
        <v>2220</v>
      </c>
      <c r="AQ549" s="177" t="s">
        <v>18</v>
      </c>
      <c r="AR549" s="250" t="s">
        <v>1470</v>
      </c>
      <c r="AS549" s="177">
        <v>105.9722</v>
      </c>
      <c r="AT549" s="177">
        <v>9.6052999999999997</v>
      </c>
      <c r="AU549" s="177">
        <v>2.58E-2</v>
      </c>
      <c r="AV549" s="247"/>
    </row>
    <row r="550" spans="40:48" ht="15" customHeight="1">
      <c r="AN550" s="169">
        <f t="shared" si="14"/>
        <v>548</v>
      </c>
      <c r="AO550" s="176" t="s">
        <v>2167</v>
      </c>
      <c r="AP550" s="176" t="s">
        <v>675</v>
      </c>
      <c r="AQ550" s="177" t="s">
        <v>18</v>
      </c>
      <c r="AR550" s="250" t="s">
        <v>1471</v>
      </c>
      <c r="AS550" s="177">
        <v>106.16289999999999</v>
      </c>
      <c r="AT550" s="177">
        <v>9.6275999999999993</v>
      </c>
      <c r="AU550" s="177">
        <v>5.5399999999999998E-2</v>
      </c>
      <c r="AV550" s="247"/>
    </row>
    <row r="551" spans="40:48" ht="15" customHeight="1">
      <c r="AN551" s="169">
        <f t="shared" si="14"/>
        <v>549</v>
      </c>
      <c r="AO551" s="176" t="s">
        <v>2167</v>
      </c>
      <c r="AP551" s="176" t="s">
        <v>676</v>
      </c>
      <c r="AQ551" s="177" t="s">
        <v>23</v>
      </c>
      <c r="AR551" s="250" t="s">
        <v>1472</v>
      </c>
      <c r="AS551" s="177">
        <v>105.9838</v>
      </c>
      <c r="AT551" s="177">
        <v>9.7691999999999997</v>
      </c>
      <c r="AU551" s="177">
        <v>4.6399999999999997E-2</v>
      </c>
      <c r="AV551" s="247"/>
    </row>
    <row r="552" spans="40:48" ht="15" customHeight="1">
      <c r="AN552" s="169">
        <f t="shared" si="14"/>
        <v>550</v>
      </c>
      <c r="AO552" s="176" t="s">
        <v>2167</v>
      </c>
      <c r="AP552" s="176" t="s">
        <v>677</v>
      </c>
      <c r="AQ552" s="177" t="s">
        <v>23</v>
      </c>
      <c r="AR552" s="250" t="s">
        <v>1473</v>
      </c>
      <c r="AS552" s="177">
        <v>106.12479999999999</v>
      </c>
      <c r="AT552" s="177">
        <v>9.6079000000000008</v>
      </c>
      <c r="AU552" s="177">
        <v>4.4600000000000001E-2</v>
      </c>
      <c r="AV552" s="247"/>
    </row>
    <row r="553" spans="40:48" ht="15" customHeight="1">
      <c r="AN553" s="169">
        <f t="shared" si="14"/>
        <v>551</v>
      </c>
      <c r="AO553" s="176" t="s">
        <v>2167</v>
      </c>
      <c r="AP553" s="176" t="s">
        <v>678</v>
      </c>
      <c r="AQ553" s="177" t="s">
        <v>23</v>
      </c>
      <c r="AR553" s="250" t="s">
        <v>1474</v>
      </c>
      <c r="AS553" s="177">
        <v>105.80970000000001</v>
      </c>
      <c r="AT553" s="177">
        <v>9.6367999999999991</v>
      </c>
      <c r="AU553" s="177">
        <v>1.7299999999999999E-2</v>
      </c>
      <c r="AV553" s="247"/>
    </row>
    <row r="554" spans="40:48" ht="15" customHeight="1">
      <c r="AN554" s="169">
        <f t="shared" si="14"/>
        <v>552</v>
      </c>
      <c r="AO554" s="176" t="s">
        <v>2167</v>
      </c>
      <c r="AP554" s="176" t="s">
        <v>679</v>
      </c>
      <c r="AQ554" s="177" t="s">
        <v>23</v>
      </c>
      <c r="AR554" s="250" t="s">
        <v>1475</v>
      </c>
      <c r="AS554" s="177">
        <v>105.9868</v>
      </c>
      <c r="AT554" s="177">
        <v>9.5586000000000002</v>
      </c>
      <c r="AU554" s="177">
        <v>2.5000000000000001E-2</v>
      </c>
      <c r="AV554" s="247"/>
    </row>
    <row r="555" spans="40:48" ht="15" customHeight="1">
      <c r="AN555" s="169">
        <f t="shared" si="14"/>
        <v>553</v>
      </c>
      <c r="AO555" s="176" t="s">
        <v>2167</v>
      </c>
      <c r="AP555" s="176" t="s">
        <v>680</v>
      </c>
      <c r="AQ555" s="177" t="s">
        <v>23</v>
      </c>
      <c r="AR555" s="250" t="s">
        <v>1476</v>
      </c>
      <c r="AS555" s="177">
        <v>105.5963</v>
      </c>
      <c r="AT555" s="177">
        <v>9.5662000000000003</v>
      </c>
      <c r="AU555" s="177">
        <v>1.11E-2</v>
      </c>
      <c r="AV555" s="247"/>
    </row>
    <row r="556" spans="40:48" ht="15" customHeight="1">
      <c r="AN556" s="169">
        <f t="shared" si="14"/>
        <v>554</v>
      </c>
      <c r="AO556" s="176" t="s">
        <v>2167</v>
      </c>
      <c r="AP556" s="176" t="s">
        <v>681</v>
      </c>
      <c r="AQ556" s="177" t="s">
        <v>23</v>
      </c>
      <c r="AR556" s="250" t="s">
        <v>1477</v>
      </c>
      <c r="AS556" s="177">
        <v>105.74299999999999</v>
      </c>
      <c r="AT556" s="177">
        <v>9.43</v>
      </c>
      <c r="AU556" s="177">
        <v>1.6299999999999999E-2</v>
      </c>
      <c r="AV556" s="247"/>
    </row>
    <row r="557" spans="40:48" ht="15" customHeight="1">
      <c r="AN557" s="169">
        <f t="shared" si="14"/>
        <v>555</v>
      </c>
      <c r="AO557" s="176" t="s">
        <v>2167</v>
      </c>
      <c r="AP557" s="176" t="s">
        <v>682</v>
      </c>
      <c r="AQ557" s="177" t="s">
        <v>23</v>
      </c>
      <c r="AR557" s="250" t="s">
        <v>1471</v>
      </c>
      <c r="AS557" s="177">
        <v>105.98</v>
      </c>
      <c r="AT557" s="177">
        <v>9.3279999999999994</v>
      </c>
      <c r="AU557" s="177">
        <v>3.9600000000000003E-2</v>
      </c>
      <c r="AV557" s="247"/>
    </row>
    <row r="558" spans="40:48" ht="15" customHeight="1">
      <c r="AN558" s="174">
        <f t="shared" si="14"/>
        <v>556</v>
      </c>
      <c r="AO558" s="171" t="s">
        <v>2168</v>
      </c>
      <c r="AP558" s="171" t="s">
        <v>2221</v>
      </c>
      <c r="AQ558" s="172" t="s">
        <v>18</v>
      </c>
      <c r="AR558" s="249" t="s">
        <v>1478</v>
      </c>
      <c r="AS558" s="172">
        <v>103.9106</v>
      </c>
      <c r="AT558" s="172">
        <v>21.3323</v>
      </c>
      <c r="AU558" s="172">
        <v>0.1893</v>
      </c>
      <c r="AV558" s="247"/>
    </row>
    <row r="559" spans="40:48" ht="15" customHeight="1">
      <c r="AN559" s="174">
        <f t="shared" si="14"/>
        <v>557</v>
      </c>
      <c r="AO559" s="171" t="s">
        <v>2168</v>
      </c>
      <c r="AP559" s="171" t="s">
        <v>685</v>
      </c>
      <c r="AQ559" s="172" t="s">
        <v>18</v>
      </c>
      <c r="AR559" s="249" t="s">
        <v>1479</v>
      </c>
      <c r="AS559" s="172">
        <v>104.4209</v>
      </c>
      <c r="AT559" s="172">
        <v>21.247699999999998</v>
      </c>
      <c r="AU559" s="172">
        <v>8.7099999999999997E-2</v>
      </c>
      <c r="AV559" s="247"/>
    </row>
    <row r="560" spans="40:48" ht="15" customHeight="1">
      <c r="AN560" s="174">
        <f t="shared" si="14"/>
        <v>558</v>
      </c>
      <c r="AO560" s="171" t="s">
        <v>2168</v>
      </c>
      <c r="AP560" s="171" t="s">
        <v>686</v>
      </c>
      <c r="AQ560" s="172" t="s">
        <v>18</v>
      </c>
      <c r="AR560" s="249" t="s">
        <v>1480</v>
      </c>
      <c r="AS560" s="172">
        <v>104.1065</v>
      </c>
      <c r="AT560" s="172">
        <v>21.1953</v>
      </c>
      <c r="AU560" s="172">
        <v>0.1111</v>
      </c>
      <c r="AV560" s="247"/>
    </row>
    <row r="561" spans="40:48" ht="15" customHeight="1">
      <c r="AN561" s="174">
        <f t="shared" si="14"/>
        <v>559</v>
      </c>
      <c r="AO561" s="171" t="s">
        <v>2168</v>
      </c>
      <c r="AP561" s="171" t="s">
        <v>687</v>
      </c>
      <c r="AQ561" s="172" t="s">
        <v>18</v>
      </c>
      <c r="AR561" s="249" t="s">
        <v>1481</v>
      </c>
      <c r="AS561" s="172">
        <v>104.6237</v>
      </c>
      <c r="AT561" s="172">
        <v>20.851700000000001</v>
      </c>
      <c r="AU561" s="172">
        <v>0.1197</v>
      </c>
      <c r="AV561" s="247"/>
    </row>
    <row r="562" spans="40:48" ht="15" customHeight="1">
      <c r="AN562" s="174">
        <f t="shared" si="14"/>
        <v>560</v>
      </c>
      <c r="AO562" s="171" t="s">
        <v>2168</v>
      </c>
      <c r="AP562" s="171" t="s">
        <v>854</v>
      </c>
      <c r="AQ562" s="172" t="s">
        <v>18</v>
      </c>
      <c r="AR562" s="249" t="s">
        <v>1482</v>
      </c>
      <c r="AS562" s="172">
        <v>104.0273</v>
      </c>
      <c r="AT562" s="172">
        <v>21.517099999999999</v>
      </c>
      <c r="AU562" s="172">
        <v>0.10050000000000001</v>
      </c>
      <c r="AV562" s="247"/>
    </row>
    <row r="563" spans="40:48" ht="15" customHeight="1">
      <c r="AN563" s="174">
        <f t="shared" si="14"/>
        <v>561</v>
      </c>
      <c r="AO563" s="171" t="s">
        <v>2168</v>
      </c>
      <c r="AP563" s="171" t="s">
        <v>688</v>
      </c>
      <c r="AQ563" s="172" t="s">
        <v>18</v>
      </c>
      <c r="AR563" s="249" t="s">
        <v>1483</v>
      </c>
      <c r="AS563" s="172">
        <v>104.64530000000001</v>
      </c>
      <c r="AT563" s="172">
        <v>21.2591</v>
      </c>
      <c r="AU563" s="172">
        <v>8.2600000000000007E-2</v>
      </c>
      <c r="AV563" s="247"/>
    </row>
    <row r="564" spans="40:48" ht="15" customHeight="1">
      <c r="AN564" s="174">
        <f t="shared" si="14"/>
        <v>562</v>
      </c>
      <c r="AO564" s="171" t="s">
        <v>2168</v>
      </c>
      <c r="AP564" s="171" t="s">
        <v>689</v>
      </c>
      <c r="AQ564" s="172" t="s">
        <v>18</v>
      </c>
      <c r="AR564" s="249" t="s">
        <v>1484</v>
      </c>
      <c r="AS564" s="172">
        <v>103.5701</v>
      </c>
      <c r="AT564" s="172">
        <v>21.850100000000001</v>
      </c>
      <c r="AU564" s="172">
        <v>8.3199999999999996E-2</v>
      </c>
      <c r="AV564" s="247"/>
    </row>
    <row r="565" spans="40:48" ht="15" customHeight="1">
      <c r="AN565" s="174">
        <f t="shared" si="14"/>
        <v>563</v>
      </c>
      <c r="AO565" s="171" t="s">
        <v>2168</v>
      </c>
      <c r="AP565" s="171" t="s">
        <v>690</v>
      </c>
      <c r="AQ565" s="172" t="s">
        <v>18</v>
      </c>
      <c r="AR565" s="249" t="s">
        <v>1485</v>
      </c>
      <c r="AS565" s="172">
        <v>103.7478</v>
      </c>
      <c r="AT565" s="172">
        <v>21.051600000000001</v>
      </c>
      <c r="AU565" s="172">
        <v>0.1193</v>
      </c>
      <c r="AV565" s="247"/>
    </row>
    <row r="566" spans="40:48" ht="15" customHeight="1">
      <c r="AN566" s="174">
        <f t="shared" si="14"/>
        <v>564</v>
      </c>
      <c r="AO566" s="171" t="s">
        <v>2168</v>
      </c>
      <c r="AP566" s="171" t="s">
        <v>691</v>
      </c>
      <c r="AQ566" s="172" t="s">
        <v>18</v>
      </c>
      <c r="AR566" s="249" t="s">
        <v>1486</v>
      </c>
      <c r="AS566" s="172">
        <v>103.59950000000001</v>
      </c>
      <c r="AT566" s="172">
        <v>20.939</v>
      </c>
      <c r="AU566" s="172">
        <v>0.1183</v>
      </c>
      <c r="AV566" s="247"/>
    </row>
    <row r="567" spans="40:48" ht="15" customHeight="1">
      <c r="AN567" s="174">
        <f t="shared" si="14"/>
        <v>565</v>
      </c>
      <c r="AO567" s="171" t="s">
        <v>2168</v>
      </c>
      <c r="AP567" s="171" t="s">
        <v>692</v>
      </c>
      <c r="AQ567" s="172" t="s">
        <v>18</v>
      </c>
      <c r="AR567" s="249" t="s">
        <v>1487</v>
      </c>
      <c r="AS567" s="172">
        <v>103.6885</v>
      </c>
      <c r="AT567" s="172">
        <v>21.437200000000001</v>
      </c>
      <c r="AU567" s="172">
        <v>0.1318</v>
      </c>
      <c r="AV567" s="247"/>
    </row>
    <row r="568" spans="40:48" ht="15" customHeight="1">
      <c r="AN568" s="174">
        <f t="shared" si="14"/>
        <v>566</v>
      </c>
      <c r="AO568" s="171" t="s">
        <v>2168</v>
      </c>
      <c r="AP568" s="171" t="s">
        <v>693</v>
      </c>
      <c r="AQ568" s="172" t="s">
        <v>18</v>
      </c>
      <c r="AR568" s="249" t="s">
        <v>1488</v>
      </c>
      <c r="AS568" s="172">
        <v>104.29940000000001</v>
      </c>
      <c r="AT568" s="172">
        <v>21.047699999999999</v>
      </c>
      <c r="AU568" s="172">
        <v>0.1077</v>
      </c>
      <c r="AV568" s="247"/>
    </row>
    <row r="569" spans="40:48" ht="15" customHeight="1">
      <c r="AN569" s="169">
        <f t="shared" si="14"/>
        <v>567</v>
      </c>
      <c r="AO569" s="176" t="s">
        <v>2169</v>
      </c>
      <c r="AP569" s="176" t="s">
        <v>695</v>
      </c>
      <c r="AQ569" s="177" t="s">
        <v>18</v>
      </c>
      <c r="AR569" s="250" t="s">
        <v>1470</v>
      </c>
      <c r="AS569" s="177">
        <v>106.086</v>
      </c>
      <c r="AT569" s="177">
        <v>11.311500000000001</v>
      </c>
      <c r="AU569" s="177">
        <v>5.7500000000000002E-2</v>
      </c>
      <c r="AV569" s="247"/>
    </row>
    <row r="570" spans="40:48" ht="15" customHeight="1">
      <c r="AN570" s="169">
        <f t="shared" si="14"/>
        <v>568</v>
      </c>
      <c r="AO570" s="176" t="s">
        <v>2169</v>
      </c>
      <c r="AP570" s="176" t="s">
        <v>696</v>
      </c>
      <c r="AQ570" s="177" t="s">
        <v>18</v>
      </c>
      <c r="AR570" s="250" t="s">
        <v>1489</v>
      </c>
      <c r="AS570" s="177">
        <v>106.1786</v>
      </c>
      <c r="AT570" s="177">
        <v>11.1114</v>
      </c>
      <c r="AU570" s="177">
        <v>6.3100000000000003E-2</v>
      </c>
      <c r="AV570" s="247"/>
    </row>
    <row r="571" spans="40:48" ht="15" customHeight="1">
      <c r="AN571" s="169">
        <f t="shared" si="14"/>
        <v>569</v>
      </c>
      <c r="AO571" s="176" t="s">
        <v>2169</v>
      </c>
      <c r="AP571" s="176" t="s">
        <v>241</v>
      </c>
      <c r="AQ571" s="177" t="s">
        <v>18</v>
      </c>
      <c r="AR571" s="250" t="s">
        <v>1085</v>
      </c>
      <c r="AS571" s="177">
        <v>106.02979999999999</v>
      </c>
      <c r="AT571" s="177">
        <v>11.3133</v>
      </c>
      <c r="AU571" s="177">
        <v>6.5000000000000002E-2</v>
      </c>
      <c r="AV571" s="247"/>
    </row>
    <row r="572" spans="40:48" ht="15" customHeight="1">
      <c r="AN572" s="169">
        <f t="shared" si="14"/>
        <v>570</v>
      </c>
      <c r="AO572" s="176" t="s">
        <v>2169</v>
      </c>
      <c r="AP572" s="176" t="s">
        <v>817</v>
      </c>
      <c r="AQ572" s="177" t="s">
        <v>18</v>
      </c>
      <c r="AR572" s="250" t="s">
        <v>1490</v>
      </c>
      <c r="AS572" s="177">
        <v>106.22</v>
      </c>
      <c r="AT572" s="177">
        <v>11.3772</v>
      </c>
      <c r="AU572" s="177">
        <v>6.4699999999999994E-2</v>
      </c>
      <c r="AV572" s="247"/>
    </row>
    <row r="573" spans="40:48" ht="15" customHeight="1">
      <c r="AN573" s="169">
        <f t="shared" si="14"/>
        <v>571</v>
      </c>
      <c r="AO573" s="176" t="s">
        <v>2169</v>
      </c>
      <c r="AP573" s="176" t="s">
        <v>697</v>
      </c>
      <c r="AQ573" s="177" t="s">
        <v>18</v>
      </c>
      <c r="AR573" s="250" t="s">
        <v>1491</v>
      </c>
      <c r="AS573" s="177">
        <v>106.26439999999999</v>
      </c>
      <c r="AT573" s="177">
        <v>11.084</v>
      </c>
      <c r="AU573" s="177">
        <v>5.7799999999999997E-2</v>
      </c>
      <c r="AV573" s="247"/>
    </row>
    <row r="574" spans="40:48" ht="15" customHeight="1">
      <c r="AN574" s="169">
        <f t="shared" si="14"/>
        <v>572</v>
      </c>
      <c r="AO574" s="176" t="s">
        <v>2169</v>
      </c>
      <c r="AP574" s="176" t="s">
        <v>698</v>
      </c>
      <c r="AQ574" s="177" t="s">
        <v>18</v>
      </c>
      <c r="AR574" s="250" t="s">
        <v>1492</v>
      </c>
      <c r="AS574" s="177">
        <v>106.12730000000001</v>
      </c>
      <c r="AT574" s="177">
        <v>11.2883</v>
      </c>
      <c r="AU574" s="177">
        <v>5.5100000000000003E-2</v>
      </c>
      <c r="AV574" s="247"/>
    </row>
    <row r="575" spans="40:48" ht="15" customHeight="1">
      <c r="AN575" s="169">
        <f t="shared" si="14"/>
        <v>573</v>
      </c>
      <c r="AO575" s="176" t="s">
        <v>2169</v>
      </c>
      <c r="AP575" s="176" t="s">
        <v>699</v>
      </c>
      <c r="AQ575" s="177" t="s">
        <v>18</v>
      </c>
      <c r="AR575" s="250" t="s">
        <v>1493</v>
      </c>
      <c r="AS575" s="177">
        <v>106.0048</v>
      </c>
      <c r="AT575" s="177">
        <v>11.5436</v>
      </c>
      <c r="AU575" s="177">
        <v>5.7000000000000002E-2</v>
      </c>
      <c r="AV575" s="247"/>
    </row>
    <row r="576" spans="40:48" ht="15" customHeight="1">
      <c r="AN576" s="169">
        <f t="shared" si="14"/>
        <v>574</v>
      </c>
      <c r="AO576" s="176" t="s">
        <v>2169</v>
      </c>
      <c r="AP576" s="176" t="s">
        <v>244</v>
      </c>
      <c r="AQ576" s="177" t="s">
        <v>18</v>
      </c>
      <c r="AR576" s="250" t="s">
        <v>1042</v>
      </c>
      <c r="AS576" s="177">
        <v>106.1614</v>
      </c>
      <c r="AT576" s="177">
        <v>11.5541</v>
      </c>
      <c r="AU576" s="177">
        <v>6.4699999999999994E-2</v>
      </c>
      <c r="AV576" s="247"/>
    </row>
    <row r="577" spans="40:48" ht="15" customHeight="1">
      <c r="AN577" s="169">
        <f t="shared" si="14"/>
        <v>575</v>
      </c>
      <c r="AO577" s="176" t="s">
        <v>2169</v>
      </c>
      <c r="AP577" s="176" t="s">
        <v>700</v>
      </c>
      <c r="AQ577" s="177" t="s">
        <v>18</v>
      </c>
      <c r="AR577" s="250" t="s">
        <v>1494</v>
      </c>
      <c r="AS577" s="177">
        <v>106.3586</v>
      </c>
      <c r="AT577" s="177">
        <v>11.031000000000001</v>
      </c>
      <c r="AU577" s="177">
        <v>6.3399999999999998E-2</v>
      </c>
      <c r="AV577" s="247"/>
    </row>
    <row r="578" spans="40:48" ht="15" customHeight="1">
      <c r="AN578" s="174">
        <f t="shared" si="14"/>
        <v>576</v>
      </c>
      <c r="AO578" s="171" t="s">
        <v>2170</v>
      </c>
      <c r="AP578" s="171" t="s">
        <v>702</v>
      </c>
      <c r="AQ578" s="172" t="s">
        <v>32</v>
      </c>
      <c r="AR578" s="249" t="s">
        <v>1495</v>
      </c>
      <c r="AS578" s="172">
        <v>106.342</v>
      </c>
      <c r="AT578" s="172">
        <v>20.4467</v>
      </c>
      <c r="AU578" s="172">
        <v>0.1074</v>
      </c>
      <c r="AV578" s="247"/>
    </row>
    <row r="579" spans="40:48" ht="15" customHeight="1">
      <c r="AN579" s="174">
        <f t="shared" si="14"/>
        <v>577</v>
      </c>
      <c r="AO579" s="171" t="s">
        <v>2170</v>
      </c>
      <c r="AP579" s="171" t="s">
        <v>869</v>
      </c>
      <c r="AQ579" s="172" t="s">
        <v>32</v>
      </c>
      <c r="AR579" s="249" t="s">
        <v>1496</v>
      </c>
      <c r="AS579" s="172">
        <v>106.3533</v>
      </c>
      <c r="AT579" s="172">
        <v>20.557600000000001</v>
      </c>
      <c r="AU579" s="172">
        <v>7.6600000000000001E-2</v>
      </c>
      <c r="AV579" s="247"/>
    </row>
    <row r="580" spans="40:48" ht="15" customHeight="1">
      <c r="AN580" s="174">
        <f t="shared" si="14"/>
        <v>578</v>
      </c>
      <c r="AO580" s="171" t="s">
        <v>2170</v>
      </c>
      <c r="AP580" s="171" t="s">
        <v>870</v>
      </c>
      <c r="AQ580" s="172" t="s">
        <v>32</v>
      </c>
      <c r="AR580" s="249" t="s">
        <v>1497</v>
      </c>
      <c r="AS580" s="172">
        <v>106.22410000000001</v>
      </c>
      <c r="AT580" s="172">
        <v>20.590800000000002</v>
      </c>
      <c r="AU580" s="172">
        <v>0.1032</v>
      </c>
      <c r="AV580" s="247"/>
    </row>
    <row r="581" spans="40:48" ht="15" customHeight="1">
      <c r="AN581" s="174">
        <f t="shared" ref="AN581:AN644" si="15">AN580+1</f>
        <v>579</v>
      </c>
      <c r="AO581" s="171" t="s">
        <v>2170</v>
      </c>
      <c r="AP581" s="171" t="s">
        <v>818</v>
      </c>
      <c r="AQ581" s="172" t="s">
        <v>32</v>
      </c>
      <c r="AR581" s="249" t="s">
        <v>1498</v>
      </c>
      <c r="AS581" s="172">
        <v>106.43680000000001</v>
      </c>
      <c r="AT581" s="172">
        <v>20.389399999999998</v>
      </c>
      <c r="AU581" s="172">
        <v>0.1012</v>
      </c>
      <c r="AV581" s="247"/>
    </row>
    <row r="582" spans="40:48" ht="15" customHeight="1">
      <c r="AN582" s="174">
        <f t="shared" si="15"/>
        <v>580</v>
      </c>
      <c r="AO582" s="171" t="s">
        <v>2170</v>
      </c>
      <c r="AP582" s="171" t="s">
        <v>703</v>
      </c>
      <c r="AQ582" s="172" t="s">
        <v>32</v>
      </c>
      <c r="AR582" s="249" t="s">
        <v>1499</v>
      </c>
      <c r="AS582" s="172">
        <v>106.3274</v>
      </c>
      <c r="AT582" s="172">
        <v>20.6615</v>
      </c>
      <c r="AU582" s="172">
        <v>6.1699999999999998E-2</v>
      </c>
      <c r="AV582" s="247"/>
    </row>
    <row r="583" spans="40:48" ht="15" customHeight="1">
      <c r="AN583" s="174">
        <f t="shared" si="15"/>
        <v>581</v>
      </c>
      <c r="AO583" s="171" t="s">
        <v>2170</v>
      </c>
      <c r="AP583" s="171" t="s">
        <v>704</v>
      </c>
      <c r="AQ583" s="172" t="s">
        <v>32</v>
      </c>
      <c r="AR583" s="249" t="s">
        <v>1500</v>
      </c>
      <c r="AS583" s="172">
        <v>106.5663</v>
      </c>
      <c r="AT583" s="172">
        <v>20.561299999999999</v>
      </c>
      <c r="AU583" s="172">
        <v>5.2299999999999999E-2</v>
      </c>
      <c r="AV583" s="247"/>
    </row>
    <row r="584" spans="40:48" ht="15" customHeight="1">
      <c r="AN584" s="174">
        <f t="shared" si="15"/>
        <v>582</v>
      </c>
      <c r="AO584" s="171" t="s">
        <v>2170</v>
      </c>
      <c r="AP584" s="171" t="s">
        <v>705</v>
      </c>
      <c r="AQ584" s="172" t="s">
        <v>32</v>
      </c>
      <c r="AR584" s="249" t="s">
        <v>1501</v>
      </c>
      <c r="AS584" s="172">
        <v>106.5029</v>
      </c>
      <c r="AT584" s="172">
        <v>20.4055</v>
      </c>
      <c r="AU584" s="172">
        <v>7.7700000000000005E-2</v>
      </c>
      <c r="AV584" s="247"/>
    </row>
    <row r="585" spans="40:48" ht="15" customHeight="1">
      <c r="AN585" s="174">
        <f t="shared" si="15"/>
        <v>583</v>
      </c>
      <c r="AO585" s="171" t="s">
        <v>2170</v>
      </c>
      <c r="AP585" s="171" t="s">
        <v>868</v>
      </c>
      <c r="AQ585" s="172" t="s">
        <v>32</v>
      </c>
      <c r="AR585" s="249" t="s">
        <v>1502</v>
      </c>
      <c r="AS585" s="172">
        <v>106.2962</v>
      </c>
      <c r="AT585" s="172">
        <v>20.4361</v>
      </c>
      <c r="AU585" s="172">
        <v>0.11260000000000001</v>
      </c>
      <c r="AV585" s="247"/>
    </row>
    <row r="586" spans="40:48" ht="15" customHeight="1">
      <c r="AN586" s="169">
        <f t="shared" si="15"/>
        <v>584</v>
      </c>
      <c r="AO586" s="176" t="s">
        <v>2171</v>
      </c>
      <c r="AP586" s="176" t="s">
        <v>707</v>
      </c>
      <c r="AQ586" s="177" t="s">
        <v>25</v>
      </c>
      <c r="AR586" s="250" t="s">
        <v>1453</v>
      </c>
      <c r="AS586" s="177">
        <v>105.8437</v>
      </c>
      <c r="AT586" s="177">
        <v>21.596699999999998</v>
      </c>
      <c r="AU586" s="177">
        <v>9.2799999999999994E-2</v>
      </c>
      <c r="AV586" s="247"/>
    </row>
    <row r="587" spans="40:48" ht="15" customHeight="1">
      <c r="AN587" s="169">
        <f t="shared" si="15"/>
        <v>585</v>
      </c>
      <c r="AO587" s="176" t="s">
        <v>2171</v>
      </c>
      <c r="AP587" s="176" t="s">
        <v>708</v>
      </c>
      <c r="AQ587" s="177" t="s">
        <v>25</v>
      </c>
      <c r="AR587" s="250" t="s">
        <v>1503</v>
      </c>
      <c r="AS587" s="177">
        <v>105.8506</v>
      </c>
      <c r="AT587" s="177">
        <v>21.482500000000002</v>
      </c>
      <c r="AU587" s="177">
        <v>8.5599999999999996E-2</v>
      </c>
      <c r="AV587" s="247"/>
    </row>
    <row r="588" spans="40:48" ht="15" customHeight="1">
      <c r="AN588" s="169">
        <f t="shared" si="15"/>
        <v>586</v>
      </c>
      <c r="AO588" s="176" t="s">
        <v>2171</v>
      </c>
      <c r="AP588" s="176" t="s">
        <v>709</v>
      </c>
      <c r="AQ588" s="177" t="s">
        <v>23</v>
      </c>
      <c r="AR588" s="250" t="s">
        <v>1504</v>
      </c>
      <c r="AS588" s="177">
        <v>105.6416</v>
      </c>
      <c r="AT588" s="177">
        <v>21.630299999999998</v>
      </c>
      <c r="AU588" s="177">
        <v>0.11849999999999999</v>
      </c>
      <c r="AV588" s="247"/>
    </row>
    <row r="589" spans="40:48" ht="15" customHeight="1">
      <c r="AN589" s="169">
        <f t="shared" si="15"/>
        <v>587</v>
      </c>
      <c r="AO589" s="176" t="s">
        <v>2171</v>
      </c>
      <c r="AP589" s="176" t="s">
        <v>710</v>
      </c>
      <c r="AQ589" s="177" t="s">
        <v>18</v>
      </c>
      <c r="AR589" s="250" t="s">
        <v>1505</v>
      </c>
      <c r="AS589" s="177">
        <v>105.6459</v>
      </c>
      <c r="AT589" s="177">
        <v>21.909500000000001</v>
      </c>
      <c r="AU589" s="177">
        <v>4.6800000000000001E-2</v>
      </c>
      <c r="AV589" s="247"/>
    </row>
    <row r="590" spans="40:48" ht="15" customHeight="1">
      <c r="AN590" s="169">
        <f t="shared" si="15"/>
        <v>588</v>
      </c>
      <c r="AO590" s="176" t="s">
        <v>2171</v>
      </c>
      <c r="AP590" s="176" t="s">
        <v>711</v>
      </c>
      <c r="AQ590" s="177" t="s">
        <v>18</v>
      </c>
      <c r="AR590" s="250" t="s">
        <v>1506</v>
      </c>
      <c r="AS590" s="177">
        <v>105.83929999999999</v>
      </c>
      <c r="AT590" s="177">
        <v>21.627400000000002</v>
      </c>
      <c r="AU590" s="177">
        <v>9.5299999999999996E-2</v>
      </c>
      <c r="AV590" s="247"/>
    </row>
    <row r="591" spans="40:48" ht="15" customHeight="1">
      <c r="AN591" s="169">
        <f t="shared" si="15"/>
        <v>589</v>
      </c>
      <c r="AO591" s="176" t="s">
        <v>2171</v>
      </c>
      <c r="AP591" s="176" t="s">
        <v>712</v>
      </c>
      <c r="AQ591" s="177" t="s">
        <v>25</v>
      </c>
      <c r="AR591" s="250" t="s">
        <v>1507</v>
      </c>
      <c r="AS591" s="177">
        <v>105.87779999999999</v>
      </c>
      <c r="AT591" s="177">
        <v>21.414100000000001</v>
      </c>
      <c r="AU591" s="177">
        <v>9.4500000000000001E-2</v>
      </c>
      <c r="AV591" s="247"/>
    </row>
    <row r="592" spans="40:48" ht="15" customHeight="1">
      <c r="AN592" s="169">
        <f t="shared" si="15"/>
        <v>590</v>
      </c>
      <c r="AO592" s="176" t="s">
        <v>2171</v>
      </c>
      <c r="AP592" s="176" t="s">
        <v>713</v>
      </c>
      <c r="AQ592" s="177" t="s">
        <v>25</v>
      </c>
      <c r="AR592" s="250" t="s">
        <v>1508</v>
      </c>
      <c r="AS592" s="177">
        <v>105.97750000000001</v>
      </c>
      <c r="AT592" s="177">
        <v>21.459700000000002</v>
      </c>
      <c r="AU592" s="177">
        <v>6.4600000000000005E-2</v>
      </c>
      <c r="AV592" s="247"/>
    </row>
    <row r="593" spans="40:48" ht="15" customHeight="1">
      <c r="AN593" s="169">
        <f t="shared" si="15"/>
        <v>591</v>
      </c>
      <c r="AO593" s="176" t="s">
        <v>2171</v>
      </c>
      <c r="AP593" s="176" t="s">
        <v>819</v>
      </c>
      <c r="AQ593" s="177" t="s">
        <v>18</v>
      </c>
      <c r="AR593" s="250" t="s">
        <v>1509</v>
      </c>
      <c r="AS593" s="177">
        <v>105.7037</v>
      </c>
      <c r="AT593" s="177">
        <v>21.731300000000001</v>
      </c>
      <c r="AU593" s="177">
        <v>0.1032</v>
      </c>
      <c r="AV593" s="247"/>
    </row>
    <row r="594" spans="40:48" ht="15" customHeight="1">
      <c r="AN594" s="169">
        <f t="shared" si="15"/>
        <v>592</v>
      </c>
      <c r="AO594" s="176" t="s">
        <v>2171</v>
      </c>
      <c r="AP594" s="176" t="s">
        <v>714</v>
      </c>
      <c r="AQ594" s="177" t="s">
        <v>18</v>
      </c>
      <c r="AR594" s="250" t="s">
        <v>1510</v>
      </c>
      <c r="AS594" s="177">
        <v>106.0762</v>
      </c>
      <c r="AT594" s="177">
        <v>21.751000000000001</v>
      </c>
      <c r="AU594" s="177">
        <v>4.5100000000000001E-2</v>
      </c>
      <c r="AV594" s="247"/>
    </row>
    <row r="595" spans="40:48" ht="15" customHeight="1">
      <c r="AN595" s="174">
        <f t="shared" si="15"/>
        <v>593</v>
      </c>
      <c r="AO595" s="171" t="s">
        <v>2172</v>
      </c>
      <c r="AP595" s="171" t="s">
        <v>716</v>
      </c>
      <c r="AQ595" s="172" t="s">
        <v>28</v>
      </c>
      <c r="AR595" s="249" t="s">
        <v>1511</v>
      </c>
      <c r="AS595" s="172">
        <v>105.77800000000001</v>
      </c>
      <c r="AT595" s="172">
        <v>19.8126</v>
      </c>
      <c r="AU595" s="172">
        <v>9.1800000000000007E-2</v>
      </c>
      <c r="AV595" s="247"/>
    </row>
    <row r="596" spans="40:48" ht="15" customHeight="1">
      <c r="AN596" s="174">
        <f t="shared" si="15"/>
        <v>594</v>
      </c>
      <c r="AO596" s="171" t="s">
        <v>2172</v>
      </c>
      <c r="AP596" s="171" t="s">
        <v>717</v>
      </c>
      <c r="AQ596" s="172" t="s">
        <v>32</v>
      </c>
      <c r="AR596" s="249" t="s">
        <v>1384</v>
      </c>
      <c r="AS596" s="172">
        <v>105.85720000000001</v>
      </c>
      <c r="AT596" s="172">
        <v>20.099799999999998</v>
      </c>
      <c r="AU596" s="172">
        <v>0.1205</v>
      </c>
      <c r="AV596" s="247"/>
    </row>
    <row r="597" spans="40:48" ht="15" customHeight="1">
      <c r="AN597" s="174">
        <f t="shared" si="15"/>
        <v>595</v>
      </c>
      <c r="AO597" s="171" t="s">
        <v>2172</v>
      </c>
      <c r="AP597" s="171" t="s">
        <v>718</v>
      </c>
      <c r="AQ597" s="172" t="s">
        <v>32</v>
      </c>
      <c r="AR597" s="249" t="s">
        <v>1384</v>
      </c>
      <c r="AS597" s="172">
        <v>105.89749999999999</v>
      </c>
      <c r="AT597" s="172">
        <v>19.737400000000001</v>
      </c>
      <c r="AU597" s="172">
        <v>7.9799999999999996E-2</v>
      </c>
      <c r="AV597" s="247"/>
    </row>
    <row r="598" spans="40:48" ht="15" customHeight="1">
      <c r="AN598" s="174">
        <f t="shared" si="15"/>
        <v>596</v>
      </c>
      <c r="AO598" s="171" t="s">
        <v>2172</v>
      </c>
      <c r="AP598" s="171" t="s">
        <v>833</v>
      </c>
      <c r="AQ598" s="172" t="s">
        <v>25</v>
      </c>
      <c r="AR598" s="249" t="s">
        <v>1512</v>
      </c>
      <c r="AS598" s="172">
        <v>105.2334</v>
      </c>
      <c r="AT598" s="172">
        <v>20.346</v>
      </c>
      <c r="AU598" s="172">
        <v>0.11840000000000001</v>
      </c>
      <c r="AV598" s="247"/>
    </row>
    <row r="599" spans="40:48" ht="15" customHeight="1">
      <c r="AN599" s="174">
        <f t="shared" si="15"/>
        <v>597</v>
      </c>
      <c r="AO599" s="171" t="s">
        <v>2172</v>
      </c>
      <c r="AP599" s="171" t="s">
        <v>719</v>
      </c>
      <c r="AQ599" s="172" t="s">
        <v>25</v>
      </c>
      <c r="AR599" s="249" t="s">
        <v>1513</v>
      </c>
      <c r="AS599" s="172">
        <v>105.4752</v>
      </c>
      <c r="AT599" s="172">
        <v>20.2163</v>
      </c>
      <c r="AU599" s="172">
        <v>0.1172</v>
      </c>
      <c r="AV599" s="247"/>
    </row>
    <row r="600" spans="40:48" ht="15" customHeight="1">
      <c r="AN600" s="174">
        <f t="shared" si="15"/>
        <v>598</v>
      </c>
      <c r="AO600" s="171" t="s">
        <v>2172</v>
      </c>
      <c r="AP600" s="171" t="s">
        <v>720</v>
      </c>
      <c r="AQ600" s="172" t="s">
        <v>28</v>
      </c>
      <c r="AR600" s="249" t="s">
        <v>1514</v>
      </c>
      <c r="AS600" s="172">
        <v>105.7332</v>
      </c>
      <c r="AT600" s="172">
        <v>19.816099999999999</v>
      </c>
      <c r="AU600" s="172">
        <v>9.2899999999999996E-2</v>
      </c>
      <c r="AV600" s="247"/>
    </row>
    <row r="601" spans="40:48" ht="15" customHeight="1">
      <c r="AN601" s="174">
        <f t="shared" si="15"/>
        <v>599</v>
      </c>
      <c r="AO601" s="171" t="s">
        <v>2172</v>
      </c>
      <c r="AP601" s="171" t="s">
        <v>721</v>
      </c>
      <c r="AQ601" s="172" t="s">
        <v>28</v>
      </c>
      <c r="AR601" s="249" t="s">
        <v>1515</v>
      </c>
      <c r="AS601" s="172">
        <v>105.8519</v>
      </c>
      <c r="AT601" s="172">
        <v>20.011600000000001</v>
      </c>
      <c r="AU601" s="172">
        <v>0.1439</v>
      </c>
      <c r="AV601" s="247"/>
    </row>
    <row r="602" spans="40:48" ht="15" customHeight="1">
      <c r="AN602" s="174">
        <f t="shared" si="15"/>
        <v>600</v>
      </c>
      <c r="AO602" s="171" t="s">
        <v>2172</v>
      </c>
      <c r="AP602" s="171" t="s">
        <v>722</v>
      </c>
      <c r="AQ602" s="172" t="s">
        <v>32</v>
      </c>
      <c r="AR602" s="249" t="s">
        <v>1516</v>
      </c>
      <c r="AS602" s="172">
        <v>105.8903</v>
      </c>
      <c r="AT602" s="172">
        <v>19.916799999999999</v>
      </c>
      <c r="AU602" s="172">
        <v>0.12609999999999999</v>
      </c>
      <c r="AV602" s="247"/>
    </row>
    <row r="603" spans="40:48" ht="15" customHeight="1">
      <c r="AN603" s="174">
        <f t="shared" si="15"/>
        <v>601</v>
      </c>
      <c r="AO603" s="171" t="s">
        <v>2172</v>
      </c>
      <c r="AP603" s="171" t="s">
        <v>723</v>
      </c>
      <c r="AQ603" s="172" t="s">
        <v>32</v>
      </c>
      <c r="AR603" s="249" t="s">
        <v>1517</v>
      </c>
      <c r="AS603" s="172">
        <v>105.85380000000001</v>
      </c>
      <c r="AT603" s="172">
        <v>19.861999999999998</v>
      </c>
      <c r="AU603" s="172">
        <v>0.10539999999999999</v>
      </c>
      <c r="AV603" s="247"/>
    </row>
    <row r="604" spans="40:48" ht="15" customHeight="1">
      <c r="AN604" s="174">
        <f t="shared" si="15"/>
        <v>602</v>
      </c>
      <c r="AO604" s="171" t="s">
        <v>2172</v>
      </c>
      <c r="AP604" s="171" t="s">
        <v>724</v>
      </c>
      <c r="AQ604" s="172" t="s">
        <v>23</v>
      </c>
      <c r="AR604" s="249" t="s">
        <v>1518</v>
      </c>
      <c r="AS604" s="172">
        <v>105.24290000000001</v>
      </c>
      <c r="AT604" s="172">
        <v>20.155000000000001</v>
      </c>
      <c r="AU604" s="172">
        <v>0.1051</v>
      </c>
      <c r="AV604" s="247"/>
    </row>
    <row r="605" spans="40:48" ht="15" customHeight="1">
      <c r="AN605" s="174">
        <f t="shared" si="15"/>
        <v>603</v>
      </c>
      <c r="AO605" s="171" t="s">
        <v>2172</v>
      </c>
      <c r="AP605" s="171" t="s">
        <v>855</v>
      </c>
      <c r="AQ605" s="172" t="s">
        <v>18</v>
      </c>
      <c r="AR605" s="249" t="s">
        <v>1519</v>
      </c>
      <c r="AS605" s="172">
        <v>104.6083</v>
      </c>
      <c r="AT605" s="172">
        <v>20.538599999999999</v>
      </c>
      <c r="AU605" s="172">
        <v>0.1053</v>
      </c>
      <c r="AV605" s="247"/>
    </row>
    <row r="606" spans="40:48" ht="15" customHeight="1">
      <c r="AN606" s="174">
        <f t="shared" si="15"/>
        <v>604</v>
      </c>
      <c r="AO606" s="171" t="s">
        <v>2172</v>
      </c>
      <c r="AP606" s="171" t="s">
        <v>725</v>
      </c>
      <c r="AQ606" s="172" t="s">
        <v>32</v>
      </c>
      <c r="AR606" s="249" t="s">
        <v>1520</v>
      </c>
      <c r="AS606" s="172">
        <v>105.9708</v>
      </c>
      <c r="AT606" s="172">
        <v>20.008400000000002</v>
      </c>
      <c r="AU606" s="172">
        <v>0.12570000000000001</v>
      </c>
      <c r="AV606" s="247"/>
    </row>
    <row r="607" spans="40:48" ht="15" customHeight="1">
      <c r="AN607" s="174">
        <f t="shared" si="15"/>
        <v>605</v>
      </c>
      <c r="AO607" s="171" t="s">
        <v>2172</v>
      </c>
      <c r="AP607" s="171" t="s">
        <v>726</v>
      </c>
      <c r="AQ607" s="172" t="s">
        <v>25</v>
      </c>
      <c r="AR607" s="249" t="s">
        <v>1521</v>
      </c>
      <c r="AS607" s="172">
        <v>105.37220000000001</v>
      </c>
      <c r="AT607" s="172">
        <v>20.091899999999999</v>
      </c>
      <c r="AU607" s="172">
        <v>0.1002</v>
      </c>
      <c r="AV607" s="247"/>
    </row>
    <row r="608" spans="40:48" ht="15" customHeight="1">
      <c r="AN608" s="174">
        <f t="shared" si="15"/>
        <v>606</v>
      </c>
      <c r="AO608" s="171" t="s">
        <v>2172</v>
      </c>
      <c r="AP608" s="171" t="s">
        <v>871</v>
      </c>
      <c r="AQ608" s="172" t="s">
        <v>25</v>
      </c>
      <c r="AR608" s="249" t="s">
        <v>1522</v>
      </c>
      <c r="AS608" s="172">
        <v>105.5759</v>
      </c>
      <c r="AT608" s="172">
        <v>19.6325</v>
      </c>
      <c r="AU608" s="172">
        <v>8.5300000000000001E-2</v>
      </c>
      <c r="AV608" s="247"/>
    </row>
    <row r="609" spans="40:48" ht="15" customHeight="1">
      <c r="AN609" s="174">
        <f t="shared" si="15"/>
        <v>607</v>
      </c>
      <c r="AO609" s="171" t="s">
        <v>2172</v>
      </c>
      <c r="AP609" s="171" t="s">
        <v>872</v>
      </c>
      <c r="AQ609" s="172" t="s">
        <v>25</v>
      </c>
      <c r="AR609" s="249" t="s">
        <v>1523</v>
      </c>
      <c r="AS609" s="172">
        <v>105.4306</v>
      </c>
      <c r="AT609" s="172">
        <v>19.6632</v>
      </c>
      <c r="AU609" s="172">
        <v>5.3999999999999999E-2</v>
      </c>
      <c r="AV609" s="247"/>
    </row>
    <row r="610" spans="40:48" ht="15" customHeight="1">
      <c r="AN610" s="174">
        <f t="shared" si="15"/>
        <v>608</v>
      </c>
      <c r="AO610" s="171" t="s">
        <v>2172</v>
      </c>
      <c r="AP610" s="171" t="s">
        <v>727</v>
      </c>
      <c r="AQ610" s="172" t="s">
        <v>28</v>
      </c>
      <c r="AR610" s="249" t="s">
        <v>1524</v>
      </c>
      <c r="AS610" s="172">
        <v>105.68640000000001</v>
      </c>
      <c r="AT610" s="172">
        <v>19.705500000000001</v>
      </c>
      <c r="AU610" s="172">
        <v>0.10489999999999999</v>
      </c>
      <c r="AV610" s="247"/>
    </row>
    <row r="611" spans="40:48" ht="15" customHeight="1">
      <c r="AN611" s="174">
        <f t="shared" si="15"/>
        <v>609</v>
      </c>
      <c r="AO611" s="171" t="s">
        <v>2172</v>
      </c>
      <c r="AP611" s="171" t="s">
        <v>820</v>
      </c>
      <c r="AQ611" s="172" t="s">
        <v>28</v>
      </c>
      <c r="AR611" s="249" t="s">
        <v>1525</v>
      </c>
      <c r="AS611" s="172">
        <v>105.83</v>
      </c>
      <c r="AT611" s="172">
        <v>19.727499999999999</v>
      </c>
      <c r="AU611" s="172">
        <v>8.5900000000000004E-2</v>
      </c>
      <c r="AV611" s="247"/>
    </row>
    <row r="612" spans="40:48" ht="15" customHeight="1">
      <c r="AN612" s="174">
        <f t="shared" si="15"/>
        <v>610</v>
      </c>
      <c r="AO612" s="171" t="s">
        <v>2172</v>
      </c>
      <c r="AP612" s="171" t="s">
        <v>728</v>
      </c>
      <c r="AQ612" s="172" t="s">
        <v>18</v>
      </c>
      <c r="AR612" s="249" t="s">
        <v>1526</v>
      </c>
      <c r="AS612" s="172">
        <v>105.1031</v>
      </c>
      <c r="AT612" s="172">
        <v>20.3811</v>
      </c>
      <c r="AU612" s="172">
        <v>0.11210000000000001</v>
      </c>
      <c r="AV612" s="247"/>
    </row>
    <row r="613" spans="40:48" ht="15" customHeight="1">
      <c r="AN613" s="174">
        <f t="shared" si="15"/>
        <v>611</v>
      </c>
      <c r="AO613" s="171" t="s">
        <v>2172</v>
      </c>
      <c r="AP613" s="171" t="s">
        <v>729</v>
      </c>
      <c r="AQ613" s="172" t="s">
        <v>18</v>
      </c>
      <c r="AR613" s="249" t="s">
        <v>1527</v>
      </c>
      <c r="AS613" s="172">
        <v>104.8982</v>
      </c>
      <c r="AT613" s="172">
        <v>20.265899999999998</v>
      </c>
      <c r="AU613" s="172">
        <v>8.0600000000000005E-2</v>
      </c>
      <c r="AV613" s="247"/>
    </row>
    <row r="614" spans="40:48" ht="15" customHeight="1">
      <c r="AN614" s="174">
        <f t="shared" si="15"/>
        <v>612</v>
      </c>
      <c r="AO614" s="171" t="s">
        <v>2172</v>
      </c>
      <c r="AP614" s="171" t="s">
        <v>730</v>
      </c>
      <c r="AQ614" s="172" t="s">
        <v>28</v>
      </c>
      <c r="AR614" s="249" t="s">
        <v>1528</v>
      </c>
      <c r="AS614" s="172">
        <v>105.6703</v>
      </c>
      <c r="AT614" s="172">
        <v>20.128900000000002</v>
      </c>
      <c r="AU614" s="172">
        <v>0.1421</v>
      </c>
      <c r="AV614" s="247"/>
    </row>
    <row r="615" spans="40:48" ht="15" customHeight="1">
      <c r="AN615" s="174">
        <f t="shared" si="15"/>
        <v>613</v>
      </c>
      <c r="AO615" s="171" t="s">
        <v>2172</v>
      </c>
      <c r="AP615" s="171" t="s">
        <v>731</v>
      </c>
      <c r="AQ615" s="172" t="s">
        <v>25</v>
      </c>
      <c r="AR615" s="249" t="s">
        <v>1529</v>
      </c>
      <c r="AS615" s="172">
        <v>105.51949999999999</v>
      </c>
      <c r="AT615" s="172">
        <v>19.935300000000002</v>
      </c>
      <c r="AU615" s="172">
        <v>9.9699999999999997E-2</v>
      </c>
      <c r="AV615" s="247"/>
    </row>
    <row r="616" spans="40:48" ht="15" customHeight="1">
      <c r="AN616" s="174">
        <f t="shared" si="15"/>
        <v>614</v>
      </c>
      <c r="AO616" s="171" t="s">
        <v>2172</v>
      </c>
      <c r="AP616" s="171" t="s">
        <v>856</v>
      </c>
      <c r="AQ616" s="172" t="s">
        <v>25</v>
      </c>
      <c r="AR616" s="249" t="s">
        <v>1530</v>
      </c>
      <c r="AS616" s="172">
        <v>105.3501</v>
      </c>
      <c r="AT616" s="172">
        <v>19.9041</v>
      </c>
      <c r="AU616" s="172">
        <v>9.5299999999999996E-2</v>
      </c>
      <c r="AV616" s="247"/>
    </row>
    <row r="617" spans="40:48" ht="15" customHeight="1">
      <c r="AN617" s="174">
        <f t="shared" si="15"/>
        <v>615</v>
      </c>
      <c r="AO617" s="171" t="s">
        <v>2172</v>
      </c>
      <c r="AP617" s="171" t="s">
        <v>732</v>
      </c>
      <c r="AQ617" s="172" t="s">
        <v>28</v>
      </c>
      <c r="AR617" s="249" t="s">
        <v>1531</v>
      </c>
      <c r="AS617" s="172">
        <v>105.67870000000001</v>
      </c>
      <c r="AT617" s="172">
        <v>19.882400000000001</v>
      </c>
      <c r="AU617" s="172">
        <v>9.2799999999999994E-2</v>
      </c>
      <c r="AV617" s="247"/>
    </row>
    <row r="618" spans="40:48" ht="15" customHeight="1">
      <c r="AN618" s="174">
        <f t="shared" si="15"/>
        <v>616</v>
      </c>
      <c r="AO618" s="171" t="s">
        <v>2172</v>
      </c>
      <c r="AP618" s="171" t="s">
        <v>733</v>
      </c>
      <c r="AQ618" s="172" t="s">
        <v>28</v>
      </c>
      <c r="AR618" s="249" t="s">
        <v>1532</v>
      </c>
      <c r="AS618" s="172">
        <v>105.7765</v>
      </c>
      <c r="AT618" s="172">
        <v>19.4495</v>
      </c>
      <c r="AU618" s="172">
        <v>9.8599999999999993E-2</v>
      </c>
      <c r="AV618" s="247"/>
    </row>
    <row r="619" spans="40:48" ht="15" customHeight="1">
      <c r="AN619" s="174">
        <f t="shared" si="15"/>
        <v>617</v>
      </c>
      <c r="AO619" s="171" t="s">
        <v>2172</v>
      </c>
      <c r="AP619" s="171" t="s">
        <v>734</v>
      </c>
      <c r="AQ619" s="172" t="s">
        <v>25</v>
      </c>
      <c r="AR619" s="249" t="s">
        <v>1533</v>
      </c>
      <c r="AS619" s="172">
        <v>105.59569999999999</v>
      </c>
      <c r="AT619" s="172">
        <v>19.819099999999999</v>
      </c>
      <c r="AU619" s="172">
        <v>0.1017</v>
      </c>
      <c r="AV619" s="247"/>
    </row>
    <row r="620" spans="40:48" ht="15" customHeight="1">
      <c r="AN620" s="174">
        <f t="shared" si="15"/>
        <v>618</v>
      </c>
      <c r="AO620" s="171" t="s">
        <v>2172</v>
      </c>
      <c r="AP620" s="171" t="s">
        <v>735</v>
      </c>
      <c r="AQ620" s="172" t="s">
        <v>28</v>
      </c>
      <c r="AR620" s="249" t="s">
        <v>1534</v>
      </c>
      <c r="AS620" s="172">
        <v>105.61409999999999</v>
      </c>
      <c r="AT620" s="172">
        <v>20.0627</v>
      </c>
      <c r="AU620" s="172">
        <v>0.1066</v>
      </c>
      <c r="AV620" s="247"/>
    </row>
    <row r="621" spans="40:48" ht="15" customHeight="1">
      <c r="AN621" s="174">
        <f t="shared" si="15"/>
        <v>619</v>
      </c>
      <c r="AO621" s="171" t="s">
        <v>2172</v>
      </c>
      <c r="AP621" s="171" t="s">
        <v>736</v>
      </c>
      <c r="AQ621" s="172" t="s">
        <v>28</v>
      </c>
      <c r="AR621" s="249" t="s">
        <v>1535</v>
      </c>
      <c r="AS621" s="172">
        <v>105.65349999999999</v>
      </c>
      <c r="AT621" s="172">
        <v>19.970800000000001</v>
      </c>
      <c r="AU621" s="172">
        <v>8.7400000000000005E-2</v>
      </c>
      <c r="AV621" s="247"/>
    </row>
    <row r="622" spans="40:48" ht="15" customHeight="1">
      <c r="AN622" s="169">
        <f t="shared" si="15"/>
        <v>620</v>
      </c>
      <c r="AO622" s="176" t="s">
        <v>2173</v>
      </c>
      <c r="AP622" s="176" t="s">
        <v>738</v>
      </c>
      <c r="AQ622" s="177" t="s">
        <v>25</v>
      </c>
      <c r="AR622" s="250" t="s">
        <v>1536</v>
      </c>
      <c r="AS622" s="177">
        <v>107.59350000000001</v>
      </c>
      <c r="AT622" s="177">
        <v>16.462800000000001</v>
      </c>
      <c r="AU622" s="177">
        <v>5.3800000000000001E-2</v>
      </c>
      <c r="AV622" s="247"/>
    </row>
    <row r="623" spans="40:48" ht="15" customHeight="1">
      <c r="AN623" s="169">
        <f t="shared" si="15"/>
        <v>621</v>
      </c>
      <c r="AO623" s="176" t="s">
        <v>2173</v>
      </c>
      <c r="AP623" s="176" t="s">
        <v>834</v>
      </c>
      <c r="AQ623" s="177" t="s">
        <v>18</v>
      </c>
      <c r="AR623" s="250" t="s">
        <v>1537</v>
      </c>
      <c r="AS623" s="177">
        <v>107.23090000000001</v>
      </c>
      <c r="AT623" s="177">
        <v>16.276700000000002</v>
      </c>
      <c r="AU623" s="177">
        <v>5.7299999999999997E-2</v>
      </c>
      <c r="AV623" s="247"/>
    </row>
    <row r="624" spans="40:48" ht="15" customHeight="1">
      <c r="AN624" s="169">
        <f t="shared" si="15"/>
        <v>622</v>
      </c>
      <c r="AO624" s="176" t="s">
        <v>2173</v>
      </c>
      <c r="AP624" s="176" t="s">
        <v>821</v>
      </c>
      <c r="AQ624" s="177" t="s">
        <v>25</v>
      </c>
      <c r="AR624" s="250" t="s">
        <v>1538</v>
      </c>
      <c r="AS624" s="177">
        <v>107.6874</v>
      </c>
      <c r="AT624" s="177">
        <v>16.3993</v>
      </c>
      <c r="AU624" s="177">
        <v>4.9200000000000001E-2</v>
      </c>
      <c r="AV624" s="247"/>
    </row>
    <row r="625" spans="40:48" ht="15" customHeight="1">
      <c r="AN625" s="169">
        <f t="shared" si="15"/>
        <v>623</v>
      </c>
      <c r="AO625" s="176" t="s">
        <v>2173</v>
      </c>
      <c r="AP625" s="176" t="s">
        <v>822</v>
      </c>
      <c r="AQ625" s="177" t="s">
        <v>25</v>
      </c>
      <c r="AR625" s="250" t="s">
        <v>1539</v>
      </c>
      <c r="AS625" s="177">
        <v>107.4675</v>
      </c>
      <c r="AT625" s="177">
        <v>16.5322</v>
      </c>
      <c r="AU625" s="177">
        <v>5.3900000000000003E-2</v>
      </c>
      <c r="AV625" s="247"/>
    </row>
    <row r="626" spans="40:48" ht="15" customHeight="1">
      <c r="AN626" s="169">
        <f t="shared" si="15"/>
        <v>624</v>
      </c>
      <c r="AO626" s="176" t="s">
        <v>2173</v>
      </c>
      <c r="AP626" s="176" t="s">
        <v>739</v>
      </c>
      <c r="AQ626" s="177" t="s">
        <v>18</v>
      </c>
      <c r="AR626" s="250" t="s">
        <v>1540</v>
      </c>
      <c r="AS626" s="177">
        <v>107.7236</v>
      </c>
      <c r="AT626" s="177">
        <v>16.168500000000002</v>
      </c>
      <c r="AU626" s="177">
        <v>8.0399999999999999E-2</v>
      </c>
      <c r="AV626" s="247"/>
    </row>
    <row r="627" spans="40:48" ht="15" customHeight="1">
      <c r="AN627" s="169">
        <f t="shared" si="15"/>
        <v>625</v>
      </c>
      <c r="AO627" s="176" t="s">
        <v>2173</v>
      </c>
      <c r="AP627" s="176" t="s">
        <v>740</v>
      </c>
      <c r="AQ627" s="177" t="s">
        <v>25</v>
      </c>
      <c r="AR627" s="250" t="s">
        <v>1477</v>
      </c>
      <c r="AS627" s="177">
        <v>107.8605</v>
      </c>
      <c r="AT627" s="177">
        <v>16.280200000000001</v>
      </c>
      <c r="AU627" s="177">
        <v>4.3400000000000001E-2</v>
      </c>
      <c r="AV627" s="247"/>
    </row>
    <row r="628" spans="40:48" ht="15" customHeight="1">
      <c r="AN628" s="169">
        <f t="shared" si="15"/>
        <v>626</v>
      </c>
      <c r="AO628" s="176" t="s">
        <v>2173</v>
      </c>
      <c r="AP628" s="176" t="s">
        <v>741</v>
      </c>
      <c r="AQ628" s="177" t="s">
        <v>28</v>
      </c>
      <c r="AR628" s="250" t="s">
        <v>1541</v>
      </c>
      <c r="AS628" s="177">
        <v>107.61450000000001</v>
      </c>
      <c r="AT628" s="177">
        <v>16.526900000000001</v>
      </c>
      <c r="AU628" s="177">
        <v>5.3499999999999999E-2</v>
      </c>
      <c r="AV628" s="247"/>
    </row>
    <row r="629" spans="40:48" ht="15" customHeight="1">
      <c r="AN629" s="169">
        <f t="shared" si="15"/>
        <v>627</v>
      </c>
      <c r="AO629" s="176" t="s">
        <v>2173</v>
      </c>
      <c r="AP629" s="176" t="s">
        <v>234</v>
      </c>
      <c r="AQ629" s="177" t="s">
        <v>28</v>
      </c>
      <c r="AR629" s="250" t="s">
        <v>1542</v>
      </c>
      <c r="AS629" s="177">
        <v>107.36279999999999</v>
      </c>
      <c r="AT629" s="177">
        <v>16.581600000000002</v>
      </c>
      <c r="AU629" s="177">
        <v>4.9599999999999998E-2</v>
      </c>
      <c r="AV629" s="247"/>
    </row>
    <row r="630" spans="40:48" ht="15" customHeight="1">
      <c r="AN630" s="169">
        <f t="shared" si="15"/>
        <v>628</v>
      </c>
      <c r="AO630" s="176" t="s">
        <v>2173</v>
      </c>
      <c r="AP630" s="176" t="s">
        <v>742</v>
      </c>
      <c r="AQ630" s="177" t="s">
        <v>28</v>
      </c>
      <c r="AR630" s="250" t="s">
        <v>1543</v>
      </c>
      <c r="AS630" s="177">
        <v>107.5078</v>
      </c>
      <c r="AT630" s="177">
        <v>16.5763</v>
      </c>
      <c r="AU630" s="177">
        <v>4.53E-2</v>
      </c>
      <c r="AV630" s="247"/>
    </row>
    <row r="631" spans="40:48" ht="15" customHeight="1">
      <c r="AN631" s="174">
        <f t="shared" si="15"/>
        <v>629</v>
      </c>
      <c r="AO631" s="171" t="s">
        <v>2174</v>
      </c>
      <c r="AP631" s="171" t="s">
        <v>744</v>
      </c>
      <c r="AQ631" s="172" t="s">
        <v>23</v>
      </c>
      <c r="AR631" s="249" t="s">
        <v>967</v>
      </c>
      <c r="AS631" s="172">
        <v>106.36669999999999</v>
      </c>
      <c r="AT631" s="172">
        <v>10.3588</v>
      </c>
      <c r="AU631" s="172">
        <v>2.3699999999999999E-2</v>
      </c>
      <c r="AV631" s="247"/>
    </row>
    <row r="632" spans="40:48" ht="15" customHeight="1">
      <c r="AN632" s="174">
        <f t="shared" si="15"/>
        <v>630</v>
      </c>
      <c r="AO632" s="171" t="s">
        <v>2174</v>
      </c>
      <c r="AP632" s="171" t="s">
        <v>745</v>
      </c>
      <c r="AQ632" s="172" t="s">
        <v>23</v>
      </c>
      <c r="AR632" s="249" t="s">
        <v>1053</v>
      </c>
      <c r="AS632" s="172">
        <v>106.6784</v>
      </c>
      <c r="AT632" s="172">
        <v>10.366300000000001</v>
      </c>
      <c r="AU632" s="172">
        <v>8.1699999999999995E-2</v>
      </c>
      <c r="AV632" s="247"/>
    </row>
    <row r="633" spans="40:48" ht="15" customHeight="1">
      <c r="AN633" s="174">
        <f t="shared" si="15"/>
        <v>631</v>
      </c>
      <c r="AO633" s="171" t="s">
        <v>2174</v>
      </c>
      <c r="AP633" s="171" t="s">
        <v>746</v>
      </c>
      <c r="AQ633" s="172" t="s">
        <v>23</v>
      </c>
      <c r="AR633" s="249" t="s">
        <v>1544</v>
      </c>
      <c r="AS633" s="172">
        <v>106.03230000000001</v>
      </c>
      <c r="AT633" s="172">
        <v>10.3386</v>
      </c>
      <c r="AU633" s="172">
        <v>1.5599999999999999E-2</v>
      </c>
      <c r="AV633" s="247"/>
    </row>
    <row r="634" spans="40:48" ht="15" customHeight="1">
      <c r="AN634" s="174">
        <f t="shared" si="15"/>
        <v>632</v>
      </c>
      <c r="AO634" s="171" t="s">
        <v>2174</v>
      </c>
      <c r="AP634" s="171" t="s">
        <v>747</v>
      </c>
      <c r="AQ634" s="172" t="s">
        <v>23</v>
      </c>
      <c r="AR634" s="249" t="s">
        <v>1545</v>
      </c>
      <c r="AS634" s="172">
        <v>106.11790000000001</v>
      </c>
      <c r="AT634" s="172">
        <v>10.4077</v>
      </c>
      <c r="AU634" s="172">
        <v>1.4200000000000001E-2</v>
      </c>
      <c r="AV634" s="247"/>
    </row>
    <row r="635" spans="40:48" ht="15" customHeight="1">
      <c r="AN635" s="174">
        <f t="shared" si="15"/>
        <v>633</v>
      </c>
      <c r="AO635" s="171" t="s">
        <v>2174</v>
      </c>
      <c r="AP635" s="171" t="s">
        <v>241</v>
      </c>
      <c r="AQ635" s="172" t="s">
        <v>23</v>
      </c>
      <c r="AR635" s="249" t="s">
        <v>1298</v>
      </c>
      <c r="AS635" s="172">
        <v>106.3413</v>
      </c>
      <c r="AT635" s="172">
        <v>10.449400000000001</v>
      </c>
      <c r="AU635" s="172">
        <v>2.8000000000000001E-2</v>
      </c>
      <c r="AV635" s="247"/>
    </row>
    <row r="636" spans="40:48" ht="15" customHeight="1">
      <c r="AN636" s="174">
        <f t="shared" si="15"/>
        <v>634</v>
      </c>
      <c r="AO636" s="171" t="s">
        <v>2174</v>
      </c>
      <c r="AP636" s="171" t="s">
        <v>748</v>
      </c>
      <c r="AQ636" s="172" t="s">
        <v>23</v>
      </c>
      <c r="AR636" s="249" t="s">
        <v>1546</v>
      </c>
      <c r="AS636" s="172">
        <v>106.4639</v>
      </c>
      <c r="AT636" s="172">
        <v>10.3522</v>
      </c>
      <c r="AU636" s="172">
        <v>3.4200000000000001E-2</v>
      </c>
      <c r="AV636" s="247"/>
    </row>
    <row r="637" spans="40:48" ht="15" customHeight="1">
      <c r="AN637" s="174">
        <f t="shared" si="15"/>
        <v>635</v>
      </c>
      <c r="AO637" s="171" t="s">
        <v>2174</v>
      </c>
      <c r="AP637" s="171" t="s">
        <v>749</v>
      </c>
      <c r="AQ637" s="172" t="s">
        <v>23</v>
      </c>
      <c r="AR637" s="249" t="s">
        <v>1547</v>
      </c>
      <c r="AS637" s="172">
        <v>106.712</v>
      </c>
      <c r="AT637" s="172">
        <v>10.32</v>
      </c>
      <c r="AU637" s="172">
        <v>7.85E-2</v>
      </c>
      <c r="AV637" s="247"/>
    </row>
    <row r="638" spans="40:48" ht="15" customHeight="1">
      <c r="AN638" s="174">
        <f t="shared" si="15"/>
        <v>636</v>
      </c>
      <c r="AO638" s="171" t="s">
        <v>2174</v>
      </c>
      <c r="AP638" s="171" t="s">
        <v>750</v>
      </c>
      <c r="AQ638" s="172" t="s">
        <v>23</v>
      </c>
      <c r="AR638" s="249" t="s">
        <v>1548</v>
      </c>
      <c r="AS638" s="172">
        <v>106.57980000000001</v>
      </c>
      <c r="AT638" s="172">
        <v>10.3452</v>
      </c>
      <c r="AU638" s="172">
        <v>5.74E-2</v>
      </c>
      <c r="AV638" s="247"/>
    </row>
    <row r="639" spans="40:48" ht="15" customHeight="1">
      <c r="AN639" s="174">
        <f t="shared" si="15"/>
        <v>637</v>
      </c>
      <c r="AO639" s="171" t="s">
        <v>2174</v>
      </c>
      <c r="AP639" s="171" t="s">
        <v>835</v>
      </c>
      <c r="AQ639" s="172" t="s">
        <v>23</v>
      </c>
      <c r="AR639" s="249" t="s">
        <v>1091</v>
      </c>
      <c r="AS639" s="172">
        <v>106.1931</v>
      </c>
      <c r="AT639" s="172">
        <v>10.4773</v>
      </c>
      <c r="AU639" s="172">
        <v>1.7999999999999999E-2</v>
      </c>
      <c r="AV639" s="247"/>
    </row>
    <row r="640" spans="40:48" ht="15" customHeight="1">
      <c r="AN640" s="169">
        <f t="shared" si="15"/>
        <v>638</v>
      </c>
      <c r="AO640" s="176" t="s">
        <v>2175</v>
      </c>
      <c r="AP640" s="176" t="s">
        <v>752</v>
      </c>
      <c r="AQ640" s="177" t="s">
        <v>23</v>
      </c>
      <c r="AR640" s="250" t="s">
        <v>960</v>
      </c>
      <c r="AS640" s="177">
        <v>106.3415</v>
      </c>
      <c r="AT640" s="177">
        <v>9.9382000000000001</v>
      </c>
      <c r="AU640" s="177">
        <v>2.1899999999999999E-2</v>
      </c>
      <c r="AV640" s="247"/>
    </row>
    <row r="641" spans="40:48" ht="15" customHeight="1">
      <c r="AN641" s="169">
        <f t="shared" si="15"/>
        <v>639</v>
      </c>
      <c r="AO641" s="176" t="s">
        <v>2175</v>
      </c>
      <c r="AP641" s="176" t="s">
        <v>2222</v>
      </c>
      <c r="AQ641" s="177" t="s">
        <v>23</v>
      </c>
      <c r="AR641" s="250" t="s">
        <v>1549</v>
      </c>
      <c r="AS641" s="177">
        <v>106.2034</v>
      </c>
      <c r="AT641" s="177">
        <v>9.9893000000000001</v>
      </c>
      <c r="AU641" s="177">
        <v>2.7699999999999999E-2</v>
      </c>
      <c r="AV641" s="247"/>
    </row>
    <row r="642" spans="40:48" ht="15" customHeight="1">
      <c r="AN642" s="169">
        <f t="shared" si="15"/>
        <v>640</v>
      </c>
      <c r="AO642" s="176" t="s">
        <v>2175</v>
      </c>
      <c r="AP642" s="176" t="s">
        <v>753</v>
      </c>
      <c r="AQ642" s="177" t="s">
        <v>23</v>
      </c>
      <c r="AR642" s="250" t="s">
        <v>1550</v>
      </c>
      <c r="AS642" s="177">
        <v>106.05459999999999</v>
      </c>
      <c r="AT642" s="177">
        <v>9.8704000000000001</v>
      </c>
      <c r="AU642" s="177">
        <v>6.6000000000000003E-2</v>
      </c>
      <c r="AV642" s="247"/>
    </row>
    <row r="643" spans="40:48" ht="15" customHeight="1">
      <c r="AN643" s="169">
        <f t="shared" si="15"/>
        <v>641</v>
      </c>
      <c r="AO643" s="176" t="s">
        <v>2175</v>
      </c>
      <c r="AP643" s="176" t="s">
        <v>754</v>
      </c>
      <c r="AQ643" s="177" t="s">
        <v>23</v>
      </c>
      <c r="AR643" s="250" t="s">
        <v>1551</v>
      </c>
      <c r="AS643" s="177">
        <v>106.4521</v>
      </c>
      <c r="AT643" s="177">
        <v>9.8048000000000002</v>
      </c>
      <c r="AU643" s="177">
        <v>2.86E-2</v>
      </c>
      <c r="AV643" s="247"/>
    </row>
    <row r="644" spans="40:48" ht="15" customHeight="1">
      <c r="AN644" s="169">
        <f t="shared" si="15"/>
        <v>642</v>
      </c>
      <c r="AO644" s="176" t="s">
        <v>2175</v>
      </c>
      <c r="AP644" s="176" t="s">
        <v>241</v>
      </c>
      <c r="AQ644" s="177" t="s">
        <v>23</v>
      </c>
      <c r="AR644" s="250" t="s">
        <v>1085</v>
      </c>
      <c r="AS644" s="177">
        <v>106.3466</v>
      </c>
      <c r="AT644" s="177">
        <v>9.8694000000000006</v>
      </c>
      <c r="AU644" s="177">
        <v>2.7199999999999998E-2</v>
      </c>
      <c r="AV644" s="247"/>
    </row>
    <row r="645" spans="40:48" ht="15" customHeight="1">
      <c r="AN645" s="169">
        <f t="shared" ref="AN645:AN676" si="16">AN644+1</f>
        <v>643</v>
      </c>
      <c r="AO645" s="176" t="s">
        <v>2175</v>
      </c>
      <c r="AP645" s="176" t="s">
        <v>755</v>
      </c>
      <c r="AQ645" s="177" t="s">
        <v>23</v>
      </c>
      <c r="AR645" s="250" t="s">
        <v>1552</v>
      </c>
      <c r="AS645" s="177">
        <v>106.4909</v>
      </c>
      <c r="AT645" s="177">
        <v>9.6342999999999996</v>
      </c>
      <c r="AU645" s="177">
        <v>4.9099999999999998E-2</v>
      </c>
      <c r="AV645" s="247"/>
    </row>
    <row r="646" spans="40:48" ht="15" customHeight="1">
      <c r="AN646" s="169">
        <f t="shared" si="16"/>
        <v>644</v>
      </c>
      <c r="AO646" s="176" t="s">
        <v>2175</v>
      </c>
      <c r="AP646" s="176" t="s">
        <v>756</v>
      </c>
      <c r="AQ646" s="177" t="s">
        <v>23</v>
      </c>
      <c r="AR646" s="250" t="s">
        <v>1553</v>
      </c>
      <c r="AS646" s="177">
        <v>106.18899999999999</v>
      </c>
      <c r="AT646" s="177">
        <v>9.8125999999999998</v>
      </c>
      <c r="AU646" s="177">
        <v>5.91E-2</v>
      </c>
      <c r="AV646" s="247"/>
    </row>
    <row r="647" spans="40:48" ht="15" customHeight="1">
      <c r="AN647" s="169">
        <f t="shared" si="16"/>
        <v>645</v>
      </c>
      <c r="AO647" s="176" t="s">
        <v>2175</v>
      </c>
      <c r="AP647" s="176" t="s">
        <v>757</v>
      </c>
      <c r="AQ647" s="177" t="s">
        <v>23</v>
      </c>
      <c r="AR647" s="250" t="s">
        <v>1554</v>
      </c>
      <c r="AS647" s="177">
        <v>106.2623</v>
      </c>
      <c r="AT647" s="177">
        <v>9.6806999999999999</v>
      </c>
      <c r="AU647" s="177">
        <v>6.7299999999999999E-2</v>
      </c>
      <c r="AV647" s="247"/>
    </row>
    <row r="648" spans="40:48" ht="15" customHeight="1">
      <c r="AN648" s="174">
        <f t="shared" si="16"/>
        <v>646</v>
      </c>
      <c r="AO648" s="171" t="s">
        <v>2176</v>
      </c>
      <c r="AP648" s="171" t="s">
        <v>759</v>
      </c>
      <c r="AQ648" s="172" t="s">
        <v>18</v>
      </c>
      <c r="AR648" s="249" t="s">
        <v>1555</v>
      </c>
      <c r="AS648" s="172">
        <v>105.21259999999999</v>
      </c>
      <c r="AT648" s="172">
        <v>21.814399999999999</v>
      </c>
      <c r="AU648" s="172">
        <v>5.9499999999999997E-2</v>
      </c>
      <c r="AV648" s="247"/>
    </row>
    <row r="649" spans="40:48" ht="15" customHeight="1">
      <c r="AN649" s="174">
        <f t="shared" si="16"/>
        <v>647</v>
      </c>
      <c r="AO649" s="171" t="s">
        <v>2176</v>
      </c>
      <c r="AP649" s="171" t="s">
        <v>760</v>
      </c>
      <c r="AQ649" s="172" t="s">
        <v>18</v>
      </c>
      <c r="AR649" s="249" t="s">
        <v>1534</v>
      </c>
      <c r="AS649" s="172">
        <v>105.26</v>
      </c>
      <c r="AT649" s="172">
        <v>22.148499999999999</v>
      </c>
      <c r="AU649" s="172">
        <v>0.02</v>
      </c>
      <c r="AV649" s="247"/>
    </row>
    <row r="650" spans="40:48" ht="15" customHeight="1">
      <c r="AN650" s="174">
        <f t="shared" si="16"/>
        <v>648</v>
      </c>
      <c r="AO650" s="171" t="s">
        <v>2176</v>
      </c>
      <c r="AP650" s="171" t="s">
        <v>761</v>
      </c>
      <c r="AQ650" s="172" t="s">
        <v>18</v>
      </c>
      <c r="AR650" s="249" t="s">
        <v>1556</v>
      </c>
      <c r="AS650" s="172">
        <v>105.02979999999999</v>
      </c>
      <c r="AT650" s="172">
        <v>22.073</v>
      </c>
      <c r="AU650" s="172">
        <v>4.8599999999999997E-2</v>
      </c>
      <c r="AV650" s="247"/>
    </row>
    <row r="651" spans="40:48" ht="15" customHeight="1">
      <c r="AN651" s="174">
        <f t="shared" si="16"/>
        <v>649</v>
      </c>
      <c r="AO651" s="171" t="s">
        <v>2176</v>
      </c>
      <c r="AP651" s="171" t="s">
        <v>762</v>
      </c>
      <c r="AQ651" s="172" t="s">
        <v>18</v>
      </c>
      <c r="AR651" s="249" t="s">
        <v>1557</v>
      </c>
      <c r="AS651" s="172">
        <v>105.39530000000001</v>
      </c>
      <c r="AT651" s="172">
        <v>22.350300000000001</v>
      </c>
      <c r="AU651" s="172">
        <v>4.3799999999999999E-2</v>
      </c>
      <c r="AV651" s="247"/>
    </row>
    <row r="652" spans="40:48" ht="15" customHeight="1">
      <c r="AN652" s="174">
        <f t="shared" si="16"/>
        <v>650</v>
      </c>
      <c r="AO652" s="171" t="s">
        <v>2176</v>
      </c>
      <c r="AP652" s="171" t="s">
        <v>823</v>
      </c>
      <c r="AQ652" s="172" t="s">
        <v>18</v>
      </c>
      <c r="AR652" s="249" t="s">
        <v>1558</v>
      </c>
      <c r="AS652" s="172">
        <v>105.3908</v>
      </c>
      <c r="AT652" s="172">
        <v>21.701699999999999</v>
      </c>
      <c r="AU652" s="172">
        <v>6.2700000000000006E-2</v>
      </c>
      <c r="AV652" s="247"/>
    </row>
    <row r="653" spans="40:48" ht="15" customHeight="1">
      <c r="AN653" s="174">
        <f t="shared" si="16"/>
        <v>651</v>
      </c>
      <c r="AO653" s="171" t="s">
        <v>2176</v>
      </c>
      <c r="AP653" s="171" t="s">
        <v>763</v>
      </c>
      <c r="AQ653" s="172" t="s">
        <v>18</v>
      </c>
      <c r="AR653" s="249" t="s">
        <v>1559</v>
      </c>
      <c r="AS653" s="172">
        <v>105.2201</v>
      </c>
      <c r="AT653" s="172">
        <v>21.795999999999999</v>
      </c>
      <c r="AU653" s="172">
        <v>6.2E-2</v>
      </c>
      <c r="AV653" s="247"/>
    </row>
    <row r="654" spans="40:48" ht="15" customHeight="1">
      <c r="AN654" s="169">
        <f t="shared" si="16"/>
        <v>652</v>
      </c>
      <c r="AO654" s="175" t="s">
        <v>2177</v>
      </c>
      <c r="AP654" s="176" t="s">
        <v>764</v>
      </c>
      <c r="AQ654" s="177" t="s">
        <v>23</v>
      </c>
      <c r="AR654" s="250" t="s">
        <v>967</v>
      </c>
      <c r="AS654" s="177">
        <v>105.9765</v>
      </c>
      <c r="AT654" s="177">
        <v>10.253</v>
      </c>
      <c r="AU654" s="177">
        <v>2.1999999999999999E-2</v>
      </c>
      <c r="AV654" s="247"/>
    </row>
    <row r="655" spans="40:48" ht="15" customHeight="1">
      <c r="AN655" s="174">
        <f t="shared" si="16"/>
        <v>653</v>
      </c>
      <c r="AO655" s="175" t="s">
        <v>2177</v>
      </c>
      <c r="AP655" s="176" t="s">
        <v>765</v>
      </c>
      <c r="AQ655" s="177" t="s">
        <v>23</v>
      </c>
      <c r="AR655" s="250" t="s">
        <v>1560</v>
      </c>
      <c r="AS655" s="177">
        <v>105.82389999999999</v>
      </c>
      <c r="AT655" s="177">
        <v>10.07</v>
      </c>
      <c r="AU655" s="177">
        <v>7.1999999999999995E-2</v>
      </c>
      <c r="AV655" s="247"/>
    </row>
    <row r="656" spans="40:48" ht="15" customHeight="1">
      <c r="AN656" s="174">
        <f t="shared" si="16"/>
        <v>654</v>
      </c>
      <c r="AO656" s="175" t="s">
        <v>2177</v>
      </c>
      <c r="AP656" s="176" t="s">
        <v>766</v>
      </c>
      <c r="AQ656" s="177" t="s">
        <v>23</v>
      </c>
      <c r="AR656" s="250" t="s">
        <v>1561</v>
      </c>
      <c r="AS656" s="177">
        <v>106.01260000000001</v>
      </c>
      <c r="AT656" s="177">
        <v>10.192600000000001</v>
      </c>
      <c r="AU656" s="177">
        <v>2.4500000000000001E-2</v>
      </c>
      <c r="AV656" s="247"/>
    </row>
    <row r="657" spans="40:48" ht="15" customHeight="1">
      <c r="AN657" s="174">
        <f t="shared" si="16"/>
        <v>655</v>
      </c>
      <c r="AO657" s="175" t="s">
        <v>2177</v>
      </c>
      <c r="AP657" s="176" t="s">
        <v>767</v>
      </c>
      <c r="AQ657" s="177" t="s">
        <v>23</v>
      </c>
      <c r="AR657" s="250" t="s">
        <v>1562</v>
      </c>
      <c r="AS657" s="177">
        <v>106.1109</v>
      </c>
      <c r="AT657" s="177">
        <v>10.1778</v>
      </c>
      <c r="AU657" s="177">
        <v>1.9699999999999999E-2</v>
      </c>
      <c r="AV657" s="247"/>
    </row>
    <row r="658" spans="40:48" ht="15" customHeight="1">
      <c r="AN658" s="174">
        <f t="shared" si="16"/>
        <v>656</v>
      </c>
      <c r="AO658" s="175" t="s">
        <v>2177</v>
      </c>
      <c r="AP658" s="176" t="s">
        <v>768</v>
      </c>
      <c r="AQ658" s="177" t="s">
        <v>23</v>
      </c>
      <c r="AR658" s="250" t="s">
        <v>1563</v>
      </c>
      <c r="AS658" s="177">
        <v>105.99420000000001</v>
      </c>
      <c r="AT658" s="177">
        <v>10.043799999999999</v>
      </c>
      <c r="AU658" s="177">
        <v>4.6800000000000001E-2</v>
      </c>
      <c r="AV658" s="247"/>
    </row>
    <row r="659" spans="40:48" ht="15" customHeight="1">
      <c r="AN659" s="174">
        <f t="shared" si="16"/>
        <v>657</v>
      </c>
      <c r="AO659" s="175" t="s">
        <v>2177</v>
      </c>
      <c r="AP659" s="176" t="s">
        <v>769</v>
      </c>
      <c r="AQ659" s="177" t="s">
        <v>23</v>
      </c>
      <c r="AR659" s="250" t="s">
        <v>1564</v>
      </c>
      <c r="AS659" s="177">
        <v>105.92189999999999</v>
      </c>
      <c r="AT659" s="177">
        <v>9.9657999999999998</v>
      </c>
      <c r="AU659" s="177">
        <v>6.4199999999999993E-2</v>
      </c>
    </row>
    <row r="660" spans="40:48" ht="15" customHeight="1">
      <c r="AN660" s="174">
        <f t="shared" si="16"/>
        <v>658</v>
      </c>
      <c r="AO660" s="175" t="s">
        <v>2177</v>
      </c>
      <c r="AP660" s="176" t="s">
        <v>770</v>
      </c>
      <c r="AQ660" s="177" t="s">
        <v>23</v>
      </c>
      <c r="AR660" s="250" t="s">
        <v>1565</v>
      </c>
      <c r="AS660" s="177">
        <v>106.18470000000001</v>
      </c>
      <c r="AT660" s="177">
        <v>10.095800000000001</v>
      </c>
      <c r="AU660" s="177">
        <v>2.0400000000000001E-2</v>
      </c>
    </row>
    <row r="661" spans="40:48" ht="15" customHeight="1">
      <c r="AN661" s="174">
        <f t="shared" si="16"/>
        <v>659</v>
      </c>
      <c r="AO661" s="171" t="s">
        <v>2178</v>
      </c>
      <c r="AP661" s="171" t="s">
        <v>772</v>
      </c>
      <c r="AQ661" s="172" t="s">
        <v>25</v>
      </c>
      <c r="AR661" s="249" t="s">
        <v>1566</v>
      </c>
      <c r="AS661" s="172">
        <v>105.70489999999999</v>
      </c>
      <c r="AT661" s="172">
        <v>21.237200000000001</v>
      </c>
      <c r="AU661" s="172">
        <v>7.9299999999999995E-2</v>
      </c>
    </row>
    <row r="662" spans="40:48" ht="15" customHeight="1">
      <c r="AN662" s="174">
        <f t="shared" si="16"/>
        <v>660</v>
      </c>
      <c r="AO662" s="171" t="s">
        <v>2178</v>
      </c>
      <c r="AP662" s="171" t="s">
        <v>2223</v>
      </c>
      <c r="AQ662" s="172" t="s">
        <v>25</v>
      </c>
      <c r="AR662" s="249" t="s">
        <v>1567</v>
      </c>
      <c r="AS662" s="172">
        <v>105.59650000000001</v>
      </c>
      <c r="AT662" s="172">
        <v>21.3123</v>
      </c>
      <c r="AU662" s="172">
        <v>8.3699999999999997E-2</v>
      </c>
    </row>
    <row r="663" spans="40:48">
      <c r="AN663" s="174">
        <f t="shared" si="16"/>
        <v>661</v>
      </c>
      <c r="AO663" s="171" t="s">
        <v>2178</v>
      </c>
      <c r="AP663" s="171" t="s">
        <v>774</v>
      </c>
      <c r="AQ663" s="172" t="s">
        <v>25</v>
      </c>
      <c r="AR663" s="249" t="s">
        <v>1568</v>
      </c>
      <c r="AS663" s="172">
        <v>105.648</v>
      </c>
      <c r="AT663" s="172">
        <v>21.2775</v>
      </c>
      <c r="AU663" s="172">
        <v>8.0799999999999997E-2</v>
      </c>
    </row>
    <row r="664" spans="40:48">
      <c r="AN664" s="174">
        <f t="shared" si="16"/>
        <v>662</v>
      </c>
      <c r="AO664" s="171" t="s">
        <v>2178</v>
      </c>
      <c r="AP664" s="171" t="s">
        <v>775</v>
      </c>
      <c r="AQ664" s="172" t="s">
        <v>23</v>
      </c>
      <c r="AR664" s="249" t="s">
        <v>1569</v>
      </c>
      <c r="AS664" s="172">
        <v>105.4603</v>
      </c>
      <c r="AT664" s="172">
        <v>21.415900000000001</v>
      </c>
      <c r="AU664" s="172">
        <v>9.69E-2</v>
      </c>
    </row>
    <row r="665" spans="40:48">
      <c r="AN665" s="174">
        <f t="shared" si="16"/>
        <v>663</v>
      </c>
      <c r="AO665" s="171" t="s">
        <v>2178</v>
      </c>
      <c r="AP665" s="171" t="s">
        <v>824</v>
      </c>
      <c r="AQ665" s="172" t="s">
        <v>25</v>
      </c>
      <c r="AR665" s="249" t="s">
        <v>1570</v>
      </c>
      <c r="AS665" s="172">
        <v>105.5393</v>
      </c>
      <c r="AT665" s="172">
        <v>21.381699999999999</v>
      </c>
      <c r="AU665" s="172">
        <v>8.4900000000000003E-2</v>
      </c>
    </row>
    <row r="666" spans="40:48">
      <c r="AN666" s="174">
        <f t="shared" si="16"/>
        <v>664</v>
      </c>
      <c r="AO666" s="171" t="s">
        <v>2178</v>
      </c>
      <c r="AP666" s="171" t="s">
        <v>857</v>
      </c>
      <c r="AQ666" s="172" t="s">
        <v>25</v>
      </c>
      <c r="AR666" s="249" t="s">
        <v>1571</v>
      </c>
      <c r="AS666" s="172">
        <v>105.5153</v>
      </c>
      <c r="AT666" s="172">
        <v>21.219799999999999</v>
      </c>
      <c r="AU666" s="172">
        <v>0.1144</v>
      </c>
    </row>
    <row r="667" spans="40:48">
      <c r="AN667" s="174">
        <f t="shared" si="16"/>
        <v>665</v>
      </c>
      <c r="AO667" s="171" t="s">
        <v>2178</v>
      </c>
      <c r="AP667" s="171" t="s">
        <v>777</v>
      </c>
      <c r="AQ667" s="172" t="s">
        <v>25</v>
      </c>
      <c r="AR667" s="249" t="s">
        <v>1072</v>
      </c>
      <c r="AS667" s="172">
        <v>105.5772</v>
      </c>
      <c r="AT667" s="172">
        <v>21.234000000000002</v>
      </c>
      <c r="AU667" s="172">
        <v>0.10879999999999999</v>
      </c>
    </row>
    <row r="668" spans="40:48">
      <c r="AN668" s="174">
        <f t="shared" si="16"/>
        <v>666</v>
      </c>
      <c r="AO668" s="176" t="s">
        <v>2179</v>
      </c>
      <c r="AP668" s="176" t="s">
        <v>779</v>
      </c>
      <c r="AQ668" s="177" t="s">
        <v>18</v>
      </c>
      <c r="AR668" s="250" t="s">
        <v>1572</v>
      </c>
      <c r="AS668" s="177">
        <v>104.8788</v>
      </c>
      <c r="AT668" s="177">
        <v>21.711099999999998</v>
      </c>
      <c r="AU668" s="177">
        <v>0.113</v>
      </c>
    </row>
    <row r="669" spans="40:48">
      <c r="AN669" s="174">
        <f t="shared" si="16"/>
        <v>667</v>
      </c>
      <c r="AO669" s="176" t="s">
        <v>2179</v>
      </c>
      <c r="AP669" s="176" t="s">
        <v>780</v>
      </c>
      <c r="AQ669" s="177" t="s">
        <v>18</v>
      </c>
      <c r="AR669" s="250" t="s">
        <v>1573</v>
      </c>
      <c r="AS669" s="177">
        <v>104.5119</v>
      </c>
      <c r="AT669" s="177">
        <v>21.603000000000002</v>
      </c>
      <c r="AU669" s="177">
        <v>6.8000000000000005E-2</v>
      </c>
    </row>
    <row r="670" spans="40:48">
      <c r="AN670" s="174">
        <f t="shared" si="16"/>
        <v>668</v>
      </c>
      <c r="AO670" s="176" t="s">
        <v>2179</v>
      </c>
      <c r="AP670" s="176" t="s">
        <v>781</v>
      </c>
      <c r="AQ670" s="177" t="s">
        <v>18</v>
      </c>
      <c r="AR670" s="250" t="s">
        <v>1574</v>
      </c>
      <c r="AS670" s="177">
        <v>104.7667</v>
      </c>
      <c r="AT670" s="177">
        <v>22.0974</v>
      </c>
      <c r="AU670" s="177">
        <v>0.1086</v>
      </c>
    </row>
    <row r="671" spans="40:48">
      <c r="AN671" s="174">
        <f t="shared" si="16"/>
        <v>669</v>
      </c>
      <c r="AO671" s="176" t="s">
        <v>2179</v>
      </c>
      <c r="AP671" s="176" t="s">
        <v>782</v>
      </c>
      <c r="AQ671" s="177" t="s">
        <v>18</v>
      </c>
      <c r="AR671" s="250" t="s">
        <v>1575</v>
      </c>
      <c r="AS671" s="177">
        <v>104.08620000000001</v>
      </c>
      <c r="AT671" s="177">
        <v>21.851099999999999</v>
      </c>
      <c r="AU671" s="177">
        <v>5.6099999999999997E-2</v>
      </c>
    </row>
    <row r="672" spans="40:48">
      <c r="AN672" s="174">
        <f t="shared" si="16"/>
        <v>670</v>
      </c>
      <c r="AO672" s="176" t="s">
        <v>2179</v>
      </c>
      <c r="AP672" s="176" t="s">
        <v>783</v>
      </c>
      <c r="AQ672" s="177" t="s">
        <v>18</v>
      </c>
      <c r="AR672" s="250" t="s">
        <v>1576</v>
      </c>
      <c r="AS672" s="177">
        <v>104.3886</v>
      </c>
      <c r="AT672" s="177">
        <v>21.4666</v>
      </c>
      <c r="AU672" s="177">
        <v>4.48E-2</v>
      </c>
    </row>
    <row r="673" spans="40:47">
      <c r="AN673" s="174">
        <f t="shared" si="16"/>
        <v>671</v>
      </c>
      <c r="AO673" s="176" t="s">
        <v>2179</v>
      </c>
      <c r="AP673" s="176" t="s">
        <v>784</v>
      </c>
      <c r="AQ673" s="177" t="s">
        <v>18</v>
      </c>
      <c r="AR673" s="250" t="s">
        <v>1577</v>
      </c>
      <c r="AS673" s="177">
        <v>104.8232</v>
      </c>
      <c r="AT673" s="177">
        <v>21.758600000000001</v>
      </c>
      <c r="AU673" s="177">
        <v>0.11020000000000001</v>
      </c>
    </row>
    <row r="674" spans="40:47">
      <c r="AN674" s="174">
        <f t="shared" si="16"/>
        <v>672</v>
      </c>
      <c r="AO674" s="176" t="s">
        <v>2179</v>
      </c>
      <c r="AP674" s="176" t="s">
        <v>785</v>
      </c>
      <c r="AQ674" s="177" t="s">
        <v>18</v>
      </c>
      <c r="AR674" s="250" t="s">
        <v>1578</v>
      </c>
      <c r="AS674" s="177">
        <v>104.49250000000001</v>
      </c>
      <c r="AT674" s="177">
        <v>21.652100000000001</v>
      </c>
      <c r="AU674" s="177">
        <v>6.9400000000000003E-2</v>
      </c>
    </row>
    <row r="675" spans="40:47">
      <c r="AN675" s="174">
        <f t="shared" si="16"/>
        <v>673</v>
      </c>
      <c r="AO675" s="176" t="s">
        <v>2179</v>
      </c>
      <c r="AP675" s="176" t="s">
        <v>786</v>
      </c>
      <c r="AQ675" s="177" t="s">
        <v>18</v>
      </c>
      <c r="AR675" s="250" t="s">
        <v>1579</v>
      </c>
      <c r="AS675" s="177">
        <v>104.6855</v>
      </c>
      <c r="AT675" s="177">
        <v>21.8749</v>
      </c>
      <c r="AU675" s="177">
        <v>0.10829999999999999</v>
      </c>
    </row>
    <row r="676" spans="40:47">
      <c r="AN676" s="174">
        <f t="shared" si="16"/>
        <v>674</v>
      </c>
      <c r="AO676" s="176" t="s">
        <v>2179</v>
      </c>
      <c r="AP676" s="176" t="s">
        <v>787</v>
      </c>
      <c r="AQ676" s="177" t="s">
        <v>18</v>
      </c>
      <c r="AR676" s="250" t="s">
        <v>1580</v>
      </c>
      <c r="AS676" s="177">
        <v>104.9641</v>
      </c>
      <c r="AT676" s="177">
        <v>21.726800000000001</v>
      </c>
      <c r="AU676" s="177">
        <v>0.1128</v>
      </c>
    </row>
    <row r="677" spans="40:47">
      <c r="AO677" s="180"/>
      <c r="AP677" s="180"/>
      <c r="AQ677" s="179"/>
      <c r="AR677" s="230" t="s">
        <v>1581</v>
      </c>
      <c r="AS677" s="251"/>
      <c r="AT677" s="251"/>
      <c r="AU677" s="252"/>
    </row>
  </sheetData>
  <mergeCells count="19">
    <mergeCell ref="AE17:AG17"/>
    <mergeCell ref="AA3:AC3"/>
    <mergeCell ref="AB4:AC4"/>
    <mergeCell ref="X3:Y3"/>
    <mergeCell ref="T3:T4"/>
    <mergeCell ref="P54:R54"/>
    <mergeCell ref="P55:R55"/>
    <mergeCell ref="P56:R56"/>
    <mergeCell ref="B2:R2"/>
    <mergeCell ref="P53:R53"/>
    <mergeCell ref="N25:R25"/>
    <mergeCell ref="N26:R26"/>
    <mergeCell ref="N27:R27"/>
    <mergeCell ref="N28:R28"/>
    <mergeCell ref="U3:U4"/>
    <mergeCell ref="V3:V4"/>
    <mergeCell ref="W3:W4"/>
    <mergeCell ref="AU1:AU2"/>
    <mergeCell ref="AS1:AT1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567"/>
  <sheetViews>
    <sheetView topLeftCell="A19" zoomScale="70" zoomScaleNormal="70" workbookViewId="0">
      <selection activeCell="A22" sqref="A22:A26"/>
    </sheetView>
  </sheetViews>
  <sheetFormatPr defaultRowHeight="15"/>
  <cols>
    <col min="1" max="1" width="50.44140625" style="185" customWidth="1"/>
    <col min="2" max="2" width="9.88671875" style="185" customWidth="1"/>
    <col min="3" max="3" width="10.44140625" style="185" customWidth="1"/>
    <col min="4" max="4" width="19" style="185" customWidth="1"/>
    <col min="5" max="5" width="41.21875" style="185" customWidth="1"/>
    <col min="6" max="6" width="20.21875" style="185" customWidth="1"/>
    <col min="7" max="7" width="17.109375" style="185" customWidth="1"/>
    <col min="8" max="8" width="16.21875" style="185" customWidth="1"/>
    <col min="9" max="9" width="18.33203125" style="185" customWidth="1"/>
    <col min="10" max="10" width="49.88671875" style="185" customWidth="1"/>
    <col min="11" max="11" width="35.44140625" style="185" customWidth="1"/>
    <col min="12" max="15" width="13.77734375" style="185" customWidth="1"/>
    <col min="16" max="16" width="8" style="185" customWidth="1"/>
    <col min="17" max="17" width="8" style="228" customWidth="1"/>
    <col min="18" max="18" width="24.77734375" style="228" customWidth="1"/>
    <col min="19" max="19" width="26.21875" style="228" customWidth="1"/>
    <col min="20" max="20" width="22.44140625" style="228" customWidth="1"/>
    <col min="21" max="21" width="9" style="228"/>
    <col min="22" max="22" width="11.6640625" style="228" customWidth="1"/>
    <col min="23" max="23" width="18.88671875" style="228" customWidth="1"/>
    <col min="24" max="24" width="9" style="185"/>
    <col min="25" max="25" width="22.33203125" style="181" customWidth="1"/>
    <col min="26" max="254" width="9" style="185"/>
    <col min="255" max="255" width="14.77734375" style="185" customWidth="1"/>
    <col min="256" max="256" width="9.88671875" style="185" customWidth="1"/>
    <col min="257" max="257" width="10.44140625" style="185" customWidth="1"/>
    <col min="258" max="258" width="8" style="185" customWidth="1"/>
    <col min="259" max="259" width="11.88671875" style="185" customWidth="1"/>
    <col min="260" max="260" width="12.44140625" style="185" customWidth="1"/>
    <col min="261" max="261" width="10.88671875" style="185" customWidth="1"/>
    <col min="262" max="262" width="10.33203125" style="185" customWidth="1"/>
    <col min="263" max="263" width="10" style="185" customWidth="1"/>
    <col min="264" max="264" width="8" style="185" customWidth="1"/>
    <col min="265" max="265" width="30.6640625" style="185" customWidth="1"/>
    <col min="266" max="266" width="20.88671875" style="185" customWidth="1"/>
    <col min="267" max="268" width="10.77734375" style="185" customWidth="1"/>
    <col min="269" max="269" width="14.44140625" style="185" customWidth="1"/>
    <col min="270" max="270" width="8" style="185" customWidth="1"/>
    <col min="271" max="271" width="28.6640625" style="185" customWidth="1"/>
    <col min="272" max="275" width="8" style="185" customWidth="1"/>
    <col min="276" max="276" width="10.33203125" style="185" bestFit="1" customWidth="1"/>
    <col min="277" max="510" width="9" style="185"/>
    <col min="511" max="511" width="14.77734375" style="185" customWidth="1"/>
    <col min="512" max="512" width="9.88671875" style="185" customWidth="1"/>
    <col min="513" max="513" width="10.44140625" style="185" customWidth="1"/>
    <col min="514" max="514" width="8" style="185" customWidth="1"/>
    <col min="515" max="515" width="11.88671875" style="185" customWidth="1"/>
    <col min="516" max="516" width="12.44140625" style="185" customWidth="1"/>
    <col min="517" max="517" width="10.88671875" style="185" customWidth="1"/>
    <col min="518" max="518" width="10.33203125" style="185" customWidth="1"/>
    <col min="519" max="519" width="10" style="185" customWidth="1"/>
    <col min="520" max="520" width="8" style="185" customWidth="1"/>
    <col min="521" max="521" width="30.6640625" style="185" customWidth="1"/>
    <col min="522" max="522" width="20.88671875" style="185" customWidth="1"/>
    <col min="523" max="524" width="10.77734375" style="185" customWidth="1"/>
    <col min="525" max="525" width="14.44140625" style="185" customWidth="1"/>
    <col min="526" max="526" width="8" style="185" customWidth="1"/>
    <col min="527" max="527" width="28.6640625" style="185" customWidth="1"/>
    <col min="528" max="531" width="8" style="185" customWidth="1"/>
    <col min="532" max="532" width="10.33203125" style="185" bestFit="1" customWidth="1"/>
    <col min="533" max="766" width="9" style="185"/>
    <col min="767" max="767" width="14.77734375" style="185" customWidth="1"/>
    <col min="768" max="768" width="9.88671875" style="185" customWidth="1"/>
    <col min="769" max="769" width="10.44140625" style="185" customWidth="1"/>
    <col min="770" max="770" width="8" style="185" customWidth="1"/>
    <col min="771" max="771" width="11.88671875" style="185" customWidth="1"/>
    <col min="772" max="772" width="12.44140625" style="185" customWidth="1"/>
    <col min="773" max="773" width="10.88671875" style="185" customWidth="1"/>
    <col min="774" max="774" width="10.33203125" style="185" customWidth="1"/>
    <col min="775" max="775" width="10" style="185" customWidth="1"/>
    <col min="776" max="776" width="8" style="185" customWidth="1"/>
    <col min="777" max="777" width="30.6640625" style="185" customWidth="1"/>
    <col min="778" max="778" width="20.88671875" style="185" customWidth="1"/>
    <col min="779" max="780" width="10.77734375" style="185" customWidth="1"/>
    <col min="781" max="781" width="14.44140625" style="185" customWidth="1"/>
    <col min="782" max="782" width="8" style="185" customWidth="1"/>
    <col min="783" max="783" width="28.6640625" style="185" customWidth="1"/>
    <col min="784" max="787" width="8" style="185" customWidth="1"/>
    <col min="788" max="788" width="10.33203125" style="185" bestFit="1" customWidth="1"/>
    <col min="789" max="1022" width="9" style="185"/>
    <col min="1023" max="1023" width="14.77734375" style="185" customWidth="1"/>
    <col min="1024" max="1024" width="9.88671875" style="185" customWidth="1"/>
    <col min="1025" max="1025" width="10.44140625" style="185" customWidth="1"/>
    <col min="1026" max="1026" width="8" style="185" customWidth="1"/>
    <col min="1027" max="1027" width="11.88671875" style="185" customWidth="1"/>
    <col min="1028" max="1028" width="12.44140625" style="185" customWidth="1"/>
    <col min="1029" max="1029" width="10.88671875" style="185" customWidth="1"/>
    <col min="1030" max="1030" width="10.33203125" style="185" customWidth="1"/>
    <col min="1031" max="1031" width="10" style="185" customWidth="1"/>
    <col min="1032" max="1032" width="8" style="185" customWidth="1"/>
    <col min="1033" max="1033" width="30.6640625" style="185" customWidth="1"/>
    <col min="1034" max="1034" width="20.88671875" style="185" customWidth="1"/>
    <col min="1035" max="1036" width="10.77734375" style="185" customWidth="1"/>
    <col min="1037" max="1037" width="14.44140625" style="185" customWidth="1"/>
    <col min="1038" max="1038" width="8" style="185" customWidth="1"/>
    <col min="1039" max="1039" width="28.6640625" style="185" customWidth="1"/>
    <col min="1040" max="1043" width="8" style="185" customWidth="1"/>
    <col min="1044" max="1044" width="10.33203125" style="185" bestFit="1" customWidth="1"/>
    <col min="1045" max="1278" width="9" style="185"/>
    <col min="1279" max="1279" width="14.77734375" style="185" customWidth="1"/>
    <col min="1280" max="1280" width="9.88671875" style="185" customWidth="1"/>
    <col min="1281" max="1281" width="10.44140625" style="185" customWidth="1"/>
    <col min="1282" max="1282" width="8" style="185" customWidth="1"/>
    <col min="1283" max="1283" width="11.88671875" style="185" customWidth="1"/>
    <col min="1284" max="1284" width="12.44140625" style="185" customWidth="1"/>
    <col min="1285" max="1285" width="10.88671875" style="185" customWidth="1"/>
    <col min="1286" max="1286" width="10.33203125" style="185" customWidth="1"/>
    <col min="1287" max="1287" width="10" style="185" customWidth="1"/>
    <col min="1288" max="1288" width="8" style="185" customWidth="1"/>
    <col min="1289" max="1289" width="30.6640625" style="185" customWidth="1"/>
    <col min="1290" max="1290" width="20.88671875" style="185" customWidth="1"/>
    <col min="1291" max="1292" width="10.77734375" style="185" customWidth="1"/>
    <col min="1293" max="1293" width="14.44140625" style="185" customWidth="1"/>
    <col min="1294" max="1294" width="8" style="185" customWidth="1"/>
    <col min="1295" max="1295" width="28.6640625" style="185" customWidth="1"/>
    <col min="1296" max="1299" width="8" style="185" customWidth="1"/>
    <col min="1300" max="1300" width="10.33203125" style="185" bestFit="1" customWidth="1"/>
    <col min="1301" max="1534" width="9" style="185"/>
    <col min="1535" max="1535" width="14.77734375" style="185" customWidth="1"/>
    <col min="1536" max="1536" width="9.88671875" style="185" customWidth="1"/>
    <col min="1537" max="1537" width="10.44140625" style="185" customWidth="1"/>
    <col min="1538" max="1538" width="8" style="185" customWidth="1"/>
    <col min="1539" max="1539" width="11.88671875" style="185" customWidth="1"/>
    <col min="1540" max="1540" width="12.44140625" style="185" customWidth="1"/>
    <col min="1541" max="1541" width="10.88671875" style="185" customWidth="1"/>
    <col min="1542" max="1542" width="10.33203125" style="185" customWidth="1"/>
    <col min="1543" max="1543" width="10" style="185" customWidth="1"/>
    <col min="1544" max="1544" width="8" style="185" customWidth="1"/>
    <col min="1545" max="1545" width="30.6640625" style="185" customWidth="1"/>
    <col min="1546" max="1546" width="20.88671875" style="185" customWidth="1"/>
    <col min="1547" max="1548" width="10.77734375" style="185" customWidth="1"/>
    <col min="1549" max="1549" width="14.44140625" style="185" customWidth="1"/>
    <col min="1550" max="1550" width="8" style="185" customWidth="1"/>
    <col min="1551" max="1551" width="28.6640625" style="185" customWidth="1"/>
    <col min="1552" max="1555" width="8" style="185" customWidth="1"/>
    <col min="1556" max="1556" width="10.33203125" style="185" bestFit="1" customWidth="1"/>
    <col min="1557" max="1790" width="9" style="185"/>
    <col min="1791" max="1791" width="14.77734375" style="185" customWidth="1"/>
    <col min="1792" max="1792" width="9.88671875" style="185" customWidth="1"/>
    <col min="1793" max="1793" width="10.44140625" style="185" customWidth="1"/>
    <col min="1794" max="1794" width="8" style="185" customWidth="1"/>
    <col min="1795" max="1795" width="11.88671875" style="185" customWidth="1"/>
    <col min="1796" max="1796" width="12.44140625" style="185" customWidth="1"/>
    <col min="1797" max="1797" width="10.88671875" style="185" customWidth="1"/>
    <col min="1798" max="1798" width="10.33203125" style="185" customWidth="1"/>
    <col min="1799" max="1799" width="10" style="185" customWidth="1"/>
    <col min="1800" max="1800" width="8" style="185" customWidth="1"/>
    <col min="1801" max="1801" width="30.6640625" style="185" customWidth="1"/>
    <col min="1802" max="1802" width="20.88671875" style="185" customWidth="1"/>
    <col min="1803" max="1804" width="10.77734375" style="185" customWidth="1"/>
    <col min="1805" max="1805" width="14.44140625" style="185" customWidth="1"/>
    <col min="1806" max="1806" width="8" style="185" customWidth="1"/>
    <col min="1807" max="1807" width="28.6640625" style="185" customWidth="1"/>
    <col min="1808" max="1811" width="8" style="185" customWidth="1"/>
    <col min="1812" max="1812" width="10.33203125" style="185" bestFit="1" customWidth="1"/>
    <col min="1813" max="2046" width="9" style="185"/>
    <col min="2047" max="2047" width="14.77734375" style="185" customWidth="1"/>
    <col min="2048" max="2048" width="9.88671875" style="185" customWidth="1"/>
    <col min="2049" max="2049" width="10.44140625" style="185" customWidth="1"/>
    <col min="2050" max="2050" width="8" style="185" customWidth="1"/>
    <col min="2051" max="2051" width="11.88671875" style="185" customWidth="1"/>
    <col min="2052" max="2052" width="12.44140625" style="185" customWidth="1"/>
    <col min="2053" max="2053" width="10.88671875" style="185" customWidth="1"/>
    <col min="2054" max="2054" width="10.33203125" style="185" customWidth="1"/>
    <col min="2055" max="2055" width="10" style="185" customWidth="1"/>
    <col min="2056" max="2056" width="8" style="185" customWidth="1"/>
    <col min="2057" max="2057" width="30.6640625" style="185" customWidth="1"/>
    <col min="2058" max="2058" width="20.88671875" style="185" customWidth="1"/>
    <col min="2059" max="2060" width="10.77734375" style="185" customWidth="1"/>
    <col min="2061" max="2061" width="14.44140625" style="185" customWidth="1"/>
    <col min="2062" max="2062" width="8" style="185" customWidth="1"/>
    <col min="2063" max="2063" width="28.6640625" style="185" customWidth="1"/>
    <col min="2064" max="2067" width="8" style="185" customWidth="1"/>
    <col min="2068" max="2068" width="10.33203125" style="185" bestFit="1" customWidth="1"/>
    <col min="2069" max="2302" width="9" style="185"/>
    <col min="2303" max="2303" width="14.77734375" style="185" customWidth="1"/>
    <col min="2304" max="2304" width="9.88671875" style="185" customWidth="1"/>
    <col min="2305" max="2305" width="10.44140625" style="185" customWidth="1"/>
    <col min="2306" max="2306" width="8" style="185" customWidth="1"/>
    <col min="2307" max="2307" width="11.88671875" style="185" customWidth="1"/>
    <col min="2308" max="2308" width="12.44140625" style="185" customWidth="1"/>
    <col min="2309" max="2309" width="10.88671875" style="185" customWidth="1"/>
    <col min="2310" max="2310" width="10.33203125" style="185" customWidth="1"/>
    <col min="2311" max="2311" width="10" style="185" customWidth="1"/>
    <col min="2312" max="2312" width="8" style="185" customWidth="1"/>
    <col min="2313" max="2313" width="30.6640625" style="185" customWidth="1"/>
    <col min="2314" max="2314" width="20.88671875" style="185" customWidth="1"/>
    <col min="2315" max="2316" width="10.77734375" style="185" customWidth="1"/>
    <col min="2317" max="2317" width="14.44140625" style="185" customWidth="1"/>
    <col min="2318" max="2318" width="8" style="185" customWidth="1"/>
    <col min="2319" max="2319" width="28.6640625" style="185" customWidth="1"/>
    <col min="2320" max="2323" width="8" style="185" customWidth="1"/>
    <col min="2324" max="2324" width="10.33203125" style="185" bestFit="1" customWidth="1"/>
    <col min="2325" max="2558" width="9" style="185"/>
    <col min="2559" max="2559" width="14.77734375" style="185" customWidth="1"/>
    <col min="2560" max="2560" width="9.88671875" style="185" customWidth="1"/>
    <col min="2561" max="2561" width="10.44140625" style="185" customWidth="1"/>
    <col min="2562" max="2562" width="8" style="185" customWidth="1"/>
    <col min="2563" max="2563" width="11.88671875" style="185" customWidth="1"/>
    <col min="2564" max="2564" width="12.44140625" style="185" customWidth="1"/>
    <col min="2565" max="2565" width="10.88671875" style="185" customWidth="1"/>
    <col min="2566" max="2566" width="10.33203125" style="185" customWidth="1"/>
    <col min="2567" max="2567" width="10" style="185" customWidth="1"/>
    <col min="2568" max="2568" width="8" style="185" customWidth="1"/>
    <col min="2569" max="2569" width="30.6640625" style="185" customWidth="1"/>
    <col min="2570" max="2570" width="20.88671875" style="185" customWidth="1"/>
    <col min="2571" max="2572" width="10.77734375" style="185" customWidth="1"/>
    <col min="2573" max="2573" width="14.44140625" style="185" customWidth="1"/>
    <col min="2574" max="2574" width="8" style="185" customWidth="1"/>
    <col min="2575" max="2575" width="28.6640625" style="185" customWidth="1"/>
    <col min="2576" max="2579" width="8" style="185" customWidth="1"/>
    <col min="2580" max="2580" width="10.33203125" style="185" bestFit="1" customWidth="1"/>
    <col min="2581" max="2814" width="9" style="185"/>
    <col min="2815" max="2815" width="14.77734375" style="185" customWidth="1"/>
    <col min="2816" max="2816" width="9.88671875" style="185" customWidth="1"/>
    <col min="2817" max="2817" width="10.44140625" style="185" customWidth="1"/>
    <col min="2818" max="2818" width="8" style="185" customWidth="1"/>
    <col min="2819" max="2819" width="11.88671875" style="185" customWidth="1"/>
    <col min="2820" max="2820" width="12.44140625" style="185" customWidth="1"/>
    <col min="2821" max="2821" width="10.88671875" style="185" customWidth="1"/>
    <col min="2822" max="2822" width="10.33203125" style="185" customWidth="1"/>
    <col min="2823" max="2823" width="10" style="185" customWidth="1"/>
    <col min="2824" max="2824" width="8" style="185" customWidth="1"/>
    <col min="2825" max="2825" width="30.6640625" style="185" customWidth="1"/>
    <col min="2826" max="2826" width="20.88671875" style="185" customWidth="1"/>
    <col min="2827" max="2828" width="10.77734375" style="185" customWidth="1"/>
    <col min="2829" max="2829" width="14.44140625" style="185" customWidth="1"/>
    <col min="2830" max="2830" width="8" style="185" customWidth="1"/>
    <col min="2831" max="2831" width="28.6640625" style="185" customWidth="1"/>
    <col min="2832" max="2835" width="8" style="185" customWidth="1"/>
    <col min="2836" max="2836" width="10.33203125" style="185" bestFit="1" customWidth="1"/>
    <col min="2837" max="3070" width="9" style="185"/>
    <col min="3071" max="3071" width="14.77734375" style="185" customWidth="1"/>
    <col min="3072" max="3072" width="9.88671875" style="185" customWidth="1"/>
    <col min="3073" max="3073" width="10.44140625" style="185" customWidth="1"/>
    <col min="3074" max="3074" width="8" style="185" customWidth="1"/>
    <col min="3075" max="3075" width="11.88671875" style="185" customWidth="1"/>
    <col min="3076" max="3076" width="12.44140625" style="185" customWidth="1"/>
    <col min="3077" max="3077" width="10.88671875" style="185" customWidth="1"/>
    <col min="3078" max="3078" width="10.33203125" style="185" customWidth="1"/>
    <col min="3079" max="3079" width="10" style="185" customWidth="1"/>
    <col min="3080" max="3080" width="8" style="185" customWidth="1"/>
    <col min="3081" max="3081" width="30.6640625" style="185" customWidth="1"/>
    <col min="3082" max="3082" width="20.88671875" style="185" customWidth="1"/>
    <col min="3083" max="3084" width="10.77734375" style="185" customWidth="1"/>
    <col min="3085" max="3085" width="14.44140625" style="185" customWidth="1"/>
    <col min="3086" max="3086" width="8" style="185" customWidth="1"/>
    <col min="3087" max="3087" width="28.6640625" style="185" customWidth="1"/>
    <col min="3088" max="3091" width="8" style="185" customWidth="1"/>
    <col min="3092" max="3092" width="10.33203125" style="185" bestFit="1" customWidth="1"/>
    <col min="3093" max="3326" width="9" style="185"/>
    <col min="3327" max="3327" width="14.77734375" style="185" customWidth="1"/>
    <col min="3328" max="3328" width="9.88671875" style="185" customWidth="1"/>
    <col min="3329" max="3329" width="10.44140625" style="185" customWidth="1"/>
    <col min="3330" max="3330" width="8" style="185" customWidth="1"/>
    <col min="3331" max="3331" width="11.88671875" style="185" customWidth="1"/>
    <col min="3332" max="3332" width="12.44140625" style="185" customWidth="1"/>
    <col min="3333" max="3333" width="10.88671875" style="185" customWidth="1"/>
    <col min="3334" max="3334" width="10.33203125" style="185" customWidth="1"/>
    <col min="3335" max="3335" width="10" style="185" customWidth="1"/>
    <col min="3336" max="3336" width="8" style="185" customWidth="1"/>
    <col min="3337" max="3337" width="30.6640625" style="185" customWidth="1"/>
    <col min="3338" max="3338" width="20.88671875" style="185" customWidth="1"/>
    <col min="3339" max="3340" width="10.77734375" style="185" customWidth="1"/>
    <col min="3341" max="3341" width="14.44140625" style="185" customWidth="1"/>
    <col min="3342" max="3342" width="8" style="185" customWidth="1"/>
    <col min="3343" max="3343" width="28.6640625" style="185" customWidth="1"/>
    <col min="3344" max="3347" width="8" style="185" customWidth="1"/>
    <col min="3348" max="3348" width="10.33203125" style="185" bestFit="1" customWidth="1"/>
    <col min="3349" max="3582" width="9" style="185"/>
    <col min="3583" max="3583" width="14.77734375" style="185" customWidth="1"/>
    <col min="3584" max="3584" width="9.88671875" style="185" customWidth="1"/>
    <col min="3585" max="3585" width="10.44140625" style="185" customWidth="1"/>
    <col min="3586" max="3586" width="8" style="185" customWidth="1"/>
    <col min="3587" max="3587" width="11.88671875" style="185" customWidth="1"/>
    <col min="3588" max="3588" width="12.44140625" style="185" customWidth="1"/>
    <col min="3589" max="3589" width="10.88671875" style="185" customWidth="1"/>
    <col min="3590" max="3590" width="10.33203125" style="185" customWidth="1"/>
    <col min="3591" max="3591" width="10" style="185" customWidth="1"/>
    <col min="3592" max="3592" width="8" style="185" customWidth="1"/>
    <col min="3593" max="3593" width="30.6640625" style="185" customWidth="1"/>
    <col min="3594" max="3594" width="20.88671875" style="185" customWidth="1"/>
    <col min="3595" max="3596" width="10.77734375" style="185" customWidth="1"/>
    <col min="3597" max="3597" width="14.44140625" style="185" customWidth="1"/>
    <col min="3598" max="3598" width="8" style="185" customWidth="1"/>
    <col min="3599" max="3599" width="28.6640625" style="185" customWidth="1"/>
    <col min="3600" max="3603" width="8" style="185" customWidth="1"/>
    <col min="3604" max="3604" width="10.33203125" style="185" bestFit="1" customWidth="1"/>
    <col min="3605" max="3838" width="9" style="185"/>
    <col min="3839" max="3839" width="14.77734375" style="185" customWidth="1"/>
    <col min="3840" max="3840" width="9.88671875" style="185" customWidth="1"/>
    <col min="3841" max="3841" width="10.44140625" style="185" customWidth="1"/>
    <col min="3842" max="3842" width="8" style="185" customWidth="1"/>
    <col min="3843" max="3843" width="11.88671875" style="185" customWidth="1"/>
    <col min="3844" max="3844" width="12.44140625" style="185" customWidth="1"/>
    <col min="3845" max="3845" width="10.88671875" style="185" customWidth="1"/>
    <col min="3846" max="3846" width="10.33203125" style="185" customWidth="1"/>
    <col min="3847" max="3847" width="10" style="185" customWidth="1"/>
    <col min="3848" max="3848" width="8" style="185" customWidth="1"/>
    <col min="3849" max="3849" width="30.6640625" style="185" customWidth="1"/>
    <col min="3850" max="3850" width="20.88671875" style="185" customWidth="1"/>
    <col min="3851" max="3852" width="10.77734375" style="185" customWidth="1"/>
    <col min="3853" max="3853" width="14.44140625" style="185" customWidth="1"/>
    <col min="3854" max="3854" width="8" style="185" customWidth="1"/>
    <col min="3855" max="3855" width="28.6640625" style="185" customWidth="1"/>
    <col min="3856" max="3859" width="8" style="185" customWidth="1"/>
    <col min="3860" max="3860" width="10.33203125" style="185" bestFit="1" customWidth="1"/>
    <col min="3861" max="4094" width="9" style="185"/>
    <col min="4095" max="4095" width="14.77734375" style="185" customWidth="1"/>
    <col min="4096" max="4096" width="9.88671875" style="185" customWidth="1"/>
    <col min="4097" max="4097" width="10.44140625" style="185" customWidth="1"/>
    <col min="4098" max="4098" width="8" style="185" customWidth="1"/>
    <col min="4099" max="4099" width="11.88671875" style="185" customWidth="1"/>
    <col min="4100" max="4100" width="12.44140625" style="185" customWidth="1"/>
    <col min="4101" max="4101" width="10.88671875" style="185" customWidth="1"/>
    <col min="4102" max="4102" width="10.33203125" style="185" customWidth="1"/>
    <col min="4103" max="4103" width="10" style="185" customWidth="1"/>
    <col min="4104" max="4104" width="8" style="185" customWidth="1"/>
    <col min="4105" max="4105" width="30.6640625" style="185" customWidth="1"/>
    <col min="4106" max="4106" width="20.88671875" style="185" customWidth="1"/>
    <col min="4107" max="4108" width="10.77734375" style="185" customWidth="1"/>
    <col min="4109" max="4109" width="14.44140625" style="185" customWidth="1"/>
    <col min="4110" max="4110" width="8" style="185" customWidth="1"/>
    <col min="4111" max="4111" width="28.6640625" style="185" customWidth="1"/>
    <col min="4112" max="4115" width="8" style="185" customWidth="1"/>
    <col min="4116" max="4116" width="10.33203125" style="185" bestFit="1" customWidth="1"/>
    <col min="4117" max="4350" width="9" style="185"/>
    <col min="4351" max="4351" width="14.77734375" style="185" customWidth="1"/>
    <col min="4352" max="4352" width="9.88671875" style="185" customWidth="1"/>
    <col min="4353" max="4353" width="10.44140625" style="185" customWidth="1"/>
    <col min="4354" max="4354" width="8" style="185" customWidth="1"/>
    <col min="4355" max="4355" width="11.88671875" style="185" customWidth="1"/>
    <col min="4356" max="4356" width="12.44140625" style="185" customWidth="1"/>
    <col min="4357" max="4357" width="10.88671875" style="185" customWidth="1"/>
    <col min="4358" max="4358" width="10.33203125" style="185" customWidth="1"/>
    <col min="4359" max="4359" width="10" style="185" customWidth="1"/>
    <col min="4360" max="4360" width="8" style="185" customWidth="1"/>
    <col min="4361" max="4361" width="30.6640625" style="185" customWidth="1"/>
    <col min="4362" max="4362" width="20.88671875" style="185" customWidth="1"/>
    <col min="4363" max="4364" width="10.77734375" style="185" customWidth="1"/>
    <col min="4365" max="4365" width="14.44140625" style="185" customWidth="1"/>
    <col min="4366" max="4366" width="8" style="185" customWidth="1"/>
    <col min="4367" max="4367" width="28.6640625" style="185" customWidth="1"/>
    <col min="4368" max="4371" width="8" style="185" customWidth="1"/>
    <col min="4372" max="4372" width="10.33203125" style="185" bestFit="1" customWidth="1"/>
    <col min="4373" max="4606" width="9" style="185"/>
    <col min="4607" max="4607" width="14.77734375" style="185" customWidth="1"/>
    <col min="4608" max="4608" width="9.88671875" style="185" customWidth="1"/>
    <col min="4609" max="4609" width="10.44140625" style="185" customWidth="1"/>
    <col min="4610" max="4610" width="8" style="185" customWidth="1"/>
    <col min="4611" max="4611" width="11.88671875" style="185" customWidth="1"/>
    <col min="4612" max="4612" width="12.44140625" style="185" customWidth="1"/>
    <col min="4613" max="4613" width="10.88671875" style="185" customWidth="1"/>
    <col min="4614" max="4614" width="10.33203125" style="185" customWidth="1"/>
    <col min="4615" max="4615" width="10" style="185" customWidth="1"/>
    <col min="4616" max="4616" width="8" style="185" customWidth="1"/>
    <col min="4617" max="4617" width="30.6640625" style="185" customWidth="1"/>
    <col min="4618" max="4618" width="20.88671875" style="185" customWidth="1"/>
    <col min="4619" max="4620" width="10.77734375" style="185" customWidth="1"/>
    <col min="4621" max="4621" width="14.44140625" style="185" customWidth="1"/>
    <col min="4622" max="4622" width="8" style="185" customWidth="1"/>
    <col min="4623" max="4623" width="28.6640625" style="185" customWidth="1"/>
    <col min="4624" max="4627" width="8" style="185" customWidth="1"/>
    <col min="4628" max="4628" width="10.33203125" style="185" bestFit="1" customWidth="1"/>
    <col min="4629" max="4862" width="9" style="185"/>
    <col min="4863" max="4863" width="14.77734375" style="185" customWidth="1"/>
    <col min="4864" max="4864" width="9.88671875" style="185" customWidth="1"/>
    <col min="4865" max="4865" width="10.44140625" style="185" customWidth="1"/>
    <col min="4866" max="4866" width="8" style="185" customWidth="1"/>
    <col min="4867" max="4867" width="11.88671875" style="185" customWidth="1"/>
    <col min="4868" max="4868" width="12.44140625" style="185" customWidth="1"/>
    <col min="4869" max="4869" width="10.88671875" style="185" customWidth="1"/>
    <col min="4870" max="4870" width="10.33203125" style="185" customWidth="1"/>
    <col min="4871" max="4871" width="10" style="185" customWidth="1"/>
    <col min="4872" max="4872" width="8" style="185" customWidth="1"/>
    <col min="4873" max="4873" width="30.6640625" style="185" customWidth="1"/>
    <col min="4874" max="4874" width="20.88671875" style="185" customWidth="1"/>
    <col min="4875" max="4876" width="10.77734375" style="185" customWidth="1"/>
    <col min="4877" max="4877" width="14.44140625" style="185" customWidth="1"/>
    <col min="4878" max="4878" width="8" style="185" customWidth="1"/>
    <col min="4879" max="4879" width="28.6640625" style="185" customWidth="1"/>
    <col min="4880" max="4883" width="8" style="185" customWidth="1"/>
    <col min="4884" max="4884" width="10.33203125" style="185" bestFit="1" customWidth="1"/>
    <col min="4885" max="5118" width="9" style="185"/>
    <col min="5119" max="5119" width="14.77734375" style="185" customWidth="1"/>
    <col min="5120" max="5120" width="9.88671875" style="185" customWidth="1"/>
    <col min="5121" max="5121" width="10.44140625" style="185" customWidth="1"/>
    <col min="5122" max="5122" width="8" style="185" customWidth="1"/>
    <col min="5123" max="5123" width="11.88671875" style="185" customWidth="1"/>
    <col min="5124" max="5124" width="12.44140625" style="185" customWidth="1"/>
    <col min="5125" max="5125" width="10.88671875" style="185" customWidth="1"/>
    <col min="5126" max="5126" width="10.33203125" style="185" customWidth="1"/>
    <col min="5127" max="5127" width="10" style="185" customWidth="1"/>
    <col min="5128" max="5128" width="8" style="185" customWidth="1"/>
    <col min="5129" max="5129" width="30.6640625" style="185" customWidth="1"/>
    <col min="5130" max="5130" width="20.88671875" style="185" customWidth="1"/>
    <col min="5131" max="5132" width="10.77734375" style="185" customWidth="1"/>
    <col min="5133" max="5133" width="14.44140625" style="185" customWidth="1"/>
    <col min="5134" max="5134" width="8" style="185" customWidth="1"/>
    <col min="5135" max="5135" width="28.6640625" style="185" customWidth="1"/>
    <col min="5136" max="5139" width="8" style="185" customWidth="1"/>
    <col min="5140" max="5140" width="10.33203125" style="185" bestFit="1" customWidth="1"/>
    <col min="5141" max="5374" width="9" style="185"/>
    <col min="5375" max="5375" width="14.77734375" style="185" customWidth="1"/>
    <col min="5376" max="5376" width="9.88671875" style="185" customWidth="1"/>
    <col min="5377" max="5377" width="10.44140625" style="185" customWidth="1"/>
    <col min="5378" max="5378" width="8" style="185" customWidth="1"/>
    <col min="5379" max="5379" width="11.88671875" style="185" customWidth="1"/>
    <col min="5380" max="5380" width="12.44140625" style="185" customWidth="1"/>
    <col min="5381" max="5381" width="10.88671875" style="185" customWidth="1"/>
    <col min="5382" max="5382" width="10.33203125" style="185" customWidth="1"/>
    <col min="5383" max="5383" width="10" style="185" customWidth="1"/>
    <col min="5384" max="5384" width="8" style="185" customWidth="1"/>
    <col min="5385" max="5385" width="30.6640625" style="185" customWidth="1"/>
    <col min="5386" max="5386" width="20.88671875" style="185" customWidth="1"/>
    <col min="5387" max="5388" width="10.77734375" style="185" customWidth="1"/>
    <col min="5389" max="5389" width="14.44140625" style="185" customWidth="1"/>
    <col min="5390" max="5390" width="8" style="185" customWidth="1"/>
    <col min="5391" max="5391" width="28.6640625" style="185" customWidth="1"/>
    <col min="5392" max="5395" width="8" style="185" customWidth="1"/>
    <col min="5396" max="5396" width="10.33203125" style="185" bestFit="1" customWidth="1"/>
    <col min="5397" max="5630" width="9" style="185"/>
    <col min="5631" max="5631" width="14.77734375" style="185" customWidth="1"/>
    <col min="5632" max="5632" width="9.88671875" style="185" customWidth="1"/>
    <col min="5633" max="5633" width="10.44140625" style="185" customWidth="1"/>
    <col min="5634" max="5634" width="8" style="185" customWidth="1"/>
    <col min="5635" max="5635" width="11.88671875" style="185" customWidth="1"/>
    <col min="5636" max="5636" width="12.44140625" style="185" customWidth="1"/>
    <col min="5637" max="5637" width="10.88671875" style="185" customWidth="1"/>
    <col min="5638" max="5638" width="10.33203125" style="185" customWidth="1"/>
    <col min="5639" max="5639" width="10" style="185" customWidth="1"/>
    <col min="5640" max="5640" width="8" style="185" customWidth="1"/>
    <col min="5641" max="5641" width="30.6640625" style="185" customWidth="1"/>
    <col min="5642" max="5642" width="20.88671875" style="185" customWidth="1"/>
    <col min="5643" max="5644" width="10.77734375" style="185" customWidth="1"/>
    <col min="5645" max="5645" width="14.44140625" style="185" customWidth="1"/>
    <col min="5646" max="5646" width="8" style="185" customWidth="1"/>
    <col min="5647" max="5647" width="28.6640625" style="185" customWidth="1"/>
    <col min="5648" max="5651" width="8" style="185" customWidth="1"/>
    <col min="5652" max="5652" width="10.33203125" style="185" bestFit="1" customWidth="1"/>
    <col min="5653" max="5886" width="9" style="185"/>
    <col min="5887" max="5887" width="14.77734375" style="185" customWidth="1"/>
    <col min="5888" max="5888" width="9.88671875" style="185" customWidth="1"/>
    <col min="5889" max="5889" width="10.44140625" style="185" customWidth="1"/>
    <col min="5890" max="5890" width="8" style="185" customWidth="1"/>
    <col min="5891" max="5891" width="11.88671875" style="185" customWidth="1"/>
    <col min="5892" max="5892" width="12.44140625" style="185" customWidth="1"/>
    <col min="5893" max="5893" width="10.88671875" style="185" customWidth="1"/>
    <col min="5894" max="5894" width="10.33203125" style="185" customWidth="1"/>
    <col min="5895" max="5895" width="10" style="185" customWidth="1"/>
    <col min="5896" max="5896" width="8" style="185" customWidth="1"/>
    <col min="5897" max="5897" width="30.6640625" style="185" customWidth="1"/>
    <col min="5898" max="5898" width="20.88671875" style="185" customWidth="1"/>
    <col min="5899" max="5900" width="10.77734375" style="185" customWidth="1"/>
    <col min="5901" max="5901" width="14.44140625" style="185" customWidth="1"/>
    <col min="5902" max="5902" width="8" style="185" customWidth="1"/>
    <col min="5903" max="5903" width="28.6640625" style="185" customWidth="1"/>
    <col min="5904" max="5907" width="8" style="185" customWidth="1"/>
    <col min="5908" max="5908" width="10.33203125" style="185" bestFit="1" customWidth="1"/>
    <col min="5909" max="6142" width="9" style="185"/>
    <col min="6143" max="6143" width="14.77734375" style="185" customWidth="1"/>
    <col min="6144" max="6144" width="9.88671875" style="185" customWidth="1"/>
    <col min="6145" max="6145" width="10.44140625" style="185" customWidth="1"/>
    <col min="6146" max="6146" width="8" style="185" customWidth="1"/>
    <col min="6147" max="6147" width="11.88671875" style="185" customWidth="1"/>
    <col min="6148" max="6148" width="12.44140625" style="185" customWidth="1"/>
    <col min="6149" max="6149" width="10.88671875" style="185" customWidth="1"/>
    <col min="6150" max="6150" width="10.33203125" style="185" customWidth="1"/>
    <col min="6151" max="6151" width="10" style="185" customWidth="1"/>
    <col min="6152" max="6152" width="8" style="185" customWidth="1"/>
    <col min="6153" max="6153" width="30.6640625" style="185" customWidth="1"/>
    <col min="6154" max="6154" width="20.88671875" style="185" customWidth="1"/>
    <col min="6155" max="6156" width="10.77734375" style="185" customWidth="1"/>
    <col min="6157" max="6157" width="14.44140625" style="185" customWidth="1"/>
    <col min="6158" max="6158" width="8" style="185" customWidth="1"/>
    <col min="6159" max="6159" width="28.6640625" style="185" customWidth="1"/>
    <col min="6160" max="6163" width="8" style="185" customWidth="1"/>
    <col min="6164" max="6164" width="10.33203125" style="185" bestFit="1" customWidth="1"/>
    <col min="6165" max="6398" width="9" style="185"/>
    <col min="6399" max="6399" width="14.77734375" style="185" customWidth="1"/>
    <col min="6400" max="6400" width="9.88671875" style="185" customWidth="1"/>
    <col min="6401" max="6401" width="10.44140625" style="185" customWidth="1"/>
    <col min="6402" max="6402" width="8" style="185" customWidth="1"/>
    <col min="6403" max="6403" width="11.88671875" style="185" customWidth="1"/>
    <col min="6404" max="6404" width="12.44140625" style="185" customWidth="1"/>
    <col min="6405" max="6405" width="10.88671875" style="185" customWidth="1"/>
    <col min="6406" max="6406" width="10.33203125" style="185" customWidth="1"/>
    <col min="6407" max="6407" width="10" style="185" customWidth="1"/>
    <col min="6408" max="6408" width="8" style="185" customWidth="1"/>
    <col min="6409" max="6409" width="30.6640625" style="185" customWidth="1"/>
    <col min="6410" max="6410" width="20.88671875" style="185" customWidth="1"/>
    <col min="6411" max="6412" width="10.77734375" style="185" customWidth="1"/>
    <col min="6413" max="6413" width="14.44140625" style="185" customWidth="1"/>
    <col min="6414" max="6414" width="8" style="185" customWidth="1"/>
    <col min="6415" max="6415" width="28.6640625" style="185" customWidth="1"/>
    <col min="6416" max="6419" width="8" style="185" customWidth="1"/>
    <col min="6420" max="6420" width="10.33203125" style="185" bestFit="1" customWidth="1"/>
    <col min="6421" max="6654" width="9" style="185"/>
    <col min="6655" max="6655" width="14.77734375" style="185" customWidth="1"/>
    <col min="6656" max="6656" width="9.88671875" style="185" customWidth="1"/>
    <col min="6657" max="6657" width="10.44140625" style="185" customWidth="1"/>
    <col min="6658" max="6658" width="8" style="185" customWidth="1"/>
    <col min="6659" max="6659" width="11.88671875" style="185" customWidth="1"/>
    <col min="6660" max="6660" width="12.44140625" style="185" customWidth="1"/>
    <col min="6661" max="6661" width="10.88671875" style="185" customWidth="1"/>
    <col min="6662" max="6662" width="10.33203125" style="185" customWidth="1"/>
    <col min="6663" max="6663" width="10" style="185" customWidth="1"/>
    <col min="6664" max="6664" width="8" style="185" customWidth="1"/>
    <col min="6665" max="6665" width="30.6640625" style="185" customWidth="1"/>
    <col min="6666" max="6666" width="20.88671875" style="185" customWidth="1"/>
    <col min="6667" max="6668" width="10.77734375" style="185" customWidth="1"/>
    <col min="6669" max="6669" width="14.44140625" style="185" customWidth="1"/>
    <col min="6670" max="6670" width="8" style="185" customWidth="1"/>
    <col min="6671" max="6671" width="28.6640625" style="185" customWidth="1"/>
    <col min="6672" max="6675" width="8" style="185" customWidth="1"/>
    <col min="6676" max="6676" width="10.33203125" style="185" bestFit="1" customWidth="1"/>
    <col min="6677" max="6910" width="9" style="185"/>
    <col min="6911" max="6911" width="14.77734375" style="185" customWidth="1"/>
    <col min="6912" max="6912" width="9.88671875" style="185" customWidth="1"/>
    <col min="6913" max="6913" width="10.44140625" style="185" customWidth="1"/>
    <col min="6914" max="6914" width="8" style="185" customWidth="1"/>
    <col min="6915" max="6915" width="11.88671875" style="185" customWidth="1"/>
    <col min="6916" max="6916" width="12.44140625" style="185" customWidth="1"/>
    <col min="6917" max="6917" width="10.88671875" style="185" customWidth="1"/>
    <col min="6918" max="6918" width="10.33203125" style="185" customWidth="1"/>
    <col min="6919" max="6919" width="10" style="185" customWidth="1"/>
    <col min="6920" max="6920" width="8" style="185" customWidth="1"/>
    <col min="6921" max="6921" width="30.6640625" style="185" customWidth="1"/>
    <col min="6922" max="6922" width="20.88671875" style="185" customWidth="1"/>
    <col min="6923" max="6924" width="10.77734375" style="185" customWidth="1"/>
    <col min="6925" max="6925" width="14.44140625" style="185" customWidth="1"/>
    <col min="6926" max="6926" width="8" style="185" customWidth="1"/>
    <col min="6927" max="6927" width="28.6640625" style="185" customWidth="1"/>
    <col min="6928" max="6931" width="8" style="185" customWidth="1"/>
    <col min="6932" max="6932" width="10.33203125" style="185" bestFit="1" customWidth="1"/>
    <col min="6933" max="7166" width="9" style="185"/>
    <col min="7167" max="7167" width="14.77734375" style="185" customWidth="1"/>
    <col min="7168" max="7168" width="9.88671875" style="185" customWidth="1"/>
    <col min="7169" max="7169" width="10.44140625" style="185" customWidth="1"/>
    <col min="7170" max="7170" width="8" style="185" customWidth="1"/>
    <col min="7171" max="7171" width="11.88671875" style="185" customWidth="1"/>
    <col min="7172" max="7172" width="12.44140625" style="185" customWidth="1"/>
    <col min="7173" max="7173" width="10.88671875" style="185" customWidth="1"/>
    <col min="7174" max="7174" width="10.33203125" style="185" customWidth="1"/>
    <col min="7175" max="7175" width="10" style="185" customWidth="1"/>
    <col min="7176" max="7176" width="8" style="185" customWidth="1"/>
    <col min="7177" max="7177" width="30.6640625" style="185" customWidth="1"/>
    <col min="7178" max="7178" width="20.88671875" style="185" customWidth="1"/>
    <col min="7179" max="7180" width="10.77734375" style="185" customWidth="1"/>
    <col min="7181" max="7181" width="14.44140625" style="185" customWidth="1"/>
    <col min="7182" max="7182" width="8" style="185" customWidth="1"/>
    <col min="7183" max="7183" width="28.6640625" style="185" customWidth="1"/>
    <col min="7184" max="7187" width="8" style="185" customWidth="1"/>
    <col min="7188" max="7188" width="10.33203125" style="185" bestFit="1" customWidth="1"/>
    <col min="7189" max="7422" width="9" style="185"/>
    <col min="7423" max="7423" width="14.77734375" style="185" customWidth="1"/>
    <col min="7424" max="7424" width="9.88671875" style="185" customWidth="1"/>
    <col min="7425" max="7425" width="10.44140625" style="185" customWidth="1"/>
    <col min="7426" max="7426" width="8" style="185" customWidth="1"/>
    <col min="7427" max="7427" width="11.88671875" style="185" customWidth="1"/>
    <col min="7428" max="7428" width="12.44140625" style="185" customWidth="1"/>
    <col min="7429" max="7429" width="10.88671875" style="185" customWidth="1"/>
    <col min="7430" max="7430" width="10.33203125" style="185" customWidth="1"/>
    <col min="7431" max="7431" width="10" style="185" customWidth="1"/>
    <col min="7432" max="7432" width="8" style="185" customWidth="1"/>
    <col min="7433" max="7433" width="30.6640625" style="185" customWidth="1"/>
    <col min="7434" max="7434" width="20.88671875" style="185" customWidth="1"/>
    <col min="7435" max="7436" width="10.77734375" style="185" customWidth="1"/>
    <col min="7437" max="7437" width="14.44140625" style="185" customWidth="1"/>
    <col min="7438" max="7438" width="8" style="185" customWidth="1"/>
    <col min="7439" max="7439" width="28.6640625" style="185" customWidth="1"/>
    <col min="7440" max="7443" width="8" style="185" customWidth="1"/>
    <col min="7444" max="7444" width="10.33203125" style="185" bestFit="1" customWidth="1"/>
    <col min="7445" max="7678" width="9" style="185"/>
    <col min="7679" max="7679" width="14.77734375" style="185" customWidth="1"/>
    <col min="7680" max="7680" width="9.88671875" style="185" customWidth="1"/>
    <col min="7681" max="7681" width="10.44140625" style="185" customWidth="1"/>
    <col min="7682" max="7682" width="8" style="185" customWidth="1"/>
    <col min="7683" max="7683" width="11.88671875" style="185" customWidth="1"/>
    <col min="7684" max="7684" width="12.44140625" style="185" customWidth="1"/>
    <col min="7685" max="7685" width="10.88671875" style="185" customWidth="1"/>
    <col min="7686" max="7686" width="10.33203125" style="185" customWidth="1"/>
    <col min="7687" max="7687" width="10" style="185" customWidth="1"/>
    <col min="7688" max="7688" width="8" style="185" customWidth="1"/>
    <col min="7689" max="7689" width="30.6640625" style="185" customWidth="1"/>
    <col min="7690" max="7690" width="20.88671875" style="185" customWidth="1"/>
    <col min="7691" max="7692" width="10.77734375" style="185" customWidth="1"/>
    <col min="7693" max="7693" width="14.44140625" style="185" customWidth="1"/>
    <col min="7694" max="7694" width="8" style="185" customWidth="1"/>
    <col min="7695" max="7695" width="28.6640625" style="185" customWidth="1"/>
    <col min="7696" max="7699" width="8" style="185" customWidth="1"/>
    <col min="7700" max="7700" width="10.33203125" style="185" bestFit="1" customWidth="1"/>
    <col min="7701" max="7934" width="9" style="185"/>
    <col min="7935" max="7935" width="14.77734375" style="185" customWidth="1"/>
    <col min="7936" max="7936" width="9.88671875" style="185" customWidth="1"/>
    <col min="7937" max="7937" width="10.44140625" style="185" customWidth="1"/>
    <col min="7938" max="7938" width="8" style="185" customWidth="1"/>
    <col min="7939" max="7939" width="11.88671875" style="185" customWidth="1"/>
    <col min="7940" max="7940" width="12.44140625" style="185" customWidth="1"/>
    <col min="7941" max="7941" width="10.88671875" style="185" customWidth="1"/>
    <col min="7942" max="7942" width="10.33203125" style="185" customWidth="1"/>
    <col min="7943" max="7943" width="10" style="185" customWidth="1"/>
    <col min="7944" max="7944" width="8" style="185" customWidth="1"/>
    <col min="7945" max="7945" width="30.6640625" style="185" customWidth="1"/>
    <col min="7946" max="7946" width="20.88671875" style="185" customWidth="1"/>
    <col min="7947" max="7948" width="10.77734375" style="185" customWidth="1"/>
    <col min="7949" max="7949" width="14.44140625" style="185" customWidth="1"/>
    <col min="7950" max="7950" width="8" style="185" customWidth="1"/>
    <col min="7951" max="7951" width="28.6640625" style="185" customWidth="1"/>
    <col min="7952" max="7955" width="8" style="185" customWidth="1"/>
    <col min="7956" max="7956" width="10.33203125" style="185" bestFit="1" customWidth="1"/>
    <col min="7957" max="8190" width="9" style="185"/>
    <col min="8191" max="8191" width="14.77734375" style="185" customWidth="1"/>
    <col min="8192" max="8192" width="9.88671875" style="185" customWidth="1"/>
    <col min="8193" max="8193" width="10.44140625" style="185" customWidth="1"/>
    <col min="8194" max="8194" width="8" style="185" customWidth="1"/>
    <col min="8195" max="8195" width="11.88671875" style="185" customWidth="1"/>
    <col min="8196" max="8196" width="12.44140625" style="185" customWidth="1"/>
    <col min="8197" max="8197" width="10.88671875" style="185" customWidth="1"/>
    <col min="8198" max="8198" width="10.33203125" style="185" customWidth="1"/>
    <col min="8199" max="8199" width="10" style="185" customWidth="1"/>
    <col min="8200" max="8200" width="8" style="185" customWidth="1"/>
    <col min="8201" max="8201" width="30.6640625" style="185" customWidth="1"/>
    <col min="8202" max="8202" width="20.88671875" style="185" customWidth="1"/>
    <col min="8203" max="8204" width="10.77734375" style="185" customWidth="1"/>
    <col min="8205" max="8205" width="14.44140625" style="185" customWidth="1"/>
    <col min="8206" max="8206" width="8" style="185" customWidth="1"/>
    <col min="8207" max="8207" width="28.6640625" style="185" customWidth="1"/>
    <col min="8208" max="8211" width="8" style="185" customWidth="1"/>
    <col min="8212" max="8212" width="10.33203125" style="185" bestFit="1" customWidth="1"/>
    <col min="8213" max="8446" width="9" style="185"/>
    <col min="8447" max="8447" width="14.77734375" style="185" customWidth="1"/>
    <col min="8448" max="8448" width="9.88671875" style="185" customWidth="1"/>
    <col min="8449" max="8449" width="10.44140625" style="185" customWidth="1"/>
    <col min="8450" max="8450" width="8" style="185" customWidth="1"/>
    <col min="8451" max="8451" width="11.88671875" style="185" customWidth="1"/>
    <col min="8452" max="8452" width="12.44140625" style="185" customWidth="1"/>
    <col min="8453" max="8453" width="10.88671875" style="185" customWidth="1"/>
    <col min="8454" max="8454" width="10.33203125" style="185" customWidth="1"/>
    <col min="8455" max="8455" width="10" style="185" customWidth="1"/>
    <col min="8456" max="8456" width="8" style="185" customWidth="1"/>
    <col min="8457" max="8457" width="30.6640625" style="185" customWidth="1"/>
    <col min="8458" max="8458" width="20.88671875" style="185" customWidth="1"/>
    <col min="8459" max="8460" width="10.77734375" style="185" customWidth="1"/>
    <col min="8461" max="8461" width="14.44140625" style="185" customWidth="1"/>
    <col min="8462" max="8462" width="8" style="185" customWidth="1"/>
    <col min="8463" max="8463" width="28.6640625" style="185" customWidth="1"/>
    <col min="8464" max="8467" width="8" style="185" customWidth="1"/>
    <col min="8468" max="8468" width="10.33203125" style="185" bestFit="1" customWidth="1"/>
    <col min="8469" max="8702" width="9" style="185"/>
    <col min="8703" max="8703" width="14.77734375" style="185" customWidth="1"/>
    <col min="8704" max="8704" width="9.88671875" style="185" customWidth="1"/>
    <col min="8705" max="8705" width="10.44140625" style="185" customWidth="1"/>
    <col min="8706" max="8706" width="8" style="185" customWidth="1"/>
    <col min="8707" max="8707" width="11.88671875" style="185" customWidth="1"/>
    <col min="8708" max="8708" width="12.44140625" style="185" customWidth="1"/>
    <col min="8709" max="8709" width="10.88671875" style="185" customWidth="1"/>
    <col min="8710" max="8710" width="10.33203125" style="185" customWidth="1"/>
    <col min="8711" max="8711" width="10" style="185" customWidth="1"/>
    <col min="8712" max="8712" width="8" style="185" customWidth="1"/>
    <col min="8713" max="8713" width="30.6640625" style="185" customWidth="1"/>
    <col min="8714" max="8714" width="20.88671875" style="185" customWidth="1"/>
    <col min="8715" max="8716" width="10.77734375" style="185" customWidth="1"/>
    <col min="8717" max="8717" width="14.44140625" style="185" customWidth="1"/>
    <col min="8718" max="8718" width="8" style="185" customWidth="1"/>
    <col min="8719" max="8719" width="28.6640625" style="185" customWidth="1"/>
    <col min="8720" max="8723" width="8" style="185" customWidth="1"/>
    <col min="8724" max="8724" width="10.33203125" style="185" bestFit="1" customWidth="1"/>
    <col min="8725" max="8958" width="9" style="185"/>
    <col min="8959" max="8959" width="14.77734375" style="185" customWidth="1"/>
    <col min="8960" max="8960" width="9.88671875" style="185" customWidth="1"/>
    <col min="8961" max="8961" width="10.44140625" style="185" customWidth="1"/>
    <col min="8962" max="8962" width="8" style="185" customWidth="1"/>
    <col min="8963" max="8963" width="11.88671875" style="185" customWidth="1"/>
    <col min="8964" max="8964" width="12.44140625" style="185" customWidth="1"/>
    <col min="8965" max="8965" width="10.88671875" style="185" customWidth="1"/>
    <col min="8966" max="8966" width="10.33203125" style="185" customWidth="1"/>
    <col min="8967" max="8967" width="10" style="185" customWidth="1"/>
    <col min="8968" max="8968" width="8" style="185" customWidth="1"/>
    <col min="8969" max="8969" width="30.6640625" style="185" customWidth="1"/>
    <col min="8970" max="8970" width="20.88671875" style="185" customWidth="1"/>
    <col min="8971" max="8972" width="10.77734375" style="185" customWidth="1"/>
    <col min="8973" max="8973" width="14.44140625" style="185" customWidth="1"/>
    <col min="8974" max="8974" width="8" style="185" customWidth="1"/>
    <col min="8975" max="8975" width="28.6640625" style="185" customWidth="1"/>
    <col min="8976" max="8979" width="8" style="185" customWidth="1"/>
    <col min="8980" max="8980" width="10.33203125" style="185" bestFit="1" customWidth="1"/>
    <col min="8981" max="9214" width="9" style="185"/>
    <col min="9215" max="9215" width="14.77734375" style="185" customWidth="1"/>
    <col min="9216" max="9216" width="9.88671875" style="185" customWidth="1"/>
    <col min="9217" max="9217" width="10.44140625" style="185" customWidth="1"/>
    <col min="9218" max="9218" width="8" style="185" customWidth="1"/>
    <col min="9219" max="9219" width="11.88671875" style="185" customWidth="1"/>
    <col min="9220" max="9220" width="12.44140625" style="185" customWidth="1"/>
    <col min="9221" max="9221" width="10.88671875" style="185" customWidth="1"/>
    <col min="9222" max="9222" width="10.33203125" style="185" customWidth="1"/>
    <col min="9223" max="9223" width="10" style="185" customWidth="1"/>
    <col min="9224" max="9224" width="8" style="185" customWidth="1"/>
    <col min="9225" max="9225" width="30.6640625" style="185" customWidth="1"/>
    <col min="9226" max="9226" width="20.88671875" style="185" customWidth="1"/>
    <col min="9227" max="9228" width="10.77734375" style="185" customWidth="1"/>
    <col min="9229" max="9229" width="14.44140625" style="185" customWidth="1"/>
    <col min="9230" max="9230" width="8" style="185" customWidth="1"/>
    <col min="9231" max="9231" width="28.6640625" style="185" customWidth="1"/>
    <col min="9232" max="9235" width="8" style="185" customWidth="1"/>
    <col min="9236" max="9236" width="10.33203125" style="185" bestFit="1" customWidth="1"/>
    <col min="9237" max="9470" width="9" style="185"/>
    <col min="9471" max="9471" width="14.77734375" style="185" customWidth="1"/>
    <col min="9472" max="9472" width="9.88671875" style="185" customWidth="1"/>
    <col min="9473" max="9473" width="10.44140625" style="185" customWidth="1"/>
    <col min="9474" max="9474" width="8" style="185" customWidth="1"/>
    <col min="9475" max="9475" width="11.88671875" style="185" customWidth="1"/>
    <col min="9476" max="9476" width="12.44140625" style="185" customWidth="1"/>
    <col min="9477" max="9477" width="10.88671875" style="185" customWidth="1"/>
    <col min="9478" max="9478" width="10.33203125" style="185" customWidth="1"/>
    <col min="9479" max="9479" width="10" style="185" customWidth="1"/>
    <col min="9480" max="9480" width="8" style="185" customWidth="1"/>
    <col min="9481" max="9481" width="30.6640625" style="185" customWidth="1"/>
    <col min="9482" max="9482" width="20.88671875" style="185" customWidth="1"/>
    <col min="9483" max="9484" width="10.77734375" style="185" customWidth="1"/>
    <col min="9485" max="9485" width="14.44140625" style="185" customWidth="1"/>
    <col min="9486" max="9486" width="8" style="185" customWidth="1"/>
    <col min="9487" max="9487" width="28.6640625" style="185" customWidth="1"/>
    <col min="9488" max="9491" width="8" style="185" customWidth="1"/>
    <col min="9492" max="9492" width="10.33203125" style="185" bestFit="1" customWidth="1"/>
    <col min="9493" max="9726" width="9" style="185"/>
    <col min="9727" max="9727" width="14.77734375" style="185" customWidth="1"/>
    <col min="9728" max="9728" width="9.88671875" style="185" customWidth="1"/>
    <col min="9729" max="9729" width="10.44140625" style="185" customWidth="1"/>
    <col min="9730" max="9730" width="8" style="185" customWidth="1"/>
    <col min="9731" max="9731" width="11.88671875" style="185" customWidth="1"/>
    <col min="9732" max="9732" width="12.44140625" style="185" customWidth="1"/>
    <col min="9733" max="9733" width="10.88671875" style="185" customWidth="1"/>
    <col min="9734" max="9734" width="10.33203125" style="185" customWidth="1"/>
    <col min="9735" max="9735" width="10" style="185" customWidth="1"/>
    <col min="9736" max="9736" width="8" style="185" customWidth="1"/>
    <col min="9737" max="9737" width="30.6640625" style="185" customWidth="1"/>
    <col min="9738" max="9738" width="20.88671875" style="185" customWidth="1"/>
    <col min="9739" max="9740" width="10.77734375" style="185" customWidth="1"/>
    <col min="9741" max="9741" width="14.44140625" style="185" customWidth="1"/>
    <col min="9742" max="9742" width="8" style="185" customWidth="1"/>
    <col min="9743" max="9743" width="28.6640625" style="185" customWidth="1"/>
    <col min="9744" max="9747" width="8" style="185" customWidth="1"/>
    <col min="9748" max="9748" width="10.33203125" style="185" bestFit="1" customWidth="1"/>
    <col min="9749" max="9982" width="9" style="185"/>
    <col min="9983" max="9983" width="14.77734375" style="185" customWidth="1"/>
    <col min="9984" max="9984" width="9.88671875" style="185" customWidth="1"/>
    <col min="9985" max="9985" width="10.44140625" style="185" customWidth="1"/>
    <col min="9986" max="9986" width="8" style="185" customWidth="1"/>
    <col min="9987" max="9987" width="11.88671875" style="185" customWidth="1"/>
    <col min="9988" max="9988" width="12.44140625" style="185" customWidth="1"/>
    <col min="9989" max="9989" width="10.88671875" style="185" customWidth="1"/>
    <col min="9990" max="9990" width="10.33203125" style="185" customWidth="1"/>
    <col min="9991" max="9991" width="10" style="185" customWidth="1"/>
    <col min="9992" max="9992" width="8" style="185" customWidth="1"/>
    <col min="9993" max="9993" width="30.6640625" style="185" customWidth="1"/>
    <col min="9994" max="9994" width="20.88671875" style="185" customWidth="1"/>
    <col min="9995" max="9996" width="10.77734375" style="185" customWidth="1"/>
    <col min="9997" max="9997" width="14.44140625" style="185" customWidth="1"/>
    <col min="9998" max="9998" width="8" style="185" customWidth="1"/>
    <col min="9999" max="9999" width="28.6640625" style="185" customWidth="1"/>
    <col min="10000" max="10003" width="8" style="185" customWidth="1"/>
    <col min="10004" max="10004" width="10.33203125" style="185" bestFit="1" customWidth="1"/>
    <col min="10005" max="10238" width="9" style="185"/>
    <col min="10239" max="10239" width="14.77734375" style="185" customWidth="1"/>
    <col min="10240" max="10240" width="9.88671875" style="185" customWidth="1"/>
    <col min="10241" max="10241" width="10.44140625" style="185" customWidth="1"/>
    <col min="10242" max="10242" width="8" style="185" customWidth="1"/>
    <col min="10243" max="10243" width="11.88671875" style="185" customWidth="1"/>
    <col min="10244" max="10244" width="12.44140625" style="185" customWidth="1"/>
    <col min="10245" max="10245" width="10.88671875" style="185" customWidth="1"/>
    <col min="10246" max="10246" width="10.33203125" style="185" customWidth="1"/>
    <col min="10247" max="10247" width="10" style="185" customWidth="1"/>
    <col min="10248" max="10248" width="8" style="185" customWidth="1"/>
    <col min="10249" max="10249" width="30.6640625" style="185" customWidth="1"/>
    <col min="10250" max="10250" width="20.88671875" style="185" customWidth="1"/>
    <col min="10251" max="10252" width="10.77734375" style="185" customWidth="1"/>
    <col min="10253" max="10253" width="14.44140625" style="185" customWidth="1"/>
    <col min="10254" max="10254" width="8" style="185" customWidth="1"/>
    <col min="10255" max="10255" width="28.6640625" style="185" customWidth="1"/>
    <col min="10256" max="10259" width="8" style="185" customWidth="1"/>
    <col min="10260" max="10260" width="10.33203125" style="185" bestFit="1" customWidth="1"/>
    <col min="10261" max="10494" width="9" style="185"/>
    <col min="10495" max="10495" width="14.77734375" style="185" customWidth="1"/>
    <col min="10496" max="10496" width="9.88671875" style="185" customWidth="1"/>
    <col min="10497" max="10497" width="10.44140625" style="185" customWidth="1"/>
    <col min="10498" max="10498" width="8" style="185" customWidth="1"/>
    <col min="10499" max="10499" width="11.88671875" style="185" customWidth="1"/>
    <col min="10500" max="10500" width="12.44140625" style="185" customWidth="1"/>
    <col min="10501" max="10501" width="10.88671875" style="185" customWidth="1"/>
    <col min="10502" max="10502" width="10.33203125" style="185" customWidth="1"/>
    <col min="10503" max="10503" width="10" style="185" customWidth="1"/>
    <col min="10504" max="10504" width="8" style="185" customWidth="1"/>
    <col min="10505" max="10505" width="30.6640625" style="185" customWidth="1"/>
    <col min="10506" max="10506" width="20.88671875" style="185" customWidth="1"/>
    <col min="10507" max="10508" width="10.77734375" style="185" customWidth="1"/>
    <col min="10509" max="10509" width="14.44140625" style="185" customWidth="1"/>
    <col min="10510" max="10510" width="8" style="185" customWidth="1"/>
    <col min="10511" max="10511" width="28.6640625" style="185" customWidth="1"/>
    <col min="10512" max="10515" width="8" style="185" customWidth="1"/>
    <col min="10516" max="10516" width="10.33203125" style="185" bestFit="1" customWidth="1"/>
    <col min="10517" max="10750" width="9" style="185"/>
    <col min="10751" max="10751" width="14.77734375" style="185" customWidth="1"/>
    <col min="10752" max="10752" width="9.88671875" style="185" customWidth="1"/>
    <col min="10753" max="10753" width="10.44140625" style="185" customWidth="1"/>
    <col min="10754" max="10754" width="8" style="185" customWidth="1"/>
    <col min="10755" max="10755" width="11.88671875" style="185" customWidth="1"/>
    <col min="10756" max="10756" width="12.44140625" style="185" customWidth="1"/>
    <col min="10757" max="10757" width="10.88671875" style="185" customWidth="1"/>
    <col min="10758" max="10758" width="10.33203125" style="185" customWidth="1"/>
    <col min="10759" max="10759" width="10" style="185" customWidth="1"/>
    <col min="10760" max="10760" width="8" style="185" customWidth="1"/>
    <col min="10761" max="10761" width="30.6640625" style="185" customWidth="1"/>
    <col min="10762" max="10762" width="20.88671875" style="185" customWidth="1"/>
    <col min="10763" max="10764" width="10.77734375" style="185" customWidth="1"/>
    <col min="10765" max="10765" width="14.44140625" style="185" customWidth="1"/>
    <col min="10766" max="10766" width="8" style="185" customWidth="1"/>
    <col min="10767" max="10767" width="28.6640625" style="185" customWidth="1"/>
    <col min="10768" max="10771" width="8" style="185" customWidth="1"/>
    <col min="10772" max="10772" width="10.33203125" style="185" bestFit="1" customWidth="1"/>
    <col min="10773" max="11006" width="9" style="185"/>
    <col min="11007" max="11007" width="14.77734375" style="185" customWidth="1"/>
    <col min="11008" max="11008" width="9.88671875" style="185" customWidth="1"/>
    <col min="11009" max="11009" width="10.44140625" style="185" customWidth="1"/>
    <col min="11010" max="11010" width="8" style="185" customWidth="1"/>
    <col min="11011" max="11011" width="11.88671875" style="185" customWidth="1"/>
    <col min="11012" max="11012" width="12.44140625" style="185" customWidth="1"/>
    <col min="11013" max="11013" width="10.88671875" style="185" customWidth="1"/>
    <col min="11014" max="11014" width="10.33203125" style="185" customWidth="1"/>
    <col min="11015" max="11015" width="10" style="185" customWidth="1"/>
    <col min="11016" max="11016" width="8" style="185" customWidth="1"/>
    <col min="11017" max="11017" width="30.6640625" style="185" customWidth="1"/>
    <col min="11018" max="11018" width="20.88671875" style="185" customWidth="1"/>
    <col min="11019" max="11020" width="10.77734375" style="185" customWidth="1"/>
    <col min="11021" max="11021" width="14.44140625" style="185" customWidth="1"/>
    <col min="11022" max="11022" width="8" style="185" customWidth="1"/>
    <col min="11023" max="11023" width="28.6640625" style="185" customWidth="1"/>
    <col min="11024" max="11027" width="8" style="185" customWidth="1"/>
    <col min="11028" max="11028" width="10.33203125" style="185" bestFit="1" customWidth="1"/>
    <col min="11029" max="11262" width="9" style="185"/>
    <col min="11263" max="11263" width="14.77734375" style="185" customWidth="1"/>
    <col min="11264" max="11264" width="9.88671875" style="185" customWidth="1"/>
    <col min="11265" max="11265" width="10.44140625" style="185" customWidth="1"/>
    <col min="11266" max="11266" width="8" style="185" customWidth="1"/>
    <col min="11267" max="11267" width="11.88671875" style="185" customWidth="1"/>
    <col min="11268" max="11268" width="12.44140625" style="185" customWidth="1"/>
    <col min="11269" max="11269" width="10.88671875" style="185" customWidth="1"/>
    <col min="11270" max="11270" width="10.33203125" style="185" customWidth="1"/>
    <col min="11271" max="11271" width="10" style="185" customWidth="1"/>
    <col min="11272" max="11272" width="8" style="185" customWidth="1"/>
    <col min="11273" max="11273" width="30.6640625" style="185" customWidth="1"/>
    <col min="11274" max="11274" width="20.88671875" style="185" customWidth="1"/>
    <col min="11275" max="11276" width="10.77734375" style="185" customWidth="1"/>
    <col min="11277" max="11277" width="14.44140625" style="185" customWidth="1"/>
    <col min="11278" max="11278" width="8" style="185" customWidth="1"/>
    <col min="11279" max="11279" width="28.6640625" style="185" customWidth="1"/>
    <col min="11280" max="11283" width="8" style="185" customWidth="1"/>
    <col min="11284" max="11284" width="10.33203125" style="185" bestFit="1" customWidth="1"/>
    <col min="11285" max="11518" width="9" style="185"/>
    <col min="11519" max="11519" width="14.77734375" style="185" customWidth="1"/>
    <col min="11520" max="11520" width="9.88671875" style="185" customWidth="1"/>
    <col min="11521" max="11521" width="10.44140625" style="185" customWidth="1"/>
    <col min="11522" max="11522" width="8" style="185" customWidth="1"/>
    <col min="11523" max="11523" width="11.88671875" style="185" customWidth="1"/>
    <col min="11524" max="11524" width="12.44140625" style="185" customWidth="1"/>
    <col min="11525" max="11525" width="10.88671875" style="185" customWidth="1"/>
    <col min="11526" max="11526" width="10.33203125" style="185" customWidth="1"/>
    <col min="11527" max="11527" width="10" style="185" customWidth="1"/>
    <col min="11528" max="11528" width="8" style="185" customWidth="1"/>
    <col min="11529" max="11529" width="30.6640625" style="185" customWidth="1"/>
    <col min="11530" max="11530" width="20.88671875" style="185" customWidth="1"/>
    <col min="11531" max="11532" width="10.77734375" style="185" customWidth="1"/>
    <col min="11533" max="11533" width="14.44140625" style="185" customWidth="1"/>
    <col min="11534" max="11534" width="8" style="185" customWidth="1"/>
    <col min="11535" max="11535" width="28.6640625" style="185" customWidth="1"/>
    <col min="11536" max="11539" width="8" style="185" customWidth="1"/>
    <col min="11540" max="11540" width="10.33203125" style="185" bestFit="1" customWidth="1"/>
    <col min="11541" max="11774" width="9" style="185"/>
    <col min="11775" max="11775" width="14.77734375" style="185" customWidth="1"/>
    <col min="11776" max="11776" width="9.88671875" style="185" customWidth="1"/>
    <col min="11777" max="11777" width="10.44140625" style="185" customWidth="1"/>
    <col min="11778" max="11778" width="8" style="185" customWidth="1"/>
    <col min="11779" max="11779" width="11.88671875" style="185" customWidth="1"/>
    <col min="11780" max="11780" width="12.44140625" style="185" customWidth="1"/>
    <col min="11781" max="11781" width="10.88671875" style="185" customWidth="1"/>
    <col min="11782" max="11782" width="10.33203125" style="185" customWidth="1"/>
    <col min="11783" max="11783" width="10" style="185" customWidth="1"/>
    <col min="11784" max="11784" width="8" style="185" customWidth="1"/>
    <col min="11785" max="11785" width="30.6640625" style="185" customWidth="1"/>
    <col min="11786" max="11786" width="20.88671875" style="185" customWidth="1"/>
    <col min="11787" max="11788" width="10.77734375" style="185" customWidth="1"/>
    <col min="11789" max="11789" width="14.44140625" style="185" customWidth="1"/>
    <col min="11790" max="11790" width="8" style="185" customWidth="1"/>
    <col min="11791" max="11791" width="28.6640625" style="185" customWidth="1"/>
    <col min="11792" max="11795" width="8" style="185" customWidth="1"/>
    <col min="11796" max="11796" width="10.33203125" style="185" bestFit="1" customWidth="1"/>
    <col min="11797" max="12030" width="9" style="185"/>
    <col min="12031" max="12031" width="14.77734375" style="185" customWidth="1"/>
    <col min="12032" max="12032" width="9.88671875" style="185" customWidth="1"/>
    <col min="12033" max="12033" width="10.44140625" style="185" customWidth="1"/>
    <col min="12034" max="12034" width="8" style="185" customWidth="1"/>
    <col min="12035" max="12035" width="11.88671875" style="185" customWidth="1"/>
    <col min="12036" max="12036" width="12.44140625" style="185" customWidth="1"/>
    <col min="12037" max="12037" width="10.88671875" style="185" customWidth="1"/>
    <col min="12038" max="12038" width="10.33203125" style="185" customWidth="1"/>
    <col min="12039" max="12039" width="10" style="185" customWidth="1"/>
    <col min="12040" max="12040" width="8" style="185" customWidth="1"/>
    <col min="12041" max="12041" width="30.6640625" style="185" customWidth="1"/>
    <col min="12042" max="12042" width="20.88671875" style="185" customWidth="1"/>
    <col min="12043" max="12044" width="10.77734375" style="185" customWidth="1"/>
    <col min="12045" max="12045" width="14.44140625" style="185" customWidth="1"/>
    <col min="12046" max="12046" width="8" style="185" customWidth="1"/>
    <col min="12047" max="12047" width="28.6640625" style="185" customWidth="1"/>
    <col min="12048" max="12051" width="8" style="185" customWidth="1"/>
    <col min="12052" max="12052" width="10.33203125" style="185" bestFit="1" customWidth="1"/>
    <col min="12053" max="12286" width="9" style="185"/>
    <col min="12287" max="12287" width="14.77734375" style="185" customWidth="1"/>
    <col min="12288" max="12288" width="9.88671875" style="185" customWidth="1"/>
    <col min="12289" max="12289" width="10.44140625" style="185" customWidth="1"/>
    <col min="12290" max="12290" width="8" style="185" customWidth="1"/>
    <col min="12291" max="12291" width="11.88671875" style="185" customWidth="1"/>
    <col min="12292" max="12292" width="12.44140625" style="185" customWidth="1"/>
    <col min="12293" max="12293" width="10.88671875" style="185" customWidth="1"/>
    <col min="12294" max="12294" width="10.33203125" style="185" customWidth="1"/>
    <col min="12295" max="12295" width="10" style="185" customWidth="1"/>
    <col min="12296" max="12296" width="8" style="185" customWidth="1"/>
    <col min="12297" max="12297" width="30.6640625" style="185" customWidth="1"/>
    <col min="12298" max="12298" width="20.88671875" style="185" customWidth="1"/>
    <col min="12299" max="12300" width="10.77734375" style="185" customWidth="1"/>
    <col min="12301" max="12301" width="14.44140625" style="185" customWidth="1"/>
    <col min="12302" max="12302" width="8" style="185" customWidth="1"/>
    <col min="12303" max="12303" width="28.6640625" style="185" customWidth="1"/>
    <col min="12304" max="12307" width="8" style="185" customWidth="1"/>
    <col min="12308" max="12308" width="10.33203125" style="185" bestFit="1" customWidth="1"/>
    <col min="12309" max="12542" width="9" style="185"/>
    <col min="12543" max="12543" width="14.77734375" style="185" customWidth="1"/>
    <col min="12544" max="12544" width="9.88671875" style="185" customWidth="1"/>
    <col min="12545" max="12545" width="10.44140625" style="185" customWidth="1"/>
    <col min="12546" max="12546" width="8" style="185" customWidth="1"/>
    <col min="12547" max="12547" width="11.88671875" style="185" customWidth="1"/>
    <col min="12548" max="12548" width="12.44140625" style="185" customWidth="1"/>
    <col min="12549" max="12549" width="10.88671875" style="185" customWidth="1"/>
    <col min="12550" max="12550" width="10.33203125" style="185" customWidth="1"/>
    <col min="12551" max="12551" width="10" style="185" customWidth="1"/>
    <col min="12552" max="12552" width="8" style="185" customWidth="1"/>
    <col min="12553" max="12553" width="30.6640625" style="185" customWidth="1"/>
    <col min="12554" max="12554" width="20.88671875" style="185" customWidth="1"/>
    <col min="12555" max="12556" width="10.77734375" style="185" customWidth="1"/>
    <col min="12557" max="12557" width="14.44140625" style="185" customWidth="1"/>
    <col min="12558" max="12558" width="8" style="185" customWidth="1"/>
    <col min="12559" max="12559" width="28.6640625" style="185" customWidth="1"/>
    <col min="12560" max="12563" width="8" style="185" customWidth="1"/>
    <col min="12564" max="12564" width="10.33203125" style="185" bestFit="1" customWidth="1"/>
    <col min="12565" max="12798" width="9" style="185"/>
    <col min="12799" max="12799" width="14.77734375" style="185" customWidth="1"/>
    <col min="12800" max="12800" width="9.88671875" style="185" customWidth="1"/>
    <col min="12801" max="12801" width="10.44140625" style="185" customWidth="1"/>
    <col min="12802" max="12802" width="8" style="185" customWidth="1"/>
    <col min="12803" max="12803" width="11.88671875" style="185" customWidth="1"/>
    <col min="12804" max="12804" width="12.44140625" style="185" customWidth="1"/>
    <col min="12805" max="12805" width="10.88671875" style="185" customWidth="1"/>
    <col min="12806" max="12806" width="10.33203125" style="185" customWidth="1"/>
    <col min="12807" max="12807" width="10" style="185" customWidth="1"/>
    <col min="12808" max="12808" width="8" style="185" customWidth="1"/>
    <col min="12809" max="12809" width="30.6640625" style="185" customWidth="1"/>
    <col min="12810" max="12810" width="20.88671875" style="185" customWidth="1"/>
    <col min="12811" max="12812" width="10.77734375" style="185" customWidth="1"/>
    <col min="12813" max="12813" width="14.44140625" style="185" customWidth="1"/>
    <col min="12814" max="12814" width="8" style="185" customWidth="1"/>
    <col min="12815" max="12815" width="28.6640625" style="185" customWidth="1"/>
    <col min="12816" max="12819" width="8" style="185" customWidth="1"/>
    <col min="12820" max="12820" width="10.33203125" style="185" bestFit="1" customWidth="1"/>
    <col min="12821" max="13054" width="9" style="185"/>
    <col min="13055" max="13055" width="14.77734375" style="185" customWidth="1"/>
    <col min="13056" max="13056" width="9.88671875" style="185" customWidth="1"/>
    <col min="13057" max="13057" width="10.44140625" style="185" customWidth="1"/>
    <col min="13058" max="13058" width="8" style="185" customWidth="1"/>
    <col min="13059" max="13059" width="11.88671875" style="185" customWidth="1"/>
    <col min="13060" max="13060" width="12.44140625" style="185" customWidth="1"/>
    <col min="13061" max="13061" width="10.88671875" style="185" customWidth="1"/>
    <col min="13062" max="13062" width="10.33203125" style="185" customWidth="1"/>
    <col min="13063" max="13063" width="10" style="185" customWidth="1"/>
    <col min="13064" max="13064" width="8" style="185" customWidth="1"/>
    <col min="13065" max="13065" width="30.6640625" style="185" customWidth="1"/>
    <col min="13066" max="13066" width="20.88671875" style="185" customWidth="1"/>
    <col min="13067" max="13068" width="10.77734375" style="185" customWidth="1"/>
    <col min="13069" max="13069" width="14.44140625" style="185" customWidth="1"/>
    <col min="13070" max="13070" width="8" style="185" customWidth="1"/>
    <col min="13071" max="13071" width="28.6640625" style="185" customWidth="1"/>
    <col min="13072" max="13075" width="8" style="185" customWidth="1"/>
    <col min="13076" max="13076" width="10.33203125" style="185" bestFit="1" customWidth="1"/>
    <col min="13077" max="13310" width="9" style="185"/>
    <col min="13311" max="13311" width="14.77734375" style="185" customWidth="1"/>
    <col min="13312" max="13312" width="9.88671875" style="185" customWidth="1"/>
    <col min="13313" max="13313" width="10.44140625" style="185" customWidth="1"/>
    <col min="13314" max="13314" width="8" style="185" customWidth="1"/>
    <col min="13315" max="13315" width="11.88671875" style="185" customWidth="1"/>
    <col min="13316" max="13316" width="12.44140625" style="185" customWidth="1"/>
    <col min="13317" max="13317" width="10.88671875" style="185" customWidth="1"/>
    <col min="13318" max="13318" width="10.33203125" style="185" customWidth="1"/>
    <col min="13319" max="13319" width="10" style="185" customWidth="1"/>
    <col min="13320" max="13320" width="8" style="185" customWidth="1"/>
    <col min="13321" max="13321" width="30.6640625" style="185" customWidth="1"/>
    <col min="13322" max="13322" width="20.88671875" style="185" customWidth="1"/>
    <col min="13323" max="13324" width="10.77734375" style="185" customWidth="1"/>
    <col min="13325" max="13325" width="14.44140625" style="185" customWidth="1"/>
    <col min="13326" max="13326" width="8" style="185" customWidth="1"/>
    <col min="13327" max="13327" width="28.6640625" style="185" customWidth="1"/>
    <col min="13328" max="13331" width="8" style="185" customWidth="1"/>
    <col min="13332" max="13332" width="10.33203125" style="185" bestFit="1" customWidth="1"/>
    <col min="13333" max="13566" width="9" style="185"/>
    <col min="13567" max="13567" width="14.77734375" style="185" customWidth="1"/>
    <col min="13568" max="13568" width="9.88671875" style="185" customWidth="1"/>
    <col min="13569" max="13569" width="10.44140625" style="185" customWidth="1"/>
    <col min="13570" max="13570" width="8" style="185" customWidth="1"/>
    <col min="13571" max="13571" width="11.88671875" style="185" customWidth="1"/>
    <col min="13572" max="13572" width="12.44140625" style="185" customWidth="1"/>
    <col min="13573" max="13573" width="10.88671875" style="185" customWidth="1"/>
    <col min="13574" max="13574" width="10.33203125" style="185" customWidth="1"/>
    <col min="13575" max="13575" width="10" style="185" customWidth="1"/>
    <col min="13576" max="13576" width="8" style="185" customWidth="1"/>
    <col min="13577" max="13577" width="30.6640625" style="185" customWidth="1"/>
    <col min="13578" max="13578" width="20.88671875" style="185" customWidth="1"/>
    <col min="13579" max="13580" width="10.77734375" style="185" customWidth="1"/>
    <col min="13581" max="13581" width="14.44140625" style="185" customWidth="1"/>
    <col min="13582" max="13582" width="8" style="185" customWidth="1"/>
    <col min="13583" max="13583" width="28.6640625" style="185" customWidth="1"/>
    <col min="13584" max="13587" width="8" style="185" customWidth="1"/>
    <col min="13588" max="13588" width="10.33203125" style="185" bestFit="1" customWidth="1"/>
    <col min="13589" max="13822" width="9" style="185"/>
    <col min="13823" max="13823" width="14.77734375" style="185" customWidth="1"/>
    <col min="13824" max="13824" width="9.88671875" style="185" customWidth="1"/>
    <col min="13825" max="13825" width="10.44140625" style="185" customWidth="1"/>
    <col min="13826" max="13826" width="8" style="185" customWidth="1"/>
    <col min="13827" max="13827" width="11.88671875" style="185" customWidth="1"/>
    <col min="13828" max="13828" width="12.44140625" style="185" customWidth="1"/>
    <col min="13829" max="13829" width="10.88671875" style="185" customWidth="1"/>
    <col min="13830" max="13830" width="10.33203125" style="185" customWidth="1"/>
    <col min="13831" max="13831" width="10" style="185" customWidth="1"/>
    <col min="13832" max="13832" width="8" style="185" customWidth="1"/>
    <col min="13833" max="13833" width="30.6640625" style="185" customWidth="1"/>
    <col min="13834" max="13834" width="20.88671875" style="185" customWidth="1"/>
    <col min="13835" max="13836" width="10.77734375" style="185" customWidth="1"/>
    <col min="13837" max="13837" width="14.44140625" style="185" customWidth="1"/>
    <col min="13838" max="13838" width="8" style="185" customWidth="1"/>
    <col min="13839" max="13839" width="28.6640625" style="185" customWidth="1"/>
    <col min="13840" max="13843" width="8" style="185" customWidth="1"/>
    <col min="13844" max="13844" width="10.33203125" style="185" bestFit="1" customWidth="1"/>
    <col min="13845" max="14078" width="9" style="185"/>
    <col min="14079" max="14079" width="14.77734375" style="185" customWidth="1"/>
    <col min="14080" max="14080" width="9.88671875" style="185" customWidth="1"/>
    <col min="14081" max="14081" width="10.44140625" style="185" customWidth="1"/>
    <col min="14082" max="14082" width="8" style="185" customWidth="1"/>
    <col min="14083" max="14083" width="11.88671875" style="185" customWidth="1"/>
    <col min="14084" max="14084" width="12.44140625" style="185" customWidth="1"/>
    <col min="14085" max="14085" width="10.88671875" style="185" customWidth="1"/>
    <col min="14086" max="14086" width="10.33203125" style="185" customWidth="1"/>
    <col min="14087" max="14087" width="10" style="185" customWidth="1"/>
    <col min="14088" max="14088" width="8" style="185" customWidth="1"/>
    <col min="14089" max="14089" width="30.6640625" style="185" customWidth="1"/>
    <col min="14090" max="14090" width="20.88671875" style="185" customWidth="1"/>
    <col min="14091" max="14092" width="10.77734375" style="185" customWidth="1"/>
    <col min="14093" max="14093" width="14.44140625" style="185" customWidth="1"/>
    <col min="14094" max="14094" width="8" style="185" customWidth="1"/>
    <col min="14095" max="14095" width="28.6640625" style="185" customWidth="1"/>
    <col min="14096" max="14099" width="8" style="185" customWidth="1"/>
    <col min="14100" max="14100" width="10.33203125" style="185" bestFit="1" customWidth="1"/>
    <col min="14101" max="14334" width="9" style="185"/>
    <col min="14335" max="14335" width="14.77734375" style="185" customWidth="1"/>
    <col min="14336" max="14336" width="9.88671875" style="185" customWidth="1"/>
    <col min="14337" max="14337" width="10.44140625" style="185" customWidth="1"/>
    <col min="14338" max="14338" width="8" style="185" customWidth="1"/>
    <col min="14339" max="14339" width="11.88671875" style="185" customWidth="1"/>
    <col min="14340" max="14340" width="12.44140625" style="185" customWidth="1"/>
    <col min="14341" max="14341" width="10.88671875" style="185" customWidth="1"/>
    <col min="14342" max="14342" width="10.33203125" style="185" customWidth="1"/>
    <col min="14343" max="14343" width="10" style="185" customWidth="1"/>
    <col min="14344" max="14344" width="8" style="185" customWidth="1"/>
    <col min="14345" max="14345" width="30.6640625" style="185" customWidth="1"/>
    <col min="14346" max="14346" width="20.88671875" style="185" customWidth="1"/>
    <col min="14347" max="14348" width="10.77734375" style="185" customWidth="1"/>
    <col min="14349" max="14349" width="14.44140625" style="185" customWidth="1"/>
    <col min="14350" max="14350" width="8" style="185" customWidth="1"/>
    <col min="14351" max="14351" width="28.6640625" style="185" customWidth="1"/>
    <col min="14352" max="14355" width="8" style="185" customWidth="1"/>
    <col min="14356" max="14356" width="10.33203125" style="185" bestFit="1" customWidth="1"/>
    <col min="14357" max="14590" width="9" style="185"/>
    <col min="14591" max="14591" width="14.77734375" style="185" customWidth="1"/>
    <col min="14592" max="14592" width="9.88671875" style="185" customWidth="1"/>
    <col min="14593" max="14593" width="10.44140625" style="185" customWidth="1"/>
    <col min="14594" max="14594" width="8" style="185" customWidth="1"/>
    <col min="14595" max="14595" width="11.88671875" style="185" customWidth="1"/>
    <col min="14596" max="14596" width="12.44140625" style="185" customWidth="1"/>
    <col min="14597" max="14597" width="10.88671875" style="185" customWidth="1"/>
    <col min="14598" max="14598" width="10.33203125" style="185" customWidth="1"/>
    <col min="14599" max="14599" width="10" style="185" customWidth="1"/>
    <col min="14600" max="14600" width="8" style="185" customWidth="1"/>
    <col min="14601" max="14601" width="30.6640625" style="185" customWidth="1"/>
    <col min="14602" max="14602" width="20.88671875" style="185" customWidth="1"/>
    <col min="14603" max="14604" width="10.77734375" style="185" customWidth="1"/>
    <col min="14605" max="14605" width="14.44140625" style="185" customWidth="1"/>
    <col min="14606" max="14606" width="8" style="185" customWidth="1"/>
    <col min="14607" max="14607" width="28.6640625" style="185" customWidth="1"/>
    <col min="14608" max="14611" width="8" style="185" customWidth="1"/>
    <col min="14612" max="14612" width="10.33203125" style="185" bestFit="1" customWidth="1"/>
    <col min="14613" max="14846" width="9" style="185"/>
    <col min="14847" max="14847" width="14.77734375" style="185" customWidth="1"/>
    <col min="14848" max="14848" width="9.88671875" style="185" customWidth="1"/>
    <col min="14849" max="14849" width="10.44140625" style="185" customWidth="1"/>
    <col min="14850" max="14850" width="8" style="185" customWidth="1"/>
    <col min="14851" max="14851" width="11.88671875" style="185" customWidth="1"/>
    <col min="14852" max="14852" width="12.44140625" style="185" customWidth="1"/>
    <col min="14853" max="14853" width="10.88671875" style="185" customWidth="1"/>
    <col min="14854" max="14854" width="10.33203125" style="185" customWidth="1"/>
    <col min="14855" max="14855" width="10" style="185" customWidth="1"/>
    <col min="14856" max="14856" width="8" style="185" customWidth="1"/>
    <col min="14857" max="14857" width="30.6640625" style="185" customWidth="1"/>
    <col min="14858" max="14858" width="20.88671875" style="185" customWidth="1"/>
    <col min="14859" max="14860" width="10.77734375" style="185" customWidth="1"/>
    <col min="14861" max="14861" width="14.44140625" style="185" customWidth="1"/>
    <col min="14862" max="14862" width="8" style="185" customWidth="1"/>
    <col min="14863" max="14863" width="28.6640625" style="185" customWidth="1"/>
    <col min="14864" max="14867" width="8" style="185" customWidth="1"/>
    <col min="14868" max="14868" width="10.33203125" style="185" bestFit="1" customWidth="1"/>
    <col min="14869" max="15102" width="9" style="185"/>
    <col min="15103" max="15103" width="14.77734375" style="185" customWidth="1"/>
    <col min="15104" max="15104" width="9.88671875" style="185" customWidth="1"/>
    <col min="15105" max="15105" width="10.44140625" style="185" customWidth="1"/>
    <col min="15106" max="15106" width="8" style="185" customWidth="1"/>
    <col min="15107" max="15107" width="11.88671875" style="185" customWidth="1"/>
    <col min="15108" max="15108" width="12.44140625" style="185" customWidth="1"/>
    <col min="15109" max="15109" width="10.88671875" style="185" customWidth="1"/>
    <col min="15110" max="15110" width="10.33203125" style="185" customWidth="1"/>
    <col min="15111" max="15111" width="10" style="185" customWidth="1"/>
    <col min="15112" max="15112" width="8" style="185" customWidth="1"/>
    <col min="15113" max="15113" width="30.6640625" style="185" customWidth="1"/>
    <col min="15114" max="15114" width="20.88671875" style="185" customWidth="1"/>
    <col min="15115" max="15116" width="10.77734375" style="185" customWidth="1"/>
    <col min="15117" max="15117" width="14.44140625" style="185" customWidth="1"/>
    <col min="15118" max="15118" width="8" style="185" customWidth="1"/>
    <col min="15119" max="15119" width="28.6640625" style="185" customWidth="1"/>
    <col min="15120" max="15123" width="8" style="185" customWidth="1"/>
    <col min="15124" max="15124" width="10.33203125" style="185" bestFit="1" customWidth="1"/>
    <col min="15125" max="15358" width="9" style="185"/>
    <col min="15359" max="15359" width="14.77734375" style="185" customWidth="1"/>
    <col min="15360" max="15360" width="9.88671875" style="185" customWidth="1"/>
    <col min="15361" max="15361" width="10.44140625" style="185" customWidth="1"/>
    <col min="15362" max="15362" width="8" style="185" customWidth="1"/>
    <col min="15363" max="15363" width="11.88671875" style="185" customWidth="1"/>
    <col min="15364" max="15364" width="12.44140625" style="185" customWidth="1"/>
    <col min="15365" max="15365" width="10.88671875" style="185" customWidth="1"/>
    <col min="15366" max="15366" width="10.33203125" style="185" customWidth="1"/>
    <col min="15367" max="15367" width="10" style="185" customWidth="1"/>
    <col min="15368" max="15368" width="8" style="185" customWidth="1"/>
    <col min="15369" max="15369" width="30.6640625" style="185" customWidth="1"/>
    <col min="15370" max="15370" width="20.88671875" style="185" customWidth="1"/>
    <col min="15371" max="15372" width="10.77734375" style="185" customWidth="1"/>
    <col min="15373" max="15373" width="14.44140625" style="185" customWidth="1"/>
    <col min="15374" max="15374" width="8" style="185" customWidth="1"/>
    <col min="15375" max="15375" width="28.6640625" style="185" customWidth="1"/>
    <col min="15376" max="15379" width="8" style="185" customWidth="1"/>
    <col min="15380" max="15380" width="10.33203125" style="185" bestFit="1" customWidth="1"/>
    <col min="15381" max="15614" width="9" style="185"/>
    <col min="15615" max="15615" width="14.77734375" style="185" customWidth="1"/>
    <col min="15616" max="15616" width="9.88671875" style="185" customWidth="1"/>
    <col min="15617" max="15617" width="10.44140625" style="185" customWidth="1"/>
    <col min="15618" max="15618" width="8" style="185" customWidth="1"/>
    <col min="15619" max="15619" width="11.88671875" style="185" customWidth="1"/>
    <col min="15620" max="15620" width="12.44140625" style="185" customWidth="1"/>
    <col min="15621" max="15621" width="10.88671875" style="185" customWidth="1"/>
    <col min="15622" max="15622" width="10.33203125" style="185" customWidth="1"/>
    <col min="15623" max="15623" width="10" style="185" customWidth="1"/>
    <col min="15624" max="15624" width="8" style="185" customWidth="1"/>
    <col min="15625" max="15625" width="30.6640625" style="185" customWidth="1"/>
    <col min="15626" max="15626" width="20.88671875" style="185" customWidth="1"/>
    <col min="15627" max="15628" width="10.77734375" style="185" customWidth="1"/>
    <col min="15629" max="15629" width="14.44140625" style="185" customWidth="1"/>
    <col min="15630" max="15630" width="8" style="185" customWidth="1"/>
    <col min="15631" max="15631" width="28.6640625" style="185" customWidth="1"/>
    <col min="15632" max="15635" width="8" style="185" customWidth="1"/>
    <col min="15636" max="15636" width="10.33203125" style="185" bestFit="1" customWidth="1"/>
    <col min="15637" max="15870" width="9" style="185"/>
    <col min="15871" max="15871" width="14.77734375" style="185" customWidth="1"/>
    <col min="15872" max="15872" width="9.88671875" style="185" customWidth="1"/>
    <col min="15873" max="15873" width="10.44140625" style="185" customWidth="1"/>
    <col min="15874" max="15874" width="8" style="185" customWidth="1"/>
    <col min="15875" max="15875" width="11.88671875" style="185" customWidth="1"/>
    <col min="15876" max="15876" width="12.44140625" style="185" customWidth="1"/>
    <col min="15877" max="15877" width="10.88671875" style="185" customWidth="1"/>
    <col min="15878" max="15878" width="10.33203125" style="185" customWidth="1"/>
    <col min="15879" max="15879" width="10" style="185" customWidth="1"/>
    <col min="15880" max="15880" width="8" style="185" customWidth="1"/>
    <col min="15881" max="15881" width="30.6640625" style="185" customWidth="1"/>
    <col min="15882" max="15882" width="20.88671875" style="185" customWidth="1"/>
    <col min="15883" max="15884" width="10.77734375" style="185" customWidth="1"/>
    <col min="15885" max="15885" width="14.44140625" style="185" customWidth="1"/>
    <col min="15886" max="15886" width="8" style="185" customWidth="1"/>
    <col min="15887" max="15887" width="28.6640625" style="185" customWidth="1"/>
    <col min="15888" max="15891" width="8" style="185" customWidth="1"/>
    <col min="15892" max="15892" width="10.33203125" style="185" bestFit="1" customWidth="1"/>
    <col min="15893" max="16126" width="9" style="185"/>
    <col min="16127" max="16127" width="14.77734375" style="185" customWidth="1"/>
    <col min="16128" max="16128" width="9.88671875" style="185" customWidth="1"/>
    <col min="16129" max="16129" width="10.44140625" style="185" customWidth="1"/>
    <col min="16130" max="16130" width="8" style="185" customWidth="1"/>
    <col min="16131" max="16131" width="11.88671875" style="185" customWidth="1"/>
    <col min="16132" max="16132" width="12.44140625" style="185" customWidth="1"/>
    <col min="16133" max="16133" width="10.88671875" style="185" customWidth="1"/>
    <col min="16134" max="16134" width="10.33203125" style="185" customWidth="1"/>
    <col min="16135" max="16135" width="10" style="185" customWidth="1"/>
    <col min="16136" max="16136" width="8" style="185" customWidth="1"/>
    <col min="16137" max="16137" width="30.6640625" style="185" customWidth="1"/>
    <col min="16138" max="16138" width="20.88671875" style="185" customWidth="1"/>
    <col min="16139" max="16140" width="10.77734375" style="185" customWidth="1"/>
    <col min="16141" max="16141" width="14.44140625" style="185" customWidth="1"/>
    <col min="16142" max="16142" width="8" style="185" customWidth="1"/>
    <col min="16143" max="16143" width="28.6640625" style="185" customWidth="1"/>
    <col min="16144" max="16147" width="8" style="185" customWidth="1"/>
    <col min="16148" max="16148" width="10.33203125" style="185" bestFit="1" customWidth="1"/>
    <col min="16149" max="16381" width="9" style="185"/>
    <col min="16382" max="16384" width="9" style="185" customWidth="1"/>
  </cols>
  <sheetData>
    <row r="1" spans="1:25" ht="20.100000000000001" customHeight="1"/>
    <row r="2" spans="1:25" ht="20.100000000000001" customHeight="1">
      <c r="A2" s="186" t="s">
        <v>904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Q2" s="1299" t="s">
        <v>170</v>
      </c>
      <c r="R2" s="1299" t="s">
        <v>789</v>
      </c>
      <c r="S2" s="1299" t="s">
        <v>171</v>
      </c>
      <c r="T2" s="1299" t="s">
        <v>1582</v>
      </c>
      <c r="U2" s="233" t="s">
        <v>912</v>
      </c>
      <c r="V2" s="234"/>
      <c r="W2" s="1286" t="s">
        <v>913</v>
      </c>
      <c r="Y2" s="168"/>
    </row>
    <row r="3" spans="1:25" ht="20.100000000000001" customHeight="1">
      <c r="A3" s="1288" t="s">
        <v>905</v>
      </c>
      <c r="B3" s="1290" t="s">
        <v>906</v>
      </c>
      <c r="C3" s="1291"/>
      <c r="D3" s="1291"/>
      <c r="E3" s="1291"/>
      <c r="F3" s="1292"/>
      <c r="G3" s="1296" t="s">
        <v>907</v>
      </c>
      <c r="H3" s="1297"/>
      <c r="I3" s="1298"/>
      <c r="J3" s="257"/>
      <c r="K3" s="257"/>
      <c r="L3" s="257"/>
      <c r="M3" s="257"/>
      <c r="N3" s="257"/>
      <c r="O3" s="257"/>
      <c r="Q3" s="1300"/>
      <c r="R3" s="1300"/>
      <c r="S3" s="1300"/>
      <c r="T3" s="1300"/>
      <c r="U3" s="235" t="s">
        <v>915</v>
      </c>
      <c r="V3" s="236" t="s">
        <v>916</v>
      </c>
      <c r="W3" s="1287"/>
      <c r="Y3" s="168" t="s">
        <v>789</v>
      </c>
    </row>
    <row r="4" spans="1:25" ht="24" customHeight="1">
      <c r="A4" s="1289"/>
      <c r="B4" s="1293"/>
      <c r="C4" s="1294"/>
      <c r="D4" s="1294"/>
      <c r="E4" s="1294"/>
      <c r="F4" s="1295"/>
      <c r="G4" s="188" t="s">
        <v>908</v>
      </c>
      <c r="H4" s="189" t="s">
        <v>909</v>
      </c>
      <c r="I4" s="189" t="s">
        <v>1587</v>
      </c>
      <c r="J4" s="258"/>
      <c r="K4" s="258"/>
      <c r="L4" s="258"/>
      <c r="M4" s="258"/>
      <c r="N4" s="258"/>
      <c r="O4" s="258"/>
      <c r="Q4" s="174">
        <v>1</v>
      </c>
      <c r="R4" s="237" t="s">
        <v>793</v>
      </c>
      <c r="S4" s="176" t="s">
        <v>172</v>
      </c>
      <c r="T4" s="240" t="s">
        <v>923</v>
      </c>
      <c r="U4" s="238">
        <v>105.8129</v>
      </c>
      <c r="V4" s="238">
        <v>21.0398</v>
      </c>
      <c r="W4" s="238">
        <v>9.7600000000000006E-2</v>
      </c>
      <c r="Y4" s="241" t="s">
        <v>793</v>
      </c>
    </row>
    <row r="5" spans="1:25" ht="20.100000000000001" customHeight="1">
      <c r="A5" s="1282" t="s">
        <v>0</v>
      </c>
      <c r="B5" s="190" t="s">
        <v>910</v>
      </c>
      <c r="C5" s="190"/>
      <c r="D5" s="190"/>
      <c r="E5" s="190"/>
      <c r="F5" s="190"/>
      <c r="G5" s="1283" t="s">
        <v>911</v>
      </c>
      <c r="H5" s="1283" t="s">
        <v>13</v>
      </c>
      <c r="I5" s="1283" t="s">
        <v>13</v>
      </c>
      <c r="J5" s="210"/>
      <c r="K5" s="210"/>
      <c r="L5" s="210"/>
      <c r="M5" s="210"/>
      <c r="N5" s="210"/>
      <c r="O5" s="210"/>
      <c r="Q5" s="174">
        <v>2</v>
      </c>
      <c r="R5" s="237" t="s">
        <v>793</v>
      </c>
      <c r="S5" s="176" t="s">
        <v>173</v>
      </c>
      <c r="T5" s="240" t="s">
        <v>928</v>
      </c>
      <c r="U5" s="238">
        <v>105.79949999999999</v>
      </c>
      <c r="V5" s="238">
        <v>21.033300000000001</v>
      </c>
      <c r="W5" s="238">
        <v>0.1032</v>
      </c>
      <c r="Y5" s="241" t="s">
        <v>794</v>
      </c>
    </row>
    <row r="6" spans="1:25" ht="20.100000000000001" customHeight="1">
      <c r="A6" s="1282"/>
      <c r="B6" s="191" t="s">
        <v>914</v>
      </c>
      <c r="C6" s="191"/>
      <c r="D6" s="191"/>
      <c r="E6" s="191"/>
      <c r="F6" s="191"/>
      <c r="G6" s="1283"/>
      <c r="H6" s="1283"/>
      <c r="I6" s="1283"/>
      <c r="J6" s="210"/>
      <c r="K6" s="210"/>
      <c r="L6" s="210"/>
      <c r="M6" s="210"/>
      <c r="N6" s="210"/>
      <c r="O6" s="210"/>
      <c r="Q6" s="174">
        <v>3</v>
      </c>
      <c r="R6" s="237" t="s">
        <v>793</v>
      </c>
      <c r="S6" s="176" t="s">
        <v>174</v>
      </c>
      <c r="T6" s="240" t="s">
        <v>930</v>
      </c>
      <c r="U6" s="238">
        <v>105.8329</v>
      </c>
      <c r="V6" s="238">
        <v>21.0183</v>
      </c>
      <c r="W6" s="238">
        <v>9.8299999999999998E-2</v>
      </c>
      <c r="Y6" s="241" t="s">
        <v>795</v>
      </c>
    </row>
    <row r="7" spans="1:25" ht="20.100000000000001" customHeight="1">
      <c r="A7" s="1282" t="s">
        <v>1</v>
      </c>
      <c r="B7" s="187" t="s">
        <v>917</v>
      </c>
      <c r="C7" s="187"/>
      <c r="D7" s="187"/>
      <c r="E7" s="187"/>
      <c r="F7" s="187"/>
      <c r="G7" s="1283" t="s">
        <v>918</v>
      </c>
      <c r="H7" s="1283" t="s">
        <v>919</v>
      </c>
      <c r="I7" s="1283" t="s">
        <v>920</v>
      </c>
      <c r="J7" s="210"/>
      <c r="K7" s="210"/>
      <c r="L7" s="210"/>
      <c r="M7" s="210"/>
      <c r="N7" s="210"/>
      <c r="O7" s="210"/>
      <c r="Q7" s="174">
        <v>4</v>
      </c>
      <c r="R7" s="237" t="s">
        <v>793</v>
      </c>
      <c r="S7" s="176" t="s">
        <v>788</v>
      </c>
      <c r="T7" s="240" t="s">
        <v>936</v>
      </c>
      <c r="U7" s="238">
        <v>105.846</v>
      </c>
      <c r="V7" s="238">
        <v>21.012499999999999</v>
      </c>
      <c r="W7" s="238">
        <v>9.5899999999999999E-2</v>
      </c>
      <c r="Y7" s="241" t="s">
        <v>796</v>
      </c>
    </row>
    <row r="8" spans="1:25" ht="20.100000000000001" customHeight="1">
      <c r="A8" s="1282"/>
      <c r="B8" s="187" t="s">
        <v>921</v>
      </c>
      <c r="C8" s="187"/>
      <c r="D8" s="187"/>
      <c r="E8" s="187"/>
      <c r="F8" s="187"/>
      <c r="G8" s="1283"/>
      <c r="H8" s="1283"/>
      <c r="I8" s="1283"/>
      <c r="J8" s="210"/>
      <c r="K8" s="210"/>
      <c r="L8" s="210"/>
      <c r="M8" s="210"/>
      <c r="N8" s="210"/>
      <c r="O8" s="210"/>
      <c r="Q8" s="174">
        <v>5</v>
      </c>
      <c r="R8" s="237" t="s">
        <v>793</v>
      </c>
      <c r="S8" s="176" t="s">
        <v>175</v>
      </c>
      <c r="T8" s="240" t="s">
        <v>938</v>
      </c>
      <c r="U8" s="238">
        <v>105.8502</v>
      </c>
      <c r="V8" s="238">
        <v>21.0291</v>
      </c>
      <c r="W8" s="238">
        <v>8.9200000000000002E-2</v>
      </c>
      <c r="Y8" s="241" t="s">
        <v>797</v>
      </c>
    </row>
    <row r="9" spans="1:25" ht="20.100000000000001" customHeight="1">
      <c r="A9" s="1282"/>
      <c r="B9" s="187" t="s">
        <v>922</v>
      </c>
      <c r="C9" s="187"/>
      <c r="D9" s="187"/>
      <c r="E9" s="187"/>
      <c r="F9" s="187"/>
      <c r="G9" s="1283"/>
      <c r="H9" s="1283"/>
      <c r="I9" s="1283"/>
      <c r="J9" s="210"/>
      <c r="K9" s="210"/>
      <c r="L9" s="210"/>
      <c r="M9" s="210"/>
      <c r="N9" s="210"/>
      <c r="O9" s="210"/>
      <c r="Q9" s="174">
        <v>6</v>
      </c>
      <c r="R9" s="237" t="s">
        <v>793</v>
      </c>
      <c r="S9" s="176" t="s">
        <v>176</v>
      </c>
      <c r="T9" s="240" t="s">
        <v>940</v>
      </c>
      <c r="U9" s="238">
        <v>105.8383</v>
      </c>
      <c r="V9" s="238">
        <v>21.002199999999998</v>
      </c>
      <c r="W9" s="238">
        <v>0.10009999999999999</v>
      </c>
      <c r="Y9" s="241" t="s">
        <v>798</v>
      </c>
    </row>
    <row r="10" spans="1:25" ht="20.100000000000001" customHeight="1">
      <c r="A10" s="1282" t="s">
        <v>2</v>
      </c>
      <c r="B10" s="194" t="s">
        <v>924</v>
      </c>
      <c r="C10" s="190"/>
      <c r="D10" s="190"/>
      <c r="E10" s="190"/>
      <c r="F10" s="195"/>
      <c r="G10" s="1283" t="s">
        <v>925</v>
      </c>
      <c r="H10" s="1283" t="s">
        <v>926</v>
      </c>
      <c r="I10" s="1283" t="s">
        <v>927</v>
      </c>
      <c r="J10" s="210"/>
      <c r="K10" s="210"/>
      <c r="L10" s="210"/>
      <c r="M10" s="210"/>
      <c r="N10" s="210"/>
      <c r="O10" s="210"/>
      <c r="Q10" s="174">
        <v>7</v>
      </c>
      <c r="R10" s="237" t="s">
        <v>793</v>
      </c>
      <c r="S10" s="176" t="s">
        <v>177</v>
      </c>
      <c r="T10" s="240" t="s">
        <v>943</v>
      </c>
      <c r="U10" s="238">
        <v>105.8908</v>
      </c>
      <c r="V10" s="238">
        <v>21.055</v>
      </c>
      <c r="W10" s="238">
        <v>7.4700000000000003E-2</v>
      </c>
      <c r="Y10" s="241" t="s">
        <v>799</v>
      </c>
    </row>
    <row r="11" spans="1:25" ht="20.100000000000001" customHeight="1">
      <c r="A11" s="1284"/>
      <c r="B11" s="196" t="s">
        <v>929</v>
      </c>
      <c r="C11" s="191"/>
      <c r="D11" s="191"/>
      <c r="E11" s="191"/>
      <c r="F11" s="197"/>
      <c r="G11" s="1285"/>
      <c r="H11" s="1285"/>
      <c r="I11" s="1285"/>
      <c r="J11" s="210"/>
      <c r="K11" s="210"/>
      <c r="L11" s="210"/>
      <c r="M11" s="210"/>
      <c r="N11" s="210"/>
      <c r="O11" s="210"/>
      <c r="Q11" s="174">
        <v>8</v>
      </c>
      <c r="R11" s="237" t="s">
        <v>793</v>
      </c>
      <c r="S11" s="176" t="s">
        <v>178</v>
      </c>
      <c r="T11" s="240" t="s">
        <v>945</v>
      </c>
      <c r="U11" s="238">
        <v>105.82550000000001</v>
      </c>
      <c r="V11" s="238">
        <v>21.0779</v>
      </c>
      <c r="W11" s="238">
        <v>8.1900000000000001E-2</v>
      </c>
      <c r="Y11" s="241" t="s">
        <v>800</v>
      </c>
    </row>
    <row r="12" spans="1:25" ht="20.100000000000001" customHeight="1">
      <c r="A12" s="1282" t="s">
        <v>931</v>
      </c>
      <c r="B12" s="190" t="s">
        <v>932</v>
      </c>
      <c r="C12" s="190"/>
      <c r="D12" s="190"/>
      <c r="E12" s="190"/>
      <c r="F12" s="190"/>
      <c r="G12" s="1283" t="s">
        <v>933</v>
      </c>
      <c r="H12" s="1283" t="s">
        <v>934</v>
      </c>
      <c r="I12" s="1283" t="s">
        <v>935</v>
      </c>
      <c r="J12" s="210"/>
      <c r="K12" s="210"/>
      <c r="L12" s="210"/>
      <c r="M12" s="210"/>
      <c r="N12" s="210"/>
      <c r="O12" s="210"/>
      <c r="Q12" s="174">
        <v>9</v>
      </c>
      <c r="R12" s="237" t="s">
        <v>793</v>
      </c>
      <c r="S12" s="176" t="s">
        <v>179</v>
      </c>
      <c r="T12" s="240" t="s">
        <v>947</v>
      </c>
      <c r="U12" s="238">
        <v>105.79900000000001</v>
      </c>
      <c r="V12" s="238">
        <v>20.991099999999999</v>
      </c>
      <c r="W12" s="238">
        <v>0.10970000000000001</v>
      </c>
      <c r="Y12" s="241" t="s">
        <v>801</v>
      </c>
    </row>
    <row r="13" spans="1:25" ht="20.100000000000001" customHeight="1">
      <c r="A13" s="1282"/>
      <c r="B13" s="187" t="s">
        <v>937</v>
      </c>
      <c r="C13" s="187"/>
      <c r="D13" s="187"/>
      <c r="E13" s="187"/>
      <c r="F13" s="187"/>
      <c r="G13" s="1283"/>
      <c r="H13" s="1283"/>
      <c r="I13" s="1283"/>
      <c r="J13" s="210"/>
      <c r="K13" s="210"/>
      <c r="L13" s="210"/>
      <c r="M13" s="210"/>
      <c r="N13" s="210"/>
      <c r="O13" s="210"/>
      <c r="Q13" s="174">
        <v>10</v>
      </c>
      <c r="R13" s="237" t="s">
        <v>793</v>
      </c>
      <c r="S13" s="239" t="s">
        <v>197</v>
      </c>
      <c r="T13" s="240" t="s">
        <v>949</v>
      </c>
      <c r="U13" s="238">
        <v>105.84950000000001</v>
      </c>
      <c r="V13" s="238">
        <v>21.139399999999998</v>
      </c>
      <c r="W13" s="238">
        <v>7.5700000000000003E-2</v>
      </c>
      <c r="Y13" s="241" t="s">
        <v>270</v>
      </c>
    </row>
    <row r="14" spans="1:25" ht="20.100000000000001" customHeight="1">
      <c r="A14" s="1282"/>
      <c r="B14" s="191" t="s">
        <v>939</v>
      </c>
      <c r="C14" s="191"/>
      <c r="D14" s="191"/>
      <c r="E14" s="191"/>
      <c r="F14" s="191"/>
      <c r="G14" s="1283"/>
      <c r="H14" s="1283"/>
      <c r="I14" s="1283"/>
      <c r="J14" s="210"/>
      <c r="K14" s="210"/>
      <c r="L14" s="210"/>
      <c r="M14" s="210"/>
      <c r="N14" s="210"/>
      <c r="O14" s="210"/>
      <c r="Q14" s="174">
        <v>11</v>
      </c>
      <c r="R14" s="237" t="s">
        <v>793</v>
      </c>
      <c r="S14" s="176" t="s">
        <v>198</v>
      </c>
      <c r="T14" s="240" t="s">
        <v>950</v>
      </c>
      <c r="U14" s="238">
        <v>105.9366</v>
      </c>
      <c r="V14" s="238">
        <v>21.019200000000001</v>
      </c>
      <c r="W14" s="238">
        <v>7.6899999999999996E-2</v>
      </c>
      <c r="Y14" s="241" t="s">
        <v>277</v>
      </c>
    </row>
    <row r="15" spans="1:25" ht="20.100000000000001" customHeight="1">
      <c r="A15" s="1282" t="s">
        <v>941</v>
      </c>
      <c r="B15" s="190" t="s">
        <v>942</v>
      </c>
      <c r="C15" s="190"/>
      <c r="D15" s="190"/>
      <c r="E15" s="190"/>
      <c r="F15" s="190"/>
      <c r="G15" s="1283"/>
      <c r="H15" s="1283"/>
      <c r="I15" s="1283"/>
      <c r="J15" s="210"/>
      <c r="K15" s="210"/>
      <c r="L15" s="210"/>
      <c r="M15" s="210"/>
      <c r="N15" s="210"/>
      <c r="O15" s="210"/>
      <c r="Q15" s="174">
        <v>12</v>
      </c>
      <c r="R15" s="237" t="s">
        <v>793</v>
      </c>
      <c r="S15" s="176" t="s">
        <v>199</v>
      </c>
      <c r="T15" s="240" t="s">
        <v>952</v>
      </c>
      <c r="U15" s="238">
        <v>105.8485</v>
      </c>
      <c r="V15" s="238">
        <v>21.257400000000001</v>
      </c>
      <c r="W15" s="238">
        <v>9.6199999999999994E-2</v>
      </c>
      <c r="Y15" s="241" t="s">
        <v>803</v>
      </c>
    </row>
    <row r="16" spans="1:25" ht="20.100000000000001" customHeight="1">
      <c r="A16" s="1282"/>
      <c r="B16" s="187" t="s">
        <v>944</v>
      </c>
      <c r="C16" s="187"/>
      <c r="D16" s="187"/>
      <c r="E16" s="187"/>
      <c r="F16" s="187"/>
      <c r="G16" s="1283"/>
      <c r="H16" s="1283"/>
      <c r="I16" s="1283"/>
      <c r="J16" s="210"/>
      <c r="K16" s="210"/>
      <c r="L16" s="210"/>
      <c r="M16" s="210"/>
      <c r="N16" s="210"/>
      <c r="O16" s="210"/>
      <c r="Q16" s="174">
        <v>13</v>
      </c>
      <c r="R16" s="237" t="s">
        <v>793</v>
      </c>
      <c r="S16" s="176" t="s">
        <v>200</v>
      </c>
      <c r="T16" s="240" t="s">
        <v>956</v>
      </c>
      <c r="U16" s="238">
        <v>105.8451</v>
      </c>
      <c r="V16" s="238">
        <v>20.946100000000001</v>
      </c>
      <c r="W16" s="238">
        <v>0.1047</v>
      </c>
      <c r="Y16" s="241" t="s">
        <v>805</v>
      </c>
    </row>
    <row r="17" spans="1:25" ht="20.100000000000001" customHeight="1">
      <c r="A17" s="1282"/>
      <c r="B17" s="187" t="s">
        <v>946</v>
      </c>
      <c r="C17" s="187"/>
      <c r="D17" s="187"/>
      <c r="E17" s="187"/>
      <c r="F17" s="187"/>
      <c r="G17" s="1283"/>
      <c r="H17" s="1283"/>
      <c r="I17" s="1283"/>
      <c r="J17" s="210"/>
      <c r="K17" s="210"/>
      <c r="L17" s="210"/>
      <c r="M17" s="210"/>
      <c r="N17" s="210"/>
      <c r="O17" s="210"/>
      <c r="Q17" s="174">
        <v>14</v>
      </c>
      <c r="R17" s="237" t="s">
        <v>793</v>
      </c>
      <c r="S17" s="176" t="s">
        <v>201</v>
      </c>
      <c r="T17" s="240" t="s">
        <v>957</v>
      </c>
      <c r="U17" s="238">
        <v>105.7625</v>
      </c>
      <c r="V17" s="238">
        <v>21.0398</v>
      </c>
      <c r="W17" s="238">
        <v>0.1081</v>
      </c>
      <c r="Y17" s="241" t="s">
        <v>299</v>
      </c>
    </row>
    <row r="18" spans="1:25" ht="20.100000000000001" customHeight="1">
      <c r="A18" s="1282"/>
      <c r="B18" s="191" t="s">
        <v>948</v>
      </c>
      <c r="C18" s="191"/>
      <c r="D18" s="191"/>
      <c r="E18" s="191"/>
      <c r="F18" s="191"/>
      <c r="G18" s="1283"/>
      <c r="H18" s="1283"/>
      <c r="I18" s="1283"/>
      <c r="J18" s="210"/>
      <c r="K18" s="210"/>
      <c r="L18" s="210"/>
      <c r="M18" s="210"/>
      <c r="N18" s="210"/>
      <c r="O18" s="210"/>
      <c r="Q18" s="174">
        <v>15</v>
      </c>
      <c r="R18" s="175" t="s">
        <v>794</v>
      </c>
      <c r="S18" s="176" t="s">
        <v>180</v>
      </c>
      <c r="T18" s="240" t="s">
        <v>958</v>
      </c>
      <c r="U18" s="238">
        <v>106.6986</v>
      </c>
      <c r="V18" s="238">
        <v>10.782500000000001</v>
      </c>
      <c r="W18" s="238">
        <v>8.48E-2</v>
      </c>
      <c r="Y18" s="241" t="s">
        <v>825</v>
      </c>
    </row>
    <row r="19" spans="1:25" ht="20.100000000000001" customHeight="1">
      <c r="A19" s="198"/>
      <c r="Q19" s="174">
        <v>16</v>
      </c>
      <c r="R19" s="175" t="s">
        <v>794</v>
      </c>
      <c r="S19" s="176" t="s">
        <v>181</v>
      </c>
      <c r="T19" s="240" t="s">
        <v>959</v>
      </c>
      <c r="U19" s="238">
        <v>106.7482</v>
      </c>
      <c r="V19" s="238">
        <v>10.792400000000001</v>
      </c>
      <c r="W19" s="238">
        <v>8.5599999999999996E-2</v>
      </c>
      <c r="Y19" s="241" t="s">
        <v>315</v>
      </c>
    </row>
    <row r="20" spans="1:25" ht="20.100000000000001" customHeight="1">
      <c r="A20" s="199" t="s">
        <v>951</v>
      </c>
      <c r="Q20" s="174">
        <v>17</v>
      </c>
      <c r="R20" s="175" t="s">
        <v>794</v>
      </c>
      <c r="S20" s="176" t="s">
        <v>182</v>
      </c>
      <c r="T20" s="240" t="s">
        <v>960</v>
      </c>
      <c r="U20" s="238">
        <v>106.6861</v>
      </c>
      <c r="V20" s="238">
        <v>10.7759</v>
      </c>
      <c r="W20" s="238">
        <v>8.43E-2</v>
      </c>
      <c r="Y20" s="241" t="s">
        <v>325</v>
      </c>
    </row>
    <row r="21" spans="1:25" ht="20.100000000000001" customHeight="1">
      <c r="A21" s="200" t="s">
        <v>895</v>
      </c>
      <c r="B21" s="200" t="s">
        <v>896</v>
      </c>
      <c r="C21" s="200" t="s">
        <v>953</v>
      </c>
      <c r="D21" s="200" t="s">
        <v>954</v>
      </c>
      <c r="E21" s="319" t="s">
        <v>955</v>
      </c>
      <c r="F21" s="319" t="s">
        <v>1643</v>
      </c>
      <c r="G21" s="319" t="s">
        <v>1644</v>
      </c>
      <c r="I21" s="265" t="s">
        <v>1595</v>
      </c>
      <c r="Q21" s="174">
        <v>18</v>
      </c>
      <c r="R21" s="175" t="s">
        <v>794</v>
      </c>
      <c r="S21" s="176" t="s">
        <v>183</v>
      </c>
      <c r="T21" s="240" t="s">
        <v>961</v>
      </c>
      <c r="U21" s="238">
        <v>106.7063</v>
      </c>
      <c r="V21" s="238">
        <v>10.7674</v>
      </c>
      <c r="W21" s="238">
        <v>8.4699999999999998E-2</v>
      </c>
      <c r="Y21" s="241" t="s">
        <v>333</v>
      </c>
    </row>
    <row r="22" spans="1:25" ht="20.100000000000001" customHeight="1">
      <c r="A22" s="200" t="s">
        <v>0</v>
      </c>
      <c r="B22" s="201">
        <v>1</v>
      </c>
      <c r="C22" s="193">
        <v>0.15</v>
      </c>
      <c r="D22" s="193">
        <v>0.4</v>
      </c>
      <c r="E22" s="263">
        <v>2</v>
      </c>
      <c r="F22" s="262">
        <v>4.5</v>
      </c>
      <c r="G22" s="262">
        <v>10</v>
      </c>
      <c r="I22" s="262">
        <v>0.75</v>
      </c>
      <c r="Q22" s="174">
        <v>19</v>
      </c>
      <c r="R22" s="175" t="s">
        <v>794</v>
      </c>
      <c r="S22" s="176" t="s">
        <v>184</v>
      </c>
      <c r="T22" s="240" t="s">
        <v>963</v>
      </c>
      <c r="U22" s="238">
        <v>106.6695</v>
      </c>
      <c r="V22" s="238">
        <v>10.7578</v>
      </c>
      <c r="W22" s="238">
        <v>7.7399999999999997E-2</v>
      </c>
      <c r="Y22" s="241" t="s">
        <v>347</v>
      </c>
    </row>
    <row r="23" spans="1:25" ht="20.100000000000001" customHeight="1">
      <c r="A23" s="200" t="s">
        <v>1</v>
      </c>
      <c r="B23" s="193">
        <v>1.2</v>
      </c>
      <c r="C23" s="193">
        <v>0.15</v>
      </c>
      <c r="D23" s="193">
        <v>0.5</v>
      </c>
      <c r="E23" s="263">
        <v>2</v>
      </c>
      <c r="F23" s="262">
        <v>5</v>
      </c>
      <c r="G23" s="262">
        <v>10</v>
      </c>
      <c r="I23" s="262">
        <v>1</v>
      </c>
      <c r="Q23" s="174">
        <v>20</v>
      </c>
      <c r="R23" s="175" t="s">
        <v>794</v>
      </c>
      <c r="S23" s="176" t="s">
        <v>185</v>
      </c>
      <c r="T23" s="240" t="s">
        <v>967</v>
      </c>
      <c r="U23" s="238">
        <v>106.6506</v>
      </c>
      <c r="V23" s="238">
        <v>10.7477</v>
      </c>
      <c r="W23" s="238">
        <v>7.0000000000000007E-2</v>
      </c>
      <c r="Y23" s="241" t="s">
        <v>361</v>
      </c>
    </row>
    <row r="24" spans="1:25" ht="20.100000000000001" customHeight="1">
      <c r="A24" s="200" t="s">
        <v>2</v>
      </c>
      <c r="B24" s="193">
        <v>1.1499999999999999</v>
      </c>
      <c r="C24" s="192">
        <v>0.2</v>
      </c>
      <c r="D24" s="193">
        <v>0.6</v>
      </c>
      <c r="E24" s="263">
        <v>2</v>
      </c>
      <c r="F24" s="262">
        <v>6</v>
      </c>
      <c r="G24" s="262">
        <v>10</v>
      </c>
      <c r="I24" s="262">
        <v>1.25</v>
      </c>
      <c r="Q24" s="174">
        <v>21</v>
      </c>
      <c r="R24" s="175" t="s">
        <v>794</v>
      </c>
      <c r="S24" s="176" t="s">
        <v>186</v>
      </c>
      <c r="T24" s="240" t="s">
        <v>969</v>
      </c>
      <c r="U24" s="238">
        <v>106.7338</v>
      </c>
      <c r="V24" s="238">
        <v>10.728400000000001</v>
      </c>
      <c r="W24" s="238">
        <v>8.4599999999999995E-2</v>
      </c>
      <c r="Y24" s="241" t="s">
        <v>367</v>
      </c>
    </row>
    <row r="25" spans="1:25" ht="20.100000000000001" customHeight="1">
      <c r="A25" s="200" t="s">
        <v>931</v>
      </c>
      <c r="B25" s="193">
        <v>1.35</v>
      </c>
      <c r="C25" s="192">
        <v>0.2</v>
      </c>
      <c r="D25" s="193">
        <v>0.8</v>
      </c>
      <c r="E25" s="263">
        <v>2</v>
      </c>
      <c r="F25" s="262">
        <v>6</v>
      </c>
      <c r="G25" s="262">
        <v>10</v>
      </c>
      <c r="Q25" s="174">
        <v>22</v>
      </c>
      <c r="R25" s="175" t="s">
        <v>794</v>
      </c>
      <c r="S25" s="176" t="s">
        <v>187</v>
      </c>
      <c r="T25" s="240" t="s">
        <v>971</v>
      </c>
      <c r="U25" s="238">
        <v>106.66419999999999</v>
      </c>
      <c r="V25" s="238">
        <v>10.749499999999999</v>
      </c>
      <c r="W25" s="238">
        <v>7.4499999999999997E-2</v>
      </c>
      <c r="Y25" s="241" t="s">
        <v>374</v>
      </c>
    </row>
    <row r="26" spans="1:25" ht="20.100000000000001" customHeight="1">
      <c r="A26" s="200" t="s">
        <v>941</v>
      </c>
      <c r="B26" s="193">
        <v>1.4</v>
      </c>
      <c r="C26" s="193">
        <v>0.15</v>
      </c>
      <c r="D26" s="193">
        <v>0.5</v>
      </c>
      <c r="E26" s="263">
        <v>2</v>
      </c>
      <c r="F26" s="262">
        <v>6</v>
      </c>
      <c r="G26" s="262">
        <v>10</v>
      </c>
      <c r="I26" s="265" t="s">
        <v>1636</v>
      </c>
      <c r="Q26" s="174">
        <v>23</v>
      </c>
      <c r="R26" s="175" t="s">
        <v>794</v>
      </c>
      <c r="S26" s="176" t="s">
        <v>188</v>
      </c>
      <c r="T26" s="240" t="s">
        <v>973</v>
      </c>
      <c r="U26" s="238">
        <v>106.7698</v>
      </c>
      <c r="V26" s="238">
        <v>10.8428</v>
      </c>
      <c r="W26" s="238">
        <v>7.4700000000000003E-2</v>
      </c>
      <c r="Y26" s="241" t="s">
        <v>386</v>
      </c>
    </row>
    <row r="27" spans="1:25" ht="20.100000000000001" customHeight="1">
      <c r="A27" s="199"/>
      <c r="I27" s="262">
        <v>0.8</v>
      </c>
      <c r="Q27" s="174">
        <v>24</v>
      </c>
      <c r="R27" s="175" t="s">
        <v>794</v>
      </c>
      <c r="S27" s="176" t="s">
        <v>189</v>
      </c>
      <c r="T27" s="240" t="s">
        <v>975</v>
      </c>
      <c r="U27" s="238">
        <v>106.6653</v>
      </c>
      <c r="V27" s="238">
        <v>10.7689</v>
      </c>
      <c r="W27" s="238">
        <v>7.7700000000000005E-2</v>
      </c>
      <c r="Y27" s="241" t="s">
        <v>208</v>
      </c>
    </row>
    <row r="28" spans="1:25" ht="20.100000000000001" customHeight="1">
      <c r="I28" s="262">
        <v>1</v>
      </c>
      <c r="Q28" s="174">
        <v>25</v>
      </c>
      <c r="R28" s="175" t="s">
        <v>794</v>
      </c>
      <c r="S28" s="176" t="s">
        <v>190</v>
      </c>
      <c r="T28" s="240" t="s">
        <v>976</v>
      </c>
      <c r="U28" s="238">
        <v>106.643</v>
      </c>
      <c r="V28" s="238">
        <v>10.764699999999999</v>
      </c>
      <c r="W28" s="238">
        <v>7.0099999999999996E-2</v>
      </c>
      <c r="Y28" s="241" t="s">
        <v>408</v>
      </c>
    </row>
    <row r="29" spans="1:25" ht="20.100000000000001" customHeight="1">
      <c r="A29" s="202" t="s">
        <v>962</v>
      </c>
      <c r="C29" s="203"/>
      <c r="Q29" s="174">
        <v>26</v>
      </c>
      <c r="R29" s="175" t="s">
        <v>794</v>
      </c>
      <c r="S29" s="176" t="s">
        <v>191</v>
      </c>
      <c r="T29" s="240" t="s">
        <v>978</v>
      </c>
      <c r="U29" s="238">
        <v>106.6498</v>
      </c>
      <c r="V29" s="238">
        <v>10.863</v>
      </c>
      <c r="W29" s="238">
        <v>8.1299999999999997E-2</v>
      </c>
      <c r="Y29" s="241" t="s">
        <v>420</v>
      </c>
    </row>
    <row r="30" spans="1:25" ht="36.75" customHeight="1">
      <c r="A30" s="1276" t="s">
        <v>964</v>
      </c>
      <c r="B30" s="1276"/>
      <c r="C30" s="1276"/>
      <c r="D30" s="1276"/>
      <c r="E30" s="268" t="s">
        <v>1606</v>
      </c>
      <c r="F30" s="269" t="s">
        <v>965</v>
      </c>
      <c r="G30" s="269" t="s">
        <v>966</v>
      </c>
      <c r="H30" s="269" t="s">
        <v>2272</v>
      </c>
      <c r="Q30" s="174">
        <v>27</v>
      </c>
      <c r="R30" s="175" t="s">
        <v>794</v>
      </c>
      <c r="S30" s="176" t="s">
        <v>192</v>
      </c>
      <c r="T30" s="240" t="s">
        <v>975</v>
      </c>
      <c r="U30" s="238">
        <v>106.69499999999999</v>
      </c>
      <c r="V30" s="238">
        <v>10.803800000000001</v>
      </c>
      <c r="W30" s="238">
        <v>8.5300000000000001E-2</v>
      </c>
      <c r="Y30" s="241" t="s">
        <v>427</v>
      </c>
    </row>
    <row r="31" spans="1:25" ht="20.100000000000001" customHeight="1">
      <c r="A31" s="292"/>
      <c r="B31" s="293"/>
      <c r="C31" s="293"/>
      <c r="D31" s="294"/>
      <c r="E31" s="268"/>
      <c r="F31" s="295" t="s">
        <v>1630</v>
      </c>
      <c r="G31" s="295" t="s">
        <v>1632</v>
      </c>
      <c r="H31" s="295" t="s">
        <v>2273</v>
      </c>
      <c r="Q31" s="174"/>
      <c r="R31" s="175"/>
      <c r="S31" s="176"/>
      <c r="T31" s="240"/>
      <c r="U31" s="238"/>
      <c r="V31" s="238"/>
      <c r="W31" s="238"/>
      <c r="Y31" s="241"/>
    </row>
    <row r="32" spans="1:25" ht="20.100000000000001" customHeight="1">
      <c r="A32" s="292"/>
      <c r="B32" s="293"/>
      <c r="C32" s="293"/>
      <c r="D32" s="294"/>
      <c r="E32" s="268"/>
      <c r="F32" s="295" t="s">
        <v>1631</v>
      </c>
      <c r="G32" s="295" t="s">
        <v>1633</v>
      </c>
      <c r="H32" s="295" t="s">
        <v>2274</v>
      </c>
      <c r="Q32" s="174"/>
      <c r="R32" s="175"/>
      <c r="S32" s="176"/>
      <c r="T32" s="240"/>
      <c r="U32" s="238"/>
      <c r="V32" s="238"/>
      <c r="W32" s="238"/>
      <c r="Y32" s="241"/>
    </row>
    <row r="33" spans="1:25" ht="20.100000000000001" customHeight="1">
      <c r="A33" s="259" t="s">
        <v>968</v>
      </c>
      <c r="B33" s="260"/>
      <c r="C33" s="260"/>
      <c r="D33" s="261"/>
      <c r="E33" s="264" t="s">
        <v>1601</v>
      </c>
      <c r="F33" s="262" t="s">
        <v>1602</v>
      </c>
      <c r="G33" s="262" t="s">
        <v>1607</v>
      </c>
      <c r="Q33" s="174">
        <v>28</v>
      </c>
      <c r="R33" s="175" t="s">
        <v>794</v>
      </c>
      <c r="S33" s="176" t="s">
        <v>193</v>
      </c>
      <c r="T33" s="240" t="s">
        <v>976</v>
      </c>
      <c r="U33" s="238">
        <v>106.6647</v>
      </c>
      <c r="V33" s="238">
        <v>10.835000000000001</v>
      </c>
      <c r="W33" s="238">
        <v>8.3199999999999996E-2</v>
      </c>
      <c r="Y33" s="241" t="s">
        <v>438</v>
      </c>
    </row>
    <row r="34" spans="1:25" ht="20.100000000000001" customHeight="1">
      <c r="A34" s="259" t="s">
        <v>970</v>
      </c>
      <c r="B34" s="260"/>
      <c r="C34" s="260"/>
      <c r="D34" s="261"/>
      <c r="E34" s="264" t="s">
        <v>1603</v>
      </c>
      <c r="F34" s="263">
        <v>3</v>
      </c>
      <c r="G34" s="262" t="s">
        <v>1608</v>
      </c>
      <c r="Q34" s="174">
        <v>29</v>
      </c>
      <c r="R34" s="175" t="s">
        <v>794</v>
      </c>
      <c r="S34" s="176" t="s">
        <v>194</v>
      </c>
      <c r="T34" s="240" t="s">
        <v>971</v>
      </c>
      <c r="U34" s="238">
        <v>106.6746</v>
      </c>
      <c r="V34" s="238">
        <v>10.7959</v>
      </c>
      <c r="W34" s="238">
        <v>8.4400000000000003E-2</v>
      </c>
      <c r="Y34" s="241" t="s">
        <v>809</v>
      </c>
    </row>
    <row r="35" spans="1:25" ht="20.100000000000001" customHeight="1">
      <c r="A35" s="259" t="s">
        <v>972</v>
      </c>
      <c r="B35" s="260"/>
      <c r="C35" s="260"/>
      <c r="D35" s="261"/>
      <c r="E35" s="264" t="s">
        <v>1604</v>
      </c>
      <c r="F35" s="263">
        <v>2</v>
      </c>
      <c r="G35" s="263">
        <v>3</v>
      </c>
      <c r="Q35" s="174">
        <v>30</v>
      </c>
      <c r="R35" s="175" t="s">
        <v>794</v>
      </c>
      <c r="S35" s="176" t="s">
        <v>195</v>
      </c>
      <c r="T35" s="240" t="s">
        <v>960</v>
      </c>
      <c r="U35" s="238">
        <v>106.65730000000001</v>
      </c>
      <c r="V35" s="238">
        <v>10.797800000000001</v>
      </c>
      <c r="W35" s="238">
        <v>7.0199999999999999E-2</v>
      </c>
      <c r="Y35" s="241" t="s">
        <v>459</v>
      </c>
    </row>
    <row r="36" spans="1:25" ht="20.100000000000001" customHeight="1">
      <c r="A36" s="259" t="s">
        <v>974</v>
      </c>
      <c r="B36" s="260"/>
      <c r="C36" s="260"/>
      <c r="D36" s="261"/>
      <c r="E36" s="264" t="s">
        <v>1605</v>
      </c>
      <c r="F36" s="262">
        <v>1.5</v>
      </c>
      <c r="G36" s="263">
        <v>2</v>
      </c>
      <c r="Q36" s="174">
        <v>31</v>
      </c>
      <c r="R36" s="175" t="s">
        <v>794</v>
      </c>
      <c r="S36" s="176" t="s">
        <v>982</v>
      </c>
      <c r="T36" s="240" t="s">
        <v>960</v>
      </c>
      <c r="U36" s="238">
        <v>106.6349</v>
      </c>
      <c r="V36" s="238">
        <v>10.7834</v>
      </c>
      <c r="W36" s="238">
        <v>7.0199999999999999E-2</v>
      </c>
      <c r="Y36" s="241" t="s">
        <v>844</v>
      </c>
    </row>
    <row r="37" spans="1:25" ht="20.100000000000001" customHeight="1">
      <c r="Q37" s="174">
        <v>32</v>
      </c>
      <c r="R37" s="175" t="s">
        <v>794</v>
      </c>
      <c r="S37" s="176" t="s">
        <v>196</v>
      </c>
      <c r="T37" s="240" t="s">
        <v>983</v>
      </c>
      <c r="U37" s="238">
        <v>106.7727</v>
      </c>
      <c r="V37" s="238">
        <v>10.851100000000001</v>
      </c>
      <c r="W37" s="238">
        <v>7.2700000000000001E-2</v>
      </c>
      <c r="Y37" s="241" t="s">
        <v>846</v>
      </c>
    </row>
    <row r="38" spans="1:25" ht="20.100000000000001" customHeight="1">
      <c r="A38" s="187" t="s">
        <v>977</v>
      </c>
      <c r="B38" s="187"/>
      <c r="C38" s="187"/>
      <c r="D38" s="187"/>
      <c r="E38" s="187"/>
      <c r="F38" s="187"/>
      <c r="G38" s="187"/>
      <c r="H38" s="187"/>
      <c r="Q38" s="174">
        <v>33</v>
      </c>
      <c r="R38" s="175" t="s">
        <v>794</v>
      </c>
      <c r="S38" s="176" t="s">
        <v>202</v>
      </c>
      <c r="T38" s="240" t="s">
        <v>984</v>
      </c>
      <c r="U38" s="238">
        <v>106.61539999999999</v>
      </c>
      <c r="V38" s="238">
        <v>10.7392</v>
      </c>
      <c r="W38" s="238">
        <v>5.8900000000000001E-2</v>
      </c>
      <c r="Y38" s="241" t="s">
        <v>485</v>
      </c>
    </row>
    <row r="39" spans="1:25" ht="20.100000000000001" customHeight="1">
      <c r="A39" s="204" t="s">
        <v>979</v>
      </c>
      <c r="B39" s="187"/>
      <c r="C39" s="187"/>
      <c r="D39" s="187"/>
      <c r="E39" s="187"/>
      <c r="F39" s="187"/>
      <c r="G39" s="187"/>
      <c r="H39" s="187"/>
      <c r="J39" s="262" t="s">
        <v>995</v>
      </c>
      <c r="K39" s="262"/>
      <c r="L39" s="262"/>
      <c r="M39" s="262"/>
      <c r="Q39" s="174">
        <v>34</v>
      </c>
      <c r="R39" s="175" t="s">
        <v>794</v>
      </c>
      <c r="S39" s="176" t="s">
        <v>203</v>
      </c>
      <c r="T39" s="240" t="s">
        <v>985</v>
      </c>
      <c r="U39" s="238">
        <v>106.9512</v>
      </c>
      <c r="V39" s="238">
        <v>10.4162</v>
      </c>
      <c r="W39" s="238">
        <v>6.1800000000000001E-2</v>
      </c>
      <c r="Y39" s="241" t="s">
        <v>493</v>
      </c>
    </row>
    <row r="40" spans="1:25" ht="20.100000000000001" customHeight="1">
      <c r="A40" s="1277" t="s">
        <v>980</v>
      </c>
      <c r="B40" s="1278"/>
      <c r="C40" s="1278"/>
      <c r="D40" s="1278"/>
      <c r="E40" s="1279"/>
      <c r="F40" s="267" t="s">
        <v>981</v>
      </c>
      <c r="G40" s="460" t="s">
        <v>2066</v>
      </c>
      <c r="J40" s="290" t="s">
        <v>1625</v>
      </c>
      <c r="K40" s="290" t="s">
        <v>1627</v>
      </c>
      <c r="L40" s="290"/>
      <c r="M40" s="291"/>
      <c r="Q40" s="174">
        <v>35</v>
      </c>
      <c r="R40" s="175" t="s">
        <v>794</v>
      </c>
      <c r="S40" s="176" t="s">
        <v>204</v>
      </c>
      <c r="T40" s="240" t="s">
        <v>986</v>
      </c>
      <c r="U40" s="238">
        <v>106.49339999999999</v>
      </c>
      <c r="V40" s="238">
        <v>10.9749</v>
      </c>
      <c r="W40" s="238">
        <v>8.0799999999999997E-2</v>
      </c>
      <c r="Y40" s="241" t="s">
        <v>209</v>
      </c>
    </row>
    <row r="41" spans="1:25" ht="20.100000000000001" customHeight="1">
      <c r="A41" s="289" t="s">
        <v>1625</v>
      </c>
      <c r="B41" s="270" t="s">
        <v>1609</v>
      </c>
      <c r="C41" s="271"/>
      <c r="D41" s="271"/>
      <c r="E41" s="284" t="s">
        <v>1615</v>
      </c>
      <c r="F41" s="272">
        <v>1.1000000000000001</v>
      </c>
      <c r="J41" s="264" t="s">
        <v>1626</v>
      </c>
      <c r="K41" s="264" t="s">
        <v>1628</v>
      </c>
      <c r="L41" s="264"/>
      <c r="M41" s="266"/>
      <c r="Q41" s="174">
        <v>37</v>
      </c>
      <c r="R41" s="175" t="s">
        <v>794</v>
      </c>
      <c r="S41" s="176" t="s">
        <v>206</v>
      </c>
      <c r="T41" s="240" t="s">
        <v>988</v>
      </c>
      <c r="U41" s="238">
        <v>106.7419</v>
      </c>
      <c r="V41" s="238">
        <v>10.700699999999999</v>
      </c>
      <c r="W41" s="238">
        <v>8.1900000000000001E-2</v>
      </c>
      <c r="Y41" s="241" t="s">
        <v>517</v>
      </c>
    </row>
    <row r="42" spans="1:25" ht="20.100000000000001" customHeight="1">
      <c r="A42" s="289" t="s">
        <v>1625</v>
      </c>
      <c r="B42" s="273" t="s">
        <v>1610</v>
      </c>
      <c r="C42" s="274"/>
      <c r="D42" s="274"/>
      <c r="E42" s="285" t="s">
        <v>1616</v>
      </c>
      <c r="F42" s="275">
        <v>1.2</v>
      </c>
      <c r="Q42" s="174">
        <v>38</v>
      </c>
      <c r="R42" s="175" t="s">
        <v>795</v>
      </c>
      <c r="S42" s="176" t="s">
        <v>211</v>
      </c>
      <c r="T42" s="240" t="s">
        <v>992</v>
      </c>
      <c r="U42" s="238">
        <v>106.6814</v>
      </c>
      <c r="V42" s="238">
        <v>20.857800000000001</v>
      </c>
      <c r="W42" s="238">
        <v>0.129</v>
      </c>
      <c r="Y42" s="241" t="s">
        <v>529</v>
      </c>
    </row>
    <row r="43" spans="1:25" ht="20.100000000000001" customHeight="1">
      <c r="A43" s="289" t="s">
        <v>1625</v>
      </c>
      <c r="B43" s="273" t="s">
        <v>1611</v>
      </c>
      <c r="C43" s="274"/>
      <c r="D43" s="274"/>
      <c r="E43" s="285" t="s">
        <v>1617</v>
      </c>
      <c r="F43" s="275">
        <v>1.3</v>
      </c>
      <c r="Q43" s="174">
        <v>39</v>
      </c>
      <c r="R43" s="175" t="s">
        <v>795</v>
      </c>
      <c r="S43" s="176" t="s">
        <v>212</v>
      </c>
      <c r="T43" s="240" t="s">
        <v>993</v>
      </c>
      <c r="U43" s="238">
        <v>106.624</v>
      </c>
      <c r="V43" s="238">
        <v>20.811199999999999</v>
      </c>
      <c r="W43" s="238">
        <v>0.12809999999999999</v>
      </c>
      <c r="Y43" s="241" t="s">
        <v>538</v>
      </c>
    </row>
    <row r="44" spans="1:25" ht="20.100000000000001" customHeight="1">
      <c r="A44" s="289" t="s">
        <v>1625</v>
      </c>
      <c r="B44" s="276" t="s">
        <v>1612</v>
      </c>
      <c r="C44" s="277"/>
      <c r="D44" s="277"/>
      <c r="E44" s="286" t="s">
        <v>1618</v>
      </c>
      <c r="F44" s="278">
        <v>1.3</v>
      </c>
      <c r="J44" s="830" t="s">
        <v>2021</v>
      </c>
      <c r="K44" s="830"/>
      <c r="Q44" s="174">
        <v>40</v>
      </c>
      <c r="R44" s="175" t="s">
        <v>795</v>
      </c>
      <c r="S44" s="176" t="s">
        <v>1583</v>
      </c>
      <c r="T44" s="240" t="s">
        <v>993</v>
      </c>
      <c r="U44" s="238">
        <v>106.68</v>
      </c>
      <c r="V44" s="238">
        <v>20.840599999999998</v>
      </c>
      <c r="W44" s="238">
        <v>0.12909999999999999</v>
      </c>
      <c r="Y44" s="241" t="s">
        <v>210</v>
      </c>
    </row>
    <row r="45" spans="1:25" ht="20.100000000000001" customHeight="1">
      <c r="A45" s="259" t="s">
        <v>1626</v>
      </c>
      <c r="B45" s="253" t="s">
        <v>1619</v>
      </c>
      <c r="C45" s="279"/>
      <c r="D45" s="279"/>
      <c r="E45" s="287" t="s">
        <v>1621</v>
      </c>
      <c r="F45" s="280">
        <v>1</v>
      </c>
      <c r="J45" s="826" t="s">
        <v>2022</v>
      </c>
      <c r="K45" s="827" t="s">
        <v>2023</v>
      </c>
      <c r="Q45" s="174">
        <v>42</v>
      </c>
      <c r="R45" s="175" t="s">
        <v>795</v>
      </c>
      <c r="S45" s="176" t="s">
        <v>214</v>
      </c>
      <c r="T45" s="240" t="s">
        <v>999</v>
      </c>
      <c r="U45" s="238">
        <v>106.6952</v>
      </c>
      <c r="V45" s="238">
        <v>20.862500000000001</v>
      </c>
      <c r="W45" s="238">
        <v>0.12759999999999999</v>
      </c>
      <c r="Y45" s="241" t="s">
        <v>565</v>
      </c>
    </row>
    <row r="46" spans="1:25" ht="20.100000000000001" customHeight="1">
      <c r="A46" s="259" t="s">
        <v>1626</v>
      </c>
      <c r="B46" s="253" t="s">
        <v>1620</v>
      </c>
      <c r="C46" s="279"/>
      <c r="D46" s="279"/>
      <c r="E46" s="287" t="s">
        <v>1622</v>
      </c>
      <c r="F46" s="281">
        <v>1.1000000000000001</v>
      </c>
      <c r="J46" s="828" t="s">
        <v>2024</v>
      </c>
      <c r="K46" s="828"/>
      <c r="Q46" s="174">
        <v>43</v>
      </c>
      <c r="R46" s="175" t="s">
        <v>795</v>
      </c>
      <c r="S46" s="176" t="s">
        <v>215</v>
      </c>
      <c r="T46" s="240" t="s">
        <v>1002</v>
      </c>
      <c r="U46" s="238">
        <v>106.78060000000001</v>
      </c>
      <c r="V46" s="238">
        <v>20.720199999999998</v>
      </c>
      <c r="W46" s="238">
        <v>8.6999999999999994E-2</v>
      </c>
      <c r="Y46" s="241" t="s">
        <v>579</v>
      </c>
    </row>
    <row r="47" spans="1:25" ht="20.100000000000001" customHeight="1">
      <c r="A47" s="259" t="s">
        <v>1626</v>
      </c>
      <c r="B47" s="253" t="s">
        <v>1613</v>
      </c>
      <c r="C47" s="279"/>
      <c r="D47" s="279"/>
      <c r="E47" s="287" t="s">
        <v>1623</v>
      </c>
      <c r="F47" s="281">
        <v>1.2</v>
      </c>
      <c r="J47" s="828" t="s">
        <v>2025</v>
      </c>
      <c r="K47" s="829">
        <v>0.3</v>
      </c>
      <c r="Q47" s="174">
        <v>44</v>
      </c>
      <c r="R47" s="175" t="s">
        <v>795</v>
      </c>
      <c r="S47" s="176" t="s">
        <v>790</v>
      </c>
      <c r="T47" s="240" t="s">
        <v>1004</v>
      </c>
      <c r="U47" s="238">
        <v>106.6035</v>
      </c>
      <c r="V47" s="238">
        <v>20.890999999999998</v>
      </c>
      <c r="W47" s="238">
        <v>0.13339999999999999</v>
      </c>
      <c r="Y47" s="241" t="s">
        <v>587</v>
      </c>
    </row>
    <row r="48" spans="1:25" ht="20.100000000000001" customHeight="1">
      <c r="A48" s="259" t="s">
        <v>1626</v>
      </c>
      <c r="B48" s="254" t="s">
        <v>1614</v>
      </c>
      <c r="C48" s="282"/>
      <c r="D48" s="282"/>
      <c r="E48" s="288" t="s">
        <v>1624</v>
      </c>
      <c r="F48" s="283">
        <v>1.2</v>
      </c>
      <c r="J48" s="828" t="s">
        <v>2026</v>
      </c>
      <c r="K48" s="829">
        <v>0.3</v>
      </c>
      <c r="Q48" s="174">
        <v>45</v>
      </c>
      <c r="R48" s="175" t="s">
        <v>795</v>
      </c>
      <c r="S48" s="176" t="s">
        <v>216</v>
      </c>
      <c r="T48" s="240" t="s">
        <v>1006</v>
      </c>
      <c r="U48" s="238">
        <v>106.5553</v>
      </c>
      <c r="V48" s="238">
        <v>20.8232</v>
      </c>
      <c r="W48" s="238">
        <v>0.1331</v>
      </c>
      <c r="Y48" s="241" t="s">
        <v>592</v>
      </c>
    </row>
    <row r="49" spans="1:25" ht="20.100000000000001" customHeight="1">
      <c r="A49" s="196"/>
      <c r="B49" s="191"/>
      <c r="C49" s="191"/>
      <c r="D49" s="191"/>
      <c r="E49" s="197"/>
      <c r="F49" s="197"/>
      <c r="J49" s="828" t="s">
        <v>2027</v>
      </c>
      <c r="K49" s="829">
        <v>0.6</v>
      </c>
      <c r="Q49" s="174">
        <v>46</v>
      </c>
      <c r="R49" s="175" t="s">
        <v>795</v>
      </c>
      <c r="S49" s="176" t="s">
        <v>217</v>
      </c>
      <c r="T49" s="240" t="s">
        <v>1008</v>
      </c>
      <c r="U49" s="238">
        <v>107.7629</v>
      </c>
      <c r="V49" s="238">
        <v>20.390499999999999</v>
      </c>
      <c r="W49" s="238">
        <v>6.3E-3</v>
      </c>
      <c r="Y49" s="241" t="s">
        <v>604</v>
      </c>
    </row>
    <row r="50" spans="1:25" ht="20.100000000000001" customHeight="1">
      <c r="D50" s="207" t="s">
        <v>989</v>
      </c>
      <c r="E50" s="208" t="s">
        <v>990</v>
      </c>
      <c r="F50" s="209">
        <v>1.3</v>
      </c>
      <c r="G50" s="210" t="s">
        <v>991</v>
      </c>
      <c r="J50" s="828" t="s">
        <v>2028</v>
      </c>
      <c r="K50" s="829">
        <v>0.6</v>
      </c>
      <c r="Q50" s="174">
        <v>47</v>
      </c>
      <c r="R50" s="175" t="s">
        <v>795</v>
      </c>
      <c r="S50" s="176" t="s">
        <v>218</v>
      </c>
      <c r="T50" s="240" t="s">
        <v>1010</v>
      </c>
      <c r="U50" s="238">
        <v>107.04989999999999</v>
      </c>
      <c r="V50" s="238">
        <v>20.725100000000001</v>
      </c>
      <c r="W50" s="238">
        <v>3.6799999999999999E-2</v>
      </c>
      <c r="Y50" s="241" t="s">
        <v>613</v>
      </c>
    </row>
    <row r="51" spans="1:25" ht="20.100000000000001" customHeight="1">
      <c r="J51" s="828" t="s">
        <v>2029</v>
      </c>
      <c r="K51" s="829">
        <v>0.8</v>
      </c>
      <c r="Q51" s="174">
        <v>48</v>
      </c>
      <c r="R51" s="175" t="s">
        <v>795</v>
      </c>
      <c r="S51" s="176" t="s">
        <v>219</v>
      </c>
      <c r="T51" s="240" t="s">
        <v>1012</v>
      </c>
      <c r="U51" s="238">
        <v>106.6688</v>
      </c>
      <c r="V51" s="238">
        <v>20.752199999999998</v>
      </c>
      <c r="W51" s="238">
        <v>0.1168</v>
      </c>
      <c r="Y51" s="241" t="s">
        <v>621</v>
      </c>
    </row>
    <row r="52" spans="1:25" ht="20.100000000000001" customHeight="1">
      <c r="A52" s="187" t="s">
        <v>994</v>
      </c>
      <c r="J52" s="828" t="s">
        <v>2030</v>
      </c>
      <c r="K52" s="829">
        <v>0.6</v>
      </c>
      <c r="Q52" s="174">
        <v>49</v>
      </c>
      <c r="R52" s="175" t="s">
        <v>795</v>
      </c>
      <c r="S52" s="176" t="s">
        <v>220</v>
      </c>
      <c r="T52" s="240" t="s">
        <v>1012</v>
      </c>
      <c r="U52" s="238">
        <v>106.6688</v>
      </c>
      <c r="V52" s="238">
        <v>20.752199999999998</v>
      </c>
      <c r="W52" s="238">
        <v>0.1168</v>
      </c>
      <c r="Y52" s="241" t="s">
        <v>865</v>
      </c>
    </row>
    <row r="53" spans="1:25" ht="20.100000000000001" customHeight="1">
      <c r="A53" s="211" t="s">
        <v>995</v>
      </c>
      <c r="B53" s="212"/>
      <c r="C53" s="212"/>
      <c r="D53" s="212"/>
      <c r="E53" s="212"/>
      <c r="F53" s="213" t="s">
        <v>996</v>
      </c>
      <c r="J53" s="828" t="s">
        <v>2031</v>
      </c>
      <c r="K53" s="829">
        <v>0.6</v>
      </c>
      <c r="Q53" s="174">
        <v>50</v>
      </c>
      <c r="R53" s="175" t="s">
        <v>795</v>
      </c>
      <c r="S53" s="176" t="s">
        <v>791</v>
      </c>
      <c r="T53" s="240" t="s">
        <v>1015</v>
      </c>
      <c r="U53" s="238">
        <v>106.6747</v>
      </c>
      <c r="V53" s="238">
        <v>20.917400000000001</v>
      </c>
      <c r="W53" s="238">
        <v>0.12720000000000001</v>
      </c>
      <c r="Y53" s="241" t="s">
        <v>649</v>
      </c>
    </row>
    <row r="54" spans="1:25" ht="20.100000000000001" customHeight="1">
      <c r="A54" s="194" t="s">
        <v>998</v>
      </c>
      <c r="B54" s="190"/>
      <c r="C54" s="190"/>
      <c r="D54" s="190"/>
      <c r="E54" s="195"/>
      <c r="F54" s="214">
        <v>1</v>
      </c>
      <c r="J54" s="828" t="s">
        <v>2032</v>
      </c>
      <c r="K54" s="829">
        <v>0</v>
      </c>
      <c r="Q54" s="174">
        <v>51</v>
      </c>
      <c r="R54" s="175" t="s">
        <v>795</v>
      </c>
      <c r="S54" s="176" t="s">
        <v>221</v>
      </c>
      <c r="T54" s="240" t="s">
        <v>1016</v>
      </c>
      <c r="U54" s="238">
        <v>106.5535</v>
      </c>
      <c r="V54" s="238">
        <v>20.7257</v>
      </c>
      <c r="W54" s="238">
        <v>0.1019</v>
      </c>
      <c r="Y54" s="241" t="s">
        <v>664</v>
      </c>
    </row>
    <row r="55" spans="1:25" ht="20.100000000000001" customHeight="1">
      <c r="A55" s="206" t="s">
        <v>1000</v>
      </c>
      <c r="B55" s="187"/>
      <c r="C55" s="187"/>
      <c r="D55" s="187"/>
      <c r="E55" s="205"/>
      <c r="F55" s="1280" t="s">
        <v>1001</v>
      </c>
      <c r="Q55" s="174">
        <v>52</v>
      </c>
      <c r="R55" s="175" t="s">
        <v>795</v>
      </c>
      <c r="S55" s="176" t="s">
        <v>222</v>
      </c>
      <c r="T55" s="240" t="s">
        <v>1018</v>
      </c>
      <c r="U55" s="238">
        <v>106.4786</v>
      </c>
      <c r="V55" s="238">
        <v>20.693100000000001</v>
      </c>
      <c r="W55" s="238">
        <v>7.4700000000000003E-2</v>
      </c>
      <c r="Y55" s="241" t="s">
        <v>673</v>
      </c>
    </row>
    <row r="56" spans="1:25" ht="20.100000000000001" customHeight="1">
      <c r="A56" s="196" t="s">
        <v>1003</v>
      </c>
      <c r="B56" s="191"/>
      <c r="C56" s="191"/>
      <c r="D56" s="191"/>
      <c r="E56" s="197"/>
      <c r="F56" s="1281"/>
      <c r="Q56" s="174">
        <v>53</v>
      </c>
      <c r="R56" s="175" t="s">
        <v>796</v>
      </c>
      <c r="S56" s="176" t="s">
        <v>223</v>
      </c>
      <c r="T56" s="240" t="s">
        <v>1020</v>
      </c>
      <c r="U56" s="238">
        <v>108.2234</v>
      </c>
      <c r="V56" s="238">
        <v>16.0749</v>
      </c>
      <c r="W56" s="238">
        <v>0.10059999999999999</v>
      </c>
      <c r="Y56" s="241" t="s">
        <v>683</v>
      </c>
    </row>
    <row r="57" spans="1:25" ht="20.100000000000001" customHeight="1">
      <c r="A57" s="187"/>
      <c r="B57" s="187"/>
      <c r="C57" s="187"/>
      <c r="D57" s="207" t="s">
        <v>989</v>
      </c>
      <c r="E57" s="187" t="s">
        <v>1005</v>
      </c>
      <c r="F57" s="215">
        <v>1</v>
      </c>
      <c r="Q57" s="174">
        <v>54</v>
      </c>
      <c r="R57" s="175" t="s">
        <v>796</v>
      </c>
      <c r="S57" s="176" t="s">
        <v>224</v>
      </c>
      <c r="T57" s="240" t="s">
        <v>1021</v>
      </c>
      <c r="U57" s="238">
        <v>108.15779999999999</v>
      </c>
      <c r="V57" s="238">
        <v>16.062799999999999</v>
      </c>
      <c r="W57" s="238">
        <v>9.4E-2</v>
      </c>
      <c r="Y57" s="241" t="s">
        <v>694</v>
      </c>
    </row>
    <row r="58" spans="1:25" ht="20.100000000000001" customHeight="1">
      <c r="A58" s="187" t="s">
        <v>1007</v>
      </c>
      <c r="B58" s="187"/>
      <c r="C58" s="187"/>
      <c r="D58" s="187"/>
      <c r="E58" s="187"/>
      <c r="F58" s="187"/>
      <c r="Q58" s="174">
        <v>55</v>
      </c>
      <c r="R58" s="175" t="s">
        <v>796</v>
      </c>
      <c r="S58" s="176" t="s">
        <v>225</v>
      </c>
      <c r="T58" s="240" t="s">
        <v>1023</v>
      </c>
      <c r="U58" s="238">
        <v>108.26009999999999</v>
      </c>
      <c r="V58" s="238">
        <v>16.0017</v>
      </c>
      <c r="W58" s="238">
        <v>6.7400000000000002E-2</v>
      </c>
      <c r="Y58" s="241" t="s">
        <v>701</v>
      </c>
    </row>
    <row r="59" spans="1:25" ht="20.100000000000001" customHeight="1">
      <c r="A59" s="187"/>
      <c r="B59" s="204" t="s">
        <v>1009</v>
      </c>
      <c r="C59" s="187"/>
      <c r="D59" s="187"/>
      <c r="E59" s="187"/>
      <c r="F59" s="187"/>
      <c r="Q59" s="174">
        <v>56</v>
      </c>
      <c r="R59" s="175" t="s">
        <v>796</v>
      </c>
      <c r="S59" s="176" t="s">
        <v>226</v>
      </c>
      <c r="T59" s="240" t="s">
        <v>1025</v>
      </c>
      <c r="U59" s="238">
        <v>108.2364</v>
      </c>
      <c r="V59" s="238">
        <v>16.056799999999999</v>
      </c>
      <c r="W59" s="238">
        <v>9.1800000000000007E-2</v>
      </c>
      <c r="Y59" s="241" t="s">
        <v>706</v>
      </c>
    </row>
    <row r="60" spans="1:25" ht="20.100000000000001" customHeight="1">
      <c r="A60" s="187" t="s">
        <v>1011</v>
      </c>
      <c r="B60" s="187"/>
      <c r="C60" s="187"/>
      <c r="D60" s="187"/>
      <c r="E60" s="187"/>
      <c r="F60" s="187"/>
      <c r="Q60" s="174">
        <v>57</v>
      </c>
      <c r="R60" s="175" t="s">
        <v>796</v>
      </c>
      <c r="S60" s="176" t="s">
        <v>227</v>
      </c>
      <c r="T60" s="240" t="s">
        <v>1026</v>
      </c>
      <c r="U60" s="238">
        <v>108.1987</v>
      </c>
      <c r="V60" s="238">
        <v>16.0655</v>
      </c>
      <c r="W60" s="238">
        <v>9.6699999999999994E-2</v>
      </c>
      <c r="Y60" s="241" t="s">
        <v>715</v>
      </c>
    </row>
    <row r="61" spans="1:25" ht="20.100000000000001" customHeight="1">
      <c r="A61" s="187" t="s">
        <v>1013</v>
      </c>
      <c r="B61" s="187"/>
      <c r="C61" s="187"/>
      <c r="D61" s="187"/>
      <c r="E61" s="187"/>
      <c r="F61" s="187"/>
      <c r="Q61" s="174">
        <v>58</v>
      </c>
      <c r="R61" s="175" t="s">
        <v>796</v>
      </c>
      <c r="S61" s="176" t="s">
        <v>228</v>
      </c>
      <c r="T61" s="240" t="s">
        <v>1028</v>
      </c>
      <c r="U61" s="238">
        <v>108.20399999999999</v>
      </c>
      <c r="V61" s="238">
        <v>16.0168</v>
      </c>
      <c r="W61" s="238">
        <v>7.2999999999999995E-2</v>
      </c>
      <c r="Y61" s="241" t="s">
        <v>737</v>
      </c>
    </row>
    <row r="62" spans="1:25" ht="20.100000000000001" customHeight="1">
      <c r="A62" s="187" t="s">
        <v>1014</v>
      </c>
      <c r="B62" s="187"/>
      <c r="C62" s="187"/>
      <c r="D62" s="187"/>
      <c r="E62" s="187"/>
      <c r="F62" s="187"/>
      <c r="Q62" s="174">
        <v>59</v>
      </c>
      <c r="R62" s="175" t="s">
        <v>796</v>
      </c>
      <c r="S62" s="176" t="s">
        <v>792</v>
      </c>
      <c r="T62" s="240" t="s">
        <v>1029</v>
      </c>
      <c r="U62" s="238">
        <v>111.7766</v>
      </c>
      <c r="V62" s="238">
        <v>16.2423</v>
      </c>
      <c r="W62" s="238">
        <v>5.4399999999999997E-2</v>
      </c>
      <c r="Y62" s="241" t="s">
        <v>743</v>
      </c>
    </row>
    <row r="63" spans="1:25" ht="20.100000000000001" customHeight="1">
      <c r="Q63" s="174">
        <v>60</v>
      </c>
      <c r="R63" s="175" t="s">
        <v>797</v>
      </c>
      <c r="S63" s="176" t="s">
        <v>229</v>
      </c>
      <c r="T63" s="240"/>
      <c r="U63" s="238">
        <v>105.7385</v>
      </c>
      <c r="V63" s="238">
        <v>10.078799999999999</v>
      </c>
      <c r="W63" s="238">
        <v>6.8500000000000005E-2</v>
      </c>
      <c r="Y63" s="241" t="s">
        <v>751</v>
      </c>
    </row>
    <row r="64" spans="1:25" ht="20.100000000000001" customHeight="1">
      <c r="A64" s="216" t="s">
        <v>1017</v>
      </c>
      <c r="B64" s="187"/>
      <c r="C64" s="187"/>
      <c r="Q64" s="174">
        <v>61</v>
      </c>
      <c r="R64" s="175" t="s">
        <v>797</v>
      </c>
      <c r="S64" s="176" t="s">
        <v>230</v>
      </c>
      <c r="T64" s="240"/>
      <c r="U64" s="238">
        <v>105.7496</v>
      </c>
      <c r="V64" s="238">
        <v>10.005000000000001</v>
      </c>
      <c r="W64" s="238">
        <v>5.1499999999999997E-2</v>
      </c>
      <c r="Y64" s="241" t="s">
        <v>758</v>
      </c>
    </row>
    <row r="65" spans="1:25" ht="20.100000000000001" customHeight="1">
      <c r="A65" s="187"/>
      <c r="B65" s="187"/>
      <c r="C65" s="187"/>
      <c r="Q65" s="174">
        <v>62</v>
      </c>
      <c r="R65" s="175" t="s">
        <v>797</v>
      </c>
      <c r="S65" s="176" t="s">
        <v>231</v>
      </c>
      <c r="T65" s="240"/>
      <c r="U65" s="238">
        <v>105.78879999999999</v>
      </c>
      <c r="V65" s="238">
        <v>10.036099999999999</v>
      </c>
      <c r="W65" s="238">
        <v>6.6199999999999995E-2</v>
      </c>
      <c r="Y65" s="241" t="s">
        <v>874</v>
      </c>
    </row>
    <row r="66" spans="1:25" ht="20.100000000000001" customHeight="1">
      <c r="A66" s="217" t="s">
        <v>897</v>
      </c>
      <c r="B66" s="217" t="s">
        <v>898</v>
      </c>
      <c r="C66" s="218"/>
      <c r="Q66" s="174">
        <v>63</v>
      </c>
      <c r="R66" s="175" t="s">
        <v>797</v>
      </c>
      <c r="S66" s="176" t="s">
        <v>232</v>
      </c>
      <c r="T66" s="240"/>
      <c r="U66" s="238">
        <v>105.6254</v>
      </c>
      <c r="V66" s="238">
        <v>10.1197</v>
      </c>
      <c r="W66" s="238">
        <v>5.4600000000000003E-2</v>
      </c>
      <c r="Y66" s="241" t="s">
        <v>771</v>
      </c>
    </row>
    <row r="67" spans="1:25" ht="20.100000000000001" customHeight="1">
      <c r="A67" s="219" t="s">
        <v>1019</v>
      </c>
      <c r="B67" s="220">
        <v>0.1041</v>
      </c>
      <c r="C67" s="187"/>
      <c r="Q67" s="174">
        <v>64</v>
      </c>
      <c r="R67" s="175" t="s">
        <v>797</v>
      </c>
      <c r="S67" s="176" t="s">
        <v>233</v>
      </c>
      <c r="T67" s="240" t="s">
        <v>1031</v>
      </c>
      <c r="U67" s="238">
        <v>105.4289</v>
      </c>
      <c r="V67" s="238">
        <v>10.098599999999999</v>
      </c>
      <c r="W67" s="238">
        <v>2.3599999999999999E-2</v>
      </c>
      <c r="Y67" s="241" t="s">
        <v>778</v>
      </c>
    </row>
    <row r="68" spans="1:25" ht="20.100000000000001" customHeight="1">
      <c r="A68" s="221"/>
      <c r="B68" s="222"/>
      <c r="C68" s="187"/>
      <c r="Q68" s="174">
        <v>65</v>
      </c>
      <c r="R68" s="175" t="s">
        <v>797</v>
      </c>
      <c r="S68" s="176" t="s">
        <v>234</v>
      </c>
      <c r="T68" s="240" t="s">
        <v>1032</v>
      </c>
      <c r="U68" s="238">
        <v>105.3301</v>
      </c>
      <c r="V68" s="238">
        <v>10.1418</v>
      </c>
      <c r="W68" s="238">
        <v>1.9900000000000001E-2</v>
      </c>
    </row>
    <row r="69" spans="1:25" ht="20.100000000000001" customHeight="1">
      <c r="A69" s="223" t="s">
        <v>1022</v>
      </c>
      <c r="B69" s="224">
        <v>1</v>
      </c>
      <c r="C69" s="187"/>
      <c r="Q69" s="174">
        <v>66</v>
      </c>
      <c r="R69" s="175" t="s">
        <v>797</v>
      </c>
      <c r="S69" s="176" t="s">
        <v>235</v>
      </c>
      <c r="T69" s="240" t="s">
        <v>1033</v>
      </c>
      <c r="U69" s="238">
        <v>105.5373</v>
      </c>
      <c r="V69" s="238">
        <v>10.2699</v>
      </c>
      <c r="W69" s="238">
        <v>6.9800000000000001E-2</v>
      </c>
    </row>
    <row r="70" spans="1:25" ht="20.100000000000001" customHeight="1">
      <c r="A70" s="223" t="s">
        <v>1024</v>
      </c>
      <c r="B70" s="225">
        <f>B67*B69</f>
        <v>0.1041</v>
      </c>
      <c r="C70" s="187"/>
      <c r="Q70" s="174">
        <v>67</v>
      </c>
      <c r="R70" s="175" t="s">
        <v>797</v>
      </c>
      <c r="S70" s="176" t="s">
        <v>236</v>
      </c>
      <c r="T70" s="240" t="s">
        <v>1034</v>
      </c>
      <c r="U70" s="238">
        <v>105.559</v>
      </c>
      <c r="V70" s="238">
        <v>10.065099999999999</v>
      </c>
      <c r="W70" s="238">
        <v>3.3099999999999997E-2</v>
      </c>
    </row>
    <row r="71" spans="1:25" ht="20.100000000000001" customHeight="1">
      <c r="A71" s="223" t="s">
        <v>899</v>
      </c>
      <c r="B71" s="226">
        <v>0.2</v>
      </c>
      <c r="C71" s="187"/>
      <c r="Q71" s="174">
        <v>68</v>
      </c>
      <c r="R71" s="175" t="s">
        <v>798</v>
      </c>
      <c r="S71" s="176" t="s">
        <v>237</v>
      </c>
      <c r="T71" s="240" t="s">
        <v>1035</v>
      </c>
      <c r="U71" s="238">
        <v>105.437</v>
      </c>
      <c r="V71" s="238">
        <v>10.388</v>
      </c>
      <c r="W71" s="238">
        <v>6.7000000000000004E-2</v>
      </c>
    </row>
    <row r="72" spans="1:25" ht="20.100000000000001" customHeight="1">
      <c r="A72" s="219" t="s">
        <v>1027</v>
      </c>
      <c r="B72" s="220">
        <v>3.9</v>
      </c>
      <c r="C72" s="187"/>
      <c r="Q72" s="174">
        <v>69</v>
      </c>
      <c r="R72" s="175" t="s">
        <v>798</v>
      </c>
      <c r="S72" s="176" t="s">
        <v>238</v>
      </c>
      <c r="T72" s="240" t="s">
        <v>1036</v>
      </c>
      <c r="U72" s="238">
        <v>105.113</v>
      </c>
      <c r="V72" s="238">
        <v>10.717700000000001</v>
      </c>
      <c r="W72" s="238">
        <v>6.5500000000000003E-2</v>
      </c>
    </row>
    <row r="73" spans="1:25" ht="20.100000000000001" customHeight="1">
      <c r="A73" s="221"/>
      <c r="B73" s="222"/>
      <c r="C73" s="187"/>
      <c r="Q73" s="174">
        <v>70</v>
      </c>
      <c r="R73" s="175" t="s">
        <v>798</v>
      </c>
      <c r="S73" s="176" t="s">
        <v>239</v>
      </c>
      <c r="T73" s="240" t="s">
        <v>1037</v>
      </c>
      <c r="U73" s="238">
        <v>105.0941</v>
      </c>
      <c r="V73" s="238">
        <v>10.810600000000001</v>
      </c>
      <c r="W73" s="238">
        <v>6.9699999999999998E-2</v>
      </c>
    </row>
    <row r="74" spans="1:25" ht="20.100000000000001" customHeight="1">
      <c r="A74" s="223" t="s">
        <v>1030</v>
      </c>
      <c r="B74" s="224">
        <v>1</v>
      </c>
      <c r="C74" s="187"/>
      <c r="Q74" s="174">
        <v>71</v>
      </c>
      <c r="R74" s="175" t="s">
        <v>798</v>
      </c>
      <c r="S74" s="176" t="s">
        <v>240</v>
      </c>
      <c r="T74" s="240" t="s">
        <v>1038</v>
      </c>
      <c r="U74" s="238">
        <v>105.23350000000001</v>
      </c>
      <c r="V74" s="238">
        <v>10.5801</v>
      </c>
      <c r="W74" s="238">
        <v>6.0699999999999997E-2</v>
      </c>
    </row>
    <row r="75" spans="1:25" ht="20.100000000000001" customHeight="1">
      <c r="A75" s="219" t="s">
        <v>900</v>
      </c>
      <c r="B75" s="227">
        <f>B72*B74</f>
        <v>3.9</v>
      </c>
      <c r="C75" s="187"/>
      <c r="Q75" s="174">
        <v>72</v>
      </c>
      <c r="R75" s="175" t="s">
        <v>798</v>
      </c>
      <c r="S75" s="176" t="s">
        <v>241</v>
      </c>
      <c r="T75" s="240" t="s">
        <v>1039</v>
      </c>
      <c r="U75" s="238">
        <v>105.389</v>
      </c>
      <c r="V75" s="238">
        <v>10.444000000000001</v>
      </c>
      <c r="W75" s="238">
        <v>6.5299999999999997E-2</v>
      </c>
    </row>
    <row r="76" spans="1:25" ht="20.100000000000001" customHeight="1">
      <c r="A76" s="221"/>
      <c r="B76" s="222"/>
      <c r="C76" s="187"/>
      <c r="Q76" s="174">
        <v>73</v>
      </c>
      <c r="R76" s="175" t="s">
        <v>798</v>
      </c>
      <c r="S76" s="176" t="s">
        <v>242</v>
      </c>
      <c r="T76" s="240" t="s">
        <v>1040</v>
      </c>
      <c r="U76" s="238">
        <v>105.4033</v>
      </c>
      <c r="V76" s="238">
        <v>10.551</v>
      </c>
      <c r="W76" s="238">
        <v>6.0299999999999999E-2</v>
      </c>
    </row>
    <row r="77" spans="1:25" ht="20.100000000000001" customHeight="1">
      <c r="Q77" s="174">
        <v>74</v>
      </c>
      <c r="R77" s="175" t="s">
        <v>798</v>
      </c>
      <c r="S77" s="176" t="s">
        <v>243</v>
      </c>
      <c r="T77" s="240" t="s">
        <v>1041</v>
      </c>
      <c r="U77" s="238">
        <v>105.34310000000001</v>
      </c>
      <c r="V77" s="238">
        <v>10.7165</v>
      </c>
      <c r="W77" s="238">
        <v>4.4999999999999998E-2</v>
      </c>
    </row>
    <row r="78" spans="1:25" ht="20.100000000000001" customHeight="1">
      <c r="Q78" s="174">
        <v>75</v>
      </c>
      <c r="R78" s="175" t="s">
        <v>798</v>
      </c>
      <c r="S78" s="176" t="s">
        <v>244</v>
      </c>
      <c r="T78" s="240" t="s">
        <v>1042</v>
      </c>
      <c r="U78" s="238">
        <v>105.2428</v>
      </c>
      <c r="V78" s="238">
        <v>10.800700000000001</v>
      </c>
      <c r="W78" s="238">
        <v>4.99E-2</v>
      </c>
    </row>
    <row r="79" spans="1:25" ht="20.100000000000001" customHeight="1">
      <c r="Q79" s="174">
        <v>76</v>
      </c>
      <c r="R79" s="175" t="s">
        <v>798</v>
      </c>
      <c r="S79" s="176" t="s">
        <v>245</v>
      </c>
      <c r="T79" s="240" t="s">
        <v>1043</v>
      </c>
      <c r="U79" s="238">
        <v>105.2607</v>
      </c>
      <c r="V79" s="238">
        <v>10.2584</v>
      </c>
      <c r="W79" s="238">
        <v>2.1999999999999999E-2</v>
      </c>
    </row>
    <row r="80" spans="1:25" ht="20.100000000000001" customHeight="1">
      <c r="Q80" s="174">
        <v>77</v>
      </c>
      <c r="R80" s="175" t="s">
        <v>798</v>
      </c>
      <c r="S80" s="176" t="s">
        <v>246</v>
      </c>
      <c r="T80" s="240" t="s">
        <v>1044</v>
      </c>
      <c r="U80" s="238">
        <v>105.0009</v>
      </c>
      <c r="V80" s="238">
        <v>10.4186</v>
      </c>
      <c r="W80" s="238">
        <v>1.6199999999999999E-2</v>
      </c>
    </row>
    <row r="81" spans="17:23" ht="20.100000000000001" customHeight="1">
      <c r="Q81" s="174">
        <v>78</v>
      </c>
      <c r="R81" s="175" t="s">
        <v>798</v>
      </c>
      <c r="S81" s="176" t="s">
        <v>247</v>
      </c>
      <c r="T81" s="240" t="s">
        <v>1045</v>
      </c>
      <c r="U81" s="238">
        <v>105.0081</v>
      </c>
      <c r="V81" s="238">
        <v>10.6274</v>
      </c>
      <c r="W81" s="238">
        <v>3.1199999999999999E-2</v>
      </c>
    </row>
    <row r="82" spans="17:23" ht="20.100000000000001" customHeight="1">
      <c r="Q82" s="174">
        <v>79</v>
      </c>
      <c r="R82" s="175" t="s">
        <v>799</v>
      </c>
      <c r="S82" s="176" t="s">
        <v>248</v>
      </c>
      <c r="T82" s="240" t="s">
        <v>967</v>
      </c>
      <c r="U82" s="238">
        <v>107.07380000000001</v>
      </c>
      <c r="V82" s="238">
        <v>10.349399999999999</v>
      </c>
      <c r="W82" s="238">
        <v>6.1199999999999997E-2</v>
      </c>
    </row>
    <row r="83" spans="17:23" ht="20.100000000000001" customHeight="1">
      <c r="Q83" s="174">
        <v>80</v>
      </c>
      <c r="R83" s="175" t="s">
        <v>799</v>
      </c>
      <c r="S83" s="176" t="s">
        <v>249</v>
      </c>
      <c r="T83" s="240" t="s">
        <v>1046</v>
      </c>
      <c r="U83" s="238">
        <v>107.1671</v>
      </c>
      <c r="V83" s="238">
        <v>10.4968</v>
      </c>
      <c r="W83" s="238">
        <v>3.3000000000000002E-2</v>
      </c>
    </row>
    <row r="84" spans="17:23" ht="20.100000000000001" customHeight="1">
      <c r="Q84" s="174">
        <v>81</v>
      </c>
      <c r="R84" s="175" t="s">
        <v>799</v>
      </c>
      <c r="S84" s="176" t="s">
        <v>250</v>
      </c>
      <c r="T84" s="240" t="s">
        <v>1047</v>
      </c>
      <c r="U84" s="238">
        <v>107.2465</v>
      </c>
      <c r="V84" s="238">
        <v>10.648099999999999</v>
      </c>
      <c r="W84" s="238">
        <v>1.9E-2</v>
      </c>
    </row>
    <row r="85" spans="17:23" ht="20.100000000000001" customHeight="1">
      <c r="Q85" s="174">
        <v>82</v>
      </c>
      <c r="R85" s="175" t="s">
        <v>799</v>
      </c>
      <c r="S85" s="176" t="s">
        <v>251</v>
      </c>
      <c r="T85" s="240" t="s">
        <v>1048</v>
      </c>
      <c r="U85" s="238">
        <v>106.6063</v>
      </c>
      <c r="V85" s="238">
        <v>8.6920000000000002</v>
      </c>
      <c r="W85" s="238">
        <v>5.57E-2</v>
      </c>
    </row>
    <row r="86" spans="17:23" ht="20.100000000000001" customHeight="1">
      <c r="Q86" s="174">
        <v>83</v>
      </c>
      <c r="R86" s="175" t="s">
        <v>799</v>
      </c>
      <c r="S86" s="176" t="s">
        <v>252</v>
      </c>
      <c r="T86" s="240" t="s">
        <v>1049</v>
      </c>
      <c r="U86" s="238">
        <v>107.27070000000001</v>
      </c>
      <c r="V86" s="238">
        <v>10.490600000000001</v>
      </c>
      <c r="W86" s="238">
        <v>2.5100000000000001E-2</v>
      </c>
    </row>
    <row r="87" spans="17:23" ht="20.100000000000001" customHeight="1">
      <c r="Q87" s="174">
        <v>84</v>
      </c>
      <c r="R87" s="175" t="s">
        <v>799</v>
      </c>
      <c r="S87" s="176" t="s">
        <v>253</v>
      </c>
      <c r="T87" s="240" t="s">
        <v>1050</v>
      </c>
      <c r="U87" s="238">
        <v>107.2101</v>
      </c>
      <c r="V87" s="238">
        <v>10.4841</v>
      </c>
      <c r="W87" s="238">
        <v>2.9499999999999998E-2</v>
      </c>
    </row>
    <row r="88" spans="17:23" ht="20.100000000000001" customHeight="1">
      <c r="Q88" s="174">
        <v>85</v>
      </c>
      <c r="R88" s="175" t="s">
        <v>799</v>
      </c>
      <c r="S88" s="176" t="s">
        <v>254</v>
      </c>
      <c r="T88" s="240" t="s">
        <v>1051</v>
      </c>
      <c r="U88" s="238">
        <v>107.0545</v>
      </c>
      <c r="V88" s="238">
        <v>10.589499999999999</v>
      </c>
      <c r="W88" s="238">
        <v>4.4200000000000003E-2</v>
      </c>
    </row>
    <row r="89" spans="17:23" ht="20.100000000000001" customHeight="1">
      <c r="Q89" s="174">
        <v>86</v>
      </c>
      <c r="R89" s="175" t="s">
        <v>799</v>
      </c>
      <c r="S89" s="176" t="s">
        <v>255</v>
      </c>
      <c r="T89" s="240" t="s">
        <v>1052</v>
      </c>
      <c r="U89" s="238">
        <v>107.3981</v>
      </c>
      <c r="V89" s="238">
        <v>10.5349</v>
      </c>
      <c r="W89" s="238">
        <v>2.1399999999999999E-2</v>
      </c>
    </row>
    <row r="90" spans="17:23" ht="20.100000000000001" customHeight="1">
      <c r="Q90" s="174">
        <v>87</v>
      </c>
      <c r="R90" s="175" t="s">
        <v>800</v>
      </c>
      <c r="S90" s="176" t="s">
        <v>256</v>
      </c>
      <c r="T90" s="240" t="s">
        <v>1053</v>
      </c>
      <c r="U90" s="238">
        <v>105.72029999999999</v>
      </c>
      <c r="V90" s="238">
        <v>9.2828999999999997</v>
      </c>
      <c r="W90" s="238">
        <v>2.4799999999999999E-2</v>
      </c>
    </row>
    <row r="91" spans="17:23" ht="20.100000000000001" customHeight="1">
      <c r="Q91" s="174">
        <v>88</v>
      </c>
      <c r="R91" s="175" t="s">
        <v>800</v>
      </c>
      <c r="S91" s="176" t="s">
        <v>1584</v>
      </c>
      <c r="T91" s="240" t="s">
        <v>1054</v>
      </c>
      <c r="U91" s="238">
        <v>105.42100000000001</v>
      </c>
      <c r="V91" s="238">
        <v>9.0361999999999991</v>
      </c>
      <c r="W91" s="238">
        <v>2.7300000000000001E-2</v>
      </c>
    </row>
    <row r="92" spans="17:23" ht="20.100000000000001" customHeight="1">
      <c r="Q92" s="174">
        <v>89</v>
      </c>
      <c r="R92" s="175" t="s">
        <v>800</v>
      </c>
      <c r="S92" s="176" t="s">
        <v>257</v>
      </c>
      <c r="T92" s="240" t="s">
        <v>1055</v>
      </c>
      <c r="U92" s="238">
        <v>105.4564</v>
      </c>
      <c r="V92" s="238">
        <v>9.2370999999999999</v>
      </c>
      <c r="W92" s="238">
        <v>1.6199999999999999E-2</v>
      </c>
    </row>
    <row r="93" spans="17:23" ht="20.100000000000001" customHeight="1">
      <c r="Q93" s="174">
        <v>90</v>
      </c>
      <c r="R93" s="175" t="s">
        <v>800</v>
      </c>
      <c r="S93" s="176" t="s">
        <v>258</v>
      </c>
      <c r="T93" s="240" t="s">
        <v>1056</v>
      </c>
      <c r="U93" s="238">
        <v>105.452</v>
      </c>
      <c r="V93" s="238">
        <v>9.5814000000000004</v>
      </c>
      <c r="W93" s="238">
        <v>9.4000000000000004E-3</v>
      </c>
    </row>
    <row r="94" spans="17:23" ht="20.100000000000001" customHeight="1">
      <c r="Q94" s="174">
        <v>91</v>
      </c>
      <c r="R94" s="175" t="s">
        <v>800</v>
      </c>
      <c r="S94" s="176" t="s">
        <v>802</v>
      </c>
      <c r="T94" s="240" t="s">
        <v>1057</v>
      </c>
      <c r="U94" s="238">
        <v>105.4603</v>
      </c>
      <c r="V94" s="238">
        <v>9.4382999999999999</v>
      </c>
      <c r="W94" s="238">
        <v>1.0500000000000001E-2</v>
      </c>
    </row>
    <row r="95" spans="17:23" ht="20.100000000000001" customHeight="1">
      <c r="Q95" s="174">
        <v>92</v>
      </c>
      <c r="R95" s="175" t="s">
        <v>800</v>
      </c>
      <c r="S95" s="176" t="s">
        <v>259</v>
      </c>
      <c r="T95" s="240" t="s">
        <v>1058</v>
      </c>
      <c r="U95" s="238">
        <v>105.63200000000001</v>
      </c>
      <c r="V95" s="238">
        <v>9.2851999999999997</v>
      </c>
      <c r="W95" s="238">
        <v>2.0500000000000001E-2</v>
      </c>
    </row>
    <row r="96" spans="17:23" ht="20.100000000000001" customHeight="1">
      <c r="Q96" s="174">
        <v>93</v>
      </c>
      <c r="R96" s="175" t="s">
        <v>801</v>
      </c>
      <c r="S96" s="176" t="s">
        <v>260</v>
      </c>
      <c r="T96" s="240" t="s">
        <v>1059</v>
      </c>
      <c r="U96" s="238">
        <v>106.1895</v>
      </c>
      <c r="V96" s="238">
        <v>21.276499999999999</v>
      </c>
      <c r="W96" s="238">
        <v>0.1089</v>
      </c>
    </row>
    <row r="97" spans="17:23" ht="20.100000000000001" customHeight="1">
      <c r="Q97" s="174">
        <v>94</v>
      </c>
      <c r="R97" s="175" t="s">
        <v>801</v>
      </c>
      <c r="S97" s="176" t="s">
        <v>261</v>
      </c>
      <c r="T97" s="240" t="s">
        <v>1060</v>
      </c>
      <c r="U97" s="238">
        <v>105.9825</v>
      </c>
      <c r="V97" s="238">
        <v>21.3565</v>
      </c>
      <c r="W97" s="238">
        <v>9.4100000000000003E-2</v>
      </c>
    </row>
    <row r="98" spans="17:23" ht="20.100000000000001" customHeight="1">
      <c r="Q98" s="174">
        <v>95</v>
      </c>
      <c r="R98" s="175" t="s">
        <v>801</v>
      </c>
      <c r="S98" s="176" t="s">
        <v>262</v>
      </c>
      <c r="T98" s="240" t="s">
        <v>1061</v>
      </c>
      <c r="U98" s="238">
        <v>106.2606</v>
      </c>
      <c r="V98" s="238">
        <v>21.352699999999999</v>
      </c>
      <c r="W98" s="238">
        <v>9.8000000000000004E-2</v>
      </c>
    </row>
    <row r="99" spans="17:23" ht="20.100000000000001" customHeight="1">
      <c r="Q99" s="174">
        <v>96</v>
      </c>
      <c r="R99" s="175" t="s">
        <v>801</v>
      </c>
      <c r="S99" s="176" t="s">
        <v>263</v>
      </c>
      <c r="T99" s="240" t="s">
        <v>1062</v>
      </c>
      <c r="U99" s="238">
        <v>106.3837</v>
      </c>
      <c r="V99" s="238">
        <v>21.302099999999999</v>
      </c>
      <c r="W99" s="238">
        <v>0.10920000000000001</v>
      </c>
    </row>
    <row r="100" spans="17:23" ht="20.100000000000001" customHeight="1">
      <c r="Q100" s="174">
        <v>97</v>
      </c>
      <c r="R100" s="175" t="s">
        <v>801</v>
      </c>
      <c r="S100" s="176" t="s">
        <v>264</v>
      </c>
      <c r="T100" s="240" t="s">
        <v>1063</v>
      </c>
      <c r="U100" s="238">
        <v>106.56570000000001</v>
      </c>
      <c r="V100" s="238">
        <v>21.372399999999999</v>
      </c>
      <c r="W100" s="238">
        <v>6.3600000000000004E-2</v>
      </c>
    </row>
    <row r="101" spans="17:23" ht="20.100000000000001" customHeight="1">
      <c r="Q101" s="174">
        <v>98</v>
      </c>
      <c r="R101" s="175" t="s">
        <v>801</v>
      </c>
      <c r="S101" s="176" t="s">
        <v>265</v>
      </c>
      <c r="T101" s="240" t="s">
        <v>1039</v>
      </c>
      <c r="U101" s="238">
        <v>106.8515</v>
      </c>
      <c r="V101" s="238">
        <v>21.336200000000002</v>
      </c>
      <c r="W101" s="238">
        <v>4.7100000000000003E-2</v>
      </c>
    </row>
    <row r="102" spans="17:23" ht="20.100000000000001" customHeight="1">
      <c r="Q102" s="174">
        <v>99</v>
      </c>
      <c r="R102" s="175" t="s">
        <v>801</v>
      </c>
      <c r="S102" s="176" t="s">
        <v>266</v>
      </c>
      <c r="T102" s="240" t="s">
        <v>1064</v>
      </c>
      <c r="U102" s="238">
        <v>106.1262</v>
      </c>
      <c r="V102" s="238">
        <v>21.386399999999998</v>
      </c>
      <c r="W102" s="238">
        <v>7.1900000000000006E-2</v>
      </c>
    </row>
    <row r="103" spans="17:23" ht="20.100000000000001" customHeight="1">
      <c r="Q103" s="174">
        <v>100</v>
      </c>
      <c r="R103" s="175" t="s">
        <v>801</v>
      </c>
      <c r="S103" s="176" t="s">
        <v>267</v>
      </c>
      <c r="T103" s="240" t="s">
        <v>1065</v>
      </c>
      <c r="U103" s="238">
        <v>106.1</v>
      </c>
      <c r="V103" s="238">
        <v>21.271999999999998</v>
      </c>
      <c r="W103" s="238">
        <v>0.11219999999999999</v>
      </c>
    </row>
    <row r="104" spans="17:23" ht="20.100000000000001" customHeight="1">
      <c r="Q104" s="174">
        <v>101</v>
      </c>
      <c r="R104" s="175" t="s">
        <v>801</v>
      </c>
      <c r="S104" s="176" t="s">
        <v>268</v>
      </c>
      <c r="T104" s="240" t="s">
        <v>1066</v>
      </c>
      <c r="U104" s="238">
        <v>106.24290000000001</v>
      </c>
      <c r="V104" s="238">
        <v>21.203600000000002</v>
      </c>
      <c r="W104" s="238">
        <v>0.1087</v>
      </c>
    </row>
    <row r="105" spans="17:23" ht="20.100000000000001" customHeight="1">
      <c r="Q105" s="174">
        <v>102</v>
      </c>
      <c r="R105" s="175" t="s">
        <v>801</v>
      </c>
      <c r="S105" s="176" t="s">
        <v>269</v>
      </c>
      <c r="T105" s="240" t="s">
        <v>1067</v>
      </c>
      <c r="U105" s="238">
        <v>106.12649999999999</v>
      </c>
      <c r="V105" s="238">
        <v>21.4771</v>
      </c>
      <c r="W105" s="238">
        <v>7.9100000000000004E-2</v>
      </c>
    </row>
    <row r="106" spans="17:23" ht="20.100000000000001" customHeight="1">
      <c r="Q106" s="174">
        <v>103</v>
      </c>
      <c r="R106" s="175" t="s">
        <v>270</v>
      </c>
      <c r="S106" s="176" t="s">
        <v>271</v>
      </c>
      <c r="T106" s="240" t="s">
        <v>1068</v>
      </c>
      <c r="U106" s="238">
        <v>105.8265</v>
      </c>
      <c r="V106" s="238">
        <v>22.143899999999999</v>
      </c>
      <c r="W106" s="238">
        <v>5.96E-2</v>
      </c>
    </row>
    <row r="107" spans="17:23" ht="20.100000000000001" customHeight="1">
      <c r="Q107" s="174">
        <v>104</v>
      </c>
      <c r="R107" s="175" t="s">
        <v>270</v>
      </c>
      <c r="S107" s="176" t="s">
        <v>272</v>
      </c>
      <c r="T107" s="240" t="s">
        <v>1069</v>
      </c>
      <c r="U107" s="238">
        <v>105.7186</v>
      </c>
      <c r="V107" s="238">
        <v>22.451499999999999</v>
      </c>
      <c r="W107" s="238">
        <v>4.8300000000000003E-2</v>
      </c>
    </row>
    <row r="108" spans="17:23" ht="20.100000000000001" customHeight="1">
      <c r="Q108" s="174">
        <v>105</v>
      </c>
      <c r="R108" s="175" t="s">
        <v>270</v>
      </c>
      <c r="S108" s="176" t="s">
        <v>273</v>
      </c>
      <c r="T108" s="240" t="s">
        <v>1070</v>
      </c>
      <c r="U108" s="238">
        <v>105.8785</v>
      </c>
      <c r="V108" s="238">
        <v>22.2727</v>
      </c>
      <c r="W108" s="238">
        <v>6.1499999999999999E-2</v>
      </c>
    </row>
    <row r="109" spans="17:23" ht="20.100000000000001" customHeight="1">
      <c r="Q109" s="174">
        <v>106</v>
      </c>
      <c r="R109" s="175" t="s">
        <v>270</v>
      </c>
      <c r="S109" s="176" t="s">
        <v>274</v>
      </c>
      <c r="T109" s="240" t="s">
        <v>1071</v>
      </c>
      <c r="U109" s="238">
        <v>105.59480000000001</v>
      </c>
      <c r="V109" s="238">
        <v>22.157499999999999</v>
      </c>
      <c r="W109" s="238">
        <v>2.1700000000000001E-2</v>
      </c>
    </row>
    <row r="110" spans="17:23" ht="20.100000000000001" customHeight="1">
      <c r="Q110" s="174">
        <v>107</v>
      </c>
      <c r="R110" s="175" t="s">
        <v>270</v>
      </c>
      <c r="S110" s="176" t="s">
        <v>242</v>
      </c>
      <c r="T110" s="240" t="s">
        <v>1040</v>
      </c>
      <c r="U110" s="238">
        <v>105.7752</v>
      </c>
      <c r="V110" s="238">
        <v>21.8826</v>
      </c>
      <c r="W110" s="238">
        <v>5.8500000000000003E-2</v>
      </c>
    </row>
    <row r="111" spans="17:23" ht="20.100000000000001" customHeight="1">
      <c r="Q111" s="174">
        <v>108</v>
      </c>
      <c r="R111" s="175" t="s">
        <v>270</v>
      </c>
      <c r="S111" s="176" t="s">
        <v>275</v>
      </c>
      <c r="T111" s="240" t="s">
        <v>1072</v>
      </c>
      <c r="U111" s="238">
        <v>106.1837</v>
      </c>
      <c r="V111" s="238">
        <v>22.2376</v>
      </c>
      <c r="W111" s="238">
        <v>2.7099999999999999E-2</v>
      </c>
    </row>
    <row r="112" spans="17:23" ht="20.100000000000001" customHeight="1">
      <c r="Q112" s="174">
        <v>109</v>
      </c>
      <c r="R112" s="175" t="s">
        <v>270</v>
      </c>
      <c r="S112" s="176" t="s">
        <v>276</v>
      </c>
      <c r="T112" s="240" t="s">
        <v>1073</v>
      </c>
      <c r="U112" s="238">
        <v>105.9974</v>
      </c>
      <c r="V112" s="238">
        <v>22.4268</v>
      </c>
      <c r="W112" s="238">
        <v>3.1399999999999997E-2</v>
      </c>
    </row>
    <row r="113" spans="17:23" ht="20.100000000000001" customHeight="1">
      <c r="Q113" s="174">
        <v>110</v>
      </c>
      <c r="R113" s="175" t="s">
        <v>270</v>
      </c>
      <c r="S113" s="176" t="s">
        <v>1585</v>
      </c>
      <c r="T113" s="240" t="s">
        <v>1074</v>
      </c>
      <c r="U113" s="238">
        <v>105.6643</v>
      </c>
      <c r="V113" s="238">
        <v>22.6158</v>
      </c>
      <c r="W113" s="238">
        <v>5.6099999999999997E-2</v>
      </c>
    </row>
    <row r="114" spans="17:23" ht="20.100000000000001" customHeight="1">
      <c r="Q114" s="174">
        <v>111</v>
      </c>
      <c r="R114" s="175" t="s">
        <v>277</v>
      </c>
      <c r="S114" s="176" t="s">
        <v>278</v>
      </c>
      <c r="T114" s="240" t="s">
        <v>1075</v>
      </c>
      <c r="U114" s="238">
        <v>106.0707</v>
      </c>
      <c r="V114" s="238">
        <v>21.186299999999999</v>
      </c>
      <c r="W114" s="238">
        <v>0.1192</v>
      </c>
    </row>
    <row r="115" spans="17:23" ht="20.100000000000001" customHeight="1">
      <c r="Q115" s="174">
        <v>112</v>
      </c>
      <c r="R115" s="175" t="s">
        <v>277</v>
      </c>
      <c r="S115" s="176" t="s">
        <v>279</v>
      </c>
      <c r="T115" s="240" t="s">
        <v>1076</v>
      </c>
      <c r="U115" s="238">
        <v>106.19459999999999</v>
      </c>
      <c r="V115" s="238">
        <v>21.0565</v>
      </c>
      <c r="W115" s="238">
        <v>0.12970000000000001</v>
      </c>
    </row>
    <row r="116" spans="17:23" ht="20.100000000000001" customHeight="1">
      <c r="Q116" s="174">
        <v>113</v>
      </c>
      <c r="R116" s="175" t="s">
        <v>277</v>
      </c>
      <c r="S116" s="176" t="s">
        <v>804</v>
      </c>
      <c r="T116" s="240" t="s">
        <v>1077</v>
      </c>
      <c r="U116" s="238">
        <v>106.2012</v>
      </c>
      <c r="V116" s="238">
        <v>21.017399999999999</v>
      </c>
      <c r="W116" s="238">
        <v>0.13159999999999999</v>
      </c>
    </row>
    <row r="117" spans="17:23" ht="20.100000000000001" customHeight="1">
      <c r="Q117" s="174">
        <v>114</v>
      </c>
      <c r="R117" s="175" t="s">
        <v>277</v>
      </c>
      <c r="S117" s="176" t="s">
        <v>280</v>
      </c>
      <c r="T117" s="240" t="s">
        <v>1078</v>
      </c>
      <c r="U117" s="238">
        <v>106.1532</v>
      </c>
      <c r="V117" s="238">
        <v>21.153500000000001</v>
      </c>
      <c r="W117" s="238">
        <v>0.1226</v>
      </c>
    </row>
    <row r="118" spans="17:23" ht="20.100000000000001" customHeight="1">
      <c r="Q118" s="174">
        <v>115</v>
      </c>
      <c r="R118" s="175" t="s">
        <v>277</v>
      </c>
      <c r="S118" s="176" t="s">
        <v>281</v>
      </c>
      <c r="T118" s="240" t="s">
        <v>1079</v>
      </c>
      <c r="U118" s="238">
        <v>106.0856</v>
      </c>
      <c r="V118" s="238">
        <v>21.0642</v>
      </c>
      <c r="W118" s="238">
        <v>0.1108</v>
      </c>
    </row>
    <row r="119" spans="17:23" ht="20.100000000000001" customHeight="1">
      <c r="Q119" s="174">
        <v>116</v>
      </c>
      <c r="R119" s="175" t="s">
        <v>277</v>
      </c>
      <c r="S119" s="176" t="s">
        <v>282</v>
      </c>
      <c r="T119" s="240" t="s">
        <v>1080</v>
      </c>
      <c r="U119" s="238">
        <v>106.0194</v>
      </c>
      <c r="V119" s="238">
        <v>21.142600000000002</v>
      </c>
      <c r="W119" s="238">
        <v>0.1109</v>
      </c>
    </row>
    <row r="120" spans="17:23" ht="20.100000000000001" customHeight="1">
      <c r="Q120" s="174">
        <v>117</v>
      </c>
      <c r="R120" s="175" t="s">
        <v>277</v>
      </c>
      <c r="S120" s="176" t="s">
        <v>283</v>
      </c>
      <c r="T120" s="240" t="s">
        <v>1081</v>
      </c>
      <c r="U120" s="238">
        <v>105.9588</v>
      </c>
      <c r="V120" s="238">
        <v>21.116399999999999</v>
      </c>
      <c r="W120" s="238">
        <v>9.1899999999999996E-2</v>
      </c>
    </row>
    <row r="121" spans="17:23" ht="20.100000000000001" customHeight="1">
      <c r="Q121" s="174">
        <v>118</v>
      </c>
      <c r="R121" s="175" t="s">
        <v>277</v>
      </c>
      <c r="S121" s="176" t="s">
        <v>284</v>
      </c>
      <c r="T121" s="240" t="s">
        <v>1082</v>
      </c>
      <c r="U121" s="238">
        <v>105.95480000000001</v>
      </c>
      <c r="V121" s="238">
        <v>21.193999999999999</v>
      </c>
      <c r="W121" s="238">
        <v>0.10390000000000001</v>
      </c>
    </row>
    <row r="122" spans="17:23" ht="20.100000000000001" customHeight="1">
      <c r="Q122" s="174">
        <v>119</v>
      </c>
      <c r="R122" s="175" t="s">
        <v>803</v>
      </c>
      <c r="S122" s="176" t="s">
        <v>285</v>
      </c>
      <c r="T122" s="240" t="s">
        <v>963</v>
      </c>
      <c r="U122" s="238">
        <v>106.3822</v>
      </c>
      <c r="V122" s="238">
        <v>10.2356</v>
      </c>
      <c r="W122" s="238">
        <v>1.8499999999999999E-2</v>
      </c>
    </row>
    <row r="123" spans="17:23" ht="20.100000000000001" customHeight="1">
      <c r="Q123" s="174">
        <v>120</v>
      </c>
      <c r="R123" s="175" t="s">
        <v>803</v>
      </c>
      <c r="S123" s="176" t="s">
        <v>286</v>
      </c>
      <c r="T123" s="240" t="s">
        <v>1083</v>
      </c>
      <c r="U123" s="238">
        <v>106.5894</v>
      </c>
      <c r="V123" s="238">
        <v>10.039</v>
      </c>
      <c r="W123" s="238">
        <v>2.75E-2</v>
      </c>
    </row>
    <row r="124" spans="17:23" ht="20.100000000000001" customHeight="1">
      <c r="Q124" s="174">
        <v>121</v>
      </c>
      <c r="R124" s="175" t="s">
        <v>803</v>
      </c>
      <c r="S124" s="176" t="s">
        <v>287</v>
      </c>
      <c r="T124" s="240" t="s">
        <v>1084</v>
      </c>
      <c r="U124" s="238">
        <v>106.69289999999999</v>
      </c>
      <c r="V124" s="238">
        <v>10.1858</v>
      </c>
      <c r="W124" s="238">
        <v>6.6500000000000004E-2</v>
      </c>
    </row>
    <row r="125" spans="17:23" ht="20.100000000000001" customHeight="1">
      <c r="Q125" s="174">
        <v>122</v>
      </c>
      <c r="R125" s="175" t="s">
        <v>803</v>
      </c>
      <c r="S125" s="176" t="s">
        <v>241</v>
      </c>
      <c r="T125" s="240" t="s">
        <v>1085</v>
      </c>
      <c r="U125" s="238">
        <v>106.3597</v>
      </c>
      <c r="V125" s="238">
        <v>10.3108</v>
      </c>
      <c r="W125" s="238">
        <v>2.0400000000000001E-2</v>
      </c>
    </row>
    <row r="126" spans="17:23" ht="20.100000000000001" customHeight="1">
      <c r="Q126" s="174">
        <v>123</v>
      </c>
      <c r="R126" s="175" t="s">
        <v>803</v>
      </c>
      <c r="S126" s="176" t="s">
        <v>288</v>
      </c>
      <c r="T126" s="240" t="s">
        <v>1086</v>
      </c>
      <c r="U126" s="238">
        <v>106.12050000000001</v>
      </c>
      <c r="V126" s="238">
        <v>10.258800000000001</v>
      </c>
      <c r="W126" s="238">
        <v>1.5699999999999999E-2</v>
      </c>
    </row>
    <row r="127" spans="17:23" ht="20.100000000000001" customHeight="1">
      <c r="Q127" s="174">
        <v>124</v>
      </c>
      <c r="R127" s="175" t="s">
        <v>803</v>
      </c>
      <c r="S127" s="176" t="s">
        <v>289</v>
      </c>
      <c r="T127" s="240" t="s">
        <v>1087</v>
      </c>
      <c r="U127" s="238">
        <v>106.5076</v>
      </c>
      <c r="V127" s="238">
        <v>10.148999999999999</v>
      </c>
      <c r="W127" s="238">
        <v>2.3699999999999999E-2</v>
      </c>
    </row>
    <row r="128" spans="17:23" ht="20.100000000000001" customHeight="1">
      <c r="Q128" s="174">
        <v>125</v>
      </c>
      <c r="R128" s="175" t="s">
        <v>803</v>
      </c>
      <c r="S128" s="176" t="s">
        <v>290</v>
      </c>
      <c r="T128" s="240" t="s">
        <v>1088</v>
      </c>
      <c r="U128" s="238">
        <v>106.33369999999999</v>
      </c>
      <c r="V128" s="238">
        <v>10.1234</v>
      </c>
      <c r="W128" s="238">
        <v>1.5699999999999999E-2</v>
      </c>
    </row>
    <row r="129" spans="17:23" ht="20.100000000000001" customHeight="1">
      <c r="Q129" s="174">
        <v>126</v>
      </c>
      <c r="R129" s="175" t="s">
        <v>803</v>
      </c>
      <c r="S129" s="176" t="s">
        <v>291</v>
      </c>
      <c r="T129" s="240" t="s">
        <v>1089</v>
      </c>
      <c r="U129" s="238">
        <v>106.5147</v>
      </c>
      <c r="V129" s="238">
        <v>9.9474</v>
      </c>
      <c r="W129" s="238">
        <v>2.0899999999999998E-2</v>
      </c>
    </row>
    <row r="130" spans="17:23" ht="20.100000000000001" customHeight="1">
      <c r="Q130" s="174">
        <v>127</v>
      </c>
      <c r="R130" s="175" t="s">
        <v>805</v>
      </c>
      <c r="S130" s="176" t="s">
        <v>292</v>
      </c>
      <c r="T130" s="240" t="s">
        <v>1090</v>
      </c>
      <c r="U130" s="238">
        <v>106.6724</v>
      </c>
      <c r="V130" s="238">
        <v>11.002800000000001</v>
      </c>
      <c r="W130" s="238">
        <v>8.1299999999999997E-2</v>
      </c>
    </row>
    <row r="131" spans="17:23" ht="20.100000000000001" customHeight="1">
      <c r="Q131" s="174">
        <v>128</v>
      </c>
      <c r="R131" s="175" t="s">
        <v>805</v>
      </c>
      <c r="S131" s="176" t="s">
        <v>293</v>
      </c>
      <c r="T131" s="240" t="s">
        <v>1091</v>
      </c>
      <c r="U131" s="238">
        <v>106.59</v>
      </c>
      <c r="V131" s="238">
        <v>11.1547</v>
      </c>
      <c r="W131" s="238">
        <v>8.9700000000000002E-2</v>
      </c>
    </row>
    <row r="132" spans="17:23" ht="20.100000000000001" customHeight="1">
      <c r="Q132" s="174">
        <v>129</v>
      </c>
      <c r="R132" s="175" t="s">
        <v>805</v>
      </c>
      <c r="S132" s="176" t="s">
        <v>294</v>
      </c>
      <c r="T132" s="240" t="s">
        <v>1092</v>
      </c>
      <c r="U132" s="238">
        <v>106.36239999999999</v>
      </c>
      <c r="V132" s="238">
        <v>11.279500000000001</v>
      </c>
      <c r="W132" s="238">
        <v>6.3899999999999998E-2</v>
      </c>
    </row>
    <row r="133" spans="17:23" ht="20.100000000000001" customHeight="1">
      <c r="Q133" s="174">
        <v>130</v>
      </c>
      <c r="R133" s="175" t="s">
        <v>805</v>
      </c>
      <c r="S133" s="176" t="s">
        <v>295</v>
      </c>
      <c r="T133" s="240" t="s">
        <v>1093</v>
      </c>
      <c r="U133" s="238">
        <v>106.76949999999999</v>
      </c>
      <c r="V133" s="238">
        <v>10.9071</v>
      </c>
      <c r="W133" s="238">
        <v>6.6299999999999998E-2</v>
      </c>
    </row>
    <row r="134" spans="17:23" ht="20.100000000000001" customHeight="1">
      <c r="Q134" s="174">
        <v>131</v>
      </c>
      <c r="R134" s="175" t="s">
        <v>805</v>
      </c>
      <c r="S134" s="176" t="s">
        <v>296</v>
      </c>
      <c r="T134" s="240" t="s">
        <v>1094</v>
      </c>
      <c r="U134" s="238">
        <v>106.7953</v>
      </c>
      <c r="V134" s="238">
        <v>11.291499999999999</v>
      </c>
      <c r="W134" s="238">
        <v>8.77E-2</v>
      </c>
    </row>
    <row r="135" spans="17:23" ht="20.100000000000001" customHeight="1">
      <c r="Q135" s="174">
        <v>132</v>
      </c>
      <c r="R135" s="175" t="s">
        <v>805</v>
      </c>
      <c r="S135" s="176" t="s">
        <v>297</v>
      </c>
      <c r="T135" s="240" t="s">
        <v>1095</v>
      </c>
      <c r="U135" s="238">
        <v>106.8034</v>
      </c>
      <c r="V135" s="238">
        <v>11.0647</v>
      </c>
      <c r="W135" s="238">
        <v>4.3299999999999998E-2</v>
      </c>
    </row>
    <row r="136" spans="17:23" ht="20.100000000000001" customHeight="1">
      <c r="Q136" s="174">
        <v>133</v>
      </c>
      <c r="R136" s="175" t="s">
        <v>805</v>
      </c>
      <c r="S136" s="176" t="s">
        <v>298</v>
      </c>
      <c r="T136" s="240" t="s">
        <v>1096</v>
      </c>
      <c r="U136" s="238">
        <v>106.6999</v>
      </c>
      <c r="V136" s="238">
        <v>10.9053</v>
      </c>
      <c r="W136" s="238">
        <v>8.1199999999999994E-2</v>
      </c>
    </row>
    <row r="137" spans="17:23" ht="20.100000000000001" customHeight="1">
      <c r="Q137" s="174">
        <v>134</v>
      </c>
      <c r="R137" s="175" t="s">
        <v>299</v>
      </c>
      <c r="S137" s="176" t="s">
        <v>300</v>
      </c>
      <c r="T137" s="240" t="s">
        <v>1097</v>
      </c>
      <c r="U137" s="238">
        <v>109.23090000000001</v>
      </c>
      <c r="V137" s="238">
        <v>13.7704</v>
      </c>
      <c r="W137" s="238">
        <v>9.4100000000000003E-2</v>
      </c>
    </row>
    <row r="138" spans="17:23" ht="20.100000000000001" customHeight="1">
      <c r="Q138" s="174">
        <v>135</v>
      </c>
      <c r="R138" s="175" t="s">
        <v>299</v>
      </c>
      <c r="S138" s="176" t="s">
        <v>216</v>
      </c>
      <c r="T138" s="240" t="s">
        <v>1006</v>
      </c>
      <c r="U138" s="238">
        <v>108.8854</v>
      </c>
      <c r="V138" s="238">
        <v>14.615600000000001</v>
      </c>
      <c r="W138" s="238">
        <v>0.1031</v>
      </c>
    </row>
    <row r="139" spans="17:23" ht="20.100000000000001" customHeight="1">
      <c r="Q139" s="174">
        <v>136</v>
      </c>
      <c r="R139" s="175" t="s">
        <v>299</v>
      </c>
      <c r="S139" s="176" t="s">
        <v>301</v>
      </c>
      <c r="T139" s="240" t="s">
        <v>1098</v>
      </c>
      <c r="U139" s="238">
        <v>109.11199999999999</v>
      </c>
      <c r="V139" s="238">
        <v>13.8888</v>
      </c>
      <c r="W139" s="238">
        <v>0.1061</v>
      </c>
    </row>
    <row r="140" spans="17:23" ht="20.100000000000001" customHeight="1">
      <c r="Q140" s="174">
        <v>137</v>
      </c>
      <c r="R140" s="175" t="s">
        <v>299</v>
      </c>
      <c r="S140" s="176" t="s">
        <v>302</v>
      </c>
      <c r="T140" s="240" t="s">
        <v>1099</v>
      </c>
      <c r="U140" s="238">
        <v>108.97199999999999</v>
      </c>
      <c r="V140" s="238">
        <v>14.366099999999999</v>
      </c>
      <c r="W140" s="238">
        <v>0.1057</v>
      </c>
    </row>
    <row r="141" spans="17:23" ht="20.100000000000001" customHeight="1">
      <c r="Q141" s="174">
        <v>138</v>
      </c>
      <c r="R141" s="175" t="s">
        <v>299</v>
      </c>
      <c r="S141" s="176" t="s">
        <v>303</v>
      </c>
      <c r="T141" s="240" t="s">
        <v>1100</v>
      </c>
      <c r="U141" s="238">
        <v>109.0154</v>
      </c>
      <c r="V141" s="238">
        <v>14.434699999999999</v>
      </c>
      <c r="W141" s="238">
        <v>0.10489999999999999</v>
      </c>
    </row>
    <row r="142" spans="17:23" ht="20.100000000000001" customHeight="1">
      <c r="Q142" s="174">
        <v>139</v>
      </c>
      <c r="R142" s="175" t="s">
        <v>299</v>
      </c>
      <c r="S142" s="176" t="s">
        <v>304</v>
      </c>
      <c r="T142" s="240" t="s">
        <v>1101</v>
      </c>
      <c r="U142" s="238">
        <v>109.05670000000001</v>
      </c>
      <c r="V142" s="238">
        <v>14.003399999999999</v>
      </c>
      <c r="W142" s="238">
        <v>0.107</v>
      </c>
    </row>
    <row r="143" spans="17:23" ht="20.100000000000001" customHeight="1">
      <c r="Q143" s="174">
        <v>140</v>
      </c>
      <c r="R143" s="175" t="s">
        <v>299</v>
      </c>
      <c r="S143" s="176" t="s">
        <v>305</v>
      </c>
      <c r="T143" s="240" t="s">
        <v>1102</v>
      </c>
      <c r="U143" s="238">
        <v>109.051</v>
      </c>
      <c r="V143" s="238">
        <v>14.175000000000001</v>
      </c>
      <c r="W143" s="238">
        <v>0.1008</v>
      </c>
    </row>
    <row r="144" spans="17:23" ht="20.100000000000001" customHeight="1">
      <c r="Q144" s="174">
        <v>141</v>
      </c>
      <c r="R144" s="175" t="s">
        <v>299</v>
      </c>
      <c r="S144" s="176" t="s">
        <v>306</v>
      </c>
      <c r="T144" s="240" t="s">
        <v>1103</v>
      </c>
      <c r="U144" s="238">
        <v>108.91379999999999</v>
      </c>
      <c r="V144" s="238">
        <v>13.9109</v>
      </c>
      <c r="W144" s="238">
        <v>0.10970000000000001</v>
      </c>
    </row>
    <row r="145" spans="17:23" ht="20.100000000000001" customHeight="1">
      <c r="Q145" s="174">
        <v>142</v>
      </c>
      <c r="R145" s="175" t="s">
        <v>299</v>
      </c>
      <c r="S145" s="176" t="s">
        <v>826</v>
      </c>
      <c r="T145" s="240" t="s">
        <v>1104</v>
      </c>
      <c r="U145" s="238">
        <v>109.1645</v>
      </c>
      <c r="V145" s="238">
        <v>13.8284</v>
      </c>
      <c r="W145" s="238">
        <v>0.1067</v>
      </c>
    </row>
    <row r="146" spans="17:23" ht="20.100000000000001" customHeight="1">
      <c r="Q146" s="174">
        <v>143</v>
      </c>
      <c r="R146" s="175" t="s">
        <v>299</v>
      </c>
      <c r="S146" s="176" t="s">
        <v>307</v>
      </c>
      <c r="T146" s="240" t="s">
        <v>1105</v>
      </c>
      <c r="U146" s="238">
        <v>108.99769999999999</v>
      </c>
      <c r="V146" s="238">
        <v>13.6225</v>
      </c>
      <c r="W146" s="238">
        <v>0.1053</v>
      </c>
    </row>
    <row r="147" spans="17:23" ht="20.100000000000001" customHeight="1">
      <c r="Q147" s="174">
        <v>144</v>
      </c>
      <c r="R147" s="175" t="s">
        <v>299</v>
      </c>
      <c r="S147" s="176" t="s">
        <v>236</v>
      </c>
      <c r="T147" s="240" t="s">
        <v>1106</v>
      </c>
      <c r="U147" s="238">
        <v>108.78189999999999</v>
      </c>
      <c r="V147" s="238">
        <v>14.140700000000001</v>
      </c>
      <c r="W147" s="238">
        <v>9.8500000000000004E-2</v>
      </c>
    </row>
    <row r="148" spans="17:23" ht="20.100000000000001" customHeight="1">
      <c r="Q148" s="174">
        <v>145</v>
      </c>
      <c r="R148" s="175" t="s">
        <v>825</v>
      </c>
      <c r="S148" s="176" t="s">
        <v>308</v>
      </c>
      <c r="T148" s="240" t="s">
        <v>1107</v>
      </c>
      <c r="U148" s="238">
        <v>106.9008</v>
      </c>
      <c r="V148" s="238">
        <v>11.5396</v>
      </c>
      <c r="W148" s="238">
        <v>6.7799999999999999E-2</v>
      </c>
    </row>
    <row r="149" spans="17:23" ht="20.100000000000001" customHeight="1">
      <c r="Q149" s="174">
        <v>146</v>
      </c>
      <c r="R149" s="175" t="s">
        <v>825</v>
      </c>
      <c r="S149" s="176" t="s">
        <v>309</v>
      </c>
      <c r="T149" s="240" t="s">
        <v>1108</v>
      </c>
      <c r="U149" s="238">
        <v>106.6073</v>
      </c>
      <c r="V149" s="238">
        <v>11.651400000000001</v>
      </c>
      <c r="W149" s="238">
        <v>7.17E-2</v>
      </c>
    </row>
    <row r="150" spans="17:23" ht="20.100000000000001" customHeight="1">
      <c r="Q150" s="174">
        <v>147</v>
      </c>
      <c r="R150" s="175" t="s">
        <v>825</v>
      </c>
      <c r="S150" s="176" t="s">
        <v>310</v>
      </c>
      <c r="T150" s="240" t="s">
        <v>1109</v>
      </c>
      <c r="U150" s="238">
        <v>107.24760000000001</v>
      </c>
      <c r="V150" s="238">
        <v>11.8131</v>
      </c>
      <c r="W150" s="238">
        <v>3.7900000000000003E-2</v>
      </c>
    </row>
    <row r="151" spans="17:23" ht="20.100000000000001" customHeight="1">
      <c r="Q151" s="174">
        <v>148</v>
      </c>
      <c r="R151" s="175" t="s">
        <v>825</v>
      </c>
      <c r="S151" s="176" t="s">
        <v>311</v>
      </c>
      <c r="T151" s="240" t="s">
        <v>1110</v>
      </c>
      <c r="U151" s="238">
        <v>106.8113</v>
      </c>
      <c r="V151" s="238">
        <v>12.0151</v>
      </c>
      <c r="W151" s="238">
        <v>2.0199999999999999E-2</v>
      </c>
    </row>
    <row r="152" spans="17:23" ht="20.100000000000001" customHeight="1">
      <c r="Q152" s="174">
        <v>149</v>
      </c>
      <c r="R152" s="175" t="s">
        <v>825</v>
      </c>
      <c r="S152" s="176" t="s">
        <v>312</v>
      </c>
      <c r="T152" s="240" t="s">
        <v>1111</v>
      </c>
      <c r="U152" s="238">
        <v>106.61579999999999</v>
      </c>
      <c r="V152" s="238">
        <v>11.417</v>
      </c>
      <c r="W152" s="238">
        <v>5.67E-2</v>
      </c>
    </row>
    <row r="153" spans="17:23" ht="20.100000000000001" customHeight="1">
      <c r="Q153" s="174">
        <v>150</v>
      </c>
      <c r="R153" s="175" t="s">
        <v>825</v>
      </c>
      <c r="S153" s="176" t="s">
        <v>313</v>
      </c>
      <c r="T153" s="240" t="s">
        <v>1112</v>
      </c>
      <c r="U153" s="238">
        <v>106.861</v>
      </c>
      <c r="V153" s="238">
        <v>11.4649</v>
      </c>
      <c r="W153" s="238">
        <v>7.4200000000000002E-2</v>
      </c>
    </row>
    <row r="154" spans="17:23" ht="20.100000000000001" customHeight="1">
      <c r="Q154" s="174">
        <v>151</v>
      </c>
      <c r="R154" s="175" t="s">
        <v>825</v>
      </c>
      <c r="S154" s="176" t="s">
        <v>314</v>
      </c>
      <c r="T154" s="240" t="s">
        <v>1110</v>
      </c>
      <c r="U154" s="238">
        <v>106.58969999999999</v>
      </c>
      <c r="V154" s="238">
        <v>11.845700000000001</v>
      </c>
      <c r="W154" s="238">
        <v>8.0600000000000005E-2</v>
      </c>
    </row>
    <row r="155" spans="17:23" ht="20.100000000000001" customHeight="1">
      <c r="Q155" s="174">
        <v>152</v>
      </c>
      <c r="R155" s="175" t="s">
        <v>825</v>
      </c>
      <c r="S155" s="176" t="s">
        <v>802</v>
      </c>
      <c r="T155" s="240" t="s">
        <v>1113</v>
      </c>
      <c r="U155" s="238">
        <v>107.00060000000001</v>
      </c>
      <c r="V155" s="238">
        <v>11.8582</v>
      </c>
      <c r="W155" s="238">
        <v>1.7899999999999999E-2</v>
      </c>
    </row>
    <row r="156" spans="17:23" ht="20.100000000000001" customHeight="1">
      <c r="Q156" s="174">
        <v>153</v>
      </c>
      <c r="R156" s="175" t="s">
        <v>315</v>
      </c>
      <c r="S156" s="176" t="s">
        <v>316</v>
      </c>
      <c r="T156" s="240" t="s">
        <v>1114</v>
      </c>
      <c r="U156" s="238">
        <v>108.1022</v>
      </c>
      <c r="V156" s="238">
        <v>10.923400000000001</v>
      </c>
      <c r="W156" s="238">
        <v>2.46E-2</v>
      </c>
    </row>
    <row r="157" spans="17:23" ht="20.100000000000001" customHeight="1">
      <c r="Q157" s="174">
        <v>154</v>
      </c>
      <c r="R157" s="175" t="s">
        <v>315</v>
      </c>
      <c r="S157" s="176" t="s">
        <v>317</v>
      </c>
      <c r="T157" s="240" t="s">
        <v>1115</v>
      </c>
      <c r="U157" s="238">
        <v>108.50369999999999</v>
      </c>
      <c r="V157" s="238">
        <v>11.2216</v>
      </c>
      <c r="W157" s="238">
        <v>2.2200000000000001E-2</v>
      </c>
    </row>
    <row r="158" spans="17:23" ht="20.100000000000001" customHeight="1">
      <c r="Q158" s="174">
        <v>155</v>
      </c>
      <c r="R158" s="175" t="s">
        <v>315</v>
      </c>
      <c r="S158" s="176" t="s">
        <v>318</v>
      </c>
      <c r="T158" s="240" t="s">
        <v>1116</v>
      </c>
      <c r="U158" s="238">
        <v>107.5659</v>
      </c>
      <c r="V158" s="238">
        <v>11.1891</v>
      </c>
      <c r="W158" s="238">
        <v>2.5100000000000001E-2</v>
      </c>
    </row>
    <row r="159" spans="17:23" ht="20.100000000000001" customHeight="1">
      <c r="Q159" s="174">
        <v>156</v>
      </c>
      <c r="R159" s="175" t="s">
        <v>315</v>
      </c>
      <c r="S159" s="176" t="s">
        <v>319</v>
      </c>
      <c r="T159" s="240" t="s">
        <v>1117</v>
      </c>
      <c r="U159" s="238">
        <v>107.7569</v>
      </c>
      <c r="V159" s="238">
        <v>10.6869</v>
      </c>
      <c r="W159" s="238">
        <v>5.57E-2</v>
      </c>
    </row>
    <row r="160" spans="17:23" ht="20.100000000000001" customHeight="1">
      <c r="Q160" s="174">
        <v>157</v>
      </c>
      <c r="R160" s="175" t="s">
        <v>315</v>
      </c>
      <c r="S160" s="176" t="s">
        <v>320</v>
      </c>
      <c r="T160" s="240" t="s">
        <v>1118</v>
      </c>
      <c r="U160" s="238">
        <v>108.1302</v>
      </c>
      <c r="V160" s="238">
        <v>11.070399999999999</v>
      </c>
      <c r="W160" s="238">
        <v>2.1999999999999999E-2</v>
      </c>
    </row>
    <row r="161" spans="17:23" ht="20.100000000000001" customHeight="1">
      <c r="Q161" s="174">
        <v>158</v>
      </c>
      <c r="R161" s="175" t="s">
        <v>315</v>
      </c>
      <c r="S161" s="176" t="s">
        <v>321</v>
      </c>
      <c r="T161" s="240" t="s">
        <v>1119</v>
      </c>
      <c r="U161" s="238">
        <v>107.8772</v>
      </c>
      <c r="V161" s="238">
        <v>10.8474</v>
      </c>
      <c r="W161" s="238">
        <v>3.0200000000000001E-2</v>
      </c>
    </row>
    <row r="162" spans="17:23" ht="20.100000000000001" customHeight="1">
      <c r="Q162" s="174">
        <v>159</v>
      </c>
      <c r="R162" s="175" t="s">
        <v>315</v>
      </c>
      <c r="S162" s="176" t="s">
        <v>322</v>
      </c>
      <c r="T162" s="240" t="s">
        <v>1120</v>
      </c>
      <c r="U162" s="238">
        <v>108.93770000000001</v>
      </c>
      <c r="V162" s="238">
        <v>10.5421</v>
      </c>
      <c r="W162" s="238">
        <v>5.3999999999999999E-2</v>
      </c>
    </row>
    <row r="163" spans="17:23" ht="20.100000000000001" customHeight="1">
      <c r="Q163" s="174">
        <v>160</v>
      </c>
      <c r="R163" s="175" t="s">
        <v>315</v>
      </c>
      <c r="S163" s="176" t="s">
        <v>323</v>
      </c>
      <c r="T163" s="240" t="s">
        <v>1121</v>
      </c>
      <c r="U163" s="238">
        <v>107.6803</v>
      </c>
      <c r="V163" s="238">
        <v>11.085599999999999</v>
      </c>
      <c r="W163" s="238">
        <v>4.2200000000000001E-2</v>
      </c>
    </row>
    <row r="164" spans="17:23" ht="20.100000000000001" customHeight="1">
      <c r="Q164" s="174">
        <v>161</v>
      </c>
      <c r="R164" s="175" t="s">
        <v>315</v>
      </c>
      <c r="S164" s="176" t="s">
        <v>324</v>
      </c>
      <c r="T164" s="240" t="s">
        <v>1122</v>
      </c>
      <c r="U164" s="238">
        <v>108.7334</v>
      </c>
      <c r="V164" s="238">
        <v>11.2285</v>
      </c>
      <c r="W164" s="238">
        <v>3.73E-2</v>
      </c>
    </row>
    <row r="165" spans="17:23" ht="20.100000000000001" customHeight="1">
      <c r="Q165" s="174">
        <v>162</v>
      </c>
      <c r="R165" s="175" t="s">
        <v>325</v>
      </c>
      <c r="S165" s="176" t="s">
        <v>326</v>
      </c>
      <c r="T165" s="240" t="s">
        <v>1123</v>
      </c>
      <c r="U165" s="238">
        <v>105.1502</v>
      </c>
      <c r="V165" s="238">
        <v>9.1759000000000004</v>
      </c>
      <c r="W165" s="238">
        <v>1.1299999999999999E-2</v>
      </c>
    </row>
    <row r="166" spans="17:23" ht="20.100000000000001" customHeight="1">
      <c r="Q166" s="174">
        <v>163</v>
      </c>
      <c r="R166" s="175" t="s">
        <v>325</v>
      </c>
      <c r="S166" s="176" t="s">
        <v>827</v>
      </c>
      <c r="T166" s="240" t="s">
        <v>1124</v>
      </c>
      <c r="U166" s="238">
        <v>105.0132</v>
      </c>
      <c r="V166" s="238">
        <v>8.9382999999999999</v>
      </c>
      <c r="W166" s="238">
        <v>1.54E-2</v>
      </c>
    </row>
    <row r="167" spans="17:23" ht="20.100000000000001" customHeight="1">
      <c r="Q167" s="174">
        <v>164</v>
      </c>
      <c r="R167" s="175" t="s">
        <v>325</v>
      </c>
      <c r="S167" s="176" t="s">
        <v>327</v>
      </c>
      <c r="T167" s="240" t="s">
        <v>1125</v>
      </c>
      <c r="U167" s="238">
        <v>105.196</v>
      </c>
      <c r="V167" s="238">
        <v>8.9907000000000004</v>
      </c>
      <c r="W167" s="238">
        <v>1.9099999999999999E-2</v>
      </c>
    </row>
    <row r="168" spans="17:23" ht="20.100000000000001" customHeight="1">
      <c r="Q168" s="174">
        <v>165</v>
      </c>
      <c r="R168" s="175" t="s">
        <v>325</v>
      </c>
      <c r="S168" s="176" t="s">
        <v>328</v>
      </c>
      <c r="T168" s="240" t="s">
        <v>1126</v>
      </c>
      <c r="U168" s="238">
        <v>104.9932</v>
      </c>
      <c r="V168" s="238">
        <v>8.7609999999999992</v>
      </c>
      <c r="W168" s="238">
        <v>2.5600000000000001E-2</v>
      </c>
    </row>
    <row r="169" spans="17:23" ht="20.100000000000001" customHeight="1">
      <c r="Q169" s="174">
        <v>166</v>
      </c>
      <c r="R169" s="175" t="s">
        <v>325</v>
      </c>
      <c r="S169" s="176" t="s">
        <v>329</v>
      </c>
      <c r="T169" s="240" t="s">
        <v>1125</v>
      </c>
      <c r="U169" s="238">
        <v>104.7574</v>
      </c>
      <c r="V169" s="238">
        <v>8.6012000000000004</v>
      </c>
      <c r="W169" s="238">
        <v>1.3299999999999999E-2</v>
      </c>
    </row>
    <row r="170" spans="17:23" ht="20.100000000000001" customHeight="1">
      <c r="Q170" s="174">
        <v>167</v>
      </c>
      <c r="R170" s="175" t="s">
        <v>325</v>
      </c>
      <c r="S170" s="176" t="s">
        <v>243</v>
      </c>
      <c r="T170" s="240" t="s">
        <v>1127</v>
      </c>
      <c r="U170" s="238">
        <v>104.84699999999999</v>
      </c>
      <c r="V170" s="238">
        <v>8.8713999999999995</v>
      </c>
      <c r="W170" s="238">
        <v>1.3100000000000001E-2</v>
      </c>
    </row>
    <row r="171" spans="17:23" ht="20.100000000000001" customHeight="1">
      <c r="Q171" s="174">
        <v>168</v>
      </c>
      <c r="R171" s="175" t="s">
        <v>325</v>
      </c>
      <c r="S171" s="176" t="s">
        <v>330</v>
      </c>
      <c r="T171" s="240" t="s">
        <v>1128</v>
      </c>
      <c r="U171" s="238">
        <v>105.0946</v>
      </c>
      <c r="V171" s="238">
        <v>9.3516999999999992</v>
      </c>
      <c r="W171" s="238">
        <v>8.3999999999999995E-3</v>
      </c>
    </row>
    <row r="172" spans="17:23" ht="20.100000000000001" customHeight="1">
      <c r="Q172" s="174">
        <v>169</v>
      </c>
      <c r="R172" s="175" t="s">
        <v>325</v>
      </c>
      <c r="S172" s="176" t="s">
        <v>331</v>
      </c>
      <c r="T172" s="240" t="s">
        <v>1129</v>
      </c>
      <c r="U172" s="238">
        <v>104.9774</v>
      </c>
      <c r="V172" s="238">
        <v>9.0789000000000009</v>
      </c>
      <c r="W172" s="238">
        <v>1.0800000000000001E-2</v>
      </c>
    </row>
    <row r="173" spans="17:23" ht="20.100000000000001" customHeight="1">
      <c r="Q173" s="174">
        <v>170</v>
      </c>
      <c r="R173" s="175" t="s">
        <v>325</v>
      </c>
      <c r="S173" s="176" t="s">
        <v>332</v>
      </c>
      <c r="T173" s="240" t="s">
        <v>1130</v>
      </c>
      <c r="U173" s="238">
        <v>104.9695</v>
      </c>
      <c r="V173" s="238">
        <v>9.4105000000000008</v>
      </c>
      <c r="W173" s="238">
        <v>6.7999999999999996E-3</v>
      </c>
    </row>
    <row r="174" spans="17:23" ht="20.100000000000001" customHeight="1">
      <c r="Q174" s="174">
        <v>171</v>
      </c>
      <c r="R174" s="175" t="s">
        <v>333</v>
      </c>
      <c r="S174" s="176" t="s">
        <v>334</v>
      </c>
      <c r="T174" s="240" t="s">
        <v>1131</v>
      </c>
      <c r="U174" s="238">
        <v>106.2606</v>
      </c>
      <c r="V174" s="238">
        <v>22.666499999999999</v>
      </c>
      <c r="W174" s="238">
        <v>8.14E-2</v>
      </c>
    </row>
    <row r="175" spans="17:23" ht="20.100000000000001" customHeight="1">
      <c r="Q175" s="174">
        <v>172</v>
      </c>
      <c r="R175" s="175" t="s">
        <v>333</v>
      </c>
      <c r="S175" s="176" t="s">
        <v>335</v>
      </c>
      <c r="T175" s="240" t="s">
        <v>1132</v>
      </c>
      <c r="U175" s="238">
        <v>105.4919</v>
      </c>
      <c r="V175" s="238">
        <v>22.8323</v>
      </c>
      <c r="W175" s="238">
        <v>4.6600000000000003E-2</v>
      </c>
    </row>
    <row r="176" spans="17:23" ht="20.100000000000001" customHeight="1">
      <c r="Q176" s="174">
        <v>173</v>
      </c>
      <c r="R176" s="175" t="s">
        <v>333</v>
      </c>
      <c r="S176" s="176" t="s">
        <v>336</v>
      </c>
      <c r="T176" s="240" t="s">
        <v>1133</v>
      </c>
      <c r="U176" s="238">
        <v>105.67919999999999</v>
      </c>
      <c r="V176" s="238">
        <v>22.9499</v>
      </c>
      <c r="W176" s="238">
        <v>3.8399999999999997E-2</v>
      </c>
    </row>
    <row r="177" spans="17:23" ht="20.100000000000001" customHeight="1">
      <c r="Q177" s="174">
        <v>174</v>
      </c>
      <c r="R177" s="175" t="s">
        <v>333</v>
      </c>
      <c r="S177" s="176" t="s">
        <v>337</v>
      </c>
      <c r="T177" s="240" t="s">
        <v>1134</v>
      </c>
      <c r="U177" s="238">
        <v>106.0776</v>
      </c>
      <c r="V177" s="238">
        <v>22.901</v>
      </c>
      <c r="W177" s="238">
        <v>6.3500000000000001E-2</v>
      </c>
    </row>
    <row r="178" spans="17:23" ht="20.100000000000001" customHeight="1">
      <c r="Q178" s="174">
        <v>175</v>
      </c>
      <c r="R178" s="175" t="s">
        <v>333</v>
      </c>
      <c r="S178" s="176" t="s">
        <v>338</v>
      </c>
      <c r="T178" s="240" t="s">
        <v>1135</v>
      </c>
      <c r="U178" s="238">
        <v>106.6799</v>
      </c>
      <c r="V178" s="238">
        <v>22.695699999999999</v>
      </c>
      <c r="W178" s="238">
        <v>1.55E-2</v>
      </c>
    </row>
    <row r="179" spans="17:23" ht="20.100000000000001" customHeight="1">
      <c r="Q179" s="174">
        <v>176</v>
      </c>
      <c r="R179" s="175" t="s">
        <v>333</v>
      </c>
      <c r="S179" s="176" t="s">
        <v>339</v>
      </c>
      <c r="T179" s="240" t="s">
        <v>1136</v>
      </c>
      <c r="U179" s="238">
        <v>106.1464</v>
      </c>
      <c r="V179" s="238">
        <v>22.7425</v>
      </c>
      <c r="W179" s="238">
        <v>7.6499999999999999E-2</v>
      </c>
    </row>
    <row r="180" spans="17:23" ht="20.100000000000001" customHeight="1">
      <c r="Q180" s="174">
        <v>177</v>
      </c>
      <c r="R180" s="175" t="s">
        <v>333</v>
      </c>
      <c r="S180" s="176" t="s">
        <v>340</v>
      </c>
      <c r="T180" s="240" t="s">
        <v>1137</v>
      </c>
      <c r="U180" s="238">
        <v>105.9627</v>
      </c>
      <c r="V180" s="238">
        <v>22.651399999999999</v>
      </c>
      <c r="W180" s="238">
        <v>3.15E-2</v>
      </c>
    </row>
    <row r="181" spans="17:23" ht="20.100000000000001" customHeight="1">
      <c r="Q181" s="174">
        <v>178</v>
      </c>
      <c r="R181" s="175" t="s">
        <v>333</v>
      </c>
      <c r="S181" s="176" t="s">
        <v>341</v>
      </c>
      <c r="T181" s="240" t="s">
        <v>1138</v>
      </c>
      <c r="U181" s="238">
        <v>106.5643</v>
      </c>
      <c r="V181" s="238">
        <v>22.498100000000001</v>
      </c>
      <c r="W181" s="238">
        <v>3.6999999999999998E-2</v>
      </c>
    </row>
    <row r="182" spans="17:23" ht="20.100000000000001" customHeight="1">
      <c r="Q182" s="174">
        <v>179</v>
      </c>
      <c r="R182" s="175" t="s">
        <v>333</v>
      </c>
      <c r="S182" s="176" t="s">
        <v>342</v>
      </c>
      <c r="T182" s="240" t="s">
        <v>1139</v>
      </c>
      <c r="U182" s="238">
        <v>106.441</v>
      </c>
      <c r="V182" s="238">
        <v>22.696999999999999</v>
      </c>
      <c r="W182" s="238">
        <v>3.8800000000000001E-2</v>
      </c>
    </row>
    <row r="183" spans="17:23" ht="20.100000000000001" customHeight="1">
      <c r="Q183" s="174">
        <v>180</v>
      </c>
      <c r="R183" s="175" t="s">
        <v>333</v>
      </c>
      <c r="S183" s="176" t="s">
        <v>343</v>
      </c>
      <c r="T183" s="240" t="s">
        <v>1140</v>
      </c>
      <c r="U183" s="238">
        <v>106.43300000000001</v>
      </c>
      <c r="V183" s="238">
        <v>22.428599999999999</v>
      </c>
      <c r="W183" s="238">
        <v>7.85E-2</v>
      </c>
    </row>
    <row r="184" spans="17:23" ht="20.100000000000001" customHeight="1">
      <c r="Q184" s="174">
        <v>181</v>
      </c>
      <c r="R184" s="175" t="s">
        <v>333</v>
      </c>
      <c r="S184" s="176" t="s">
        <v>344</v>
      </c>
      <c r="T184" s="240" t="s">
        <v>1141</v>
      </c>
      <c r="U184" s="238">
        <v>105.9817</v>
      </c>
      <c r="V184" s="238">
        <v>22.785299999999999</v>
      </c>
      <c r="W184" s="238">
        <v>4.7300000000000002E-2</v>
      </c>
    </row>
    <row r="185" spans="17:23" ht="20.100000000000001" customHeight="1">
      <c r="Q185" s="174">
        <v>182</v>
      </c>
      <c r="R185" s="175" t="s">
        <v>333</v>
      </c>
      <c r="S185" s="176" t="s">
        <v>345</v>
      </c>
      <c r="T185" s="240" t="s">
        <v>1142</v>
      </c>
      <c r="U185" s="238">
        <v>106.32250000000001</v>
      </c>
      <c r="V185" s="238">
        <v>22.8277</v>
      </c>
      <c r="W185" s="238">
        <v>3.6200000000000003E-2</v>
      </c>
    </row>
    <row r="186" spans="17:23" ht="20.100000000000001" customHeight="1">
      <c r="Q186" s="174">
        <v>183</v>
      </c>
      <c r="R186" s="175" t="s">
        <v>333</v>
      </c>
      <c r="S186" s="176" t="s">
        <v>346</v>
      </c>
      <c r="T186" s="240" t="s">
        <v>1143</v>
      </c>
      <c r="U186" s="238">
        <v>106.5222</v>
      </c>
      <c r="V186" s="238">
        <v>22.834099999999999</v>
      </c>
      <c r="W186" s="238">
        <v>1.8100000000000002E-2</v>
      </c>
    </row>
    <row r="187" spans="17:23" ht="20.100000000000001" customHeight="1">
      <c r="Q187" s="174">
        <v>184</v>
      </c>
      <c r="R187" s="175" t="s">
        <v>347</v>
      </c>
      <c r="S187" s="176" t="s">
        <v>348</v>
      </c>
      <c r="T187" s="240" t="s">
        <v>1144</v>
      </c>
      <c r="U187" s="238">
        <v>108.0427</v>
      </c>
      <c r="V187" s="238">
        <v>12.6736</v>
      </c>
      <c r="W187" s="238">
        <v>1.2699999999999999E-2</v>
      </c>
    </row>
    <row r="188" spans="17:23" ht="20.100000000000001" customHeight="1">
      <c r="Q188" s="174">
        <v>185</v>
      </c>
      <c r="R188" s="175" t="s">
        <v>347</v>
      </c>
      <c r="S188" s="176" t="s">
        <v>349</v>
      </c>
      <c r="T188" s="240" t="s">
        <v>1145</v>
      </c>
      <c r="U188" s="238">
        <v>107.8954</v>
      </c>
      <c r="V188" s="238">
        <v>12.811199999999999</v>
      </c>
      <c r="W188" s="238">
        <v>8.3999999999999995E-3</v>
      </c>
    </row>
    <row r="189" spans="17:23" ht="20.100000000000001" customHeight="1">
      <c r="Q189" s="174">
        <v>186</v>
      </c>
      <c r="R189" s="175" t="s">
        <v>347</v>
      </c>
      <c r="S189" s="176" t="s">
        <v>350</v>
      </c>
      <c r="T189" s="240" t="s">
        <v>1146</v>
      </c>
      <c r="U189" s="238">
        <v>108.07769999999999</v>
      </c>
      <c r="V189" s="238">
        <v>12.817500000000001</v>
      </c>
      <c r="W189" s="238">
        <v>1.01E-2</v>
      </c>
    </row>
    <row r="190" spans="17:23" ht="20.100000000000001" customHeight="1">
      <c r="Q190" s="174">
        <v>187</v>
      </c>
      <c r="R190" s="175" t="s">
        <v>347</v>
      </c>
      <c r="S190" s="176" t="s">
        <v>351</v>
      </c>
      <c r="T190" s="240" t="s">
        <v>1147</v>
      </c>
      <c r="U190" s="238">
        <v>108.20780000000001</v>
      </c>
      <c r="V190" s="238">
        <v>13.2079</v>
      </c>
      <c r="W190" s="238">
        <v>1.46E-2</v>
      </c>
    </row>
    <row r="191" spans="17:23" ht="20.100000000000001" customHeight="1">
      <c r="Q191" s="174">
        <v>188</v>
      </c>
      <c r="R191" s="175" t="s">
        <v>347</v>
      </c>
      <c r="S191" s="176" t="s">
        <v>352</v>
      </c>
      <c r="T191" s="240" t="s">
        <v>1148</v>
      </c>
      <c r="U191" s="238">
        <v>108.4528</v>
      </c>
      <c r="V191" s="238">
        <v>12.816800000000001</v>
      </c>
      <c r="W191" s="238">
        <v>1.89E-2</v>
      </c>
    </row>
    <row r="192" spans="17:23" ht="20.100000000000001" customHeight="1">
      <c r="Q192" s="174">
        <v>189</v>
      </c>
      <c r="R192" s="175" t="s">
        <v>347</v>
      </c>
      <c r="S192" s="176" t="s">
        <v>353</v>
      </c>
      <c r="T192" s="240" t="s">
        <v>1149</v>
      </c>
      <c r="U192" s="238">
        <v>107.8853</v>
      </c>
      <c r="V192" s="238">
        <v>13.0753</v>
      </c>
      <c r="W192" s="238">
        <v>7.4999999999999997E-3</v>
      </c>
    </row>
    <row r="193" spans="17:23" ht="20.100000000000001" customHeight="1">
      <c r="Q193" s="174">
        <v>190</v>
      </c>
      <c r="R193" s="175" t="s">
        <v>347</v>
      </c>
      <c r="S193" s="176" t="s">
        <v>354</v>
      </c>
      <c r="T193" s="240" t="s">
        <v>1150</v>
      </c>
      <c r="U193" s="238">
        <v>108.0322</v>
      </c>
      <c r="V193" s="238">
        <v>12.4854</v>
      </c>
      <c r="W193" s="238">
        <v>2.1499999999999998E-2</v>
      </c>
    </row>
    <row r="194" spans="17:23" ht="20.100000000000001" customHeight="1">
      <c r="Q194" s="174">
        <v>191</v>
      </c>
      <c r="R194" s="175" t="s">
        <v>347</v>
      </c>
      <c r="S194" s="176" t="s">
        <v>355</v>
      </c>
      <c r="T194" s="240" t="s">
        <v>1151</v>
      </c>
      <c r="U194" s="238">
        <v>108.3404</v>
      </c>
      <c r="V194" s="238">
        <v>12.511900000000001</v>
      </c>
      <c r="W194" s="238">
        <v>4.5499999999999999E-2</v>
      </c>
    </row>
    <row r="195" spans="17:23" ht="20.100000000000001" customHeight="1">
      <c r="Q195" s="174">
        <v>192</v>
      </c>
      <c r="R195" s="175" t="s">
        <v>347</v>
      </c>
      <c r="S195" s="176" t="s">
        <v>356</v>
      </c>
      <c r="T195" s="240" t="s">
        <v>1152</v>
      </c>
      <c r="U195" s="238">
        <v>108.2649</v>
      </c>
      <c r="V195" s="238">
        <v>12.9116</v>
      </c>
      <c r="W195" s="238">
        <v>1.14E-2</v>
      </c>
    </row>
    <row r="196" spans="17:23" ht="20.100000000000001" customHeight="1">
      <c r="Q196" s="174">
        <v>193</v>
      </c>
      <c r="R196" s="175" t="s">
        <v>347</v>
      </c>
      <c r="S196" s="176" t="s">
        <v>357</v>
      </c>
      <c r="T196" s="240" t="s">
        <v>1153</v>
      </c>
      <c r="U196" s="238">
        <v>108.3514</v>
      </c>
      <c r="V196" s="238">
        <v>12.9534</v>
      </c>
      <c r="W196" s="238">
        <v>1.29E-2</v>
      </c>
    </row>
    <row r="197" spans="17:23" ht="20.100000000000001" customHeight="1">
      <c r="Q197" s="174">
        <v>194</v>
      </c>
      <c r="R197" s="175" t="s">
        <v>347</v>
      </c>
      <c r="S197" s="176" t="s">
        <v>358</v>
      </c>
      <c r="T197" s="240" t="s">
        <v>1154</v>
      </c>
      <c r="U197" s="238">
        <v>108.3083</v>
      </c>
      <c r="V197" s="238">
        <v>12.7112</v>
      </c>
      <c r="W197" s="238">
        <v>1.8800000000000001E-2</v>
      </c>
    </row>
    <row r="198" spans="17:23" ht="20.100000000000001" customHeight="1">
      <c r="Q198" s="174">
        <v>195</v>
      </c>
      <c r="R198" s="175" t="s">
        <v>347</v>
      </c>
      <c r="S198" s="176" t="s">
        <v>359</v>
      </c>
      <c r="T198" s="240" t="s">
        <v>1155</v>
      </c>
      <c r="U198" s="238">
        <v>108.17100000000001</v>
      </c>
      <c r="V198" s="238">
        <v>12.4077</v>
      </c>
      <c r="W198" s="238">
        <v>4.4999999999999998E-2</v>
      </c>
    </row>
    <row r="199" spans="17:23" ht="20.100000000000001" customHeight="1">
      <c r="Q199" s="174">
        <v>196</v>
      </c>
      <c r="R199" s="175" t="s">
        <v>347</v>
      </c>
      <c r="S199" s="176" t="s">
        <v>360</v>
      </c>
      <c r="T199" s="240" t="s">
        <v>1156</v>
      </c>
      <c r="U199" s="238">
        <v>108.74339999999999</v>
      </c>
      <c r="V199" s="238">
        <v>12.749499999999999</v>
      </c>
      <c r="W199" s="238">
        <v>5.67E-2</v>
      </c>
    </row>
    <row r="200" spans="17:23" ht="20.100000000000001" customHeight="1">
      <c r="Q200" s="174">
        <v>197</v>
      </c>
      <c r="R200" s="175" t="s">
        <v>361</v>
      </c>
      <c r="S200" s="176" t="s">
        <v>836</v>
      </c>
      <c r="T200" s="240" t="s">
        <v>1157</v>
      </c>
      <c r="U200" s="238">
        <v>107.893</v>
      </c>
      <c r="V200" s="238">
        <v>12.588200000000001</v>
      </c>
      <c r="W200" s="238">
        <v>1.23E-2</v>
      </c>
    </row>
    <row r="201" spans="17:23" ht="20.100000000000001" customHeight="1">
      <c r="Q201" s="174">
        <v>198</v>
      </c>
      <c r="R201" s="175" t="s">
        <v>361</v>
      </c>
      <c r="S201" s="176" t="s">
        <v>362</v>
      </c>
      <c r="T201" s="240" t="s">
        <v>1158</v>
      </c>
      <c r="U201" s="238">
        <v>107.6195</v>
      </c>
      <c r="V201" s="238">
        <v>12.449199999999999</v>
      </c>
      <c r="W201" s="238">
        <v>1.0999999999999999E-2</v>
      </c>
    </row>
    <row r="202" spans="17:23" ht="20.100000000000001" customHeight="1">
      <c r="Q202" s="174">
        <v>199</v>
      </c>
      <c r="R202" s="175" t="s">
        <v>361</v>
      </c>
      <c r="S202" s="176" t="s">
        <v>363</v>
      </c>
      <c r="T202" s="240" t="s">
        <v>1159</v>
      </c>
      <c r="U202" s="238">
        <v>107.68810000000001</v>
      </c>
      <c r="V202" s="238">
        <v>12.0031</v>
      </c>
      <c r="W202" s="238">
        <v>5.8400000000000001E-2</v>
      </c>
    </row>
    <row r="203" spans="17:23" ht="20.100000000000001" customHeight="1">
      <c r="Q203" s="174">
        <v>200</v>
      </c>
      <c r="R203" s="175" t="s">
        <v>361</v>
      </c>
      <c r="S203" s="176" t="s">
        <v>364</v>
      </c>
      <c r="T203" s="240" t="s">
        <v>1160</v>
      </c>
      <c r="U203" s="238">
        <v>107.5093</v>
      </c>
      <c r="V203" s="238">
        <v>11.9975</v>
      </c>
      <c r="W203" s="238">
        <v>3.39E-2</v>
      </c>
    </row>
    <row r="204" spans="17:23" ht="20.100000000000001" customHeight="1">
      <c r="Q204" s="174">
        <v>201</v>
      </c>
      <c r="R204" s="175" t="s">
        <v>361</v>
      </c>
      <c r="S204" s="176" t="s">
        <v>365</v>
      </c>
      <c r="T204" s="240" t="s">
        <v>1161</v>
      </c>
      <c r="U204" s="238">
        <v>107.6027</v>
      </c>
      <c r="V204" s="238">
        <v>12.2692</v>
      </c>
      <c r="W204" s="238">
        <v>1.6400000000000001E-2</v>
      </c>
    </row>
    <row r="205" spans="17:23" ht="20.100000000000001" customHeight="1">
      <c r="Q205" s="174">
        <v>202</v>
      </c>
      <c r="R205" s="175" t="s">
        <v>361</v>
      </c>
      <c r="S205" s="176" t="s">
        <v>366</v>
      </c>
      <c r="T205" s="240" t="s">
        <v>1162</v>
      </c>
      <c r="U205" s="238">
        <v>107.878</v>
      </c>
      <c r="V205" s="238">
        <v>12.454499999999999</v>
      </c>
      <c r="W205" s="238">
        <v>1.72E-2</v>
      </c>
    </row>
    <row r="206" spans="17:23" ht="20.100000000000001" customHeight="1">
      <c r="Q206" s="174">
        <v>203</v>
      </c>
      <c r="R206" s="175" t="s">
        <v>367</v>
      </c>
      <c r="S206" s="176" t="s">
        <v>368</v>
      </c>
      <c r="T206" s="240" t="s">
        <v>1163</v>
      </c>
      <c r="U206" s="238">
        <v>103.0326</v>
      </c>
      <c r="V206" s="238">
        <v>21.406099999999999</v>
      </c>
      <c r="W206" s="238">
        <v>0.12809999999999999</v>
      </c>
    </row>
    <row r="207" spans="17:23" ht="20.100000000000001" customHeight="1">
      <c r="Q207" s="174">
        <v>204</v>
      </c>
      <c r="R207" s="175" t="s">
        <v>367</v>
      </c>
      <c r="S207" s="176" t="s">
        <v>369</v>
      </c>
      <c r="T207" s="240" t="s">
        <v>1164</v>
      </c>
      <c r="U207" s="238">
        <v>103.1484</v>
      </c>
      <c r="V207" s="238">
        <v>22.034199999999998</v>
      </c>
      <c r="W207" s="238">
        <v>0.14860000000000001</v>
      </c>
    </row>
    <row r="208" spans="17:23" ht="20.100000000000001" customHeight="1">
      <c r="Q208" s="174">
        <v>205</v>
      </c>
      <c r="R208" s="175" t="s">
        <v>367</v>
      </c>
      <c r="S208" s="176" t="s">
        <v>370</v>
      </c>
      <c r="T208" s="240" t="s">
        <v>1165</v>
      </c>
      <c r="U208" s="238">
        <v>103.00879999999999</v>
      </c>
      <c r="V208" s="238">
        <v>21.364100000000001</v>
      </c>
      <c r="W208" s="238">
        <v>0.12809999999999999</v>
      </c>
    </row>
    <row r="209" spans="17:23" ht="20.100000000000001" customHeight="1">
      <c r="Q209" s="174">
        <v>206</v>
      </c>
      <c r="R209" s="175" t="s">
        <v>367</v>
      </c>
      <c r="S209" s="176" t="s">
        <v>371</v>
      </c>
      <c r="T209" s="240" t="s">
        <v>1166</v>
      </c>
      <c r="U209" s="238">
        <v>103.2483</v>
      </c>
      <c r="V209" s="238">
        <v>21.255299999999998</v>
      </c>
      <c r="W209" s="238">
        <v>0.1183</v>
      </c>
    </row>
    <row r="210" spans="17:23" ht="20.100000000000001" customHeight="1">
      <c r="Q210" s="174">
        <v>207</v>
      </c>
      <c r="R210" s="175" t="s">
        <v>367</v>
      </c>
      <c r="S210" s="176" t="s">
        <v>848</v>
      </c>
      <c r="T210" s="240" t="s">
        <v>1167</v>
      </c>
      <c r="U210" s="238">
        <v>103.0913</v>
      </c>
      <c r="V210" s="238">
        <v>21.758800000000001</v>
      </c>
      <c r="W210" s="238">
        <v>0.15160000000000001</v>
      </c>
    </row>
    <row r="211" spans="17:23" ht="20.100000000000001" customHeight="1">
      <c r="Q211" s="174">
        <v>208</v>
      </c>
      <c r="R211" s="175" t="s">
        <v>367</v>
      </c>
      <c r="S211" s="176" t="s">
        <v>849</v>
      </c>
      <c r="T211" s="240" t="s">
        <v>1166</v>
      </c>
      <c r="U211" s="238">
        <v>102.50060000000001</v>
      </c>
      <c r="V211" s="238">
        <v>22.1587</v>
      </c>
      <c r="W211" s="238">
        <v>0.11409999999999999</v>
      </c>
    </row>
    <row r="212" spans="17:23" ht="20.100000000000001" customHeight="1">
      <c r="Q212" s="174">
        <v>209</v>
      </c>
      <c r="R212" s="175" t="s">
        <v>367</v>
      </c>
      <c r="S212" s="176" t="s">
        <v>372</v>
      </c>
      <c r="T212" s="240" t="s">
        <v>1168</v>
      </c>
      <c r="U212" s="238">
        <v>103.3329</v>
      </c>
      <c r="V212" s="238">
        <v>21.855899999999998</v>
      </c>
      <c r="W212" s="238">
        <v>0.1404</v>
      </c>
    </row>
    <row r="213" spans="17:23" ht="20.100000000000001" customHeight="1">
      <c r="Q213" s="174">
        <v>210</v>
      </c>
      <c r="R213" s="175" t="s">
        <v>367</v>
      </c>
      <c r="S213" s="176" t="s">
        <v>373</v>
      </c>
      <c r="T213" s="240" t="s">
        <v>1169</v>
      </c>
      <c r="U213" s="238">
        <v>103.4205</v>
      </c>
      <c r="V213" s="238">
        <v>21.593599999999999</v>
      </c>
      <c r="W213" s="238">
        <v>0.1124</v>
      </c>
    </row>
    <row r="214" spans="17:23" ht="20.100000000000001" customHeight="1">
      <c r="Q214" s="174">
        <v>211</v>
      </c>
      <c r="R214" s="175" t="s">
        <v>374</v>
      </c>
      <c r="S214" s="176" t="s">
        <v>375</v>
      </c>
      <c r="T214" s="240" t="s">
        <v>1170</v>
      </c>
      <c r="U214" s="238">
        <v>106.8172</v>
      </c>
      <c r="V214" s="238">
        <v>10.9467</v>
      </c>
      <c r="W214" s="238">
        <v>4.5400000000000003E-2</v>
      </c>
    </row>
    <row r="215" spans="17:23" ht="20.100000000000001" customHeight="1">
      <c r="Q215" s="174">
        <v>212</v>
      </c>
      <c r="R215" s="175" t="s">
        <v>374</v>
      </c>
      <c r="S215" s="176" t="s">
        <v>376</v>
      </c>
      <c r="T215" s="240" t="s">
        <v>1171</v>
      </c>
      <c r="U215" s="238">
        <v>107.2467</v>
      </c>
      <c r="V215" s="238">
        <v>10.9336</v>
      </c>
      <c r="W215" s="238">
        <v>3.0099999999999998E-2</v>
      </c>
    </row>
    <row r="216" spans="17:23" ht="20.100000000000001" customHeight="1">
      <c r="Q216" s="174">
        <v>213</v>
      </c>
      <c r="R216" s="175" t="s">
        <v>374</v>
      </c>
      <c r="S216" s="176" t="s">
        <v>377</v>
      </c>
      <c r="T216" s="240" t="s">
        <v>1172</v>
      </c>
      <c r="U216" s="238">
        <v>107.23139999999999</v>
      </c>
      <c r="V216" s="238">
        <v>10.8249</v>
      </c>
      <c r="W216" s="238">
        <v>2.07E-2</v>
      </c>
    </row>
    <row r="217" spans="17:23" ht="20.100000000000001" customHeight="1">
      <c r="Q217" s="174">
        <v>214</v>
      </c>
      <c r="R217" s="175" t="s">
        <v>374</v>
      </c>
      <c r="S217" s="176" t="s">
        <v>378</v>
      </c>
      <c r="T217" s="240" t="s">
        <v>1173</v>
      </c>
      <c r="U217" s="238">
        <v>107.3514</v>
      </c>
      <c r="V217" s="238">
        <v>11.1975</v>
      </c>
      <c r="W217" s="238">
        <v>4.41E-2</v>
      </c>
    </row>
    <row r="218" spans="17:23" ht="20.100000000000001" customHeight="1">
      <c r="Q218" s="174">
        <v>215</v>
      </c>
      <c r="R218" s="175" t="s">
        <v>374</v>
      </c>
      <c r="S218" s="176" t="s">
        <v>379</v>
      </c>
      <c r="T218" s="240" t="s">
        <v>1174</v>
      </c>
      <c r="U218" s="238">
        <v>106.95</v>
      </c>
      <c r="V218" s="238">
        <v>10.7799</v>
      </c>
      <c r="W218" s="238">
        <v>3.7400000000000003E-2</v>
      </c>
    </row>
    <row r="219" spans="17:23" ht="20.100000000000001" customHeight="1">
      <c r="Q219" s="174">
        <v>216</v>
      </c>
      <c r="R219" s="175" t="s">
        <v>374</v>
      </c>
      <c r="S219" s="176" t="s">
        <v>380</v>
      </c>
      <c r="T219" s="240" t="s">
        <v>1175</v>
      </c>
      <c r="U219" s="238">
        <v>106.9281</v>
      </c>
      <c r="V219" s="238">
        <v>10.7363</v>
      </c>
      <c r="W219" s="238">
        <v>4.7199999999999999E-2</v>
      </c>
    </row>
    <row r="220" spans="17:23" ht="20.100000000000001" customHeight="1">
      <c r="Q220" s="174">
        <v>217</v>
      </c>
      <c r="R220" s="175" t="s">
        <v>374</v>
      </c>
      <c r="S220" s="176" t="s">
        <v>381</v>
      </c>
      <c r="T220" s="240" t="s">
        <v>1176</v>
      </c>
      <c r="U220" s="238">
        <v>107.43519999999999</v>
      </c>
      <c r="V220" s="238">
        <v>11.271000000000001</v>
      </c>
      <c r="W220" s="238">
        <v>2.3599999999999999E-2</v>
      </c>
    </row>
    <row r="221" spans="17:23" ht="20.100000000000001" customHeight="1">
      <c r="Q221" s="174">
        <v>218</v>
      </c>
      <c r="R221" s="175" t="s">
        <v>374</v>
      </c>
      <c r="S221" s="176" t="s">
        <v>382</v>
      </c>
      <c r="T221" s="240" t="s">
        <v>1173</v>
      </c>
      <c r="U221" s="238">
        <v>107.16800000000001</v>
      </c>
      <c r="V221" s="238">
        <v>11.060499999999999</v>
      </c>
      <c r="W221" s="238">
        <v>3.8300000000000001E-2</v>
      </c>
    </row>
    <row r="222" spans="17:23" ht="20.100000000000001" customHeight="1">
      <c r="Q222" s="174">
        <v>219</v>
      </c>
      <c r="R222" s="175" t="s">
        <v>374</v>
      </c>
      <c r="S222" s="176" t="s">
        <v>383</v>
      </c>
      <c r="T222" s="240" t="s">
        <v>1172</v>
      </c>
      <c r="U222" s="238">
        <v>107.00360000000001</v>
      </c>
      <c r="V222" s="238">
        <v>10.955299999999999</v>
      </c>
      <c r="W222" s="238">
        <v>2.1700000000000001E-2</v>
      </c>
    </row>
    <row r="223" spans="17:23" ht="20.100000000000001" customHeight="1">
      <c r="Q223" s="174">
        <v>220</v>
      </c>
      <c r="R223" s="175" t="s">
        <v>374</v>
      </c>
      <c r="S223" s="176" t="s">
        <v>384</v>
      </c>
      <c r="T223" s="240" t="s">
        <v>1177</v>
      </c>
      <c r="U223" s="238">
        <v>107.0385</v>
      </c>
      <c r="V223" s="238">
        <v>11.0982</v>
      </c>
      <c r="W223" s="238">
        <v>2.8400000000000002E-2</v>
      </c>
    </row>
    <row r="224" spans="17:23" ht="20.100000000000001" customHeight="1">
      <c r="Q224" s="174">
        <v>221</v>
      </c>
      <c r="R224" s="175" t="s">
        <v>374</v>
      </c>
      <c r="S224" s="176" t="s">
        <v>385</v>
      </c>
      <c r="T224" s="240" t="s">
        <v>1178</v>
      </c>
      <c r="U224" s="238">
        <v>107.4037</v>
      </c>
      <c r="V224" s="238">
        <v>10.9277</v>
      </c>
      <c r="W224" s="238">
        <v>5.0900000000000001E-2</v>
      </c>
    </row>
    <row r="225" spans="17:23" ht="20.100000000000001" customHeight="1">
      <c r="Q225" s="174">
        <v>222</v>
      </c>
      <c r="R225" s="175" t="s">
        <v>386</v>
      </c>
      <c r="S225" s="176" t="s">
        <v>387</v>
      </c>
      <c r="T225" s="240" t="s">
        <v>1179</v>
      </c>
      <c r="U225" s="238">
        <v>105.6332</v>
      </c>
      <c r="V225" s="238">
        <v>10.456</v>
      </c>
      <c r="W225" s="238">
        <v>3.6600000000000001E-2</v>
      </c>
    </row>
    <row r="226" spans="17:23" ht="20.100000000000001" customHeight="1">
      <c r="Q226" s="174">
        <v>223</v>
      </c>
      <c r="R226" s="175" t="s">
        <v>386</v>
      </c>
      <c r="S226" s="176" t="s">
        <v>388</v>
      </c>
      <c r="T226" s="240" t="s">
        <v>967</v>
      </c>
      <c r="U226" s="238">
        <v>105.7629</v>
      </c>
      <c r="V226" s="238">
        <v>10.2981</v>
      </c>
      <c r="W226" s="238">
        <v>0.04</v>
      </c>
    </row>
    <row r="227" spans="17:23" ht="20.100000000000001" customHeight="1">
      <c r="Q227" s="174">
        <v>224</v>
      </c>
      <c r="R227" s="175" t="s">
        <v>386</v>
      </c>
      <c r="S227" s="176" t="s">
        <v>389</v>
      </c>
      <c r="T227" s="240" t="s">
        <v>1179</v>
      </c>
      <c r="U227" s="238">
        <v>105.70180000000001</v>
      </c>
      <c r="V227" s="238">
        <v>10.442</v>
      </c>
      <c r="W227" s="238">
        <v>2.9100000000000001E-2</v>
      </c>
    </row>
    <row r="228" spans="17:23" ht="20.100000000000001" customHeight="1">
      <c r="Q228" s="174">
        <v>225</v>
      </c>
      <c r="R228" s="175" t="s">
        <v>386</v>
      </c>
      <c r="S228" s="176" t="s">
        <v>241</v>
      </c>
      <c r="T228" s="240" t="s">
        <v>1180</v>
      </c>
      <c r="U228" s="238">
        <v>105.8733</v>
      </c>
      <c r="V228" s="238">
        <v>10.2601</v>
      </c>
      <c r="W228" s="238">
        <v>2.98E-2</v>
      </c>
    </row>
    <row r="229" spans="17:23" ht="20.100000000000001" customHeight="1">
      <c r="Q229" s="174">
        <v>226</v>
      </c>
      <c r="R229" s="175" t="s">
        <v>386</v>
      </c>
      <c r="S229" s="176" t="s">
        <v>390</v>
      </c>
      <c r="T229" s="240" t="s">
        <v>1181</v>
      </c>
      <c r="U229" s="238">
        <v>105.34</v>
      </c>
      <c r="V229" s="238">
        <v>10.8119</v>
      </c>
      <c r="W229" s="238">
        <v>3.2099999999999997E-2</v>
      </c>
    </row>
    <row r="230" spans="17:23" ht="20.100000000000001" customHeight="1">
      <c r="Q230" s="174">
        <v>227</v>
      </c>
      <c r="R230" s="175" t="s">
        <v>386</v>
      </c>
      <c r="S230" s="176" t="s">
        <v>391</v>
      </c>
      <c r="T230" s="240" t="s">
        <v>1182</v>
      </c>
      <c r="U230" s="238">
        <v>105.65940000000001</v>
      </c>
      <c r="V230" s="238">
        <v>10.287599999999999</v>
      </c>
      <c r="W230" s="238">
        <v>6.0699999999999997E-2</v>
      </c>
    </row>
    <row r="231" spans="17:23" ht="20.100000000000001" customHeight="1">
      <c r="Q231" s="174">
        <v>228</v>
      </c>
      <c r="R231" s="175" t="s">
        <v>386</v>
      </c>
      <c r="S231" s="176" t="s">
        <v>392</v>
      </c>
      <c r="T231" s="240" t="s">
        <v>1183</v>
      </c>
      <c r="U231" s="238">
        <v>105.5228</v>
      </c>
      <c r="V231" s="238">
        <v>10.363799999999999</v>
      </c>
      <c r="W231" s="238">
        <v>7.3400000000000007E-2</v>
      </c>
    </row>
    <row r="232" spans="17:23" ht="20.100000000000001" customHeight="1">
      <c r="Q232" s="174">
        <v>229</v>
      </c>
      <c r="R232" s="175" t="s">
        <v>386</v>
      </c>
      <c r="S232" s="176" t="s">
        <v>393</v>
      </c>
      <c r="T232" s="240" t="s">
        <v>1184</v>
      </c>
      <c r="U232" s="238">
        <v>105.5609</v>
      </c>
      <c r="V232" s="238">
        <v>10.674799999999999</v>
      </c>
      <c r="W232" s="238">
        <v>2.2499999999999999E-2</v>
      </c>
    </row>
    <row r="233" spans="17:23" ht="20.100000000000001" customHeight="1">
      <c r="Q233" s="174">
        <v>230</v>
      </c>
      <c r="R233" s="175" t="s">
        <v>386</v>
      </c>
      <c r="S233" s="176" t="s">
        <v>394</v>
      </c>
      <c r="T233" s="240" t="s">
        <v>1185</v>
      </c>
      <c r="U233" s="238">
        <v>105.4571</v>
      </c>
      <c r="V233" s="238">
        <v>10.8712</v>
      </c>
      <c r="W233" s="238">
        <v>1.8200000000000001E-2</v>
      </c>
    </row>
    <row r="234" spans="17:23" ht="20.100000000000001" customHeight="1">
      <c r="Q234" s="174">
        <v>231</v>
      </c>
      <c r="R234" s="175" t="s">
        <v>386</v>
      </c>
      <c r="S234" s="176" t="s">
        <v>395</v>
      </c>
      <c r="T234" s="240" t="s">
        <v>1186</v>
      </c>
      <c r="U234" s="238">
        <v>105.4862</v>
      </c>
      <c r="V234" s="238">
        <v>10.5616</v>
      </c>
      <c r="W234" s="238">
        <v>4.36E-2</v>
      </c>
    </row>
    <row r="235" spans="17:23" ht="20.100000000000001" customHeight="1">
      <c r="Q235" s="174">
        <v>232</v>
      </c>
      <c r="R235" s="175" t="s">
        <v>386</v>
      </c>
      <c r="S235" s="176" t="s">
        <v>837</v>
      </c>
      <c r="T235" s="240" t="s">
        <v>1187</v>
      </c>
      <c r="U235" s="238">
        <v>105.84350000000001</v>
      </c>
      <c r="V235" s="238">
        <v>10.524100000000001</v>
      </c>
      <c r="W235" s="238">
        <v>1.55E-2</v>
      </c>
    </row>
    <row r="236" spans="17:23" ht="20.100000000000001" customHeight="1">
      <c r="Q236" s="174">
        <v>233</v>
      </c>
      <c r="R236" s="175" t="s">
        <v>208</v>
      </c>
      <c r="S236" s="176" t="s">
        <v>396</v>
      </c>
      <c r="T236" s="240" t="s">
        <v>1188</v>
      </c>
      <c r="U236" s="238">
        <v>107.99120000000001</v>
      </c>
      <c r="V236" s="238">
        <v>13.9742</v>
      </c>
      <c r="W236" s="238">
        <v>5.11E-2</v>
      </c>
    </row>
    <row r="237" spans="17:23" ht="20.100000000000001" customHeight="1">
      <c r="Q237" s="174">
        <v>234</v>
      </c>
      <c r="R237" s="175" t="s">
        <v>208</v>
      </c>
      <c r="S237" s="176" t="s">
        <v>397</v>
      </c>
      <c r="T237" s="240" t="s">
        <v>1189</v>
      </c>
      <c r="U237" s="238">
        <v>108.6641</v>
      </c>
      <c r="V237" s="238">
        <v>13.951700000000001</v>
      </c>
      <c r="W237" s="238">
        <v>7.7299999999999994E-2</v>
      </c>
    </row>
    <row r="238" spans="17:23" ht="20.100000000000001" customHeight="1">
      <c r="Q238" s="174">
        <v>235</v>
      </c>
      <c r="R238" s="175" t="s">
        <v>208</v>
      </c>
      <c r="S238" s="176" t="s">
        <v>398</v>
      </c>
      <c r="T238" s="240" t="s">
        <v>1190</v>
      </c>
      <c r="U238" s="238">
        <v>108.43980000000001</v>
      </c>
      <c r="V238" s="238">
        <v>13.410299999999999</v>
      </c>
      <c r="W238" s="238">
        <v>5.0799999999999998E-2</v>
      </c>
    </row>
    <row r="239" spans="17:23" ht="20.100000000000001" customHeight="1">
      <c r="Q239" s="174">
        <v>236</v>
      </c>
      <c r="R239" s="175" t="s">
        <v>208</v>
      </c>
      <c r="S239" s="176" t="s">
        <v>839</v>
      </c>
      <c r="T239" s="240" t="s">
        <v>1191</v>
      </c>
      <c r="U239" s="238">
        <v>107.9699</v>
      </c>
      <c r="V239" s="238">
        <v>14.1073</v>
      </c>
      <c r="W239" s="238">
        <v>5.9400000000000001E-2</v>
      </c>
    </row>
    <row r="240" spans="17:23" ht="20.100000000000001" customHeight="1">
      <c r="Q240" s="174">
        <v>237</v>
      </c>
      <c r="R240" s="175" t="s">
        <v>208</v>
      </c>
      <c r="S240" s="176" t="s">
        <v>838</v>
      </c>
      <c r="T240" s="240" t="s">
        <v>1192</v>
      </c>
      <c r="U240" s="238">
        <v>107.8897</v>
      </c>
      <c r="V240" s="238">
        <v>13.7597</v>
      </c>
      <c r="W240" s="238">
        <v>2.1000000000000001E-2</v>
      </c>
    </row>
    <row r="241" spans="17:23" ht="20.100000000000001" customHeight="1">
      <c r="Q241" s="174">
        <v>238</v>
      </c>
      <c r="R241" s="175" t="s">
        <v>208</v>
      </c>
      <c r="S241" s="176" t="s">
        <v>840</v>
      </c>
      <c r="T241" s="240" t="s">
        <v>1193</v>
      </c>
      <c r="U241" s="238">
        <v>108.0732</v>
      </c>
      <c r="V241" s="238">
        <v>13.700699999999999</v>
      </c>
      <c r="W241" s="238">
        <v>3.4500000000000003E-2</v>
      </c>
    </row>
    <row r="242" spans="17:23" ht="20.100000000000001" customHeight="1">
      <c r="Q242" s="174">
        <v>239</v>
      </c>
      <c r="R242" s="175" t="s">
        <v>208</v>
      </c>
      <c r="S242" s="176" t="s">
        <v>399</v>
      </c>
      <c r="T242" s="240" t="s">
        <v>1194</v>
      </c>
      <c r="U242" s="238">
        <v>108.12050000000001</v>
      </c>
      <c r="V242" s="238">
        <v>13.9945</v>
      </c>
      <c r="W242" s="238">
        <v>5.7700000000000001E-2</v>
      </c>
    </row>
    <row r="243" spans="17:23" ht="20.100000000000001" customHeight="1">
      <c r="Q243" s="174">
        <v>240</v>
      </c>
      <c r="R243" s="175" t="s">
        <v>208</v>
      </c>
      <c r="S243" s="176" t="s">
        <v>400</v>
      </c>
      <c r="T243" s="240" t="s">
        <v>1195</v>
      </c>
      <c r="U243" s="238">
        <v>108.6712</v>
      </c>
      <c r="V243" s="238">
        <v>14.0825</v>
      </c>
      <c r="W243" s="238">
        <v>7.3099999999999998E-2</v>
      </c>
    </row>
    <row r="244" spans="17:23" ht="20.100000000000001" customHeight="1">
      <c r="Q244" s="174">
        <v>241</v>
      </c>
      <c r="R244" s="175" t="s">
        <v>208</v>
      </c>
      <c r="S244" s="176" t="s">
        <v>401</v>
      </c>
      <c r="T244" s="240" t="s">
        <v>1196</v>
      </c>
      <c r="U244" s="238">
        <v>107.6949</v>
      </c>
      <c r="V244" s="238">
        <v>13.8011</v>
      </c>
      <c r="W244" s="238">
        <v>2.0199999999999999E-2</v>
      </c>
    </row>
    <row r="245" spans="17:23" ht="20.100000000000001" customHeight="1">
      <c r="Q245" s="174">
        <v>242</v>
      </c>
      <c r="R245" s="175" t="s">
        <v>208</v>
      </c>
      <c r="S245" s="176" t="s">
        <v>402</v>
      </c>
      <c r="T245" s="240" t="s">
        <v>1197</v>
      </c>
      <c r="U245" s="238">
        <v>107.8351</v>
      </c>
      <c r="V245" s="238">
        <v>13.9612</v>
      </c>
      <c r="W245" s="238">
        <v>2.75E-2</v>
      </c>
    </row>
    <row r="246" spans="17:23" ht="20.100000000000001" customHeight="1">
      <c r="Q246" s="174">
        <v>243</v>
      </c>
      <c r="R246" s="175" t="s">
        <v>208</v>
      </c>
      <c r="S246" s="176" t="s">
        <v>403</v>
      </c>
      <c r="T246" s="240" t="s">
        <v>1198</v>
      </c>
      <c r="U246" s="238">
        <v>108.4572</v>
      </c>
      <c r="V246" s="238">
        <v>13.540800000000001</v>
      </c>
      <c r="W246" s="238">
        <v>6.2199999999999998E-2</v>
      </c>
    </row>
    <row r="247" spans="17:23" ht="20.100000000000001" customHeight="1">
      <c r="Q247" s="174">
        <v>244</v>
      </c>
      <c r="R247" s="175" t="s">
        <v>208</v>
      </c>
      <c r="S247" s="176" t="s">
        <v>404</v>
      </c>
      <c r="T247" s="240" t="s">
        <v>1199</v>
      </c>
      <c r="U247" s="238">
        <v>108.5984</v>
      </c>
      <c r="V247" s="238">
        <v>14.145300000000001</v>
      </c>
      <c r="W247" s="238">
        <v>6.9699999999999998E-2</v>
      </c>
    </row>
    <row r="248" spans="17:23" ht="20.100000000000001" customHeight="1">
      <c r="Q248" s="174">
        <v>245</v>
      </c>
      <c r="R248" s="175" t="s">
        <v>208</v>
      </c>
      <c r="S248" s="176" t="s">
        <v>405</v>
      </c>
      <c r="T248" s="240" t="s">
        <v>1200</v>
      </c>
      <c r="U248" s="238">
        <v>108.5214</v>
      </c>
      <c r="V248" s="238">
        <v>13.801299999999999</v>
      </c>
      <c r="W248" s="238">
        <v>7.17E-2</v>
      </c>
    </row>
    <row r="249" spans="17:23" ht="20.100000000000001" customHeight="1">
      <c r="Q249" s="174">
        <v>246</v>
      </c>
      <c r="R249" s="175" t="s">
        <v>208</v>
      </c>
      <c r="S249" s="176" t="s">
        <v>406</v>
      </c>
      <c r="T249" s="240" t="s">
        <v>1201</v>
      </c>
      <c r="U249" s="238">
        <v>108.69580000000001</v>
      </c>
      <c r="V249" s="238">
        <v>13.198399999999999</v>
      </c>
      <c r="W249" s="238">
        <v>6.0400000000000002E-2</v>
      </c>
    </row>
    <row r="250" spans="17:23" ht="20.100000000000001" customHeight="1">
      <c r="Q250" s="174">
        <v>247</v>
      </c>
      <c r="R250" s="175" t="s">
        <v>208</v>
      </c>
      <c r="S250" s="176" t="s">
        <v>407</v>
      </c>
      <c r="T250" s="240" t="s">
        <v>1202</v>
      </c>
      <c r="U250" s="238">
        <v>108.2525</v>
      </c>
      <c r="V250" s="238">
        <v>14.0427</v>
      </c>
      <c r="W250" s="238">
        <v>4.0500000000000001E-2</v>
      </c>
    </row>
    <row r="251" spans="17:23" ht="20.100000000000001" customHeight="1">
      <c r="Q251" s="174">
        <v>248</v>
      </c>
      <c r="R251" s="175" t="s">
        <v>408</v>
      </c>
      <c r="S251" s="176" t="s">
        <v>409</v>
      </c>
      <c r="T251" s="240" t="s">
        <v>1059</v>
      </c>
      <c r="U251" s="238">
        <v>104.9838</v>
      </c>
      <c r="V251" s="238">
        <v>22.832799999999999</v>
      </c>
      <c r="W251" s="238">
        <v>6.8199999999999997E-2</v>
      </c>
    </row>
    <row r="252" spans="17:23" ht="20.100000000000001" customHeight="1">
      <c r="Q252" s="174">
        <v>249</v>
      </c>
      <c r="R252" s="175" t="s">
        <v>408</v>
      </c>
      <c r="S252" s="176" t="s">
        <v>410</v>
      </c>
      <c r="T252" s="240" t="s">
        <v>1203</v>
      </c>
      <c r="U252" s="238">
        <v>105.3053</v>
      </c>
      <c r="V252" s="238">
        <v>22.741199999999999</v>
      </c>
      <c r="W252" s="238">
        <v>3.56E-2</v>
      </c>
    </row>
    <row r="253" spans="17:23" ht="20.100000000000001" customHeight="1">
      <c r="Q253" s="174">
        <v>250</v>
      </c>
      <c r="R253" s="175" t="s">
        <v>408</v>
      </c>
      <c r="S253" s="176" t="s">
        <v>411</v>
      </c>
      <c r="T253" s="240" t="s">
        <v>1204</v>
      </c>
      <c r="U253" s="238">
        <v>104.806</v>
      </c>
      <c r="V253" s="238">
        <v>22.414999999999999</v>
      </c>
      <c r="W253" s="238">
        <v>3.2000000000000001E-2</v>
      </c>
    </row>
    <row r="254" spans="17:23" ht="20.100000000000001" customHeight="1">
      <c r="Q254" s="174">
        <v>251</v>
      </c>
      <c r="R254" s="175" t="s">
        <v>408</v>
      </c>
      <c r="S254" s="176" t="s">
        <v>412</v>
      </c>
      <c r="T254" s="240" t="s">
        <v>1205</v>
      </c>
      <c r="U254" s="238">
        <v>105.3565</v>
      </c>
      <c r="V254" s="238">
        <v>23.280899999999999</v>
      </c>
      <c r="W254" s="238">
        <v>2.2100000000000002E-2</v>
      </c>
    </row>
    <row r="255" spans="17:23" ht="20.100000000000001" customHeight="1">
      <c r="Q255" s="174">
        <v>252</v>
      </c>
      <c r="R255" s="175" t="s">
        <v>408</v>
      </c>
      <c r="S255" s="176" t="s">
        <v>413</v>
      </c>
      <c r="T255" s="240" t="s">
        <v>1206</v>
      </c>
      <c r="U255" s="238">
        <v>104.68510000000001</v>
      </c>
      <c r="V255" s="238">
        <v>22.738800000000001</v>
      </c>
      <c r="W255" s="238">
        <v>1.7600000000000001E-2</v>
      </c>
    </row>
    <row r="256" spans="17:23" ht="20.100000000000001" customHeight="1">
      <c r="Q256" s="174">
        <v>253</v>
      </c>
      <c r="R256" s="175" t="s">
        <v>408</v>
      </c>
      <c r="S256" s="176" t="s">
        <v>414</v>
      </c>
      <c r="T256" s="240" t="s">
        <v>1207</v>
      </c>
      <c r="U256" s="238">
        <v>105.4104</v>
      </c>
      <c r="V256" s="238">
        <v>23.160499999999999</v>
      </c>
      <c r="W256" s="238">
        <v>3.6900000000000002E-2</v>
      </c>
    </row>
    <row r="257" spans="17:23" ht="20.100000000000001" customHeight="1">
      <c r="Q257" s="174">
        <v>254</v>
      </c>
      <c r="R257" s="175" t="s">
        <v>408</v>
      </c>
      <c r="S257" s="176" t="s">
        <v>415</v>
      </c>
      <c r="T257" s="240" t="s">
        <v>1208</v>
      </c>
      <c r="U257" s="238">
        <v>104.5866</v>
      </c>
      <c r="V257" s="238">
        <v>22.4133</v>
      </c>
      <c r="W257" s="238">
        <v>5.1999999999999998E-2</v>
      </c>
    </row>
    <row r="258" spans="17:23" ht="20.100000000000001" customHeight="1">
      <c r="Q258" s="174">
        <v>255</v>
      </c>
      <c r="R258" s="175" t="s">
        <v>408</v>
      </c>
      <c r="S258" s="176" t="s">
        <v>416</v>
      </c>
      <c r="T258" s="240" t="s">
        <v>1209</v>
      </c>
      <c r="U258" s="238">
        <v>104.9897</v>
      </c>
      <c r="V258" s="238">
        <v>23.066199999999998</v>
      </c>
      <c r="W258" s="238">
        <v>3.8600000000000002E-2</v>
      </c>
    </row>
    <row r="259" spans="17:23" ht="20.100000000000001" customHeight="1">
      <c r="Q259" s="174">
        <v>256</v>
      </c>
      <c r="R259" s="175" t="s">
        <v>408</v>
      </c>
      <c r="S259" s="176" t="s">
        <v>417</v>
      </c>
      <c r="T259" s="240" t="s">
        <v>1210</v>
      </c>
      <c r="U259" s="238">
        <v>104.9799</v>
      </c>
      <c r="V259" s="238">
        <v>22.667200000000001</v>
      </c>
      <c r="W259" s="238">
        <v>3.85E-2</v>
      </c>
    </row>
    <row r="260" spans="17:23" ht="20.100000000000001" customHeight="1">
      <c r="Q260" s="174">
        <v>257</v>
      </c>
      <c r="R260" s="175" t="s">
        <v>408</v>
      </c>
      <c r="S260" s="176" t="s">
        <v>418</v>
      </c>
      <c r="T260" s="240" t="s">
        <v>1211</v>
      </c>
      <c r="U260" s="238">
        <v>104.4546</v>
      </c>
      <c r="V260" s="238">
        <v>22.694700000000001</v>
      </c>
      <c r="W260" s="238">
        <v>2.1600000000000001E-2</v>
      </c>
    </row>
    <row r="261" spans="17:23" ht="20.100000000000001" customHeight="1">
      <c r="Q261" s="174">
        <v>258</v>
      </c>
      <c r="R261" s="175" t="s">
        <v>408</v>
      </c>
      <c r="S261" s="176" t="s">
        <v>419</v>
      </c>
      <c r="T261" s="240" t="s">
        <v>1212</v>
      </c>
      <c r="U261" s="238">
        <v>105.1463</v>
      </c>
      <c r="V261" s="238">
        <v>23.118400000000001</v>
      </c>
      <c r="W261" s="238">
        <v>5.6800000000000003E-2</v>
      </c>
    </row>
    <row r="262" spans="17:23" ht="20.100000000000001" customHeight="1">
      <c r="Q262" s="174">
        <v>259</v>
      </c>
      <c r="R262" s="175" t="s">
        <v>420</v>
      </c>
      <c r="S262" s="176" t="s">
        <v>421</v>
      </c>
      <c r="T262" s="240" t="s">
        <v>1213</v>
      </c>
      <c r="U262" s="238">
        <v>105.91549999999999</v>
      </c>
      <c r="V262" s="238">
        <v>20.544799999999999</v>
      </c>
      <c r="W262" s="238">
        <v>0.11890000000000001</v>
      </c>
    </row>
    <row r="263" spans="17:23" ht="20.100000000000001" customHeight="1">
      <c r="Q263" s="174">
        <v>260</v>
      </c>
      <c r="R263" s="175" t="s">
        <v>420</v>
      </c>
      <c r="S263" s="176" t="s">
        <v>422</v>
      </c>
      <c r="T263" s="240" t="s">
        <v>1214</v>
      </c>
      <c r="U263" s="238">
        <v>106.0031</v>
      </c>
      <c r="V263" s="238">
        <v>20.493099999999998</v>
      </c>
      <c r="W263" s="238">
        <v>0.1143</v>
      </c>
    </row>
    <row r="264" spans="17:23" ht="20.100000000000001" customHeight="1">
      <c r="Q264" s="174">
        <v>261</v>
      </c>
      <c r="R264" s="175" t="s">
        <v>420</v>
      </c>
      <c r="S264" s="176" t="s">
        <v>423</v>
      </c>
      <c r="T264" s="240" t="s">
        <v>1215</v>
      </c>
      <c r="U264" s="238">
        <v>105.99079999999999</v>
      </c>
      <c r="V264" s="238">
        <v>20.642299999999999</v>
      </c>
      <c r="W264" s="238">
        <v>0.1118</v>
      </c>
    </row>
    <row r="265" spans="17:23" ht="20.100000000000001" customHeight="1">
      <c r="Q265" s="174">
        <v>262</v>
      </c>
      <c r="R265" s="175" t="s">
        <v>420</v>
      </c>
      <c r="S265" s="176" t="s">
        <v>424</v>
      </c>
      <c r="T265" s="240" t="s">
        <v>1216</v>
      </c>
      <c r="U265" s="238">
        <v>105.8728</v>
      </c>
      <c r="V265" s="238">
        <v>20.577200000000001</v>
      </c>
      <c r="W265" s="238">
        <v>0.1134</v>
      </c>
    </row>
    <row r="266" spans="17:23" ht="20.100000000000001" customHeight="1">
      <c r="Q266" s="174">
        <v>263</v>
      </c>
      <c r="R266" s="175" t="s">
        <v>420</v>
      </c>
      <c r="S266" s="176" t="s">
        <v>425</v>
      </c>
      <c r="T266" s="240" t="s">
        <v>1217</v>
      </c>
      <c r="U266" s="238">
        <v>106.0292</v>
      </c>
      <c r="V266" s="238">
        <v>20.56</v>
      </c>
      <c r="W266" s="238">
        <v>0.11310000000000001</v>
      </c>
    </row>
    <row r="267" spans="17:23" ht="20.100000000000001" customHeight="1">
      <c r="Q267" s="174">
        <v>264</v>
      </c>
      <c r="R267" s="175" t="s">
        <v>420</v>
      </c>
      <c r="S267" s="176" t="s">
        <v>426</v>
      </c>
      <c r="T267" s="240" t="s">
        <v>1218</v>
      </c>
      <c r="U267" s="238">
        <v>105.9491</v>
      </c>
      <c r="V267" s="238">
        <v>20.4726</v>
      </c>
      <c r="W267" s="238">
        <v>0.1149</v>
      </c>
    </row>
    <row r="268" spans="17:23" ht="20.100000000000001" customHeight="1">
      <c r="Q268" s="174">
        <v>265</v>
      </c>
      <c r="R268" s="175" t="s">
        <v>427</v>
      </c>
      <c r="S268" s="176" t="s">
        <v>428</v>
      </c>
      <c r="T268" s="240" t="s">
        <v>1219</v>
      </c>
      <c r="U268" s="238">
        <v>105.77889999999999</v>
      </c>
      <c r="V268" s="238">
        <v>20.9712</v>
      </c>
      <c r="W268" s="238">
        <v>0.11310000000000001</v>
      </c>
    </row>
    <row r="269" spans="17:23" ht="20.100000000000001" customHeight="1">
      <c r="Q269" s="174">
        <v>266</v>
      </c>
      <c r="R269" s="175" t="s">
        <v>427</v>
      </c>
      <c r="S269" s="176" t="s">
        <v>429</v>
      </c>
      <c r="T269" s="240" t="s">
        <v>1213</v>
      </c>
      <c r="U269" s="238">
        <v>105.5103</v>
      </c>
      <c r="V269" s="238">
        <v>21.131399999999999</v>
      </c>
      <c r="W269" s="238">
        <v>0.1145</v>
      </c>
    </row>
    <row r="270" spans="17:23" ht="20.100000000000001" customHeight="1">
      <c r="Q270" s="174">
        <v>267</v>
      </c>
      <c r="R270" s="175" t="s">
        <v>427</v>
      </c>
      <c r="S270" s="176" t="s">
        <v>430</v>
      </c>
      <c r="T270" s="240" t="s">
        <v>1220</v>
      </c>
      <c r="U270" s="238">
        <v>105.4251</v>
      </c>
      <c r="V270" s="238">
        <v>21.195799999999998</v>
      </c>
      <c r="W270" s="238">
        <v>0.1167</v>
      </c>
    </row>
    <row r="271" spans="17:23" ht="20.100000000000001" customHeight="1">
      <c r="Q271" s="174">
        <v>268</v>
      </c>
      <c r="R271" s="175" t="s">
        <v>427</v>
      </c>
      <c r="S271" s="176" t="s">
        <v>806</v>
      </c>
      <c r="T271" s="240" t="s">
        <v>1221</v>
      </c>
      <c r="U271" s="238">
        <v>105.70099999999999</v>
      </c>
      <c r="V271" s="238">
        <v>20.916399999999999</v>
      </c>
      <c r="W271" s="238">
        <v>0.11409999999999999</v>
      </c>
    </row>
    <row r="272" spans="17:23" ht="20.100000000000001" customHeight="1">
      <c r="Q272" s="174">
        <v>269</v>
      </c>
      <c r="R272" s="175" t="s">
        <v>427</v>
      </c>
      <c r="S272" s="176" t="s">
        <v>842</v>
      </c>
      <c r="T272" s="240" t="s">
        <v>1222</v>
      </c>
      <c r="U272" s="238">
        <v>105.65779999999999</v>
      </c>
      <c r="V272" s="238">
        <v>21.089500000000001</v>
      </c>
      <c r="W272" s="238">
        <v>0.11550000000000001</v>
      </c>
    </row>
    <row r="273" spans="17:23" ht="20.100000000000001" customHeight="1">
      <c r="Q273" s="174">
        <v>270</v>
      </c>
      <c r="R273" s="175" t="s">
        <v>427</v>
      </c>
      <c r="S273" s="176" t="s">
        <v>431</v>
      </c>
      <c r="T273" s="240" t="s">
        <v>1223</v>
      </c>
      <c r="U273" s="238">
        <v>105.7098</v>
      </c>
      <c r="V273" s="238">
        <v>21.067699999999999</v>
      </c>
      <c r="W273" s="238">
        <v>0.1123</v>
      </c>
    </row>
    <row r="274" spans="17:23" ht="20.100000000000001" customHeight="1">
      <c r="Q274" s="174">
        <v>271</v>
      </c>
      <c r="R274" s="175" t="s">
        <v>427</v>
      </c>
      <c r="S274" s="176" t="s">
        <v>432</v>
      </c>
      <c r="T274" s="240" t="s">
        <v>1224</v>
      </c>
      <c r="U274" s="238">
        <v>105.73560000000001</v>
      </c>
      <c r="V274" s="238">
        <v>20.683700000000002</v>
      </c>
      <c r="W274" s="238">
        <v>9.1200000000000003E-2</v>
      </c>
    </row>
    <row r="275" spans="17:23" ht="20.100000000000001" customHeight="1">
      <c r="Q275" s="174">
        <v>272</v>
      </c>
      <c r="R275" s="175" t="s">
        <v>427</v>
      </c>
      <c r="S275" s="176" t="s">
        <v>433</v>
      </c>
      <c r="T275" s="240" t="s">
        <v>1225</v>
      </c>
      <c r="U275" s="238">
        <v>105.9152</v>
      </c>
      <c r="V275" s="238">
        <v>20.743400000000001</v>
      </c>
      <c r="W275" s="238">
        <v>0.11459999999999999</v>
      </c>
    </row>
    <row r="276" spans="17:23" ht="20.100000000000001" customHeight="1">
      <c r="Q276" s="174">
        <v>273</v>
      </c>
      <c r="R276" s="175" t="s">
        <v>427</v>
      </c>
      <c r="S276" s="176" t="s">
        <v>434</v>
      </c>
      <c r="T276" s="240" t="s">
        <v>1226</v>
      </c>
      <c r="U276" s="238">
        <v>105.5397</v>
      </c>
      <c r="V276" s="238">
        <v>21.107099999999999</v>
      </c>
      <c r="W276" s="238">
        <v>0.11409999999999999</v>
      </c>
    </row>
    <row r="277" spans="17:23" ht="20.100000000000001" customHeight="1">
      <c r="Q277" s="174">
        <v>274</v>
      </c>
      <c r="R277" s="175" t="s">
        <v>427</v>
      </c>
      <c r="S277" s="176" t="s">
        <v>435</v>
      </c>
      <c r="T277" s="240" t="s">
        <v>1227</v>
      </c>
      <c r="U277" s="238">
        <v>105.6431</v>
      </c>
      <c r="V277" s="238">
        <v>20.9923</v>
      </c>
      <c r="W277" s="238">
        <v>0.11609999999999999</v>
      </c>
    </row>
    <row r="278" spans="17:23" ht="20.100000000000001" customHeight="1">
      <c r="Q278" s="174">
        <v>275</v>
      </c>
      <c r="R278" s="175" t="s">
        <v>427</v>
      </c>
      <c r="S278" s="176" t="s">
        <v>436</v>
      </c>
      <c r="T278" s="240" t="s">
        <v>1228</v>
      </c>
      <c r="U278" s="238">
        <v>105.57689999999999</v>
      </c>
      <c r="V278" s="238">
        <v>21.054400000000001</v>
      </c>
      <c r="W278" s="238">
        <v>0.114</v>
      </c>
    </row>
    <row r="279" spans="17:23" ht="20.100000000000001" customHeight="1">
      <c r="Q279" s="174">
        <v>276</v>
      </c>
      <c r="R279" s="175" t="s">
        <v>427</v>
      </c>
      <c r="S279" s="176" t="s">
        <v>437</v>
      </c>
      <c r="T279" s="240" t="s">
        <v>1229</v>
      </c>
      <c r="U279" s="238">
        <v>105.76479999999999</v>
      </c>
      <c r="V279" s="238">
        <v>20.855</v>
      </c>
      <c r="W279" s="238">
        <v>0.1128</v>
      </c>
    </row>
    <row r="280" spans="17:23" ht="20.100000000000001" customHeight="1">
      <c r="Q280" s="174">
        <v>277</v>
      </c>
      <c r="R280" s="175" t="s">
        <v>427</v>
      </c>
      <c r="S280" s="176" t="s">
        <v>841</v>
      </c>
      <c r="T280" s="240" t="s">
        <v>1230</v>
      </c>
      <c r="U280" s="238">
        <v>105.8612</v>
      </c>
      <c r="V280" s="238">
        <v>20.870899999999999</v>
      </c>
      <c r="W280" s="238">
        <v>0.1104</v>
      </c>
    </row>
    <row r="281" spans="17:23" ht="20.100000000000001" customHeight="1">
      <c r="Q281" s="174">
        <v>278</v>
      </c>
      <c r="R281" s="175" t="s">
        <v>427</v>
      </c>
      <c r="S281" s="176" t="s">
        <v>843</v>
      </c>
      <c r="T281" s="240" t="s">
        <v>1231</v>
      </c>
      <c r="U281" s="238">
        <v>105.7701</v>
      </c>
      <c r="V281" s="238">
        <v>20.738499999999998</v>
      </c>
      <c r="W281" s="238">
        <v>0.11169999999999999</v>
      </c>
    </row>
    <row r="282" spans="17:23" ht="20.100000000000001" customHeight="1">
      <c r="Q282" s="174">
        <v>279</v>
      </c>
      <c r="R282" s="175" t="s">
        <v>438</v>
      </c>
      <c r="S282" s="176" t="s">
        <v>439</v>
      </c>
      <c r="T282" s="240" t="s">
        <v>1232</v>
      </c>
      <c r="U282" s="238">
        <v>105.8967</v>
      </c>
      <c r="V282" s="238">
        <v>18.3462</v>
      </c>
      <c r="W282" s="238">
        <v>0.1168</v>
      </c>
    </row>
    <row r="283" spans="17:23" ht="20.100000000000001" customHeight="1">
      <c r="Q283" s="174">
        <v>280</v>
      </c>
      <c r="R283" s="175" t="s">
        <v>438</v>
      </c>
      <c r="S283" s="176" t="s">
        <v>440</v>
      </c>
      <c r="T283" s="240" t="s">
        <v>1233</v>
      </c>
      <c r="U283" s="238">
        <v>105.7076</v>
      </c>
      <c r="V283" s="238">
        <v>18.527000000000001</v>
      </c>
      <c r="W283" s="238">
        <v>0.111</v>
      </c>
    </row>
    <row r="284" spans="17:23" ht="20.100000000000001" customHeight="1">
      <c r="Q284" s="174">
        <v>281</v>
      </c>
      <c r="R284" s="175" t="s">
        <v>438</v>
      </c>
      <c r="S284" s="176" t="s">
        <v>441</v>
      </c>
      <c r="T284" s="240" t="s">
        <v>1234</v>
      </c>
      <c r="U284" s="238">
        <v>105.7753</v>
      </c>
      <c r="V284" s="238">
        <v>18.454799999999999</v>
      </c>
      <c r="W284" s="238">
        <v>0.1172</v>
      </c>
    </row>
    <row r="285" spans="17:23" ht="20.100000000000001" customHeight="1">
      <c r="Q285" s="174">
        <v>282</v>
      </c>
      <c r="R285" s="175" t="s">
        <v>438</v>
      </c>
      <c r="S285" s="176" t="s">
        <v>442</v>
      </c>
      <c r="T285" s="240" t="s">
        <v>1235</v>
      </c>
      <c r="U285" s="238">
        <v>105.9943</v>
      </c>
      <c r="V285" s="238">
        <v>18.256499999999999</v>
      </c>
      <c r="W285" s="238">
        <v>0.1133</v>
      </c>
    </row>
    <row r="286" spans="17:23" ht="20.100000000000001" customHeight="1">
      <c r="Q286" s="174">
        <v>283</v>
      </c>
      <c r="R286" s="175" t="s">
        <v>438</v>
      </c>
      <c r="S286" s="176" t="s">
        <v>443</v>
      </c>
      <c r="T286" s="240" t="s">
        <v>1236</v>
      </c>
      <c r="U286" s="238">
        <v>105.5835</v>
      </c>
      <c r="V286" s="238">
        <v>18.532800000000002</v>
      </c>
      <c r="W286" s="238">
        <v>0.11409999999999999</v>
      </c>
    </row>
    <row r="287" spans="17:23" ht="20.100000000000001" customHeight="1">
      <c r="Q287" s="174">
        <v>284</v>
      </c>
      <c r="R287" s="175" t="s">
        <v>438</v>
      </c>
      <c r="S287" s="176" t="s">
        <v>807</v>
      </c>
      <c r="T287" s="240" t="s">
        <v>1237</v>
      </c>
      <c r="U287" s="238">
        <v>105.7056</v>
      </c>
      <c r="V287" s="238">
        <v>18.173400000000001</v>
      </c>
      <c r="W287" s="238">
        <v>4.9799999999999997E-2</v>
      </c>
    </row>
    <row r="288" spans="17:23" ht="20.100000000000001" customHeight="1">
      <c r="Q288" s="174">
        <v>285</v>
      </c>
      <c r="R288" s="175" t="s">
        <v>438</v>
      </c>
      <c r="S288" s="176" t="s">
        <v>808</v>
      </c>
      <c r="T288" s="240" t="s">
        <v>1238</v>
      </c>
      <c r="U288" s="238">
        <v>105.42310000000001</v>
      </c>
      <c r="V288" s="238">
        <v>18.512</v>
      </c>
      <c r="W288" s="238">
        <v>8.7300000000000003E-2</v>
      </c>
    </row>
    <row r="289" spans="17:23" ht="20.100000000000001" customHeight="1">
      <c r="Q289" s="174">
        <v>286</v>
      </c>
      <c r="R289" s="175" t="s">
        <v>438</v>
      </c>
      <c r="S289" s="176" t="s">
        <v>444</v>
      </c>
      <c r="T289" s="240" t="s">
        <v>1239</v>
      </c>
      <c r="U289" s="238">
        <v>106.3004</v>
      </c>
      <c r="V289" s="238">
        <v>18.069600000000001</v>
      </c>
      <c r="W289" s="238">
        <v>0.1013</v>
      </c>
    </row>
    <row r="290" spans="17:23" ht="20.100000000000001" customHeight="1">
      <c r="Q290" s="174">
        <v>287</v>
      </c>
      <c r="R290" s="175" t="s">
        <v>438</v>
      </c>
      <c r="S290" s="176" t="s">
        <v>445</v>
      </c>
      <c r="T290" s="240" t="s">
        <v>1240</v>
      </c>
      <c r="U290" s="238">
        <v>105.7546</v>
      </c>
      <c r="V290" s="238">
        <v>18.662400000000002</v>
      </c>
      <c r="W290" s="238">
        <v>0.10829999999999999</v>
      </c>
    </row>
    <row r="291" spans="17:23" ht="20.100000000000001" customHeight="1">
      <c r="Q291" s="174">
        <v>288</v>
      </c>
      <c r="R291" s="175" t="s">
        <v>438</v>
      </c>
      <c r="S291" s="176" t="s">
        <v>446</v>
      </c>
      <c r="T291" s="240" t="s">
        <v>1241</v>
      </c>
      <c r="U291" s="238">
        <v>105.8647</v>
      </c>
      <c r="V291" s="238">
        <v>18.364999999999998</v>
      </c>
      <c r="W291" s="238">
        <v>0.1163</v>
      </c>
    </row>
    <row r="292" spans="17:23" ht="20.100000000000001" customHeight="1">
      <c r="Q292" s="174">
        <v>289</v>
      </c>
      <c r="R292" s="175" t="s">
        <v>438</v>
      </c>
      <c r="S292" s="176" t="s">
        <v>447</v>
      </c>
      <c r="T292" s="240" t="s">
        <v>1242</v>
      </c>
      <c r="U292" s="238">
        <v>105.49890000000001</v>
      </c>
      <c r="V292" s="238">
        <v>18.379799999999999</v>
      </c>
      <c r="W292" s="238">
        <v>5.9700000000000003E-2</v>
      </c>
    </row>
    <row r="293" spans="17:23" ht="20.100000000000001" customHeight="1">
      <c r="Q293" s="174">
        <v>290</v>
      </c>
      <c r="R293" s="175" t="s">
        <v>809</v>
      </c>
      <c r="S293" s="176" t="s">
        <v>810</v>
      </c>
      <c r="T293" s="240" t="s">
        <v>1219</v>
      </c>
      <c r="U293" s="238">
        <v>106.32640000000001</v>
      </c>
      <c r="V293" s="238">
        <v>20.9406</v>
      </c>
      <c r="W293" s="238">
        <v>0.1303</v>
      </c>
    </row>
    <row r="294" spans="17:23" ht="20.100000000000001" customHeight="1">
      <c r="Q294" s="174">
        <v>291</v>
      </c>
      <c r="R294" s="175" t="s">
        <v>809</v>
      </c>
      <c r="S294" s="176" t="s">
        <v>448</v>
      </c>
      <c r="T294" s="240" t="s">
        <v>1243</v>
      </c>
      <c r="U294" s="238">
        <v>106.1447</v>
      </c>
      <c r="V294" s="238">
        <v>20.908799999999999</v>
      </c>
      <c r="W294" s="238">
        <v>7.5200000000000003E-2</v>
      </c>
    </row>
    <row r="295" spans="17:23" ht="20.100000000000001" customHeight="1">
      <c r="Q295" s="174">
        <v>292</v>
      </c>
      <c r="R295" s="175" t="s">
        <v>809</v>
      </c>
      <c r="S295" s="176" t="s">
        <v>449</v>
      </c>
      <c r="T295" s="240" t="s">
        <v>1244</v>
      </c>
      <c r="U295" s="238">
        <v>106.27460000000001</v>
      </c>
      <c r="V295" s="238">
        <v>20.945699999999999</v>
      </c>
      <c r="W295" s="238">
        <v>0.12230000000000001</v>
      </c>
    </row>
    <row r="296" spans="17:23" ht="20.100000000000001" customHeight="1">
      <c r="Q296" s="174">
        <v>293</v>
      </c>
      <c r="R296" s="175" t="s">
        <v>809</v>
      </c>
      <c r="S296" s="176" t="s">
        <v>450</v>
      </c>
      <c r="T296" s="240" t="s">
        <v>1245</v>
      </c>
      <c r="U296" s="238">
        <v>106.39190000000001</v>
      </c>
      <c r="V296" s="238">
        <v>21.112100000000002</v>
      </c>
      <c r="W296" s="238">
        <v>0.11890000000000001</v>
      </c>
    </row>
    <row r="297" spans="17:23" ht="20.100000000000001" customHeight="1">
      <c r="Q297" s="174">
        <v>294</v>
      </c>
      <c r="R297" s="175" t="s">
        <v>809</v>
      </c>
      <c r="S297" s="176" t="s">
        <v>451</v>
      </c>
      <c r="T297" s="240" t="s">
        <v>1246</v>
      </c>
      <c r="U297" s="238">
        <v>106.29510000000001</v>
      </c>
      <c r="V297" s="238">
        <v>20.869199999999999</v>
      </c>
      <c r="W297" s="238">
        <v>0.10009999999999999</v>
      </c>
    </row>
    <row r="298" spans="17:23" ht="20.100000000000001" customHeight="1">
      <c r="Q298" s="174">
        <v>295</v>
      </c>
      <c r="R298" s="175" t="s">
        <v>809</v>
      </c>
      <c r="S298" s="176" t="s">
        <v>452</v>
      </c>
      <c r="T298" s="240" t="s">
        <v>1247</v>
      </c>
      <c r="U298" s="238">
        <v>106.5129</v>
      </c>
      <c r="V298" s="238">
        <v>20.9678</v>
      </c>
      <c r="W298" s="238">
        <v>0.1265</v>
      </c>
    </row>
    <row r="299" spans="17:23" ht="20.100000000000001" customHeight="1">
      <c r="Q299" s="174">
        <v>296</v>
      </c>
      <c r="R299" s="175" t="s">
        <v>809</v>
      </c>
      <c r="S299" s="176" t="s">
        <v>453</v>
      </c>
      <c r="T299" s="240" t="s">
        <v>1248</v>
      </c>
      <c r="U299" s="238">
        <v>106.5532</v>
      </c>
      <c r="V299" s="238">
        <v>20.988600000000002</v>
      </c>
      <c r="W299" s="238">
        <v>0.1212</v>
      </c>
    </row>
    <row r="300" spans="17:23" ht="20.100000000000001" customHeight="1">
      <c r="Q300" s="174">
        <v>297</v>
      </c>
      <c r="R300" s="175" t="s">
        <v>809</v>
      </c>
      <c r="S300" s="176" t="s">
        <v>454</v>
      </c>
      <c r="T300" s="240" t="s">
        <v>1249</v>
      </c>
      <c r="U300" s="238">
        <v>106.334</v>
      </c>
      <c r="V300" s="238">
        <v>20.992699999999999</v>
      </c>
      <c r="W300" s="238">
        <v>0.13350000000000001</v>
      </c>
    </row>
    <row r="301" spans="17:23" ht="20.100000000000001" customHeight="1">
      <c r="Q301" s="174">
        <v>298</v>
      </c>
      <c r="R301" s="175" t="s">
        <v>809</v>
      </c>
      <c r="S301" s="176" t="s">
        <v>455</v>
      </c>
      <c r="T301" s="240" t="s">
        <v>1250</v>
      </c>
      <c r="U301" s="238">
        <v>106.3959</v>
      </c>
      <c r="V301" s="238">
        <v>20.731400000000001</v>
      </c>
      <c r="W301" s="238">
        <v>7.0099999999999996E-2</v>
      </c>
    </row>
    <row r="302" spans="17:23" ht="20.100000000000001" customHeight="1">
      <c r="Q302" s="174">
        <v>299</v>
      </c>
      <c r="R302" s="175" t="s">
        <v>809</v>
      </c>
      <c r="S302" s="176" t="s">
        <v>456</v>
      </c>
      <c r="T302" s="240" t="s">
        <v>1251</v>
      </c>
      <c r="U302" s="238">
        <v>106.4697</v>
      </c>
      <c r="V302" s="238">
        <v>20.845600000000001</v>
      </c>
      <c r="W302" s="238">
        <v>0.13600000000000001</v>
      </c>
    </row>
    <row r="303" spans="17:23" ht="20.100000000000001" customHeight="1">
      <c r="Q303" s="174">
        <v>300</v>
      </c>
      <c r="R303" s="175" t="s">
        <v>809</v>
      </c>
      <c r="S303" s="176" t="s">
        <v>457</v>
      </c>
      <c r="T303" s="240" t="s">
        <v>1252</v>
      </c>
      <c r="U303" s="238">
        <v>106.24509999999999</v>
      </c>
      <c r="V303" s="238">
        <v>20.788699999999999</v>
      </c>
      <c r="W303" s="238">
        <v>6.3600000000000004E-2</v>
      </c>
    </row>
    <row r="304" spans="17:23" ht="20.100000000000001" customHeight="1">
      <c r="Q304" s="174">
        <v>301</v>
      </c>
      <c r="R304" s="175" t="s">
        <v>809</v>
      </c>
      <c r="S304" s="176" t="s">
        <v>458</v>
      </c>
      <c r="T304" s="240" t="s">
        <v>1253</v>
      </c>
      <c r="U304" s="238">
        <v>106.4012</v>
      </c>
      <c r="V304" s="238">
        <v>20.8216</v>
      </c>
      <c r="W304" s="238">
        <v>0.11360000000000001</v>
      </c>
    </row>
    <row r="305" spans="17:23" ht="20.100000000000001" customHeight="1">
      <c r="Q305" s="174">
        <v>302</v>
      </c>
      <c r="R305" s="175" t="s">
        <v>459</v>
      </c>
      <c r="S305" s="176" t="s">
        <v>460</v>
      </c>
      <c r="T305" s="240" t="s">
        <v>1254</v>
      </c>
      <c r="U305" s="238">
        <v>105.4718</v>
      </c>
      <c r="V305" s="238">
        <v>9.7861999999999991</v>
      </c>
      <c r="W305" s="238">
        <v>1.2E-2</v>
      </c>
    </row>
    <row r="306" spans="17:23" ht="20.100000000000001" customHeight="1">
      <c r="Q306" s="174">
        <v>303</v>
      </c>
      <c r="R306" s="175" t="s">
        <v>459</v>
      </c>
      <c r="S306" s="176" t="s">
        <v>241</v>
      </c>
      <c r="T306" s="240" t="s">
        <v>1255</v>
      </c>
      <c r="U306" s="238">
        <v>105.8081</v>
      </c>
      <c r="V306" s="238">
        <v>9.9217999999999993</v>
      </c>
      <c r="W306" s="238">
        <v>4.5600000000000002E-2</v>
      </c>
    </row>
    <row r="307" spans="17:23" ht="20.100000000000001" customHeight="1">
      <c r="Q307" s="174">
        <v>304</v>
      </c>
      <c r="R307" s="175" t="s">
        <v>459</v>
      </c>
      <c r="S307" s="176" t="s">
        <v>461</v>
      </c>
      <c r="T307" s="240" t="s">
        <v>1256</v>
      </c>
      <c r="U307" s="238">
        <v>105.6293</v>
      </c>
      <c r="V307" s="238">
        <v>9.9234000000000009</v>
      </c>
      <c r="W307" s="238">
        <v>2.47E-2</v>
      </c>
    </row>
    <row r="308" spans="17:23" ht="20.100000000000001" customHeight="1">
      <c r="Q308" s="174">
        <v>305</v>
      </c>
      <c r="R308" s="175" t="s">
        <v>459</v>
      </c>
      <c r="S308" s="176" t="s">
        <v>462</v>
      </c>
      <c r="T308" s="240" t="s">
        <v>1257</v>
      </c>
      <c r="U308" s="238">
        <v>105.5715</v>
      </c>
      <c r="V308" s="238">
        <v>9.6795000000000009</v>
      </c>
      <c r="W308" s="238">
        <v>1.18E-2</v>
      </c>
    </row>
    <row r="309" spans="17:23" ht="20.100000000000001" customHeight="1">
      <c r="Q309" s="174">
        <v>306</v>
      </c>
      <c r="R309" s="175" t="s">
        <v>459</v>
      </c>
      <c r="S309" s="176" t="s">
        <v>463</v>
      </c>
      <c r="T309" s="240" t="s">
        <v>1258</v>
      </c>
      <c r="U309" s="238">
        <v>105.8244</v>
      </c>
      <c r="V309" s="238">
        <v>9.8102</v>
      </c>
      <c r="W309" s="238">
        <v>3.0800000000000001E-2</v>
      </c>
    </row>
    <row r="310" spans="17:23" ht="20.100000000000001" customHeight="1">
      <c r="Q310" s="174">
        <v>307</v>
      </c>
      <c r="R310" s="175" t="s">
        <v>459</v>
      </c>
      <c r="S310" s="176" t="s">
        <v>464</v>
      </c>
      <c r="T310" s="240" t="s">
        <v>1259</v>
      </c>
      <c r="U310" s="238">
        <v>105.5354</v>
      </c>
      <c r="V310" s="238">
        <v>9.7520000000000007</v>
      </c>
      <c r="W310" s="238">
        <v>1.26E-2</v>
      </c>
    </row>
    <row r="311" spans="17:23" ht="20.100000000000001" customHeight="1">
      <c r="Q311" s="174">
        <v>308</v>
      </c>
      <c r="R311" s="175" t="s">
        <v>844</v>
      </c>
      <c r="S311" s="176" t="s">
        <v>465</v>
      </c>
      <c r="T311" s="240" t="s">
        <v>1260</v>
      </c>
      <c r="U311" s="238">
        <v>105.3399</v>
      </c>
      <c r="V311" s="238">
        <v>20.820900000000002</v>
      </c>
      <c r="W311" s="238">
        <v>8.8499999999999995E-2</v>
      </c>
    </row>
    <row r="312" spans="17:23" ht="20.100000000000001" customHeight="1">
      <c r="Q312" s="174">
        <v>309</v>
      </c>
      <c r="R312" s="175" t="s">
        <v>844</v>
      </c>
      <c r="S312" s="176" t="s">
        <v>466</v>
      </c>
      <c r="T312" s="240" t="s">
        <v>1261</v>
      </c>
      <c r="U312" s="238">
        <v>105.32470000000001</v>
      </c>
      <c r="V312" s="238">
        <v>20.707899999999999</v>
      </c>
      <c r="W312" s="238">
        <v>6.7100000000000007E-2</v>
      </c>
    </row>
    <row r="313" spans="17:23" ht="20.100000000000001" customHeight="1">
      <c r="Q313" s="174">
        <v>310</v>
      </c>
      <c r="R313" s="175" t="s">
        <v>844</v>
      </c>
      <c r="S313" s="176" t="s">
        <v>467</v>
      </c>
      <c r="T313" s="240" t="s">
        <v>1262</v>
      </c>
      <c r="U313" s="238">
        <v>105.2542</v>
      </c>
      <c r="V313" s="238">
        <v>20.877800000000001</v>
      </c>
      <c r="W313" s="238">
        <v>9.0499999999999997E-2</v>
      </c>
    </row>
    <row r="314" spans="17:23" ht="20.100000000000001" customHeight="1">
      <c r="Q314" s="174">
        <v>311</v>
      </c>
      <c r="R314" s="175" t="s">
        <v>844</v>
      </c>
      <c r="S314" s="176" t="s">
        <v>468</v>
      </c>
      <c r="T314" s="240" t="s">
        <v>1263</v>
      </c>
      <c r="U314" s="238">
        <v>105.53619999999999</v>
      </c>
      <c r="V314" s="238">
        <v>20.671800000000001</v>
      </c>
      <c r="W314" s="238">
        <v>4.0599999999999997E-2</v>
      </c>
    </row>
    <row r="315" spans="17:23" ht="20.100000000000001" customHeight="1">
      <c r="Q315" s="174">
        <v>312</v>
      </c>
      <c r="R315" s="175" t="s">
        <v>844</v>
      </c>
      <c r="S315" s="176" t="s">
        <v>469</v>
      </c>
      <c r="T315" s="240" t="s">
        <v>1264</v>
      </c>
      <c r="U315" s="238">
        <v>105.3561</v>
      </c>
      <c r="V315" s="238">
        <v>20.887899999999998</v>
      </c>
      <c r="W315" s="238">
        <v>9.1700000000000004E-2</v>
      </c>
    </row>
    <row r="316" spans="17:23" ht="20.100000000000001" customHeight="1">
      <c r="Q316" s="174">
        <v>313</v>
      </c>
      <c r="R316" s="175" t="s">
        <v>844</v>
      </c>
      <c r="S316" s="176" t="s">
        <v>470</v>
      </c>
      <c r="T316" s="240" t="s">
        <v>1265</v>
      </c>
      <c r="U316" s="238">
        <v>105.44280000000001</v>
      </c>
      <c r="V316" s="238">
        <v>20.464400000000001</v>
      </c>
      <c r="W316" s="238">
        <v>0.1177</v>
      </c>
    </row>
    <row r="317" spans="17:23" ht="20.100000000000001" customHeight="1">
      <c r="Q317" s="174">
        <v>314</v>
      </c>
      <c r="R317" s="175" t="s">
        <v>844</v>
      </c>
      <c r="S317" s="176" t="s">
        <v>471</v>
      </c>
      <c r="T317" s="240" t="s">
        <v>1266</v>
      </c>
      <c r="U317" s="238">
        <v>105.7775</v>
      </c>
      <c r="V317" s="238">
        <v>20.490400000000001</v>
      </c>
      <c r="W317" s="238">
        <v>6.4199999999999993E-2</v>
      </c>
    </row>
    <row r="318" spans="17:23" ht="20.100000000000001" customHeight="1">
      <c r="Q318" s="174">
        <v>315</v>
      </c>
      <c r="R318" s="175" t="s">
        <v>844</v>
      </c>
      <c r="S318" s="176" t="s">
        <v>472</v>
      </c>
      <c r="T318" s="240" t="s">
        <v>1267</v>
      </c>
      <c r="U318" s="238">
        <v>105.5389</v>
      </c>
      <c r="V318" s="238">
        <v>20.8766</v>
      </c>
      <c r="W318" s="238">
        <v>6.9800000000000001E-2</v>
      </c>
    </row>
    <row r="319" spans="17:23" ht="20.100000000000001" customHeight="1">
      <c r="Q319" s="174">
        <v>316</v>
      </c>
      <c r="R319" s="175" t="s">
        <v>844</v>
      </c>
      <c r="S319" s="176" t="s">
        <v>473</v>
      </c>
      <c r="T319" s="240" t="s">
        <v>1268</v>
      </c>
      <c r="U319" s="238">
        <v>105.0924</v>
      </c>
      <c r="V319" s="238">
        <v>20.664100000000001</v>
      </c>
      <c r="W319" s="238">
        <v>0.12690000000000001</v>
      </c>
    </row>
    <row r="320" spans="17:23" ht="20.100000000000001" customHeight="1">
      <c r="Q320" s="174">
        <v>317</v>
      </c>
      <c r="R320" s="175" t="s">
        <v>844</v>
      </c>
      <c r="S320" s="176" t="s">
        <v>474</v>
      </c>
      <c r="T320" s="240" t="s">
        <v>1269</v>
      </c>
      <c r="U320" s="238">
        <v>105.27670000000001</v>
      </c>
      <c r="V320" s="238">
        <v>20.621099999999998</v>
      </c>
      <c r="W320" s="238">
        <v>8.48E-2</v>
      </c>
    </row>
    <row r="321" spans="17:23" ht="20.100000000000001" customHeight="1">
      <c r="Q321" s="174">
        <v>318</v>
      </c>
      <c r="R321" s="175" t="s">
        <v>844</v>
      </c>
      <c r="S321" s="176" t="s">
        <v>475</v>
      </c>
      <c r="T321" s="240" t="s">
        <v>1270</v>
      </c>
      <c r="U321" s="238">
        <v>105.6228</v>
      </c>
      <c r="V321" s="238">
        <v>20.3949</v>
      </c>
      <c r="W321" s="238">
        <v>9.64E-2</v>
      </c>
    </row>
    <row r="322" spans="17:23" ht="20.100000000000001" customHeight="1">
      <c r="Q322" s="174">
        <v>319</v>
      </c>
      <c r="R322" s="175" t="s">
        <v>846</v>
      </c>
      <c r="S322" s="176" t="s">
        <v>845</v>
      </c>
      <c r="T322" s="240" t="s">
        <v>1271</v>
      </c>
      <c r="U322" s="238">
        <v>106.0513</v>
      </c>
      <c r="V322" s="238">
        <v>20.646999999999998</v>
      </c>
      <c r="W322" s="238">
        <v>0.11269999999999999</v>
      </c>
    </row>
    <row r="323" spans="17:23" ht="20.100000000000001" customHeight="1">
      <c r="Q323" s="174">
        <v>320</v>
      </c>
      <c r="R323" s="175" t="s">
        <v>846</v>
      </c>
      <c r="S323" s="176" t="s">
        <v>476</v>
      </c>
      <c r="T323" s="240" t="s">
        <v>1272</v>
      </c>
      <c r="U323" s="238">
        <v>106.089</v>
      </c>
      <c r="V323" s="238">
        <v>20.8188</v>
      </c>
      <c r="W323" s="238">
        <v>8.1100000000000005E-2</v>
      </c>
    </row>
    <row r="324" spans="17:23" ht="20.100000000000001" customHeight="1">
      <c r="Q324" s="174">
        <v>321</v>
      </c>
      <c r="R324" s="175" t="s">
        <v>846</v>
      </c>
      <c r="S324" s="176" t="s">
        <v>477</v>
      </c>
      <c r="T324" s="240" t="s">
        <v>1273</v>
      </c>
      <c r="U324" s="238">
        <v>105.9776</v>
      </c>
      <c r="V324" s="238">
        <v>20.839300000000001</v>
      </c>
      <c r="W324" s="238">
        <v>0.1046</v>
      </c>
    </row>
    <row r="325" spans="17:23" ht="20.100000000000001" customHeight="1">
      <c r="Q325" s="174">
        <v>322</v>
      </c>
      <c r="R325" s="175" t="s">
        <v>846</v>
      </c>
      <c r="S325" s="176" t="s">
        <v>478</v>
      </c>
      <c r="T325" s="240" t="s">
        <v>1274</v>
      </c>
      <c r="U325" s="238">
        <v>106.0598</v>
      </c>
      <c r="V325" s="238">
        <v>20.739699999999999</v>
      </c>
      <c r="W325" s="238">
        <v>0.1081</v>
      </c>
    </row>
    <row r="326" spans="17:23" ht="20.100000000000001" customHeight="1">
      <c r="Q326" s="174">
        <v>323</v>
      </c>
      <c r="R326" s="175" t="s">
        <v>846</v>
      </c>
      <c r="S326" s="176" t="s">
        <v>479</v>
      </c>
      <c r="T326" s="240" t="s">
        <v>1275</v>
      </c>
      <c r="U326" s="238">
        <v>106.0581</v>
      </c>
      <c r="V326" s="238">
        <v>20.9346</v>
      </c>
      <c r="W326" s="238">
        <v>7.2499999999999995E-2</v>
      </c>
    </row>
    <row r="327" spans="17:23" ht="20.100000000000001" customHeight="1">
      <c r="Q327" s="174">
        <v>324</v>
      </c>
      <c r="R327" s="175" t="s">
        <v>846</v>
      </c>
      <c r="S327" s="176" t="s">
        <v>480</v>
      </c>
      <c r="T327" s="240" t="s">
        <v>1276</v>
      </c>
      <c r="U327" s="238">
        <v>106.1782</v>
      </c>
      <c r="V327" s="238">
        <v>20.733699999999999</v>
      </c>
      <c r="W327" s="238">
        <v>7.9500000000000001E-2</v>
      </c>
    </row>
    <row r="328" spans="17:23" ht="20.100000000000001" customHeight="1">
      <c r="Q328" s="174">
        <v>325</v>
      </c>
      <c r="R328" s="175" t="s">
        <v>846</v>
      </c>
      <c r="S328" s="176" t="s">
        <v>481</v>
      </c>
      <c r="T328" s="240" t="s">
        <v>1277</v>
      </c>
      <c r="U328" s="238">
        <v>106.1174</v>
      </c>
      <c r="V328" s="238">
        <v>20.700800000000001</v>
      </c>
      <c r="W328" s="238">
        <v>0.1047</v>
      </c>
    </row>
    <row r="329" spans="17:23" ht="20.100000000000001" customHeight="1">
      <c r="Q329" s="174">
        <v>326</v>
      </c>
      <c r="R329" s="175" t="s">
        <v>846</v>
      </c>
      <c r="S329" s="176" t="s">
        <v>482</v>
      </c>
      <c r="T329" s="240" t="s">
        <v>1278</v>
      </c>
      <c r="U329" s="238">
        <v>105.9272</v>
      </c>
      <c r="V329" s="238">
        <v>20.9359</v>
      </c>
      <c r="W329" s="238">
        <v>8.8499999999999995E-2</v>
      </c>
    </row>
    <row r="330" spans="17:23" ht="20.100000000000001" customHeight="1">
      <c r="Q330" s="174">
        <v>327</v>
      </c>
      <c r="R330" s="175" t="s">
        <v>846</v>
      </c>
      <c r="S330" s="176" t="s">
        <v>483</v>
      </c>
      <c r="T330" s="240" t="s">
        <v>1279</v>
      </c>
      <c r="U330" s="238">
        <v>105.98820000000001</v>
      </c>
      <c r="V330" s="238">
        <v>20.977799999999998</v>
      </c>
      <c r="W330" s="238">
        <v>7.4800000000000005E-2</v>
      </c>
    </row>
    <row r="331" spans="17:23" ht="20.100000000000001" customHeight="1">
      <c r="Q331" s="174">
        <v>328</v>
      </c>
      <c r="R331" s="175" t="s">
        <v>846</v>
      </c>
      <c r="S331" s="176" t="s">
        <v>484</v>
      </c>
      <c r="T331" s="240" t="s">
        <v>1280</v>
      </c>
      <c r="U331" s="238">
        <v>106.0341</v>
      </c>
      <c r="V331" s="238">
        <v>20.882899999999999</v>
      </c>
      <c r="W331" s="238">
        <v>8.0799999999999997E-2</v>
      </c>
    </row>
    <row r="332" spans="17:23" ht="20.100000000000001" customHeight="1">
      <c r="Q332" s="174">
        <v>329</v>
      </c>
      <c r="R332" s="176" t="s">
        <v>485</v>
      </c>
      <c r="S332" s="176" t="s">
        <v>486</v>
      </c>
      <c r="T332" s="240" t="s">
        <v>1281</v>
      </c>
      <c r="U332" s="238">
        <v>109.19159999999999</v>
      </c>
      <c r="V332" s="238">
        <v>12.2448</v>
      </c>
      <c r="W332" s="238">
        <v>3.32E-2</v>
      </c>
    </row>
    <row r="333" spans="17:23" ht="20.100000000000001" customHeight="1">
      <c r="Q333" s="174">
        <v>330</v>
      </c>
      <c r="R333" s="176" t="s">
        <v>485</v>
      </c>
      <c r="S333" s="176" t="s">
        <v>487</v>
      </c>
      <c r="T333" s="240" t="s">
        <v>1282</v>
      </c>
      <c r="U333" s="238">
        <v>109.13330000000001</v>
      </c>
      <c r="V333" s="238">
        <v>11.913</v>
      </c>
      <c r="W333" s="238">
        <v>2.1499999999999998E-2</v>
      </c>
    </row>
    <row r="334" spans="17:23" ht="20.100000000000001" customHeight="1">
      <c r="Q334" s="174">
        <v>331</v>
      </c>
      <c r="R334" s="176" t="s">
        <v>485</v>
      </c>
      <c r="S334" s="176" t="s">
        <v>488</v>
      </c>
      <c r="T334" s="240" t="s">
        <v>1283</v>
      </c>
      <c r="U334" s="238">
        <v>109.0984</v>
      </c>
      <c r="V334" s="238">
        <v>12.2577</v>
      </c>
      <c r="W334" s="238">
        <v>2.9899999999999999E-2</v>
      </c>
    </row>
    <row r="335" spans="17:23" ht="20.100000000000001" customHeight="1">
      <c r="Q335" s="174">
        <v>332</v>
      </c>
      <c r="R335" s="176" t="s">
        <v>485</v>
      </c>
      <c r="S335" s="176" t="s">
        <v>489</v>
      </c>
      <c r="T335" s="240" t="s">
        <v>1284</v>
      </c>
      <c r="U335" s="238">
        <v>108.9512</v>
      </c>
      <c r="V335" s="238">
        <v>12.002800000000001</v>
      </c>
      <c r="W335" s="238">
        <v>4.4999999999999998E-2</v>
      </c>
    </row>
    <row r="336" spans="17:23" ht="20.100000000000001" customHeight="1">
      <c r="Q336" s="174">
        <v>333</v>
      </c>
      <c r="R336" s="176" t="s">
        <v>485</v>
      </c>
      <c r="S336" s="176" t="s">
        <v>490</v>
      </c>
      <c r="T336" s="240" t="s">
        <v>1285</v>
      </c>
      <c r="U336" s="238">
        <v>108.9046</v>
      </c>
      <c r="V336" s="238">
        <v>12.2799</v>
      </c>
      <c r="W336" s="238">
        <v>2.01E-2</v>
      </c>
    </row>
    <row r="337" spans="17:23" ht="20.100000000000001" customHeight="1">
      <c r="Q337" s="174">
        <v>334</v>
      </c>
      <c r="R337" s="176" t="s">
        <v>485</v>
      </c>
      <c r="S337" s="176" t="s">
        <v>491</v>
      </c>
      <c r="T337" s="240" t="s">
        <v>1286</v>
      </c>
      <c r="U337" s="238">
        <v>109.12569999999999</v>
      </c>
      <c r="V337" s="238">
        <v>12.490500000000001</v>
      </c>
      <c r="W337" s="238">
        <v>3.4299999999999997E-2</v>
      </c>
    </row>
    <row r="338" spans="17:23" ht="20.100000000000001" customHeight="1">
      <c r="Q338" s="174">
        <v>335</v>
      </c>
      <c r="R338" s="176" t="s">
        <v>485</v>
      </c>
      <c r="S338" s="176" t="s">
        <v>850</v>
      </c>
      <c r="T338" s="240" t="s">
        <v>1029</v>
      </c>
      <c r="U338" s="238">
        <v>114.41800000000001</v>
      </c>
      <c r="V338" s="238">
        <v>7.8177000000000003</v>
      </c>
      <c r="W338" s="238">
        <v>1.6899999999999998E-2</v>
      </c>
    </row>
    <row r="339" spans="17:23" ht="20.100000000000001" customHeight="1">
      <c r="Q339" s="174">
        <v>336</v>
      </c>
      <c r="R339" s="176" t="s">
        <v>485</v>
      </c>
      <c r="S339" s="176" t="s">
        <v>492</v>
      </c>
      <c r="T339" s="240" t="s">
        <v>1287</v>
      </c>
      <c r="U339" s="238">
        <v>109.22709999999999</v>
      </c>
      <c r="V339" s="238">
        <v>12.698399999999999</v>
      </c>
      <c r="W339" s="238">
        <v>1.9699999999999999E-2</v>
      </c>
    </row>
    <row r="340" spans="17:23" ht="20.100000000000001" customHeight="1">
      <c r="Q340" s="174">
        <v>337</v>
      </c>
      <c r="R340" s="176" t="s">
        <v>493</v>
      </c>
      <c r="S340" s="176" t="s">
        <v>494</v>
      </c>
      <c r="T340" s="240" t="s">
        <v>1288</v>
      </c>
      <c r="U340" s="238">
        <v>104.4902</v>
      </c>
      <c r="V340" s="238">
        <v>10.3857</v>
      </c>
      <c r="W340" s="238">
        <v>5.7000000000000002E-3</v>
      </c>
    </row>
    <row r="341" spans="17:23" ht="20.100000000000001" customHeight="1">
      <c r="Q341" s="174">
        <v>338</v>
      </c>
      <c r="R341" s="176" t="s">
        <v>493</v>
      </c>
      <c r="S341" s="176" t="s">
        <v>495</v>
      </c>
      <c r="T341" s="240" t="s">
        <v>1289</v>
      </c>
      <c r="U341" s="238">
        <v>105.0866</v>
      </c>
      <c r="V341" s="238">
        <v>10.0106</v>
      </c>
      <c r="W341" s="238">
        <v>9.4000000000000004E-3</v>
      </c>
    </row>
    <row r="342" spans="17:23" ht="20.100000000000001" customHeight="1">
      <c r="Q342" s="174">
        <v>339</v>
      </c>
      <c r="R342" s="176" t="s">
        <v>493</v>
      </c>
      <c r="S342" s="176" t="s">
        <v>496</v>
      </c>
      <c r="T342" s="240" t="s">
        <v>1290</v>
      </c>
      <c r="U342" s="238">
        <v>105.0617</v>
      </c>
      <c r="V342" s="238">
        <v>9.8110999999999997</v>
      </c>
      <c r="W342" s="238">
        <v>7.4000000000000003E-3</v>
      </c>
    </row>
    <row r="343" spans="17:23" ht="20.100000000000001" customHeight="1">
      <c r="Q343" s="174">
        <v>340</v>
      </c>
      <c r="R343" s="176" t="s">
        <v>493</v>
      </c>
      <c r="S343" s="176" t="s">
        <v>497</v>
      </c>
      <c r="T343" s="240" t="s">
        <v>1291</v>
      </c>
      <c r="U343" s="238">
        <v>104.9464</v>
      </c>
      <c r="V343" s="238">
        <v>9.6122999999999994</v>
      </c>
      <c r="W343" s="238">
        <v>5.8999999999999999E-3</v>
      </c>
    </row>
    <row r="344" spans="17:23" ht="20.100000000000001" customHeight="1">
      <c r="Q344" s="174">
        <v>341</v>
      </c>
      <c r="R344" s="176" t="s">
        <v>493</v>
      </c>
      <c r="S344" s="176" t="s">
        <v>241</v>
      </c>
      <c r="T344" s="240" t="s">
        <v>1292</v>
      </c>
      <c r="U344" s="238">
        <v>105.1587</v>
      </c>
      <c r="V344" s="238">
        <v>9.9032999999999998</v>
      </c>
      <c r="W344" s="238">
        <v>9.1999999999999998E-3</v>
      </c>
    </row>
    <row r="345" spans="17:23" ht="20.100000000000001" customHeight="1">
      <c r="Q345" s="174">
        <v>342</v>
      </c>
      <c r="R345" s="176" t="s">
        <v>493</v>
      </c>
      <c r="S345" s="176" t="s">
        <v>498</v>
      </c>
      <c r="T345" s="240" t="s">
        <v>1293</v>
      </c>
      <c r="U345" s="238">
        <v>105.3125</v>
      </c>
      <c r="V345" s="238">
        <v>9.9085000000000001</v>
      </c>
      <c r="W345" s="238">
        <v>1.17E-2</v>
      </c>
    </row>
    <row r="346" spans="17:23" ht="20.100000000000001" customHeight="1">
      <c r="Q346" s="174">
        <v>343</v>
      </c>
      <c r="R346" s="176" t="s">
        <v>493</v>
      </c>
      <c r="S346" s="176" t="s">
        <v>499</v>
      </c>
      <c r="T346" s="240" t="s">
        <v>1294</v>
      </c>
      <c r="U346" s="238">
        <v>105.27209999999999</v>
      </c>
      <c r="V346" s="238">
        <v>9.7311999999999994</v>
      </c>
      <c r="W346" s="238">
        <v>8.6999999999999994E-3</v>
      </c>
    </row>
    <row r="347" spans="17:23" ht="20.100000000000001" customHeight="1">
      <c r="Q347" s="174">
        <v>344</v>
      </c>
      <c r="R347" s="176" t="s">
        <v>493</v>
      </c>
      <c r="S347" s="176" t="s">
        <v>500</v>
      </c>
      <c r="T347" s="240" t="s">
        <v>1295</v>
      </c>
      <c r="U347" s="238">
        <v>104.9258</v>
      </c>
      <c r="V347" s="238">
        <v>10.1869</v>
      </c>
      <c r="W347" s="238">
        <v>9.4000000000000004E-3</v>
      </c>
    </row>
    <row r="348" spans="17:23" ht="20.100000000000001" customHeight="1">
      <c r="Q348" s="174">
        <v>345</v>
      </c>
      <c r="R348" s="176" t="s">
        <v>493</v>
      </c>
      <c r="S348" s="176" t="s">
        <v>501</v>
      </c>
      <c r="T348" s="240" t="s">
        <v>1029</v>
      </c>
      <c r="U348" s="238">
        <v>104.30200000000001</v>
      </c>
      <c r="V348" s="238">
        <v>9.7204999999999995</v>
      </c>
      <c r="W348" s="238">
        <v>4.0000000000000001E-3</v>
      </c>
    </row>
    <row r="349" spans="17:23" ht="20.100000000000001" customHeight="1">
      <c r="Q349" s="174">
        <v>346</v>
      </c>
      <c r="R349" s="176" t="s">
        <v>493</v>
      </c>
      <c r="S349" s="176" t="s">
        <v>811</v>
      </c>
      <c r="T349" s="240" t="s">
        <v>1296</v>
      </c>
      <c r="U349" s="238">
        <v>104.643</v>
      </c>
      <c r="V349" s="238">
        <v>10.2858</v>
      </c>
      <c r="W349" s="238">
        <v>6.8999999999999999E-3</v>
      </c>
    </row>
    <row r="350" spans="17:23" ht="20.100000000000001" customHeight="1">
      <c r="Q350" s="174">
        <v>347</v>
      </c>
      <c r="R350" s="176" t="s">
        <v>493</v>
      </c>
      <c r="S350" s="176" t="s">
        <v>502</v>
      </c>
      <c r="T350" s="240" t="s">
        <v>1297</v>
      </c>
      <c r="U350" s="238">
        <v>103.9584</v>
      </c>
      <c r="V350" s="238">
        <v>10.2125</v>
      </c>
      <c r="W350" s="238">
        <v>4.0000000000000001E-3</v>
      </c>
    </row>
    <row r="351" spans="17:23" ht="20.100000000000001" customHeight="1">
      <c r="Q351" s="174">
        <v>348</v>
      </c>
      <c r="R351" s="176" t="s">
        <v>493</v>
      </c>
      <c r="S351" s="176" t="s">
        <v>503</v>
      </c>
      <c r="T351" s="240" t="s">
        <v>1298</v>
      </c>
      <c r="U351" s="238">
        <v>105.29989999999999</v>
      </c>
      <c r="V351" s="238">
        <v>10.1309</v>
      </c>
      <c r="W351" s="238">
        <v>1.7899999999999999E-2</v>
      </c>
    </row>
    <row r="352" spans="17:23" ht="20.100000000000001" customHeight="1">
      <c r="Q352" s="174">
        <v>349</v>
      </c>
      <c r="R352" s="176" t="s">
        <v>493</v>
      </c>
      <c r="S352" s="176" t="s">
        <v>504</v>
      </c>
      <c r="T352" s="240" t="s">
        <v>1299</v>
      </c>
      <c r="U352" s="238">
        <v>105.2589</v>
      </c>
      <c r="V352" s="238">
        <v>9.5126000000000008</v>
      </c>
      <c r="W352" s="238">
        <v>8.2000000000000007E-3</v>
      </c>
    </row>
    <row r="353" spans="17:23" ht="20.100000000000001" customHeight="1">
      <c r="Q353" s="174">
        <v>350</v>
      </c>
      <c r="R353" s="176" t="s">
        <v>209</v>
      </c>
      <c r="S353" s="176" t="s">
        <v>505</v>
      </c>
      <c r="T353" s="240" t="s">
        <v>1300</v>
      </c>
      <c r="U353" s="238">
        <v>108.0073</v>
      </c>
      <c r="V353" s="238">
        <v>14.354699999999999</v>
      </c>
      <c r="W353" s="238">
        <v>7.5800000000000006E-2</v>
      </c>
    </row>
    <row r="354" spans="17:23" ht="20.100000000000001" customHeight="1">
      <c r="Q354" s="174">
        <v>351</v>
      </c>
      <c r="R354" s="176" t="s">
        <v>209</v>
      </c>
      <c r="S354" s="176" t="s">
        <v>506</v>
      </c>
      <c r="T354" s="240" t="s">
        <v>1301</v>
      </c>
      <c r="U354" s="238">
        <v>107.7364</v>
      </c>
      <c r="V354" s="238">
        <v>15.0914</v>
      </c>
      <c r="W354" s="238">
        <v>7.17E-2</v>
      </c>
    </row>
    <row r="355" spans="17:23" ht="20.100000000000001" customHeight="1">
      <c r="Q355" s="174">
        <v>352</v>
      </c>
      <c r="R355" s="176" t="s">
        <v>209</v>
      </c>
      <c r="S355" s="176" t="s">
        <v>507</v>
      </c>
      <c r="T355" s="240" t="s">
        <v>1302</v>
      </c>
      <c r="U355" s="238">
        <v>107.9194</v>
      </c>
      <c r="V355" s="238">
        <v>14.526400000000001</v>
      </c>
      <c r="W355" s="238">
        <v>5.0500000000000003E-2</v>
      </c>
    </row>
    <row r="356" spans="17:23" ht="20.100000000000001" customHeight="1">
      <c r="Q356" s="174">
        <v>353</v>
      </c>
      <c r="R356" s="176" t="s">
        <v>209</v>
      </c>
      <c r="S356" s="176" t="s">
        <v>508</v>
      </c>
      <c r="T356" s="240" t="s">
        <v>1303</v>
      </c>
      <c r="U356" s="238">
        <v>107.8386</v>
      </c>
      <c r="V356" s="238">
        <v>14.6615</v>
      </c>
      <c r="W356" s="238">
        <v>5.5E-2</v>
      </c>
    </row>
    <row r="357" spans="17:23" ht="20.100000000000001" customHeight="1">
      <c r="Q357" s="174">
        <v>354</v>
      </c>
      <c r="R357" s="176" t="s">
        <v>209</v>
      </c>
      <c r="S357" s="176" t="s">
        <v>509</v>
      </c>
      <c r="T357" s="240" t="s">
        <v>1304</v>
      </c>
      <c r="U357" s="238">
        <v>108.3459</v>
      </c>
      <c r="V357" s="238">
        <v>14.6134</v>
      </c>
      <c r="W357" s="238">
        <v>7.6200000000000004E-2</v>
      </c>
    </row>
    <row r="358" spans="17:23" ht="20.100000000000001" customHeight="1">
      <c r="Q358" s="174">
        <v>355</v>
      </c>
      <c r="R358" s="176" t="s">
        <v>209</v>
      </c>
      <c r="S358" s="176" t="s">
        <v>510</v>
      </c>
      <c r="T358" s="240" t="s">
        <v>1305</v>
      </c>
      <c r="U358" s="238">
        <v>108.2508</v>
      </c>
      <c r="V358" s="238">
        <v>14.5197</v>
      </c>
      <c r="W358" s="238">
        <v>7.9600000000000004E-2</v>
      </c>
    </row>
    <row r="359" spans="17:23" ht="20.100000000000001" customHeight="1">
      <c r="Q359" s="174">
        <v>356</v>
      </c>
      <c r="R359" s="176" t="s">
        <v>209</v>
      </c>
      <c r="S359" s="176" t="s">
        <v>511</v>
      </c>
      <c r="T359" s="240" t="s">
        <v>1306</v>
      </c>
      <c r="U359" s="238">
        <v>107.6962</v>
      </c>
      <c r="V359" s="238">
        <v>14.707000000000001</v>
      </c>
      <c r="W359" s="238">
        <v>7.3800000000000004E-2</v>
      </c>
    </row>
    <row r="360" spans="17:23" ht="20.100000000000001" customHeight="1">
      <c r="Q360" s="174">
        <v>357</v>
      </c>
      <c r="R360" s="176" t="s">
        <v>209</v>
      </c>
      <c r="S360" s="176" t="s">
        <v>512</v>
      </c>
      <c r="T360" s="240" t="s">
        <v>1307</v>
      </c>
      <c r="U360" s="238">
        <v>107.7933</v>
      </c>
      <c r="V360" s="238">
        <v>14.420199999999999</v>
      </c>
      <c r="W360" s="238">
        <v>5.4199999999999998E-2</v>
      </c>
    </row>
    <row r="361" spans="17:23" ht="20.100000000000001" customHeight="1">
      <c r="Q361" s="174">
        <v>358</v>
      </c>
      <c r="R361" s="176" t="s">
        <v>513</v>
      </c>
      <c r="S361" s="176" t="s">
        <v>369</v>
      </c>
      <c r="T361" s="240"/>
      <c r="U361" s="238">
        <v>103.4729</v>
      </c>
      <c r="V361" s="238">
        <v>22.3916</v>
      </c>
      <c r="W361" s="238">
        <v>7.0000000000000007E-2</v>
      </c>
    </row>
    <row r="362" spans="17:23" ht="20.100000000000001" customHeight="1">
      <c r="Q362" s="174">
        <v>359</v>
      </c>
      <c r="R362" s="176" t="s">
        <v>513</v>
      </c>
      <c r="S362" s="176" t="s">
        <v>847</v>
      </c>
      <c r="T362" s="240" t="s">
        <v>1308</v>
      </c>
      <c r="U362" s="238">
        <v>102.8201</v>
      </c>
      <c r="V362" s="238">
        <v>22.3871</v>
      </c>
      <c r="W362" s="238">
        <v>0.1195</v>
      </c>
    </row>
    <row r="363" spans="17:23" ht="20.100000000000001" customHeight="1">
      <c r="Q363" s="174">
        <v>360</v>
      </c>
      <c r="R363" s="176" t="s">
        <v>513</v>
      </c>
      <c r="S363" s="176" t="s">
        <v>514</v>
      </c>
      <c r="T363" s="240" t="s">
        <v>1309</v>
      </c>
      <c r="U363" s="238">
        <v>103.4629</v>
      </c>
      <c r="V363" s="238">
        <v>22.385899999999999</v>
      </c>
      <c r="W363" s="238">
        <v>7.0099999999999996E-2</v>
      </c>
    </row>
    <row r="364" spans="17:23" ht="20.100000000000001" customHeight="1">
      <c r="Q364" s="174">
        <v>361</v>
      </c>
      <c r="R364" s="176" t="s">
        <v>513</v>
      </c>
      <c r="S364" s="176" t="s">
        <v>515</v>
      </c>
      <c r="T364" s="240" t="s">
        <v>1310</v>
      </c>
      <c r="U364" s="238">
        <v>103.2513</v>
      </c>
      <c r="V364" s="238">
        <v>22.351099999999999</v>
      </c>
      <c r="W364" s="238">
        <v>0.12970000000000001</v>
      </c>
    </row>
    <row r="365" spans="17:23" ht="20.100000000000001" customHeight="1">
      <c r="Q365" s="174">
        <v>362</v>
      </c>
      <c r="R365" s="176" t="s">
        <v>513</v>
      </c>
      <c r="S365" s="176" t="s">
        <v>851</v>
      </c>
      <c r="T365" s="240" t="s">
        <v>1311</v>
      </c>
      <c r="U365" s="238">
        <v>103.4729</v>
      </c>
      <c r="V365" s="238">
        <v>22.3916</v>
      </c>
      <c r="W365" s="238">
        <v>7.0099999999999996E-2</v>
      </c>
    </row>
    <row r="366" spans="17:23" ht="20.100000000000001" customHeight="1">
      <c r="Q366" s="174">
        <v>363</v>
      </c>
      <c r="R366" s="176" t="s">
        <v>513</v>
      </c>
      <c r="S366" s="176" t="s">
        <v>516</v>
      </c>
      <c r="T366" s="240" t="s">
        <v>1312</v>
      </c>
      <c r="U366" s="238">
        <v>103.8897</v>
      </c>
      <c r="V366" s="238">
        <v>21.962800000000001</v>
      </c>
      <c r="W366" s="238">
        <v>0.1152</v>
      </c>
    </row>
    <row r="367" spans="17:23" ht="20.100000000000001" customHeight="1">
      <c r="Q367" s="174">
        <v>364</v>
      </c>
      <c r="R367" s="176" t="s">
        <v>517</v>
      </c>
      <c r="S367" s="176" t="s">
        <v>518</v>
      </c>
      <c r="T367" s="240" t="s">
        <v>1313</v>
      </c>
      <c r="U367" s="238">
        <v>106.76</v>
      </c>
      <c r="V367" s="238">
        <v>21.8535</v>
      </c>
      <c r="W367" s="238">
        <v>8.0500000000000002E-2</v>
      </c>
    </row>
    <row r="368" spans="17:23" ht="20.100000000000001" customHeight="1">
      <c r="Q368" s="174">
        <v>365</v>
      </c>
      <c r="R368" s="176" t="s">
        <v>517</v>
      </c>
      <c r="S368" s="176" t="s">
        <v>519</v>
      </c>
      <c r="T368" s="240" t="s">
        <v>1314</v>
      </c>
      <c r="U368" s="238">
        <v>106.3172</v>
      </c>
      <c r="V368" s="238">
        <v>21.901900000000001</v>
      </c>
      <c r="W368" s="238">
        <v>1.7600000000000001E-2</v>
      </c>
    </row>
    <row r="369" spans="17:23" ht="20.100000000000001" customHeight="1">
      <c r="Q369" s="174">
        <v>366</v>
      </c>
      <c r="R369" s="176" t="s">
        <v>517</v>
      </c>
      <c r="S369" s="176" t="s">
        <v>520</v>
      </c>
      <c r="T369" s="240" t="s">
        <v>1315</v>
      </c>
      <c r="U369" s="238">
        <v>106.3716</v>
      </c>
      <c r="V369" s="238">
        <v>21.948399999999999</v>
      </c>
      <c r="W369" s="238">
        <v>2.0500000000000001E-2</v>
      </c>
    </row>
    <row r="370" spans="17:23" ht="20.100000000000001" customHeight="1">
      <c r="Q370" s="174">
        <v>367</v>
      </c>
      <c r="R370" s="176" t="s">
        <v>517</v>
      </c>
      <c r="S370" s="176" t="s">
        <v>521</v>
      </c>
      <c r="T370" s="240" t="s">
        <v>1316</v>
      </c>
      <c r="U370" s="238">
        <v>106.7684</v>
      </c>
      <c r="V370" s="238">
        <v>21.866299999999999</v>
      </c>
      <c r="W370" s="238">
        <v>8.0199999999999994E-2</v>
      </c>
    </row>
    <row r="371" spans="17:23" ht="20.100000000000001" customHeight="1">
      <c r="Q371" s="174">
        <v>368</v>
      </c>
      <c r="R371" s="176" t="s">
        <v>517</v>
      </c>
      <c r="S371" s="176" t="s">
        <v>522</v>
      </c>
      <c r="T371" s="240" t="s">
        <v>1317</v>
      </c>
      <c r="U371" s="238">
        <v>106.57640000000001</v>
      </c>
      <c r="V371" s="238">
        <v>21.661000000000001</v>
      </c>
      <c r="W371" s="238">
        <v>2.1299999999999999E-2</v>
      </c>
    </row>
    <row r="372" spans="17:23" ht="20.100000000000001" customHeight="1">
      <c r="Q372" s="174">
        <v>369</v>
      </c>
      <c r="R372" s="176" t="s">
        <v>517</v>
      </c>
      <c r="S372" s="176" t="s">
        <v>523</v>
      </c>
      <c r="T372" s="240" t="s">
        <v>1318</v>
      </c>
      <c r="U372" s="238">
        <v>107.0962</v>
      </c>
      <c r="V372" s="238">
        <v>21.546199999999999</v>
      </c>
      <c r="W372" s="238">
        <v>8.0199999999999994E-2</v>
      </c>
    </row>
    <row r="373" spans="17:23" ht="20.100000000000001" customHeight="1">
      <c r="Q373" s="174">
        <v>370</v>
      </c>
      <c r="R373" s="176" t="s">
        <v>517</v>
      </c>
      <c r="S373" s="176" t="s">
        <v>524</v>
      </c>
      <c r="T373" s="240" t="s">
        <v>1319</v>
      </c>
      <c r="U373" s="238">
        <v>106.3449</v>
      </c>
      <c r="V373" s="238">
        <v>21.509699999999999</v>
      </c>
      <c r="W373" s="238">
        <v>8.2000000000000003E-2</v>
      </c>
    </row>
    <row r="374" spans="17:23" ht="20.100000000000001" customHeight="1">
      <c r="Q374" s="174">
        <v>371</v>
      </c>
      <c r="R374" s="176" t="s">
        <v>517</v>
      </c>
      <c r="S374" s="176" t="s">
        <v>525</v>
      </c>
      <c r="T374" s="240" t="s">
        <v>1320</v>
      </c>
      <c r="U374" s="238">
        <v>106.9265</v>
      </c>
      <c r="V374" s="238">
        <v>21.757300000000001</v>
      </c>
      <c r="W374" s="238">
        <v>8.0600000000000005E-2</v>
      </c>
    </row>
    <row r="375" spans="17:23" ht="20.100000000000001" customHeight="1">
      <c r="Q375" s="174">
        <v>372</v>
      </c>
      <c r="R375" s="176" t="s">
        <v>517</v>
      </c>
      <c r="S375" s="176" t="s">
        <v>526</v>
      </c>
      <c r="T375" s="240" t="s">
        <v>1321</v>
      </c>
      <c r="U375" s="238">
        <v>106.473</v>
      </c>
      <c r="V375" s="238">
        <v>22.2531</v>
      </c>
      <c r="W375" s="238">
        <v>8.0100000000000005E-2</v>
      </c>
    </row>
    <row r="376" spans="17:23" ht="20.100000000000001" customHeight="1">
      <c r="Q376" s="174">
        <v>373</v>
      </c>
      <c r="R376" s="176" t="s">
        <v>517</v>
      </c>
      <c r="S376" s="176" t="s">
        <v>527</v>
      </c>
      <c r="T376" s="240" t="s">
        <v>1322</v>
      </c>
      <c r="U376" s="238">
        <v>106.6161</v>
      </c>
      <c r="V376" s="238">
        <v>22.054500000000001</v>
      </c>
      <c r="W376" s="238">
        <v>8.0199999999999994E-2</v>
      </c>
    </row>
    <row r="377" spans="17:23" ht="20.100000000000001" customHeight="1">
      <c r="Q377" s="174">
        <v>374</v>
      </c>
      <c r="R377" s="176" t="s">
        <v>517</v>
      </c>
      <c r="S377" s="176" t="s">
        <v>528</v>
      </c>
      <c r="T377" s="240" t="s">
        <v>1323</v>
      </c>
      <c r="U377" s="238">
        <v>106.54730000000001</v>
      </c>
      <c r="V377" s="238">
        <v>21.8657</v>
      </c>
      <c r="W377" s="238">
        <v>3.0099999999999998E-2</v>
      </c>
    </row>
    <row r="378" spans="17:23" ht="20.100000000000001" customHeight="1">
      <c r="Q378" s="174">
        <v>375</v>
      </c>
      <c r="R378" s="176" t="s">
        <v>529</v>
      </c>
      <c r="S378" s="176" t="s">
        <v>530</v>
      </c>
      <c r="T378" s="240" t="s">
        <v>1324</v>
      </c>
      <c r="U378" s="238">
        <v>103.96850000000001</v>
      </c>
      <c r="V378" s="238">
        <v>22.507100000000001</v>
      </c>
      <c r="W378" s="238">
        <v>0.1116</v>
      </c>
    </row>
    <row r="379" spans="17:23" ht="20.100000000000001" customHeight="1">
      <c r="Q379" s="174">
        <v>376</v>
      </c>
      <c r="R379" s="176" t="s">
        <v>529</v>
      </c>
      <c r="S379" s="176" t="s">
        <v>1586</v>
      </c>
      <c r="T379" s="240" t="s">
        <v>1325</v>
      </c>
      <c r="U379" s="238">
        <v>104.01600000000001</v>
      </c>
      <c r="V379" s="238">
        <v>22.417999999999999</v>
      </c>
      <c r="W379" s="238">
        <v>9.7199999999999995E-2</v>
      </c>
    </row>
    <row r="380" spans="17:23" ht="20.100000000000001" customHeight="1">
      <c r="Q380" s="174">
        <v>377</v>
      </c>
      <c r="R380" s="176" t="s">
        <v>529</v>
      </c>
      <c r="S380" s="176" t="s">
        <v>531</v>
      </c>
      <c r="T380" s="240" t="s">
        <v>1326</v>
      </c>
      <c r="U380" s="238">
        <v>104.2915</v>
      </c>
      <c r="V380" s="238">
        <v>22.5395</v>
      </c>
      <c r="W380" s="238">
        <v>5.9299999999999999E-2</v>
      </c>
    </row>
    <row r="381" spans="17:23" ht="20.100000000000001" customHeight="1">
      <c r="Q381" s="174">
        <v>378</v>
      </c>
      <c r="R381" s="176" t="s">
        <v>529</v>
      </c>
      <c r="S381" s="176" t="s">
        <v>532</v>
      </c>
      <c r="T381" s="240" t="s">
        <v>1327</v>
      </c>
      <c r="U381" s="238">
        <v>104.1867</v>
      </c>
      <c r="V381" s="238">
        <v>22.3185</v>
      </c>
      <c r="W381" s="238">
        <v>0.1094</v>
      </c>
    </row>
    <row r="382" spans="17:23" ht="20.100000000000001" customHeight="1">
      <c r="Q382" s="174">
        <v>379</v>
      </c>
      <c r="R382" s="176" t="s">
        <v>529</v>
      </c>
      <c r="S382" s="176" t="s">
        <v>533</v>
      </c>
      <c r="T382" s="240" t="s">
        <v>1328</v>
      </c>
      <c r="U382" s="238">
        <v>104.4765</v>
      </c>
      <c r="V382" s="238">
        <v>22.237400000000001</v>
      </c>
      <c r="W382" s="238">
        <v>0.1132</v>
      </c>
    </row>
    <row r="383" spans="17:23" ht="20.100000000000001" customHeight="1">
      <c r="Q383" s="174">
        <v>380</v>
      </c>
      <c r="R383" s="176" t="s">
        <v>529</v>
      </c>
      <c r="S383" s="176" t="s">
        <v>534</v>
      </c>
      <c r="T383" s="240" t="s">
        <v>1329</v>
      </c>
      <c r="U383" s="238">
        <v>103.89360000000001</v>
      </c>
      <c r="V383" s="238">
        <v>22.536999999999999</v>
      </c>
      <c r="W383" s="238">
        <v>0.1042</v>
      </c>
    </row>
    <row r="384" spans="17:23" ht="20.100000000000001" customHeight="1">
      <c r="Q384" s="174">
        <v>381</v>
      </c>
      <c r="R384" s="176" t="s">
        <v>529</v>
      </c>
      <c r="S384" s="176" t="s">
        <v>852</v>
      </c>
      <c r="T384" s="240" t="s">
        <v>1330</v>
      </c>
      <c r="U384" s="238">
        <v>104.10299999999999</v>
      </c>
      <c r="V384" s="238">
        <v>22.7713</v>
      </c>
      <c r="W384" s="238">
        <v>3.8399999999999997E-2</v>
      </c>
    </row>
    <row r="385" spans="17:23" ht="20.100000000000001" customHeight="1">
      <c r="Q385" s="174">
        <v>382</v>
      </c>
      <c r="R385" s="176" t="s">
        <v>529</v>
      </c>
      <c r="S385" s="176" t="s">
        <v>535</v>
      </c>
      <c r="T385" s="240" t="s">
        <v>1331</v>
      </c>
      <c r="U385" s="238">
        <v>103.8456</v>
      </c>
      <c r="V385" s="238">
        <v>22.3352</v>
      </c>
      <c r="W385" s="238">
        <v>4.2700000000000002E-2</v>
      </c>
    </row>
    <row r="386" spans="17:23" ht="20.100000000000001" customHeight="1">
      <c r="Q386" s="174">
        <v>383</v>
      </c>
      <c r="R386" s="176" t="s">
        <v>529</v>
      </c>
      <c r="S386" s="176" t="s">
        <v>536</v>
      </c>
      <c r="T386" s="240" t="s">
        <v>1332</v>
      </c>
      <c r="U386" s="238">
        <v>104.2508</v>
      </c>
      <c r="V386" s="238">
        <v>22.091799999999999</v>
      </c>
      <c r="W386" s="238">
        <v>5.67E-2</v>
      </c>
    </row>
    <row r="387" spans="17:23" ht="20.100000000000001" customHeight="1">
      <c r="Q387" s="174">
        <v>384</v>
      </c>
      <c r="R387" s="176" t="s">
        <v>529</v>
      </c>
      <c r="S387" s="176" t="s">
        <v>537</v>
      </c>
      <c r="T387" s="240" t="s">
        <v>1333</v>
      </c>
      <c r="U387" s="238">
        <v>104.2946</v>
      </c>
      <c r="V387" s="238">
        <v>22.697500000000002</v>
      </c>
      <c r="W387" s="238">
        <v>2.9100000000000001E-2</v>
      </c>
    </row>
    <row r="388" spans="17:23" ht="20.100000000000001" customHeight="1">
      <c r="Q388" s="174">
        <v>385</v>
      </c>
      <c r="R388" s="176" t="s">
        <v>538</v>
      </c>
      <c r="S388" s="176" t="s">
        <v>539</v>
      </c>
      <c r="T388" s="240" t="s">
        <v>1053</v>
      </c>
      <c r="U388" s="238">
        <v>108.434</v>
      </c>
      <c r="V388" s="238">
        <v>11.936</v>
      </c>
      <c r="W388" s="238">
        <v>2.1899999999999999E-2</v>
      </c>
    </row>
    <row r="389" spans="17:23" ht="20.100000000000001" customHeight="1">
      <c r="Q389" s="174">
        <v>386</v>
      </c>
      <c r="R389" s="176" t="s">
        <v>538</v>
      </c>
      <c r="S389" s="176" t="s">
        <v>540</v>
      </c>
      <c r="T389" s="240" t="s">
        <v>1334</v>
      </c>
      <c r="U389" s="238">
        <v>107.8074</v>
      </c>
      <c r="V389" s="238">
        <v>11.542400000000001</v>
      </c>
      <c r="W389" s="238">
        <v>1.54E-2</v>
      </c>
    </row>
    <row r="390" spans="17:23" ht="20.100000000000001" customHeight="1">
      <c r="Q390" s="174">
        <v>387</v>
      </c>
      <c r="R390" s="176" t="s">
        <v>538</v>
      </c>
      <c r="S390" s="176" t="s">
        <v>335</v>
      </c>
      <c r="T390" s="240" t="s">
        <v>1335</v>
      </c>
      <c r="U390" s="238">
        <v>107.8259</v>
      </c>
      <c r="V390" s="238">
        <v>11.642300000000001</v>
      </c>
      <c r="W390" s="238">
        <v>1.7399999999999999E-2</v>
      </c>
    </row>
    <row r="391" spans="17:23" ht="20.100000000000001" customHeight="1">
      <c r="Q391" s="174">
        <v>388</v>
      </c>
      <c r="R391" s="176" t="s">
        <v>538</v>
      </c>
      <c r="S391" s="176" t="s">
        <v>541</v>
      </c>
      <c r="T391" s="240" t="s">
        <v>1336</v>
      </c>
      <c r="U391" s="238">
        <v>107.3605</v>
      </c>
      <c r="V391" s="238">
        <v>11.584</v>
      </c>
      <c r="W391" s="238">
        <v>4.5499999999999999E-2</v>
      </c>
    </row>
    <row r="392" spans="17:23" ht="20.100000000000001" customHeight="1">
      <c r="Q392" s="174">
        <v>389</v>
      </c>
      <c r="R392" s="176" t="s">
        <v>538</v>
      </c>
      <c r="S392" s="176" t="s">
        <v>542</v>
      </c>
      <c r="T392" s="240" t="s">
        <v>1337</v>
      </c>
      <c r="U392" s="238">
        <v>108.0746</v>
      </c>
      <c r="V392" s="238">
        <v>11.5777</v>
      </c>
      <c r="W392" s="238">
        <v>2.4500000000000001E-2</v>
      </c>
    </row>
    <row r="393" spans="17:23" ht="20.100000000000001" customHeight="1">
      <c r="Q393" s="174">
        <v>390</v>
      </c>
      <c r="R393" s="176" t="s">
        <v>538</v>
      </c>
      <c r="S393" s="176" t="s">
        <v>543</v>
      </c>
      <c r="T393" s="240" t="s">
        <v>1338</v>
      </c>
      <c r="U393" s="238">
        <v>107.5346</v>
      </c>
      <c r="V393" s="238">
        <v>11.387700000000001</v>
      </c>
      <c r="W393" s="238">
        <v>1.54E-2</v>
      </c>
    </row>
    <row r="394" spans="17:23" ht="20.100000000000001" customHeight="1">
      <c r="Q394" s="174">
        <v>391</v>
      </c>
      <c r="R394" s="176" t="s">
        <v>538</v>
      </c>
      <c r="S394" s="176" t="s">
        <v>544</v>
      </c>
      <c r="T394" s="240" t="s">
        <v>1339</v>
      </c>
      <c r="U394" s="238">
        <v>107.4845</v>
      </c>
      <c r="V394" s="238">
        <v>11.5129</v>
      </c>
      <c r="W394" s="238">
        <v>2.2800000000000001E-2</v>
      </c>
    </row>
    <row r="395" spans="17:23" ht="20.100000000000001" customHeight="1">
      <c r="Q395" s="174">
        <v>392</v>
      </c>
      <c r="R395" s="176" t="s">
        <v>538</v>
      </c>
      <c r="S395" s="176" t="s">
        <v>812</v>
      </c>
      <c r="T395" s="240" t="s">
        <v>1340</v>
      </c>
      <c r="U395" s="238">
        <v>108.4924</v>
      </c>
      <c r="V395" s="238">
        <v>11.762600000000001</v>
      </c>
      <c r="W395" s="238">
        <v>4.5699999999999998E-2</v>
      </c>
    </row>
    <row r="396" spans="17:23" ht="20.100000000000001" customHeight="1">
      <c r="Q396" s="174">
        <v>393</v>
      </c>
      <c r="R396" s="176" t="s">
        <v>538</v>
      </c>
      <c r="S396" s="176" t="s">
        <v>545</v>
      </c>
      <c r="T396" s="240" t="s">
        <v>1341</v>
      </c>
      <c r="U396" s="238">
        <v>108.37520000000001</v>
      </c>
      <c r="V396" s="238">
        <v>11.7339</v>
      </c>
      <c r="W396" s="238">
        <v>3.56E-2</v>
      </c>
    </row>
    <row r="397" spans="17:23" ht="20.100000000000001" customHeight="1">
      <c r="Q397" s="174">
        <v>394</v>
      </c>
      <c r="R397" s="176" t="s">
        <v>538</v>
      </c>
      <c r="S397" s="176" t="s">
        <v>546</v>
      </c>
      <c r="T397" s="240" t="s">
        <v>1342</v>
      </c>
      <c r="U397" s="238">
        <v>108.2542</v>
      </c>
      <c r="V397" s="238">
        <v>11.7882</v>
      </c>
      <c r="W397" s="238">
        <v>2.1499999999999998E-2</v>
      </c>
    </row>
    <row r="398" spans="17:23" ht="20.100000000000001" customHeight="1">
      <c r="Q398" s="174">
        <v>395</v>
      </c>
      <c r="R398" s="176" t="s">
        <v>538</v>
      </c>
      <c r="S398" s="176" t="s">
        <v>813</v>
      </c>
      <c r="T398" s="240" t="s">
        <v>1343</v>
      </c>
      <c r="U398" s="238">
        <v>108.4085</v>
      </c>
      <c r="V398" s="238">
        <v>12.0091</v>
      </c>
      <c r="W398" s="238">
        <v>1.8700000000000001E-2</v>
      </c>
    </row>
    <row r="399" spans="17:23" ht="20.100000000000001" customHeight="1">
      <c r="Q399" s="174">
        <v>396</v>
      </c>
      <c r="R399" s="176" t="s">
        <v>210</v>
      </c>
      <c r="S399" s="176" t="s">
        <v>547</v>
      </c>
      <c r="T399" s="240" t="s">
        <v>967</v>
      </c>
      <c r="U399" s="238">
        <v>106.4117</v>
      </c>
      <c r="V399" s="238">
        <v>10.5418</v>
      </c>
      <c r="W399" s="238">
        <v>5.16E-2</v>
      </c>
    </row>
    <row r="400" spans="17:23" ht="20.100000000000001" customHeight="1">
      <c r="Q400" s="174">
        <v>397</v>
      </c>
      <c r="R400" s="176" t="s">
        <v>210</v>
      </c>
      <c r="S400" s="176" t="s">
        <v>548</v>
      </c>
      <c r="T400" s="240" t="s">
        <v>1344</v>
      </c>
      <c r="U400" s="238">
        <v>106.4866</v>
      </c>
      <c r="V400" s="238">
        <v>10.6381</v>
      </c>
      <c r="W400" s="238">
        <v>6.4699999999999994E-2</v>
      </c>
    </row>
    <row r="401" spans="17:23" ht="20.100000000000001" customHeight="1">
      <c r="Q401" s="174">
        <v>398</v>
      </c>
      <c r="R401" s="176" t="s">
        <v>210</v>
      </c>
      <c r="S401" s="176" t="s">
        <v>549</v>
      </c>
      <c r="T401" s="240" t="s">
        <v>1345</v>
      </c>
      <c r="U401" s="238">
        <v>106.67100000000001</v>
      </c>
      <c r="V401" s="238">
        <v>10.6053</v>
      </c>
      <c r="W401" s="238">
        <v>6.2199999999999998E-2</v>
      </c>
    </row>
    <row r="402" spans="17:23" ht="20.100000000000001" customHeight="1">
      <c r="Q402" s="174">
        <v>399</v>
      </c>
      <c r="R402" s="176" t="s">
        <v>210</v>
      </c>
      <c r="S402" s="176" t="s">
        <v>828</v>
      </c>
      <c r="T402" s="240" t="s">
        <v>1346</v>
      </c>
      <c r="U402" s="238">
        <v>106.6048</v>
      </c>
      <c r="V402" s="238">
        <v>10.5036</v>
      </c>
      <c r="W402" s="238">
        <v>6.5000000000000002E-2</v>
      </c>
    </row>
    <row r="403" spans="17:23" ht="20.100000000000001" customHeight="1">
      <c r="Q403" s="174">
        <v>400</v>
      </c>
      <c r="R403" s="176" t="s">
        <v>210</v>
      </c>
      <c r="S403" s="176" t="s">
        <v>241</v>
      </c>
      <c r="T403" s="240" t="s">
        <v>1347</v>
      </c>
      <c r="U403" s="238">
        <v>106.46810000000001</v>
      </c>
      <c r="V403" s="238">
        <v>10.444800000000001</v>
      </c>
      <c r="W403" s="238">
        <v>4.8500000000000001E-2</v>
      </c>
    </row>
    <row r="404" spans="17:23" ht="20.100000000000001" customHeight="1">
      <c r="Q404" s="174">
        <v>401</v>
      </c>
      <c r="R404" s="176" t="s">
        <v>210</v>
      </c>
      <c r="S404" s="176" t="s">
        <v>550</v>
      </c>
      <c r="T404" s="240" t="s">
        <v>1348</v>
      </c>
      <c r="U404" s="238">
        <v>106.38720000000001</v>
      </c>
      <c r="V404" s="238">
        <v>10.9079</v>
      </c>
      <c r="W404" s="238">
        <v>5.3999999999999999E-2</v>
      </c>
    </row>
    <row r="405" spans="17:23" ht="20.100000000000001" customHeight="1">
      <c r="Q405" s="174">
        <v>402</v>
      </c>
      <c r="R405" s="176" t="s">
        <v>210</v>
      </c>
      <c r="S405" s="176" t="s">
        <v>551</v>
      </c>
      <c r="T405" s="240" t="s">
        <v>1349</v>
      </c>
      <c r="U405" s="238">
        <v>106.29640000000001</v>
      </c>
      <c r="V405" s="238">
        <v>10.8986</v>
      </c>
      <c r="W405" s="238">
        <v>6.54E-2</v>
      </c>
    </row>
    <row r="406" spans="17:23" ht="20.100000000000001" customHeight="1">
      <c r="Q406" s="174">
        <v>403</v>
      </c>
      <c r="R406" s="176" t="s">
        <v>210</v>
      </c>
      <c r="S406" s="176" t="s">
        <v>552</v>
      </c>
      <c r="T406" s="240" t="s">
        <v>1350</v>
      </c>
      <c r="U406" s="238">
        <v>105.9376</v>
      </c>
      <c r="V406" s="238">
        <v>10.7775</v>
      </c>
      <c r="W406" s="238">
        <v>1.5800000000000002E-2</v>
      </c>
    </row>
    <row r="407" spans="17:23" ht="20.100000000000001" customHeight="1">
      <c r="Q407" s="174">
        <v>404</v>
      </c>
      <c r="R407" s="176" t="s">
        <v>210</v>
      </c>
      <c r="S407" s="176" t="s">
        <v>860</v>
      </c>
      <c r="T407" s="240" t="s">
        <v>1351</v>
      </c>
      <c r="U407" s="238">
        <v>105.66160000000001</v>
      </c>
      <c r="V407" s="238">
        <v>10.835699999999999</v>
      </c>
      <c r="W407" s="238">
        <v>1.2999999999999999E-2</v>
      </c>
    </row>
    <row r="408" spans="17:23" ht="20.100000000000001" customHeight="1">
      <c r="Q408" s="174">
        <v>405</v>
      </c>
      <c r="R408" s="176" t="s">
        <v>210</v>
      </c>
      <c r="S408" s="176" t="s">
        <v>553</v>
      </c>
      <c r="T408" s="240" t="s">
        <v>1352</v>
      </c>
      <c r="U408" s="238">
        <v>106.04770000000001</v>
      </c>
      <c r="V408" s="238">
        <v>10.6081</v>
      </c>
      <c r="W408" s="238">
        <v>1.5599999999999999E-2</v>
      </c>
    </row>
    <row r="409" spans="17:23" ht="20.100000000000001" customHeight="1">
      <c r="Q409" s="174">
        <v>406</v>
      </c>
      <c r="R409" s="176" t="s">
        <v>210</v>
      </c>
      <c r="S409" s="176" t="s">
        <v>554</v>
      </c>
      <c r="T409" s="240" t="s">
        <v>1353</v>
      </c>
      <c r="U409" s="238">
        <v>106.50790000000001</v>
      </c>
      <c r="V409" s="238">
        <v>10.514799999999999</v>
      </c>
      <c r="W409" s="238">
        <v>6.4000000000000001E-2</v>
      </c>
    </row>
    <row r="410" spans="17:23" ht="20.100000000000001" customHeight="1">
      <c r="Q410" s="174">
        <v>407</v>
      </c>
      <c r="R410" s="176" t="s">
        <v>210</v>
      </c>
      <c r="S410" s="176" t="s">
        <v>555</v>
      </c>
      <c r="T410" s="240" t="s">
        <v>1354</v>
      </c>
      <c r="U410" s="238">
        <v>106.16670000000001</v>
      </c>
      <c r="V410" s="238">
        <v>10.6538</v>
      </c>
      <c r="W410" s="238">
        <v>2.46E-2</v>
      </c>
    </row>
    <row r="411" spans="17:23" ht="20.100000000000001" customHeight="1">
      <c r="Q411" s="174">
        <v>408</v>
      </c>
      <c r="R411" s="176" t="s">
        <v>210</v>
      </c>
      <c r="S411" s="176" t="s">
        <v>556</v>
      </c>
      <c r="T411" s="240" t="s">
        <v>1355</v>
      </c>
      <c r="U411" s="238">
        <v>106.4051</v>
      </c>
      <c r="V411" s="238">
        <v>10.6053</v>
      </c>
      <c r="W411" s="238">
        <v>6.0299999999999999E-2</v>
      </c>
    </row>
    <row r="412" spans="17:23" ht="20.100000000000001" customHeight="1">
      <c r="Q412" s="174">
        <v>409</v>
      </c>
      <c r="R412" s="176" t="s">
        <v>210</v>
      </c>
      <c r="S412" s="176" t="s">
        <v>861</v>
      </c>
      <c r="T412" s="240" t="s">
        <v>1356</v>
      </c>
      <c r="U412" s="238">
        <v>105.78959999999999</v>
      </c>
      <c r="V412" s="238">
        <v>10.886200000000001</v>
      </c>
      <c r="W412" s="238">
        <v>1.37E-2</v>
      </c>
    </row>
    <row r="413" spans="17:23" ht="20.100000000000001" customHeight="1">
      <c r="Q413" s="174">
        <v>410</v>
      </c>
      <c r="R413" s="176" t="s">
        <v>557</v>
      </c>
      <c r="S413" s="176" t="s">
        <v>558</v>
      </c>
      <c r="T413" s="240" t="s">
        <v>1357</v>
      </c>
      <c r="U413" s="238">
        <v>106.1713</v>
      </c>
      <c r="V413" s="238">
        <v>20.427700000000002</v>
      </c>
      <c r="W413" s="238">
        <v>0.11799999999999999</v>
      </c>
    </row>
    <row r="414" spans="17:23" ht="20.100000000000001" customHeight="1">
      <c r="Q414" s="174">
        <v>411</v>
      </c>
      <c r="R414" s="176" t="s">
        <v>557</v>
      </c>
      <c r="S414" s="176" t="s">
        <v>559</v>
      </c>
      <c r="T414" s="240" t="s">
        <v>1358</v>
      </c>
      <c r="U414" s="238">
        <v>106.44070000000001</v>
      </c>
      <c r="V414" s="238">
        <v>20.282900000000001</v>
      </c>
      <c r="W414" s="238">
        <v>0.1145</v>
      </c>
    </row>
    <row r="415" spans="17:23" ht="20.100000000000001" customHeight="1">
      <c r="Q415" s="174">
        <v>412</v>
      </c>
      <c r="R415" s="176" t="s">
        <v>557</v>
      </c>
      <c r="S415" s="176" t="s">
        <v>560</v>
      </c>
      <c r="T415" s="240" t="s">
        <v>1359</v>
      </c>
      <c r="U415" s="238">
        <v>106.2958</v>
      </c>
      <c r="V415" s="238">
        <v>20.1998</v>
      </c>
      <c r="W415" s="238">
        <v>0.1139</v>
      </c>
    </row>
    <row r="416" spans="17:23" ht="20.100000000000001" customHeight="1">
      <c r="Q416" s="174">
        <v>413</v>
      </c>
      <c r="R416" s="176" t="s">
        <v>557</v>
      </c>
      <c r="S416" s="176" t="s">
        <v>561</v>
      </c>
      <c r="T416" s="240" t="s">
        <v>1360</v>
      </c>
      <c r="U416" s="238">
        <v>106.0881</v>
      </c>
      <c r="V416" s="238">
        <v>20.441199999999998</v>
      </c>
      <c r="W416" s="238">
        <v>0.1167</v>
      </c>
    </row>
    <row r="417" spans="17:23" ht="20.100000000000001" customHeight="1">
      <c r="Q417" s="174">
        <v>414</v>
      </c>
      <c r="R417" s="176" t="s">
        <v>557</v>
      </c>
      <c r="S417" s="176" t="s">
        <v>562</v>
      </c>
      <c r="T417" s="240" t="s">
        <v>1361</v>
      </c>
      <c r="U417" s="238">
        <v>106.17610000000001</v>
      </c>
      <c r="V417" s="238">
        <v>20.3355</v>
      </c>
      <c r="W417" s="238">
        <v>0.1142</v>
      </c>
    </row>
    <row r="418" spans="17:23" ht="20.100000000000001" customHeight="1">
      <c r="Q418" s="174">
        <v>415</v>
      </c>
      <c r="R418" s="176" t="s">
        <v>557</v>
      </c>
      <c r="S418" s="176" t="s">
        <v>859</v>
      </c>
      <c r="T418" s="240" t="s">
        <v>1362</v>
      </c>
      <c r="U418" s="238">
        <v>106.18089999999999</v>
      </c>
      <c r="V418" s="238">
        <v>20.220099999999999</v>
      </c>
      <c r="W418" s="238">
        <v>0.1157</v>
      </c>
    </row>
    <row r="419" spans="17:23" ht="20.100000000000001" customHeight="1">
      <c r="Q419" s="174">
        <v>416</v>
      </c>
      <c r="R419" s="176" t="s">
        <v>557</v>
      </c>
      <c r="S419" s="176" t="s">
        <v>563</v>
      </c>
      <c r="T419" s="240" t="s">
        <v>1363</v>
      </c>
      <c r="U419" s="238">
        <v>106.2642</v>
      </c>
      <c r="V419" s="238">
        <v>20.3233</v>
      </c>
      <c r="W419" s="238">
        <v>0.11550000000000001</v>
      </c>
    </row>
    <row r="420" spans="17:23" ht="20.100000000000001" customHeight="1">
      <c r="Q420" s="174">
        <v>417</v>
      </c>
      <c r="R420" s="176" t="s">
        <v>557</v>
      </c>
      <c r="S420" s="176" t="s">
        <v>564</v>
      </c>
      <c r="T420" s="240" t="s">
        <v>1364</v>
      </c>
      <c r="U420" s="238">
        <v>106.0727</v>
      </c>
      <c r="V420" s="238">
        <v>20.331600000000002</v>
      </c>
      <c r="W420" s="238">
        <v>0.1163</v>
      </c>
    </row>
    <row r="421" spans="17:23" ht="20.100000000000001" customHeight="1">
      <c r="Q421" s="174">
        <v>418</v>
      </c>
      <c r="R421" s="176" t="s">
        <v>557</v>
      </c>
      <c r="S421" s="176" t="s">
        <v>853</v>
      </c>
      <c r="T421" s="240" t="s">
        <v>1365</v>
      </c>
      <c r="U421" s="238">
        <v>106.331</v>
      </c>
      <c r="V421" s="238">
        <v>20.2972</v>
      </c>
      <c r="W421" s="238">
        <v>0.1176</v>
      </c>
    </row>
    <row r="422" spans="17:23" ht="20.100000000000001" customHeight="1">
      <c r="Q422" s="174">
        <v>419</v>
      </c>
      <c r="R422" s="176" t="s">
        <v>557</v>
      </c>
      <c r="S422" s="176" t="s">
        <v>858</v>
      </c>
      <c r="T422" s="240" t="s">
        <v>1366</v>
      </c>
      <c r="U422" s="238">
        <v>106.0074</v>
      </c>
      <c r="V422" s="238">
        <v>20.3292</v>
      </c>
      <c r="W422" s="238">
        <v>0.1123</v>
      </c>
    </row>
    <row r="423" spans="17:23" ht="20.100000000000001" customHeight="1">
      <c r="Q423" s="174">
        <v>420</v>
      </c>
      <c r="R423" s="176" t="s">
        <v>565</v>
      </c>
      <c r="S423" s="176" t="s">
        <v>566</v>
      </c>
      <c r="T423" s="240" t="s">
        <v>1367</v>
      </c>
      <c r="U423" s="238">
        <v>105.6814</v>
      </c>
      <c r="V423" s="238">
        <v>18.671199999999999</v>
      </c>
      <c r="W423" s="238">
        <v>0.1041</v>
      </c>
    </row>
    <row r="424" spans="17:23" ht="20.100000000000001" customHeight="1">
      <c r="Q424" s="174">
        <v>421</v>
      </c>
      <c r="R424" s="176" t="s">
        <v>565</v>
      </c>
      <c r="S424" s="176" t="s">
        <v>567</v>
      </c>
      <c r="T424" s="240" t="s">
        <v>1368</v>
      </c>
      <c r="U424" s="238">
        <v>105.7163</v>
      </c>
      <c r="V424" s="238">
        <v>18.819900000000001</v>
      </c>
      <c r="W424" s="238">
        <v>0.1071</v>
      </c>
    </row>
    <row r="425" spans="17:23" ht="20.100000000000001" customHeight="1">
      <c r="Q425" s="174">
        <v>422</v>
      </c>
      <c r="R425" s="176" t="s">
        <v>565</v>
      </c>
      <c r="S425" s="176" t="s">
        <v>568</v>
      </c>
      <c r="T425" s="240" t="s">
        <v>1369</v>
      </c>
      <c r="U425" s="238">
        <v>105.08320000000001</v>
      </c>
      <c r="V425" s="238">
        <v>18.930499999999999</v>
      </c>
      <c r="W425" s="238">
        <v>0.10730000000000001</v>
      </c>
    </row>
    <row r="426" spans="17:23" ht="20.100000000000001" customHeight="1">
      <c r="Q426" s="174">
        <v>423</v>
      </c>
      <c r="R426" s="176" t="s">
        <v>565</v>
      </c>
      <c r="S426" s="176" t="s">
        <v>569</v>
      </c>
      <c r="T426" s="240" t="s">
        <v>1370</v>
      </c>
      <c r="U426" s="238">
        <v>104.8801</v>
      </c>
      <c r="V426" s="238">
        <v>19.049600000000002</v>
      </c>
      <c r="W426" s="238">
        <v>0.11020000000000001</v>
      </c>
    </row>
    <row r="427" spans="17:23" ht="20.100000000000001" customHeight="1">
      <c r="Q427" s="174">
        <v>424</v>
      </c>
      <c r="R427" s="176" t="s">
        <v>565</v>
      </c>
      <c r="S427" s="176" t="s">
        <v>570</v>
      </c>
      <c r="T427" s="240" t="s">
        <v>1371</v>
      </c>
      <c r="U427" s="238">
        <v>105.59910000000001</v>
      </c>
      <c r="V427" s="238">
        <v>18.9771</v>
      </c>
      <c r="W427" s="238">
        <v>7.8799999999999995E-2</v>
      </c>
    </row>
    <row r="428" spans="17:23" ht="20.100000000000001" customHeight="1">
      <c r="Q428" s="174">
        <v>425</v>
      </c>
      <c r="R428" s="176" t="s">
        <v>565</v>
      </c>
      <c r="S428" s="176" t="s">
        <v>814</v>
      </c>
      <c r="T428" s="240" t="s">
        <v>1372</v>
      </c>
      <c r="U428" s="238">
        <v>105.3062</v>
      </c>
      <c r="V428" s="238">
        <v>18.9039</v>
      </c>
      <c r="W428" s="238">
        <v>0.10920000000000001</v>
      </c>
    </row>
    <row r="429" spans="17:23" ht="20.100000000000001" customHeight="1">
      <c r="Q429" s="174">
        <v>426</v>
      </c>
      <c r="R429" s="176" t="s">
        <v>565</v>
      </c>
      <c r="S429" s="176" t="s">
        <v>863</v>
      </c>
      <c r="T429" s="240" t="s">
        <v>1373</v>
      </c>
      <c r="U429" s="238">
        <v>105.6285</v>
      </c>
      <c r="V429" s="238">
        <v>18.671199999999999</v>
      </c>
      <c r="W429" s="238">
        <v>0.1037</v>
      </c>
    </row>
    <row r="430" spans="17:23" ht="20.100000000000001" customHeight="1">
      <c r="Q430" s="174">
        <v>427</v>
      </c>
      <c r="R430" s="176" t="s">
        <v>565</v>
      </c>
      <c r="S430" s="176" t="s">
        <v>469</v>
      </c>
      <c r="T430" s="240" t="s">
        <v>1374</v>
      </c>
      <c r="U430" s="238">
        <v>104.1545</v>
      </c>
      <c r="V430" s="238">
        <v>19.3947</v>
      </c>
      <c r="W430" s="238">
        <v>8.8800000000000004E-2</v>
      </c>
    </row>
    <row r="431" spans="17:23" ht="20.100000000000001" customHeight="1">
      <c r="Q431" s="174">
        <v>428</v>
      </c>
      <c r="R431" s="176" t="s">
        <v>565</v>
      </c>
      <c r="S431" s="176" t="s">
        <v>571</v>
      </c>
      <c r="T431" s="240" t="s">
        <v>1375</v>
      </c>
      <c r="U431" s="238">
        <v>105.4922</v>
      </c>
      <c r="V431" s="238">
        <v>18.702100000000002</v>
      </c>
      <c r="W431" s="238">
        <v>0.1082</v>
      </c>
    </row>
    <row r="432" spans="17:23" ht="20.100000000000001" customHeight="1">
      <c r="Q432" s="174">
        <v>429</v>
      </c>
      <c r="R432" s="176" t="s">
        <v>565</v>
      </c>
      <c r="S432" s="176" t="s">
        <v>572</v>
      </c>
      <c r="T432" s="240" t="s">
        <v>1376</v>
      </c>
      <c r="U432" s="238">
        <v>105.64570000000001</v>
      </c>
      <c r="V432" s="238">
        <v>18.783300000000001</v>
      </c>
      <c r="W432" s="238">
        <v>0.1086</v>
      </c>
    </row>
    <row r="433" spans="17:23" ht="20.100000000000001" customHeight="1">
      <c r="Q433" s="174">
        <v>430</v>
      </c>
      <c r="R433" s="176" t="s">
        <v>565</v>
      </c>
      <c r="S433" s="176" t="s">
        <v>573</v>
      </c>
      <c r="T433" s="240" t="s">
        <v>1377</v>
      </c>
      <c r="U433" s="238">
        <v>105.4359</v>
      </c>
      <c r="V433" s="238">
        <v>19.325700000000001</v>
      </c>
      <c r="W433" s="238">
        <v>4.2700000000000002E-2</v>
      </c>
    </row>
    <row r="434" spans="17:23" ht="20.100000000000001" customHeight="1">
      <c r="Q434" s="174">
        <v>431</v>
      </c>
      <c r="R434" s="176" t="s">
        <v>565</v>
      </c>
      <c r="S434" s="176" t="s">
        <v>574</v>
      </c>
      <c r="T434" s="240" t="s">
        <v>1378</v>
      </c>
      <c r="U434" s="238">
        <v>104.9242</v>
      </c>
      <c r="V434" s="238">
        <v>19.6144</v>
      </c>
      <c r="W434" s="238">
        <v>2.7699999999999999E-2</v>
      </c>
    </row>
    <row r="435" spans="17:23" ht="20.100000000000001" customHeight="1">
      <c r="Q435" s="174">
        <v>432</v>
      </c>
      <c r="R435" s="176" t="s">
        <v>565</v>
      </c>
      <c r="S435" s="176" t="s">
        <v>575</v>
      </c>
      <c r="T435" s="240" t="s">
        <v>1379</v>
      </c>
      <c r="U435" s="238">
        <v>105.0955</v>
      </c>
      <c r="V435" s="238">
        <v>19.548500000000001</v>
      </c>
      <c r="W435" s="238">
        <v>3.5000000000000003E-2</v>
      </c>
    </row>
    <row r="436" spans="17:23" ht="20.100000000000001" customHeight="1">
      <c r="Q436" s="174">
        <v>433</v>
      </c>
      <c r="R436" s="176" t="s">
        <v>565</v>
      </c>
      <c r="S436" s="176" t="s">
        <v>576</v>
      </c>
      <c r="T436" s="240" t="s">
        <v>1380</v>
      </c>
      <c r="U436" s="238">
        <v>105.1837</v>
      </c>
      <c r="V436" s="238">
        <v>19.325399999999998</v>
      </c>
      <c r="W436" s="238">
        <v>3.7400000000000003E-2</v>
      </c>
    </row>
    <row r="437" spans="17:23" ht="20.100000000000001" customHeight="1">
      <c r="Q437" s="174">
        <v>434</v>
      </c>
      <c r="R437" s="176" t="s">
        <v>565</v>
      </c>
      <c r="S437" s="176" t="s">
        <v>862</v>
      </c>
      <c r="T437" s="240" t="s">
        <v>1381</v>
      </c>
      <c r="U437" s="238">
        <v>105.6306</v>
      </c>
      <c r="V437" s="238">
        <v>19.147500000000001</v>
      </c>
      <c r="W437" s="238">
        <v>3.9E-2</v>
      </c>
    </row>
    <row r="438" spans="17:23" ht="20.100000000000001" customHeight="1">
      <c r="Q438" s="174">
        <v>435</v>
      </c>
      <c r="R438" s="176" t="s">
        <v>565</v>
      </c>
      <c r="S438" s="176" t="s">
        <v>577</v>
      </c>
      <c r="T438" s="240" t="s">
        <v>1382</v>
      </c>
      <c r="U438" s="238">
        <v>105.26949999999999</v>
      </c>
      <c r="V438" s="238">
        <v>19.048999999999999</v>
      </c>
      <c r="W438" s="238">
        <v>8.8599999999999998E-2</v>
      </c>
    </row>
    <row r="439" spans="17:23" ht="20.100000000000001" customHeight="1">
      <c r="Q439" s="174">
        <v>436</v>
      </c>
      <c r="R439" s="176" t="s">
        <v>565</v>
      </c>
      <c r="S439" s="176" t="s">
        <v>815</v>
      </c>
      <c r="T439" s="240" t="s">
        <v>1383</v>
      </c>
      <c r="U439" s="238">
        <v>105.33629999999999</v>
      </c>
      <c r="V439" s="238">
        <v>18.785599999999999</v>
      </c>
      <c r="W439" s="238">
        <v>0.1071</v>
      </c>
    </row>
    <row r="440" spans="17:23" ht="20.100000000000001" customHeight="1">
      <c r="Q440" s="174">
        <v>437</v>
      </c>
      <c r="R440" s="176" t="s">
        <v>565</v>
      </c>
      <c r="S440" s="176" t="s">
        <v>816</v>
      </c>
      <c r="T440" s="240" t="s">
        <v>1058</v>
      </c>
      <c r="U440" s="238">
        <v>104.4773</v>
      </c>
      <c r="V440" s="238">
        <v>19.259899999999998</v>
      </c>
      <c r="W440" s="238">
        <v>9.5399999999999999E-2</v>
      </c>
    </row>
    <row r="441" spans="17:23" ht="20.100000000000001" customHeight="1">
      <c r="Q441" s="174">
        <v>438</v>
      </c>
      <c r="R441" s="176" t="s">
        <v>565</v>
      </c>
      <c r="S441" s="176" t="s">
        <v>578</v>
      </c>
      <c r="T441" s="240" t="s">
        <v>1212</v>
      </c>
      <c r="U441" s="238">
        <v>105.4645</v>
      </c>
      <c r="V441" s="238">
        <v>18.997199999999999</v>
      </c>
      <c r="W441" s="238">
        <v>9.2399999999999996E-2</v>
      </c>
    </row>
    <row r="442" spans="17:23" ht="20.100000000000001" customHeight="1">
      <c r="Q442" s="174">
        <v>439</v>
      </c>
      <c r="R442" s="176" t="s">
        <v>579</v>
      </c>
      <c r="S442" s="176" t="s">
        <v>580</v>
      </c>
      <c r="T442" s="240" t="s">
        <v>1170</v>
      </c>
      <c r="U442" s="238">
        <v>105.98180000000001</v>
      </c>
      <c r="V442" s="238">
        <v>20.2563</v>
      </c>
      <c r="W442" s="238">
        <v>9.8400000000000001E-2</v>
      </c>
    </row>
    <row r="443" spans="17:23" ht="20.100000000000001" customHeight="1">
      <c r="Q443" s="174">
        <v>440</v>
      </c>
      <c r="R443" s="176" t="s">
        <v>579</v>
      </c>
      <c r="S443" s="176" t="s">
        <v>581</v>
      </c>
      <c r="T443" s="240" t="s">
        <v>1384</v>
      </c>
      <c r="U443" s="238">
        <v>105.9191</v>
      </c>
      <c r="V443" s="238">
        <v>20.1571</v>
      </c>
      <c r="W443" s="238">
        <v>9.1999999999999998E-2</v>
      </c>
    </row>
    <row r="444" spans="17:23" ht="20.100000000000001" customHeight="1">
      <c r="Q444" s="174">
        <v>441</v>
      </c>
      <c r="R444" s="176" t="s">
        <v>579</v>
      </c>
      <c r="S444" s="176" t="s">
        <v>582</v>
      </c>
      <c r="T444" s="240" t="s">
        <v>1385</v>
      </c>
      <c r="U444" s="238">
        <v>105.83459999999999</v>
      </c>
      <c r="V444" s="238">
        <v>20.3476</v>
      </c>
      <c r="W444" s="238">
        <v>7.2400000000000006E-2</v>
      </c>
    </row>
    <row r="445" spans="17:23" ht="20.100000000000001" customHeight="1">
      <c r="Q445" s="174">
        <v>442</v>
      </c>
      <c r="R445" s="176" t="s">
        <v>579</v>
      </c>
      <c r="S445" s="176" t="s">
        <v>864</v>
      </c>
      <c r="T445" s="240" t="s">
        <v>1386</v>
      </c>
      <c r="U445" s="238">
        <v>105.9543</v>
      </c>
      <c r="V445" s="238">
        <v>20.299299999999999</v>
      </c>
      <c r="W445" s="238">
        <v>9.8299999999999998E-2</v>
      </c>
    </row>
    <row r="446" spans="17:23" ht="20.100000000000001" customHeight="1">
      <c r="Q446" s="174">
        <v>443</v>
      </c>
      <c r="R446" s="176" t="s">
        <v>579</v>
      </c>
      <c r="S446" s="176" t="s">
        <v>583</v>
      </c>
      <c r="T446" s="240" t="s">
        <v>1387</v>
      </c>
      <c r="U446" s="238">
        <v>106.08459999999999</v>
      </c>
      <c r="V446" s="238">
        <v>20.091899999999999</v>
      </c>
      <c r="W446" s="238">
        <v>0.1053</v>
      </c>
    </row>
    <row r="447" spans="17:23" ht="20.100000000000001" customHeight="1">
      <c r="Q447" s="174">
        <v>444</v>
      </c>
      <c r="R447" s="176" t="s">
        <v>579</v>
      </c>
      <c r="S447" s="176" t="s">
        <v>584</v>
      </c>
      <c r="T447" s="240" t="s">
        <v>1388</v>
      </c>
      <c r="U447" s="238">
        <v>105.75230000000001</v>
      </c>
      <c r="V447" s="238">
        <v>20.323399999999999</v>
      </c>
      <c r="W447" s="238">
        <v>8.2500000000000004E-2</v>
      </c>
    </row>
    <row r="448" spans="17:23" ht="20.100000000000001" customHeight="1">
      <c r="Q448" s="174">
        <v>445</v>
      </c>
      <c r="R448" s="176" t="s">
        <v>579</v>
      </c>
      <c r="S448" s="176" t="s">
        <v>585</v>
      </c>
      <c r="T448" s="240" t="s">
        <v>1389</v>
      </c>
      <c r="U448" s="238">
        <v>106.062</v>
      </c>
      <c r="V448" s="238">
        <v>20.185700000000001</v>
      </c>
      <c r="W448" s="238">
        <v>0.1067</v>
      </c>
    </row>
    <row r="449" spans="17:23" ht="20.100000000000001" customHeight="1">
      <c r="Q449" s="174">
        <v>446</v>
      </c>
      <c r="R449" s="176" t="s">
        <v>579</v>
      </c>
      <c r="S449" s="176" t="s">
        <v>586</v>
      </c>
      <c r="T449" s="240" t="s">
        <v>1390</v>
      </c>
      <c r="U449" s="238">
        <v>106.0057</v>
      </c>
      <c r="V449" s="238">
        <v>20.162600000000001</v>
      </c>
      <c r="W449" s="238">
        <v>9.2299999999999993E-2</v>
      </c>
    </row>
    <row r="450" spans="17:23" ht="20.100000000000001" customHeight="1">
      <c r="Q450" s="174">
        <v>447</v>
      </c>
      <c r="R450" s="176" t="s">
        <v>587</v>
      </c>
      <c r="S450" s="176" t="s">
        <v>588</v>
      </c>
      <c r="T450" s="240" t="s">
        <v>1391</v>
      </c>
      <c r="U450" s="238">
        <v>108.9893</v>
      </c>
      <c r="V450" s="238">
        <v>11.567600000000001</v>
      </c>
      <c r="W450" s="238">
        <v>2.3099999999999999E-2</v>
      </c>
    </row>
    <row r="451" spans="17:23" ht="20.100000000000001" customHeight="1">
      <c r="Q451" s="174">
        <v>448</v>
      </c>
      <c r="R451" s="176" t="s">
        <v>587</v>
      </c>
      <c r="S451" s="176" t="s">
        <v>589</v>
      </c>
      <c r="T451" s="240" t="s">
        <v>1392</v>
      </c>
      <c r="U451" s="238">
        <v>108.8877</v>
      </c>
      <c r="V451" s="238">
        <v>11.8302</v>
      </c>
      <c r="W451" s="238">
        <v>3.2500000000000001E-2</v>
      </c>
    </row>
    <row r="452" spans="17:23" ht="20.100000000000001" customHeight="1">
      <c r="Q452" s="174">
        <v>449</v>
      </c>
      <c r="R452" s="176" t="s">
        <v>587</v>
      </c>
      <c r="S452" s="176" t="s">
        <v>590</v>
      </c>
      <c r="T452" s="240" t="s">
        <v>1393</v>
      </c>
      <c r="U452" s="238">
        <v>109.0365</v>
      </c>
      <c r="V452" s="238">
        <v>11.590400000000001</v>
      </c>
      <c r="W452" s="238">
        <v>2.4500000000000001E-2</v>
      </c>
    </row>
    <row r="453" spans="17:23" ht="20.100000000000001" customHeight="1">
      <c r="Q453" s="174">
        <v>450</v>
      </c>
      <c r="R453" s="176" t="s">
        <v>587</v>
      </c>
      <c r="S453" s="176" t="s">
        <v>829</v>
      </c>
      <c r="T453" s="240" t="s">
        <v>1394</v>
      </c>
      <c r="U453" s="238">
        <v>108.9234</v>
      </c>
      <c r="V453" s="238">
        <v>11.522600000000001</v>
      </c>
      <c r="W453" s="238">
        <v>2.2200000000000001E-2</v>
      </c>
    </row>
    <row r="454" spans="17:23" ht="20.100000000000001" customHeight="1">
      <c r="Q454" s="174">
        <v>451</v>
      </c>
      <c r="R454" s="176" t="s">
        <v>587</v>
      </c>
      <c r="S454" s="176" t="s">
        <v>591</v>
      </c>
      <c r="T454" s="240" t="s">
        <v>1395</v>
      </c>
      <c r="U454" s="238">
        <v>108.78440000000001</v>
      </c>
      <c r="V454" s="238">
        <v>11.7736</v>
      </c>
      <c r="W454" s="238">
        <v>3.6900000000000002E-2</v>
      </c>
    </row>
    <row r="455" spans="17:23" ht="20.100000000000001" customHeight="1">
      <c r="Q455" s="174">
        <v>452</v>
      </c>
      <c r="R455" s="176" t="s">
        <v>592</v>
      </c>
      <c r="S455" s="176" t="s">
        <v>593</v>
      </c>
      <c r="T455" s="240" t="s">
        <v>1396</v>
      </c>
      <c r="U455" s="238">
        <v>105.4105</v>
      </c>
      <c r="V455" s="238">
        <v>21.305900000000001</v>
      </c>
      <c r="W455" s="238">
        <v>0.1128</v>
      </c>
    </row>
    <row r="456" spans="17:23" ht="20.100000000000001" customHeight="1">
      <c r="Q456" s="174">
        <v>453</v>
      </c>
      <c r="R456" s="176" t="s">
        <v>592</v>
      </c>
      <c r="S456" s="176" t="s">
        <v>594</v>
      </c>
      <c r="T456" s="240" t="s">
        <v>1397</v>
      </c>
      <c r="U456" s="238">
        <v>105.2214</v>
      </c>
      <c r="V456" s="238">
        <v>21.401299999999999</v>
      </c>
      <c r="W456" s="238">
        <v>0.11600000000000001</v>
      </c>
    </row>
    <row r="457" spans="17:23" ht="20.100000000000001" customHeight="1">
      <c r="Q457" s="174">
        <v>454</v>
      </c>
      <c r="R457" s="176" t="s">
        <v>592</v>
      </c>
      <c r="S457" s="176" t="s">
        <v>595</v>
      </c>
      <c r="T457" s="240" t="s">
        <v>1398</v>
      </c>
      <c r="U457" s="238">
        <v>105.179</v>
      </c>
      <c r="V457" s="238">
        <v>21.6328</v>
      </c>
      <c r="W457" s="238">
        <v>0.1089</v>
      </c>
    </row>
    <row r="458" spans="17:23" ht="20.100000000000001" customHeight="1">
      <c r="Q458" s="174">
        <v>455</v>
      </c>
      <c r="R458" s="176" t="s">
        <v>592</v>
      </c>
      <c r="S458" s="176" t="s">
        <v>596</v>
      </c>
      <c r="T458" s="240" t="s">
        <v>1399</v>
      </c>
      <c r="U458" s="238">
        <v>105.0065</v>
      </c>
      <c r="V458" s="238">
        <v>21.5627</v>
      </c>
      <c r="W458" s="238">
        <v>0.1111</v>
      </c>
    </row>
    <row r="459" spans="17:23" ht="20.100000000000001" customHeight="1">
      <c r="Q459" s="174">
        <v>456</v>
      </c>
      <c r="R459" s="176" t="s">
        <v>592</v>
      </c>
      <c r="S459" s="176" t="s">
        <v>597</v>
      </c>
      <c r="T459" s="240" t="s">
        <v>1400</v>
      </c>
      <c r="U459" s="238">
        <v>105.28189999999999</v>
      </c>
      <c r="V459" s="238">
        <v>21.3294</v>
      </c>
      <c r="W459" s="238">
        <v>0.10979999999999999</v>
      </c>
    </row>
    <row r="460" spans="17:23" ht="20.100000000000001" customHeight="1">
      <c r="Q460" s="174">
        <v>457</v>
      </c>
      <c r="R460" s="176" t="s">
        <v>592</v>
      </c>
      <c r="S460" s="176" t="s">
        <v>598</v>
      </c>
      <c r="T460" s="240" t="s">
        <v>1401</v>
      </c>
      <c r="U460" s="238">
        <v>105.3052</v>
      </c>
      <c r="V460" s="238">
        <v>21.4101</v>
      </c>
      <c r="W460" s="238">
        <v>0.1132</v>
      </c>
    </row>
    <row r="461" spans="17:23" ht="20.100000000000001" customHeight="1">
      <c r="Q461" s="174">
        <v>458</v>
      </c>
      <c r="R461" s="176" t="s">
        <v>592</v>
      </c>
      <c r="S461" s="176" t="s">
        <v>599</v>
      </c>
      <c r="T461" s="240" t="s">
        <v>1402</v>
      </c>
      <c r="U461" s="238">
        <v>105.1326</v>
      </c>
      <c r="V461" s="238">
        <v>21.4222</v>
      </c>
      <c r="W461" s="238">
        <v>0.10879999999999999</v>
      </c>
    </row>
    <row r="462" spans="17:23" ht="20.100000000000001" customHeight="1">
      <c r="Q462" s="174">
        <v>459</v>
      </c>
      <c r="R462" s="176" t="s">
        <v>592</v>
      </c>
      <c r="S462" s="176" t="s">
        <v>393</v>
      </c>
      <c r="T462" s="240" t="s">
        <v>1403</v>
      </c>
      <c r="U462" s="238">
        <v>105.2921</v>
      </c>
      <c r="V462" s="238">
        <v>21.2514</v>
      </c>
      <c r="W462" s="238">
        <v>0.10970000000000001</v>
      </c>
    </row>
    <row r="463" spans="17:23" ht="20.100000000000001" customHeight="1">
      <c r="Q463" s="174">
        <v>460</v>
      </c>
      <c r="R463" s="176" t="s">
        <v>592</v>
      </c>
      <c r="S463" s="176" t="s">
        <v>600</v>
      </c>
      <c r="T463" s="240" t="s">
        <v>1404</v>
      </c>
      <c r="U463" s="238">
        <v>105.1407</v>
      </c>
      <c r="V463" s="238">
        <v>21.499099999999999</v>
      </c>
      <c r="W463" s="238">
        <v>0.11360000000000001</v>
      </c>
    </row>
    <row r="464" spans="17:23" ht="20.100000000000001" customHeight="1">
      <c r="Q464" s="174">
        <v>461</v>
      </c>
      <c r="R464" s="176" t="s">
        <v>592</v>
      </c>
      <c r="S464" s="176" t="s">
        <v>601</v>
      </c>
      <c r="T464" s="240" t="s">
        <v>1405</v>
      </c>
      <c r="U464" s="238">
        <v>105.1797</v>
      </c>
      <c r="V464" s="238">
        <v>21.202400000000001</v>
      </c>
      <c r="W464" s="238">
        <v>6.8900000000000003E-2</v>
      </c>
    </row>
    <row r="465" spans="17:23" ht="20.100000000000001" customHeight="1">
      <c r="Q465" s="174">
        <v>462</v>
      </c>
      <c r="R465" s="176" t="s">
        <v>592</v>
      </c>
      <c r="S465" s="176" t="s">
        <v>602</v>
      </c>
      <c r="T465" s="240" t="s">
        <v>1406</v>
      </c>
      <c r="U465" s="238">
        <v>105.2807</v>
      </c>
      <c r="V465" s="238">
        <v>21.170200000000001</v>
      </c>
      <c r="W465" s="238">
        <v>9.9699999999999997E-2</v>
      </c>
    </row>
    <row r="466" spans="17:23" ht="20.100000000000001" customHeight="1">
      <c r="Q466" s="174">
        <v>463</v>
      </c>
      <c r="R466" s="176" t="s">
        <v>592</v>
      </c>
      <c r="S466" s="176" t="s">
        <v>603</v>
      </c>
      <c r="T466" s="240" t="s">
        <v>1407</v>
      </c>
      <c r="U466" s="238">
        <v>105.04810000000001</v>
      </c>
      <c r="V466" s="238">
        <v>21.353999999999999</v>
      </c>
      <c r="W466" s="238">
        <v>6.1699999999999998E-2</v>
      </c>
    </row>
    <row r="467" spans="17:23" ht="20.100000000000001" customHeight="1">
      <c r="Q467" s="174">
        <v>464</v>
      </c>
      <c r="R467" s="176" t="s">
        <v>604</v>
      </c>
      <c r="S467" s="176" t="s">
        <v>605</v>
      </c>
      <c r="T467" s="240" t="s">
        <v>967</v>
      </c>
      <c r="U467" s="238">
        <v>109.3244</v>
      </c>
      <c r="V467" s="238">
        <v>13.0924</v>
      </c>
      <c r="W467" s="238">
        <v>6.9000000000000006E-2</v>
      </c>
    </row>
    <row r="468" spans="17:23" ht="20.100000000000001" customHeight="1">
      <c r="Q468" s="174">
        <v>465</v>
      </c>
      <c r="R468" s="176" t="s">
        <v>604</v>
      </c>
      <c r="S468" s="176" t="s">
        <v>606</v>
      </c>
      <c r="T468" s="240" t="s">
        <v>1408</v>
      </c>
      <c r="U468" s="238">
        <v>109.1065</v>
      </c>
      <c r="V468" s="238">
        <v>13.3787</v>
      </c>
      <c r="W468" s="238">
        <v>0.1095</v>
      </c>
    </row>
    <row r="469" spans="17:23" ht="20.100000000000001" customHeight="1">
      <c r="Q469" s="174">
        <v>466</v>
      </c>
      <c r="R469" s="176" t="s">
        <v>604</v>
      </c>
      <c r="S469" s="176" t="s">
        <v>607</v>
      </c>
      <c r="T469" s="240" t="s">
        <v>1409</v>
      </c>
      <c r="U469" s="238">
        <v>109.2269</v>
      </c>
      <c r="V469" s="238">
        <v>12.9527</v>
      </c>
      <c r="W469" s="238">
        <v>5.2299999999999999E-2</v>
      </c>
    </row>
    <row r="470" spans="17:23" ht="20.100000000000001" customHeight="1">
      <c r="Q470" s="174">
        <v>467</v>
      </c>
      <c r="R470" s="176" t="s">
        <v>604</v>
      </c>
      <c r="S470" s="176" t="s">
        <v>608</v>
      </c>
      <c r="T470" s="240" t="s">
        <v>1410</v>
      </c>
      <c r="U470" s="238">
        <v>109.22110000000001</v>
      </c>
      <c r="V470" s="238">
        <v>13.459</v>
      </c>
      <c r="W470" s="238">
        <v>0.1033</v>
      </c>
    </row>
    <row r="471" spans="17:23" ht="20.100000000000001" customHeight="1">
      <c r="Q471" s="174">
        <v>468</v>
      </c>
      <c r="R471" s="176" t="s">
        <v>604</v>
      </c>
      <c r="S471" s="176" t="s">
        <v>609</v>
      </c>
      <c r="T471" s="240" t="s">
        <v>1411</v>
      </c>
      <c r="U471" s="238">
        <v>108.9032</v>
      </c>
      <c r="V471" s="238">
        <v>12.986499999999999</v>
      </c>
      <c r="W471" s="238">
        <v>5.11E-2</v>
      </c>
    </row>
    <row r="472" spans="17:23" ht="20.100000000000001" customHeight="1">
      <c r="Q472" s="174">
        <v>469</v>
      </c>
      <c r="R472" s="176" t="s">
        <v>604</v>
      </c>
      <c r="S472" s="176" t="s">
        <v>610</v>
      </c>
      <c r="T472" s="240" t="s">
        <v>1412</v>
      </c>
      <c r="U472" s="238">
        <v>108.9598</v>
      </c>
      <c r="V472" s="238">
        <v>13.0578</v>
      </c>
      <c r="W472" s="238">
        <v>7.1900000000000006E-2</v>
      </c>
    </row>
    <row r="473" spans="17:23" ht="20.100000000000001" customHeight="1">
      <c r="Q473" s="174">
        <v>470</v>
      </c>
      <c r="R473" s="176" t="s">
        <v>604</v>
      </c>
      <c r="S473" s="176" t="s">
        <v>611</v>
      </c>
      <c r="T473" s="240" t="s">
        <v>1413</v>
      </c>
      <c r="U473" s="238">
        <v>109.21510000000001</v>
      </c>
      <c r="V473" s="238">
        <v>13.308</v>
      </c>
      <c r="W473" s="238">
        <v>0.1061</v>
      </c>
    </row>
    <row r="474" spans="17:23" ht="20.100000000000001" customHeight="1">
      <c r="Q474" s="174">
        <v>471</v>
      </c>
      <c r="R474" s="176" t="s">
        <v>604</v>
      </c>
      <c r="S474" s="176" t="s">
        <v>612</v>
      </c>
      <c r="T474" s="240" t="s">
        <v>1414</v>
      </c>
      <c r="U474" s="238">
        <v>109.3121</v>
      </c>
      <c r="V474" s="238">
        <v>13.066599999999999</v>
      </c>
      <c r="W474" s="238">
        <v>6.5600000000000006E-2</v>
      </c>
    </row>
    <row r="475" spans="17:23" ht="20.100000000000001" customHeight="1">
      <c r="Q475" s="174">
        <v>472</v>
      </c>
      <c r="R475" s="176" t="s">
        <v>613</v>
      </c>
      <c r="S475" s="176" t="s">
        <v>614</v>
      </c>
      <c r="T475" s="240" t="s">
        <v>1415</v>
      </c>
      <c r="U475" s="238">
        <v>106.6224</v>
      </c>
      <c r="V475" s="238">
        <v>17.465499999999999</v>
      </c>
      <c r="W475" s="238">
        <v>9.5000000000000001E-2</v>
      </c>
    </row>
    <row r="476" spans="17:23" ht="20.100000000000001" customHeight="1">
      <c r="Q476" s="174">
        <v>473</v>
      </c>
      <c r="R476" s="176" t="s">
        <v>613</v>
      </c>
      <c r="S476" s="176" t="s">
        <v>615</v>
      </c>
      <c r="T476" s="240" t="s">
        <v>1416</v>
      </c>
      <c r="U476" s="238">
        <v>106.5333</v>
      </c>
      <c r="V476" s="238">
        <v>17.587</v>
      </c>
      <c r="W476" s="238">
        <v>4.07E-2</v>
      </c>
    </row>
    <row r="477" spans="17:23" ht="20.100000000000001" customHeight="1">
      <c r="Q477" s="174">
        <v>474</v>
      </c>
      <c r="R477" s="176" t="s">
        <v>613</v>
      </c>
      <c r="S477" s="176" t="s">
        <v>616</v>
      </c>
      <c r="T477" s="240" t="s">
        <v>1417</v>
      </c>
      <c r="U477" s="238">
        <v>106.7856</v>
      </c>
      <c r="V477" s="238">
        <v>17.226099999999999</v>
      </c>
      <c r="W477" s="238">
        <v>3.1899999999999998E-2</v>
      </c>
    </row>
    <row r="478" spans="17:23" ht="20.100000000000001" customHeight="1">
      <c r="Q478" s="174">
        <v>475</v>
      </c>
      <c r="R478" s="176" t="s">
        <v>613</v>
      </c>
      <c r="S478" s="176" t="s">
        <v>617</v>
      </c>
      <c r="T478" s="240" t="s">
        <v>1418</v>
      </c>
      <c r="U478" s="238">
        <v>105.9696</v>
      </c>
      <c r="V478" s="238">
        <v>17.815100000000001</v>
      </c>
      <c r="W478" s="238">
        <v>3.15E-2</v>
      </c>
    </row>
    <row r="479" spans="17:23" ht="20.100000000000001" customHeight="1">
      <c r="Q479" s="174">
        <v>476</v>
      </c>
      <c r="R479" s="176" t="s">
        <v>613</v>
      </c>
      <c r="S479" s="176" t="s">
        <v>618</v>
      </c>
      <c r="T479" s="240" t="s">
        <v>1419</v>
      </c>
      <c r="U479" s="238">
        <v>106.6378</v>
      </c>
      <c r="V479" s="238">
        <v>17.408000000000001</v>
      </c>
      <c r="W479" s="238">
        <v>2.6599999999999999E-2</v>
      </c>
    </row>
    <row r="480" spans="17:23" ht="20.100000000000001" customHeight="1">
      <c r="Q480" s="174">
        <v>477</v>
      </c>
      <c r="R480" s="176" t="s">
        <v>613</v>
      </c>
      <c r="S480" s="176" t="s">
        <v>619</v>
      </c>
      <c r="T480" s="240" t="s">
        <v>1420</v>
      </c>
      <c r="U480" s="238">
        <v>106.4247</v>
      </c>
      <c r="V480" s="238">
        <v>17.752400000000002</v>
      </c>
      <c r="W480" s="238">
        <v>4.3999999999999997E-2</v>
      </c>
    </row>
    <row r="481" spans="17:23" ht="20.100000000000001" customHeight="1">
      <c r="Q481" s="174">
        <v>478</v>
      </c>
      <c r="R481" s="176" t="s">
        <v>613</v>
      </c>
      <c r="S481" s="176" t="s">
        <v>620</v>
      </c>
      <c r="T481" s="240" t="s">
        <v>1421</v>
      </c>
      <c r="U481" s="238">
        <v>106.0193</v>
      </c>
      <c r="V481" s="238">
        <v>17.883900000000001</v>
      </c>
      <c r="W481" s="238">
        <v>4.2599999999999999E-2</v>
      </c>
    </row>
    <row r="482" spans="17:23" ht="20.100000000000001" customHeight="1">
      <c r="Q482" s="174">
        <v>479</v>
      </c>
      <c r="R482" s="176" t="s">
        <v>621</v>
      </c>
      <c r="S482" s="176" t="s">
        <v>622</v>
      </c>
      <c r="T482" s="240" t="s">
        <v>1422</v>
      </c>
      <c r="U482" s="238">
        <v>108.4922</v>
      </c>
      <c r="V482" s="238">
        <v>15.5656</v>
      </c>
      <c r="W482" s="238">
        <v>8.0199999999999994E-2</v>
      </c>
    </row>
    <row r="483" spans="17:23" ht="20.100000000000001" customHeight="1">
      <c r="Q483" s="174">
        <v>480</v>
      </c>
      <c r="R483" s="176" t="s">
        <v>621</v>
      </c>
      <c r="S483" s="176" t="s">
        <v>623</v>
      </c>
      <c r="T483" s="240" t="s">
        <v>1423</v>
      </c>
      <c r="U483" s="238">
        <v>108.3317</v>
      </c>
      <c r="V483" s="238">
        <v>15.8782</v>
      </c>
      <c r="W483" s="238">
        <v>3.2399999999999998E-2</v>
      </c>
    </row>
    <row r="484" spans="17:23" ht="20.100000000000001" customHeight="1">
      <c r="Q484" s="174">
        <v>481</v>
      </c>
      <c r="R484" s="176" t="s">
        <v>621</v>
      </c>
      <c r="S484" s="176" t="s">
        <v>624</v>
      </c>
      <c r="T484" s="240" t="s">
        <v>1424</v>
      </c>
      <c r="U484" s="238">
        <v>108.2229</v>
      </c>
      <c r="V484" s="238">
        <v>15.343500000000001</v>
      </c>
      <c r="W484" s="238">
        <v>6.93E-2</v>
      </c>
    </row>
    <row r="485" spans="17:23" ht="20.100000000000001" customHeight="1">
      <c r="Q485" s="174">
        <v>482</v>
      </c>
      <c r="R485" s="176" t="s">
        <v>621</v>
      </c>
      <c r="S485" s="176" t="s">
        <v>625</v>
      </c>
      <c r="T485" s="240" t="s">
        <v>1425</v>
      </c>
      <c r="U485" s="238">
        <v>108.2518</v>
      </c>
      <c r="V485" s="238">
        <v>15.825699999999999</v>
      </c>
      <c r="W485" s="238">
        <v>2.63E-2</v>
      </c>
    </row>
    <row r="486" spans="17:23" ht="20.100000000000001" customHeight="1">
      <c r="Q486" s="174">
        <v>483</v>
      </c>
      <c r="R486" s="176" t="s">
        <v>621</v>
      </c>
      <c r="S486" s="176" t="s">
        <v>626</v>
      </c>
      <c r="T486" s="240" t="s">
        <v>1426</v>
      </c>
      <c r="U486" s="238">
        <v>108.11369999999999</v>
      </c>
      <c r="V486" s="238">
        <v>15.882300000000001</v>
      </c>
      <c r="W486" s="238">
        <v>0.03</v>
      </c>
    </row>
    <row r="487" spans="17:23" ht="20.100000000000001" customHeight="1">
      <c r="Q487" s="174">
        <v>484</v>
      </c>
      <c r="R487" s="176" t="s">
        <v>621</v>
      </c>
      <c r="S487" s="176" t="s">
        <v>627</v>
      </c>
      <c r="T487" s="240" t="s">
        <v>1427</v>
      </c>
      <c r="U487" s="238">
        <v>108.2467</v>
      </c>
      <c r="V487" s="238">
        <v>15.893599999999999</v>
      </c>
      <c r="W487" s="238">
        <v>3.4099999999999998E-2</v>
      </c>
    </row>
    <row r="488" spans="17:23" ht="20.100000000000001" customHeight="1">
      <c r="Q488" s="174">
        <v>485</v>
      </c>
      <c r="R488" s="176" t="s">
        <v>621</v>
      </c>
      <c r="S488" s="176" t="s">
        <v>628</v>
      </c>
      <c r="T488" s="240" t="s">
        <v>1428</v>
      </c>
      <c r="U488" s="238">
        <v>107.65309999999999</v>
      </c>
      <c r="V488" s="238">
        <v>15.928100000000001</v>
      </c>
      <c r="W488" s="238">
        <v>5.4699999999999999E-2</v>
      </c>
    </row>
    <row r="489" spans="17:23" ht="20.100000000000001" customHeight="1">
      <c r="Q489" s="174">
        <v>486</v>
      </c>
      <c r="R489" s="176" t="s">
        <v>621</v>
      </c>
      <c r="S489" s="176" t="s">
        <v>629</v>
      </c>
      <c r="T489" s="240" t="s">
        <v>1429</v>
      </c>
      <c r="U489" s="238">
        <v>108.11790000000001</v>
      </c>
      <c r="V489" s="238">
        <v>15.5823</v>
      </c>
      <c r="W489" s="238">
        <v>8.5999999999999993E-2</v>
      </c>
    </row>
    <row r="490" spans="17:23" ht="20.100000000000001" customHeight="1">
      <c r="Q490" s="174">
        <v>487</v>
      </c>
      <c r="R490" s="176" t="s">
        <v>621</v>
      </c>
      <c r="S490" s="176" t="s">
        <v>630</v>
      </c>
      <c r="T490" s="240" t="s">
        <v>1430</v>
      </c>
      <c r="U490" s="238">
        <v>107.8319</v>
      </c>
      <c r="V490" s="238">
        <v>15.750500000000001</v>
      </c>
      <c r="W490" s="238">
        <v>4.1700000000000001E-2</v>
      </c>
    </row>
    <row r="491" spans="17:23" ht="20.100000000000001" customHeight="1">
      <c r="Q491" s="174">
        <v>488</v>
      </c>
      <c r="R491" s="176" t="s">
        <v>621</v>
      </c>
      <c r="S491" s="176" t="s">
        <v>631</v>
      </c>
      <c r="T491" s="240" t="s">
        <v>1431</v>
      </c>
      <c r="U491" s="238">
        <v>108.1127</v>
      </c>
      <c r="V491" s="238">
        <v>15.157400000000001</v>
      </c>
      <c r="W491" s="238">
        <v>6.2700000000000006E-2</v>
      </c>
    </row>
    <row r="492" spans="17:23" ht="20.100000000000001" customHeight="1">
      <c r="Q492" s="174">
        <v>489</v>
      </c>
      <c r="R492" s="176" t="s">
        <v>621</v>
      </c>
      <c r="S492" s="176" t="s">
        <v>632</v>
      </c>
      <c r="T492" s="240" t="s">
        <v>1432</v>
      </c>
      <c r="U492" s="238">
        <v>108.6581</v>
      </c>
      <c r="V492" s="238">
        <v>15.4321</v>
      </c>
      <c r="W492" s="238">
        <v>5.8000000000000003E-2</v>
      </c>
    </row>
    <row r="493" spans="17:23" ht="20.100000000000001" customHeight="1">
      <c r="Q493" s="174">
        <v>490</v>
      </c>
      <c r="R493" s="176" t="s">
        <v>621</v>
      </c>
      <c r="S493" s="176" t="s">
        <v>830</v>
      </c>
      <c r="T493" s="240" t="s">
        <v>1433</v>
      </c>
      <c r="U493" s="238">
        <v>107.7991</v>
      </c>
      <c r="V493" s="238">
        <v>15.459899999999999</v>
      </c>
      <c r="W493" s="238">
        <v>0.1017</v>
      </c>
    </row>
    <row r="494" spans="17:23" ht="20.100000000000001" customHeight="1">
      <c r="Q494" s="174">
        <v>491</v>
      </c>
      <c r="R494" s="176" t="s">
        <v>621</v>
      </c>
      <c r="S494" s="176" t="s">
        <v>633</v>
      </c>
      <c r="T494" s="240" t="s">
        <v>1434</v>
      </c>
      <c r="U494" s="238">
        <v>108.2192</v>
      </c>
      <c r="V494" s="238">
        <v>15.6736</v>
      </c>
      <c r="W494" s="238">
        <v>4.9299999999999997E-2</v>
      </c>
    </row>
    <row r="495" spans="17:23" ht="20.100000000000001" customHeight="1">
      <c r="Q495" s="174">
        <v>492</v>
      </c>
      <c r="R495" s="176" t="s">
        <v>621</v>
      </c>
      <c r="S495" s="176" t="s">
        <v>634</v>
      </c>
      <c r="T495" s="240" t="s">
        <v>1435</v>
      </c>
      <c r="U495" s="238">
        <v>107.47580000000001</v>
      </c>
      <c r="V495" s="238">
        <v>15.8583</v>
      </c>
      <c r="W495" s="238">
        <v>9.2399999999999996E-2</v>
      </c>
    </row>
    <row r="496" spans="17:23" ht="20.100000000000001" customHeight="1">
      <c r="Q496" s="174">
        <v>493</v>
      </c>
      <c r="R496" s="176" t="s">
        <v>621</v>
      </c>
      <c r="S496" s="176" t="s">
        <v>635</v>
      </c>
      <c r="T496" s="240" t="s">
        <v>1436</v>
      </c>
      <c r="U496" s="238">
        <v>108.3556</v>
      </c>
      <c r="V496" s="238">
        <v>15.742599999999999</v>
      </c>
      <c r="W496" s="238">
        <v>3.0099999999999998E-2</v>
      </c>
    </row>
    <row r="497" spans="17:23" ht="20.100000000000001" customHeight="1">
      <c r="Q497" s="174">
        <v>494</v>
      </c>
      <c r="R497" s="176" t="s">
        <v>621</v>
      </c>
      <c r="S497" s="176" t="s">
        <v>831</v>
      </c>
      <c r="T497" s="240" t="s">
        <v>1437</v>
      </c>
      <c r="U497" s="238">
        <v>108.30670000000001</v>
      </c>
      <c r="V497" s="238">
        <v>15.489800000000001</v>
      </c>
      <c r="W497" s="238">
        <v>9.1899999999999996E-2</v>
      </c>
    </row>
    <row r="498" spans="17:23" ht="20.100000000000001" customHeight="1">
      <c r="Q498" s="174">
        <v>495</v>
      </c>
      <c r="R498" s="175" t="s">
        <v>865</v>
      </c>
      <c r="S498" s="176" t="s">
        <v>636</v>
      </c>
      <c r="T498" s="240" t="s">
        <v>1438</v>
      </c>
      <c r="U498" s="238">
        <v>108.8009</v>
      </c>
      <c r="V498" s="238">
        <v>15.1225</v>
      </c>
      <c r="W498" s="238">
        <v>8.2400000000000001E-2</v>
      </c>
    </row>
    <row r="499" spans="17:23" ht="20.100000000000001" customHeight="1">
      <c r="Q499" s="174">
        <v>496</v>
      </c>
      <c r="R499" s="175" t="s">
        <v>865</v>
      </c>
      <c r="S499" s="176" t="s">
        <v>637</v>
      </c>
      <c r="T499" s="240" t="s">
        <v>1439</v>
      </c>
      <c r="U499" s="238">
        <v>108.7376</v>
      </c>
      <c r="V499" s="238">
        <v>14.7681</v>
      </c>
      <c r="W499" s="238">
        <v>0.10680000000000001</v>
      </c>
    </row>
    <row r="500" spans="17:23" ht="20.100000000000001" customHeight="1">
      <c r="Q500" s="174">
        <v>497</v>
      </c>
      <c r="R500" s="175" t="s">
        <v>865</v>
      </c>
      <c r="S500" s="176" t="s">
        <v>638</v>
      </c>
      <c r="T500" s="240" t="s">
        <v>1440</v>
      </c>
      <c r="U500" s="238">
        <v>108.7572</v>
      </c>
      <c r="V500" s="238">
        <v>15.3001</v>
      </c>
      <c r="W500" s="238">
        <v>5.1900000000000002E-2</v>
      </c>
    </row>
    <row r="501" spans="17:23" ht="20.100000000000001" customHeight="1">
      <c r="Q501" s="174">
        <v>498</v>
      </c>
      <c r="R501" s="175" t="s">
        <v>865</v>
      </c>
      <c r="S501" s="176" t="s">
        <v>639</v>
      </c>
      <c r="T501" s="240" t="s">
        <v>1441</v>
      </c>
      <c r="U501" s="238">
        <v>108.9563</v>
      </c>
      <c r="V501" s="238">
        <v>14.811999999999999</v>
      </c>
      <c r="W501" s="238">
        <v>0.106</v>
      </c>
    </row>
    <row r="502" spans="17:23" ht="20.100000000000001" customHeight="1">
      <c r="Q502" s="174">
        <v>499</v>
      </c>
      <c r="R502" s="175" t="s">
        <v>865</v>
      </c>
      <c r="S502" s="176" t="s">
        <v>640</v>
      </c>
      <c r="T502" s="240" t="s">
        <v>1442</v>
      </c>
      <c r="U502" s="238">
        <v>109.11579999999999</v>
      </c>
      <c r="V502" s="238">
        <v>15.3751</v>
      </c>
      <c r="W502" s="238">
        <v>8.0199999999999994E-2</v>
      </c>
    </row>
    <row r="503" spans="17:23" ht="20.100000000000001" customHeight="1">
      <c r="Q503" s="174">
        <v>500</v>
      </c>
      <c r="R503" s="175" t="s">
        <v>865</v>
      </c>
      <c r="S503" s="176" t="s">
        <v>641</v>
      </c>
      <c r="T503" s="240" t="s">
        <v>1443</v>
      </c>
      <c r="U503" s="238">
        <v>108.70050000000001</v>
      </c>
      <c r="V503" s="238">
        <v>14.931900000000001</v>
      </c>
      <c r="W503" s="238">
        <v>3.5000000000000003E-2</v>
      </c>
    </row>
    <row r="504" spans="17:23" ht="20.100000000000001" customHeight="1">
      <c r="Q504" s="174">
        <v>501</v>
      </c>
      <c r="R504" s="175" t="s">
        <v>865</v>
      </c>
      <c r="S504" s="176" t="s">
        <v>642</v>
      </c>
      <c r="T504" s="240" t="s">
        <v>1444</v>
      </c>
      <c r="U504" s="238">
        <v>108.8875</v>
      </c>
      <c r="V504" s="238">
        <v>14.9575</v>
      </c>
      <c r="W504" s="238">
        <v>4.9299999999999997E-2</v>
      </c>
    </row>
    <row r="505" spans="17:23" ht="20.100000000000001" customHeight="1">
      <c r="Q505" s="174">
        <v>502</v>
      </c>
      <c r="R505" s="175" t="s">
        <v>865</v>
      </c>
      <c r="S505" s="176" t="s">
        <v>643</v>
      </c>
      <c r="T505" s="240" t="s">
        <v>1445</v>
      </c>
      <c r="U505" s="238">
        <v>108.7783</v>
      </c>
      <c r="V505" s="238">
        <v>15.048500000000001</v>
      </c>
      <c r="W505" s="238">
        <v>5.4199999999999998E-2</v>
      </c>
    </row>
    <row r="506" spans="17:23" ht="20.100000000000001" customHeight="1">
      <c r="Q506" s="174">
        <v>503</v>
      </c>
      <c r="R506" s="175" t="s">
        <v>865</v>
      </c>
      <c r="S506" s="176" t="s">
        <v>644</v>
      </c>
      <c r="T506" s="240" t="s">
        <v>1446</v>
      </c>
      <c r="U506" s="238">
        <v>108.4688</v>
      </c>
      <c r="V506" s="238">
        <v>15.041499999999999</v>
      </c>
      <c r="W506" s="238">
        <v>4.5699999999999998E-2</v>
      </c>
    </row>
    <row r="507" spans="17:23" ht="20.100000000000001" customHeight="1">
      <c r="Q507" s="174">
        <v>504</v>
      </c>
      <c r="R507" s="175" t="s">
        <v>865</v>
      </c>
      <c r="S507" s="176" t="s">
        <v>645</v>
      </c>
      <c r="T507" s="240" t="s">
        <v>1447</v>
      </c>
      <c r="U507" s="238">
        <v>108.33750000000001</v>
      </c>
      <c r="V507" s="238">
        <v>14.994300000000001</v>
      </c>
      <c r="W507" s="238">
        <v>3.0599999999999999E-2</v>
      </c>
    </row>
    <row r="508" spans="17:23" ht="20.100000000000001" customHeight="1">
      <c r="Q508" s="174">
        <v>505</v>
      </c>
      <c r="R508" s="175" t="s">
        <v>865</v>
      </c>
      <c r="S508" s="176" t="s">
        <v>646</v>
      </c>
      <c r="T508" s="240" t="s">
        <v>1448</v>
      </c>
      <c r="U508" s="238">
        <v>108.79730000000001</v>
      </c>
      <c r="V508" s="238">
        <v>15.1562</v>
      </c>
      <c r="W508" s="238">
        <v>9.1200000000000003E-2</v>
      </c>
    </row>
    <row r="509" spans="17:23" ht="20.100000000000001" customHeight="1">
      <c r="Q509" s="174">
        <v>506</v>
      </c>
      <c r="R509" s="175" t="s">
        <v>865</v>
      </c>
      <c r="S509" s="176" t="s">
        <v>647</v>
      </c>
      <c r="T509" s="240" t="s">
        <v>1447</v>
      </c>
      <c r="U509" s="238">
        <v>108.35639999999999</v>
      </c>
      <c r="V509" s="238">
        <v>15.1677</v>
      </c>
      <c r="W509" s="238">
        <v>8.8700000000000001E-2</v>
      </c>
    </row>
    <row r="510" spans="17:23" ht="20.100000000000001" customHeight="1">
      <c r="Q510" s="174">
        <v>507</v>
      </c>
      <c r="R510" s="175" t="s">
        <v>865</v>
      </c>
      <c r="S510" s="176" t="s">
        <v>648</v>
      </c>
      <c r="T510" s="240" t="s">
        <v>1449</v>
      </c>
      <c r="U510" s="238">
        <v>108.5231</v>
      </c>
      <c r="V510" s="238">
        <v>15.2559</v>
      </c>
      <c r="W510" s="238">
        <v>8.0399999999999999E-2</v>
      </c>
    </row>
    <row r="511" spans="17:23" ht="20.100000000000001" customHeight="1">
      <c r="Q511" s="174">
        <v>508</v>
      </c>
      <c r="R511" s="175" t="s">
        <v>865</v>
      </c>
      <c r="S511" s="176" t="s">
        <v>866</v>
      </c>
      <c r="T511" s="240" t="s">
        <v>1450</v>
      </c>
      <c r="U511" s="238">
        <v>108.8258</v>
      </c>
      <c r="V511" s="238">
        <v>15.0899</v>
      </c>
      <c r="W511" s="238">
        <v>7.0699999999999999E-2</v>
      </c>
    </row>
    <row r="512" spans="17:23" ht="20.100000000000001" customHeight="1">
      <c r="Q512" s="174">
        <v>509</v>
      </c>
      <c r="R512" s="176" t="s">
        <v>649</v>
      </c>
      <c r="S512" s="176" t="s">
        <v>650</v>
      </c>
      <c r="T512" s="240" t="s">
        <v>1451</v>
      </c>
      <c r="U512" s="238">
        <v>107.0742</v>
      </c>
      <c r="V512" s="238">
        <v>20.948599999999999</v>
      </c>
      <c r="W512" s="238">
        <v>8.8200000000000001E-2</v>
      </c>
    </row>
    <row r="513" spans="17:23" ht="20.100000000000001" customHeight="1">
      <c r="Q513" s="174">
        <v>510</v>
      </c>
      <c r="R513" s="176" t="s">
        <v>649</v>
      </c>
      <c r="S513" s="176" t="s">
        <v>651</v>
      </c>
      <c r="T513" s="240" t="s">
        <v>1452</v>
      </c>
      <c r="U513" s="238">
        <v>107.2782</v>
      </c>
      <c r="V513" s="238">
        <v>21.0122</v>
      </c>
      <c r="W513" s="238">
        <v>7.2099999999999997E-2</v>
      </c>
    </row>
    <row r="514" spans="17:23" ht="20.100000000000001" customHeight="1">
      <c r="Q514" s="174">
        <v>511</v>
      </c>
      <c r="R514" s="176" t="s">
        <v>649</v>
      </c>
      <c r="S514" s="176" t="s">
        <v>652</v>
      </c>
      <c r="T514" s="240" t="s">
        <v>1059</v>
      </c>
      <c r="U514" s="238">
        <v>107.9704</v>
      </c>
      <c r="V514" s="238">
        <v>21.5304</v>
      </c>
      <c r="W514" s="238">
        <v>5.7700000000000001E-2</v>
      </c>
    </row>
    <row r="515" spans="17:23" ht="20.100000000000001" customHeight="1">
      <c r="Q515" s="174">
        <v>512</v>
      </c>
      <c r="R515" s="176" t="s">
        <v>649</v>
      </c>
      <c r="S515" s="176" t="s">
        <v>653</v>
      </c>
      <c r="T515" s="240" t="s">
        <v>1453</v>
      </c>
      <c r="U515" s="238">
        <v>106.79179999999999</v>
      </c>
      <c r="V515" s="238">
        <v>21.032800000000002</v>
      </c>
      <c r="W515" s="238">
        <v>0.1142</v>
      </c>
    </row>
    <row r="516" spans="17:23" ht="20.100000000000001" customHeight="1">
      <c r="Q516" s="174">
        <v>513</v>
      </c>
      <c r="R516" s="176" t="s">
        <v>649</v>
      </c>
      <c r="S516" s="176" t="s">
        <v>654</v>
      </c>
      <c r="T516" s="240" t="s">
        <v>1454</v>
      </c>
      <c r="U516" s="238">
        <v>107.2796</v>
      </c>
      <c r="V516" s="238">
        <v>21.273</v>
      </c>
      <c r="W516" s="238">
        <v>0.10340000000000001</v>
      </c>
    </row>
    <row r="517" spans="17:23" ht="20.100000000000001" customHeight="1">
      <c r="Q517" s="174">
        <v>514</v>
      </c>
      <c r="R517" s="176" t="s">
        <v>649</v>
      </c>
      <c r="S517" s="176" t="s">
        <v>655</v>
      </c>
      <c r="T517" s="240" t="s">
        <v>1455</v>
      </c>
      <c r="U517" s="238">
        <v>107.396</v>
      </c>
      <c r="V517" s="238">
        <v>21.5246</v>
      </c>
      <c r="W517" s="238">
        <v>4.5499999999999999E-2</v>
      </c>
    </row>
    <row r="518" spans="17:23" ht="20.100000000000001" customHeight="1">
      <c r="Q518" s="174">
        <v>515</v>
      </c>
      <c r="R518" s="176" t="s">
        <v>649</v>
      </c>
      <c r="S518" s="176" t="s">
        <v>656</v>
      </c>
      <c r="T518" s="240" t="s">
        <v>1029</v>
      </c>
      <c r="U518" s="238">
        <v>107.76479999999999</v>
      </c>
      <c r="V518" s="238">
        <v>20.971699999999998</v>
      </c>
      <c r="W518" s="238">
        <v>1.6500000000000001E-2</v>
      </c>
    </row>
    <row r="519" spans="17:23" ht="20.100000000000001" customHeight="1">
      <c r="Q519" s="174">
        <v>516</v>
      </c>
      <c r="R519" s="176" t="s">
        <v>649</v>
      </c>
      <c r="S519" s="176" t="s">
        <v>657</v>
      </c>
      <c r="T519" s="240" t="s">
        <v>1456</v>
      </c>
      <c r="U519" s="238">
        <v>107.59529999999999</v>
      </c>
      <c r="V519" s="238">
        <v>21.353400000000001</v>
      </c>
      <c r="W519" s="238">
        <v>6.8699999999999997E-2</v>
      </c>
    </row>
    <row r="520" spans="17:23" ht="20.100000000000001" customHeight="1">
      <c r="Q520" s="174">
        <v>517</v>
      </c>
      <c r="R520" s="176" t="s">
        <v>649</v>
      </c>
      <c r="S520" s="176" t="s">
        <v>658</v>
      </c>
      <c r="T520" s="240" t="s">
        <v>1457</v>
      </c>
      <c r="U520" s="238">
        <v>106.51349999999999</v>
      </c>
      <c r="V520" s="238">
        <v>21.082100000000001</v>
      </c>
      <c r="W520" s="238">
        <v>0.1118</v>
      </c>
    </row>
    <row r="521" spans="17:23" ht="20.100000000000001" customHeight="1">
      <c r="Q521" s="174">
        <v>518</v>
      </c>
      <c r="R521" s="176" t="s">
        <v>649</v>
      </c>
      <c r="S521" s="176" t="s">
        <v>659</v>
      </c>
      <c r="T521" s="240" t="s">
        <v>1458</v>
      </c>
      <c r="U521" s="238">
        <v>107.75360000000001</v>
      </c>
      <c r="V521" s="238">
        <v>21.450399999999998</v>
      </c>
      <c r="W521" s="238">
        <v>5.5800000000000002E-2</v>
      </c>
    </row>
    <row r="522" spans="17:23" ht="20.100000000000001" customHeight="1">
      <c r="Q522" s="174"/>
      <c r="R522" s="176" t="s">
        <v>649</v>
      </c>
      <c r="S522" s="176" t="s">
        <v>660</v>
      </c>
      <c r="T522" s="240" t="s">
        <v>1458</v>
      </c>
      <c r="U522" s="238">
        <v>107.75360000000001</v>
      </c>
      <c r="V522" s="238">
        <v>21.450399999999998</v>
      </c>
      <c r="W522" s="238">
        <v>5.5800000000000002E-2</v>
      </c>
    </row>
    <row r="523" spans="17:23" ht="20.100000000000001" customHeight="1">
      <c r="Q523" s="174">
        <v>519</v>
      </c>
      <c r="R523" s="176" t="s">
        <v>649</v>
      </c>
      <c r="S523" s="176" t="s">
        <v>661</v>
      </c>
      <c r="T523" s="240" t="s">
        <v>1459</v>
      </c>
      <c r="U523" s="238">
        <v>106.9905</v>
      </c>
      <c r="V523" s="238">
        <v>21.028400000000001</v>
      </c>
      <c r="W523" s="238">
        <v>0.1082</v>
      </c>
    </row>
    <row r="524" spans="17:23" ht="20.100000000000001" customHeight="1">
      <c r="Q524" s="174">
        <v>520</v>
      </c>
      <c r="R524" s="176" t="s">
        <v>649</v>
      </c>
      <c r="S524" s="176" t="s">
        <v>662</v>
      </c>
      <c r="T524" s="240" t="s">
        <v>1460</v>
      </c>
      <c r="U524" s="238">
        <v>107.40389999999999</v>
      </c>
      <c r="V524" s="238">
        <v>21.3324</v>
      </c>
      <c r="W524" s="238">
        <v>7.8200000000000006E-2</v>
      </c>
    </row>
    <row r="525" spans="17:23" ht="20.100000000000001" customHeight="1">
      <c r="Q525" s="174">
        <v>521</v>
      </c>
      <c r="R525" s="176" t="s">
        <v>649</v>
      </c>
      <c r="S525" s="176" t="s">
        <v>663</v>
      </c>
      <c r="T525" s="240" t="s">
        <v>1461</v>
      </c>
      <c r="U525" s="238">
        <v>107.4194</v>
      </c>
      <c r="V525" s="238">
        <v>21.073</v>
      </c>
      <c r="W525" s="238">
        <v>6.8900000000000003E-2</v>
      </c>
    </row>
    <row r="526" spans="17:23" ht="20.100000000000001" customHeight="1">
      <c r="Q526" s="174">
        <v>522</v>
      </c>
      <c r="R526" s="176" t="s">
        <v>649</v>
      </c>
      <c r="S526" s="176" t="s">
        <v>867</v>
      </c>
      <c r="T526" s="240" t="s">
        <v>1462</v>
      </c>
      <c r="U526" s="238">
        <v>106.79859999999999</v>
      </c>
      <c r="V526" s="238">
        <v>20.939599999999999</v>
      </c>
      <c r="W526" s="238">
        <v>0.122</v>
      </c>
    </row>
    <row r="527" spans="17:23" ht="20.100000000000001" customHeight="1">
      <c r="Q527" s="174">
        <v>523</v>
      </c>
      <c r="R527" s="176" t="s">
        <v>664</v>
      </c>
      <c r="S527" s="176" t="s">
        <v>665</v>
      </c>
      <c r="T527" s="240" t="s">
        <v>967</v>
      </c>
      <c r="U527" s="238">
        <v>107.0986</v>
      </c>
      <c r="V527" s="238">
        <v>16.823499999999999</v>
      </c>
      <c r="W527" s="238">
        <v>2.75E-2</v>
      </c>
    </row>
    <row r="528" spans="17:23" ht="20.100000000000001" customHeight="1">
      <c r="Q528" s="174">
        <v>524</v>
      </c>
      <c r="R528" s="176" t="s">
        <v>664</v>
      </c>
      <c r="S528" s="176" t="s">
        <v>666</v>
      </c>
      <c r="T528" s="240" t="s">
        <v>967</v>
      </c>
      <c r="U528" s="238">
        <v>107.1872</v>
      </c>
      <c r="V528" s="238">
        <v>16.742100000000001</v>
      </c>
      <c r="W528" s="238">
        <v>3.0099999999999998E-2</v>
      </c>
    </row>
    <row r="529" spans="17:23" ht="20.100000000000001" customHeight="1">
      <c r="Q529" s="174">
        <v>525</v>
      </c>
      <c r="R529" s="176" t="s">
        <v>664</v>
      </c>
      <c r="S529" s="176" t="s">
        <v>667</v>
      </c>
      <c r="T529" s="240" t="s">
        <v>1463</v>
      </c>
      <c r="U529" s="238">
        <v>107.0043</v>
      </c>
      <c r="V529" s="238">
        <v>16.809200000000001</v>
      </c>
      <c r="W529" s="238">
        <v>2.81E-2</v>
      </c>
    </row>
    <row r="530" spans="17:23" ht="20.100000000000001" customHeight="1">
      <c r="Q530" s="174">
        <v>526</v>
      </c>
      <c r="R530" s="176" t="s">
        <v>664</v>
      </c>
      <c r="S530" s="176" t="s">
        <v>668</v>
      </c>
      <c r="T530" s="240" t="s">
        <v>1464</v>
      </c>
      <c r="U530" s="238">
        <v>106.8158</v>
      </c>
      <c r="V530" s="238">
        <v>16.66</v>
      </c>
      <c r="W530" s="238">
        <v>6.1199999999999997E-2</v>
      </c>
    </row>
    <row r="531" spans="17:23" ht="20.100000000000001" customHeight="1">
      <c r="Q531" s="174">
        <v>527</v>
      </c>
      <c r="R531" s="176" t="s">
        <v>664</v>
      </c>
      <c r="S531" s="176" t="s">
        <v>669</v>
      </c>
      <c r="T531" s="240" t="s">
        <v>1465</v>
      </c>
      <c r="U531" s="238">
        <v>107.07599999999999</v>
      </c>
      <c r="V531" s="238">
        <v>16.933800000000002</v>
      </c>
      <c r="W531" s="238">
        <v>3.1699999999999999E-2</v>
      </c>
    </row>
    <row r="532" spans="17:23" ht="20.100000000000001" customHeight="1">
      <c r="Q532" s="174">
        <v>528</v>
      </c>
      <c r="R532" s="176" t="s">
        <v>664</v>
      </c>
      <c r="S532" s="176" t="s">
        <v>670</v>
      </c>
      <c r="T532" s="240" t="s">
        <v>1466</v>
      </c>
      <c r="U532" s="238">
        <v>107.2461</v>
      </c>
      <c r="V532" s="238">
        <v>16.692499999999999</v>
      </c>
      <c r="W532" s="238">
        <v>3.49E-2</v>
      </c>
    </row>
    <row r="533" spans="17:23" ht="20.100000000000001" customHeight="1">
      <c r="Q533" s="174">
        <v>529</v>
      </c>
      <c r="R533" s="176" t="s">
        <v>664</v>
      </c>
      <c r="S533" s="176" t="s">
        <v>832</v>
      </c>
      <c r="T533" s="240" t="s">
        <v>1467</v>
      </c>
      <c r="U533" s="238">
        <v>106.72929999999999</v>
      </c>
      <c r="V533" s="238">
        <v>16.624700000000001</v>
      </c>
      <c r="W533" s="238">
        <v>5.3900000000000003E-2</v>
      </c>
    </row>
    <row r="534" spans="17:23" ht="20.100000000000001" customHeight="1">
      <c r="Q534" s="174">
        <v>530</v>
      </c>
      <c r="R534" s="176" t="s">
        <v>664</v>
      </c>
      <c r="S534" s="176" t="s">
        <v>671</v>
      </c>
      <c r="T534" s="240" t="s">
        <v>1468</v>
      </c>
      <c r="U534" s="238">
        <v>107.1605</v>
      </c>
      <c r="V534" s="238">
        <v>16.775600000000001</v>
      </c>
      <c r="W534" s="238">
        <v>2.86E-2</v>
      </c>
    </row>
    <row r="535" spans="17:23" ht="20.100000000000001" customHeight="1">
      <c r="Q535" s="174">
        <v>531</v>
      </c>
      <c r="R535" s="176" t="s">
        <v>664</v>
      </c>
      <c r="S535" s="176" t="s">
        <v>672</v>
      </c>
      <c r="T535" s="240" t="s">
        <v>1469</v>
      </c>
      <c r="U535" s="238">
        <v>107.0141</v>
      </c>
      <c r="V535" s="238">
        <v>17.060400000000001</v>
      </c>
      <c r="W535" s="238">
        <v>3.73E-2</v>
      </c>
    </row>
    <row r="536" spans="17:23" ht="20.100000000000001" customHeight="1">
      <c r="Q536" s="174">
        <v>532</v>
      </c>
      <c r="R536" s="176" t="s">
        <v>673</v>
      </c>
      <c r="S536" s="176" t="s">
        <v>674</v>
      </c>
      <c r="T536" s="240" t="s">
        <v>1470</v>
      </c>
      <c r="U536" s="238">
        <v>105.9722</v>
      </c>
      <c r="V536" s="238">
        <v>9.6052999999999997</v>
      </c>
      <c r="W536" s="238">
        <v>2.58E-2</v>
      </c>
    </row>
    <row r="537" spans="17:23" ht="20.100000000000001" customHeight="1">
      <c r="Q537" s="174">
        <v>533</v>
      </c>
      <c r="R537" s="176" t="s">
        <v>673</v>
      </c>
      <c r="S537" s="176" t="s">
        <v>675</v>
      </c>
      <c r="T537" s="240" t="s">
        <v>1471</v>
      </c>
      <c r="U537" s="238">
        <v>106.16289999999999</v>
      </c>
      <c r="V537" s="238">
        <v>9.6275999999999993</v>
      </c>
      <c r="W537" s="238">
        <v>5.5399999999999998E-2</v>
      </c>
    </row>
    <row r="538" spans="17:23" ht="20.100000000000001" customHeight="1">
      <c r="Q538" s="174">
        <v>534</v>
      </c>
      <c r="R538" s="176" t="s">
        <v>673</v>
      </c>
      <c r="S538" s="176" t="s">
        <v>676</v>
      </c>
      <c r="T538" s="240" t="s">
        <v>1472</v>
      </c>
      <c r="U538" s="238">
        <v>105.9838</v>
      </c>
      <c r="V538" s="238">
        <v>9.7691999999999997</v>
      </c>
      <c r="W538" s="238">
        <v>4.6399999999999997E-2</v>
      </c>
    </row>
    <row r="539" spans="17:23" ht="20.100000000000001" customHeight="1">
      <c r="Q539" s="174">
        <v>535</v>
      </c>
      <c r="R539" s="176" t="s">
        <v>673</v>
      </c>
      <c r="S539" s="176" t="s">
        <v>677</v>
      </c>
      <c r="T539" s="240" t="s">
        <v>1473</v>
      </c>
      <c r="U539" s="238">
        <v>106.12479999999999</v>
      </c>
      <c r="V539" s="238">
        <v>9.6079000000000008</v>
      </c>
      <c r="W539" s="238">
        <v>4.4600000000000001E-2</v>
      </c>
    </row>
    <row r="540" spans="17:23" ht="20.100000000000001" customHeight="1">
      <c r="Q540" s="174">
        <v>536</v>
      </c>
      <c r="R540" s="176" t="s">
        <v>673</v>
      </c>
      <c r="S540" s="176" t="s">
        <v>678</v>
      </c>
      <c r="T540" s="240" t="s">
        <v>1474</v>
      </c>
      <c r="U540" s="238">
        <v>105.80970000000001</v>
      </c>
      <c r="V540" s="238">
        <v>9.6367999999999991</v>
      </c>
      <c r="W540" s="238">
        <v>1.7299999999999999E-2</v>
      </c>
    </row>
    <row r="541" spans="17:23" ht="20.100000000000001" customHeight="1">
      <c r="Q541" s="174">
        <v>537</v>
      </c>
      <c r="R541" s="176" t="s">
        <v>673</v>
      </c>
      <c r="S541" s="176" t="s">
        <v>679</v>
      </c>
      <c r="T541" s="240" t="s">
        <v>1475</v>
      </c>
      <c r="U541" s="238">
        <v>105.9868</v>
      </c>
      <c r="V541" s="238">
        <v>9.5586000000000002</v>
      </c>
      <c r="W541" s="238">
        <v>2.5000000000000001E-2</v>
      </c>
    </row>
    <row r="542" spans="17:23" ht="20.100000000000001" customHeight="1">
      <c r="Q542" s="174">
        <v>538</v>
      </c>
      <c r="R542" s="176" t="s">
        <v>673</v>
      </c>
      <c r="S542" s="176" t="s">
        <v>680</v>
      </c>
      <c r="T542" s="240" t="s">
        <v>1476</v>
      </c>
      <c r="U542" s="238">
        <v>105.5963</v>
      </c>
      <c r="V542" s="238">
        <v>9.5662000000000003</v>
      </c>
      <c r="W542" s="238">
        <v>1.11E-2</v>
      </c>
    </row>
    <row r="543" spans="17:23" ht="20.100000000000001" customHeight="1">
      <c r="Q543" s="174">
        <v>539</v>
      </c>
      <c r="R543" s="176" t="s">
        <v>673</v>
      </c>
      <c r="S543" s="176" t="s">
        <v>681</v>
      </c>
      <c r="T543" s="240" t="s">
        <v>1477</v>
      </c>
      <c r="U543" s="238">
        <v>105.74299999999999</v>
      </c>
      <c r="V543" s="238">
        <v>9.43</v>
      </c>
      <c r="W543" s="238">
        <v>1.6299999999999999E-2</v>
      </c>
    </row>
    <row r="544" spans="17:23" ht="20.100000000000001" customHeight="1">
      <c r="Q544" s="174">
        <v>540</v>
      </c>
      <c r="R544" s="176" t="s">
        <v>673</v>
      </c>
      <c r="S544" s="176" t="s">
        <v>682</v>
      </c>
      <c r="T544" s="240" t="s">
        <v>1471</v>
      </c>
      <c r="U544" s="238">
        <v>105.98</v>
      </c>
      <c r="V544" s="238">
        <v>9.3279999999999994</v>
      </c>
      <c r="W544" s="238">
        <v>3.9600000000000003E-2</v>
      </c>
    </row>
    <row r="545" spans="17:23" ht="20.100000000000001" customHeight="1">
      <c r="Q545" s="174">
        <v>541</v>
      </c>
      <c r="R545" s="176" t="s">
        <v>683</v>
      </c>
      <c r="S545" s="176" t="s">
        <v>684</v>
      </c>
      <c r="T545" s="240" t="s">
        <v>1478</v>
      </c>
      <c r="U545" s="238">
        <v>103.9106</v>
      </c>
      <c r="V545" s="238">
        <v>21.3323</v>
      </c>
      <c r="W545" s="238">
        <v>0.1893</v>
      </c>
    </row>
    <row r="546" spans="17:23" ht="20.100000000000001" customHeight="1">
      <c r="Q546" s="174">
        <v>542</v>
      </c>
      <c r="R546" s="176" t="s">
        <v>683</v>
      </c>
      <c r="S546" s="176" t="s">
        <v>685</v>
      </c>
      <c r="T546" s="240" t="s">
        <v>1479</v>
      </c>
      <c r="U546" s="238">
        <v>104.4209</v>
      </c>
      <c r="V546" s="238">
        <v>21.247699999999998</v>
      </c>
      <c r="W546" s="238">
        <v>8.7099999999999997E-2</v>
      </c>
    </row>
    <row r="547" spans="17:23" ht="20.100000000000001" customHeight="1">
      <c r="Q547" s="174">
        <v>543</v>
      </c>
      <c r="R547" s="176" t="s">
        <v>683</v>
      </c>
      <c r="S547" s="176" t="s">
        <v>686</v>
      </c>
      <c r="T547" s="240" t="s">
        <v>1480</v>
      </c>
      <c r="U547" s="238">
        <v>104.1065</v>
      </c>
      <c r="V547" s="238">
        <v>21.1953</v>
      </c>
      <c r="W547" s="238">
        <v>0.1111</v>
      </c>
    </row>
    <row r="548" spans="17:23" ht="20.100000000000001" customHeight="1">
      <c r="Q548" s="174">
        <v>544</v>
      </c>
      <c r="R548" s="176" t="s">
        <v>683</v>
      </c>
      <c r="S548" s="176" t="s">
        <v>687</v>
      </c>
      <c r="T548" s="240" t="s">
        <v>1481</v>
      </c>
      <c r="U548" s="238">
        <v>104.6237</v>
      </c>
      <c r="V548" s="238">
        <v>20.851700000000001</v>
      </c>
      <c r="W548" s="238">
        <v>0.1197</v>
      </c>
    </row>
    <row r="549" spans="17:23" ht="20.100000000000001" customHeight="1">
      <c r="Q549" s="174">
        <v>545</v>
      </c>
      <c r="R549" s="176" t="s">
        <v>683</v>
      </c>
      <c r="S549" s="176" t="s">
        <v>854</v>
      </c>
      <c r="T549" s="240" t="s">
        <v>1482</v>
      </c>
      <c r="U549" s="238">
        <v>104.0273</v>
      </c>
      <c r="V549" s="238">
        <v>21.517099999999999</v>
      </c>
      <c r="W549" s="238">
        <v>0.10050000000000001</v>
      </c>
    </row>
    <row r="550" spans="17:23" ht="20.100000000000001" customHeight="1">
      <c r="Q550" s="174">
        <v>546</v>
      </c>
      <c r="R550" s="176" t="s">
        <v>683</v>
      </c>
      <c r="S550" s="176" t="s">
        <v>688</v>
      </c>
      <c r="T550" s="240" t="s">
        <v>1483</v>
      </c>
      <c r="U550" s="238">
        <v>104.64530000000001</v>
      </c>
      <c r="V550" s="238">
        <v>21.2591</v>
      </c>
      <c r="W550" s="238">
        <v>8.2600000000000007E-2</v>
      </c>
    </row>
    <row r="551" spans="17:23" ht="20.100000000000001" customHeight="1">
      <c r="Q551" s="174">
        <v>547</v>
      </c>
      <c r="R551" s="176" t="s">
        <v>683</v>
      </c>
      <c r="S551" s="176" t="s">
        <v>689</v>
      </c>
      <c r="T551" s="240" t="s">
        <v>1484</v>
      </c>
      <c r="U551" s="238">
        <v>103.5701</v>
      </c>
      <c r="V551" s="238">
        <v>21.850100000000001</v>
      </c>
      <c r="W551" s="238">
        <v>8.3199999999999996E-2</v>
      </c>
    </row>
    <row r="552" spans="17:23" ht="20.100000000000001" customHeight="1">
      <c r="Q552" s="174">
        <v>548</v>
      </c>
      <c r="R552" s="176" t="s">
        <v>683</v>
      </c>
      <c r="S552" s="176" t="s">
        <v>690</v>
      </c>
      <c r="T552" s="240" t="s">
        <v>1485</v>
      </c>
      <c r="U552" s="238">
        <v>103.7478</v>
      </c>
      <c r="V552" s="238">
        <v>21.051600000000001</v>
      </c>
      <c r="W552" s="238">
        <v>0.1193</v>
      </c>
    </row>
    <row r="553" spans="17:23" ht="20.100000000000001" customHeight="1">
      <c r="Q553" s="174">
        <v>549</v>
      </c>
      <c r="R553" s="176" t="s">
        <v>683</v>
      </c>
      <c r="S553" s="176" t="s">
        <v>691</v>
      </c>
      <c r="T553" s="240" t="s">
        <v>1486</v>
      </c>
      <c r="U553" s="238">
        <v>103.59950000000001</v>
      </c>
      <c r="V553" s="238">
        <v>20.939</v>
      </c>
      <c r="W553" s="238">
        <v>0.1183</v>
      </c>
    </row>
    <row r="554" spans="17:23" ht="20.100000000000001" customHeight="1">
      <c r="Q554" s="174">
        <v>550</v>
      </c>
      <c r="R554" s="176" t="s">
        <v>683</v>
      </c>
      <c r="S554" s="176" t="s">
        <v>692</v>
      </c>
      <c r="T554" s="240" t="s">
        <v>1487</v>
      </c>
      <c r="U554" s="238">
        <v>103.6885</v>
      </c>
      <c r="V554" s="238">
        <v>21.437200000000001</v>
      </c>
      <c r="W554" s="238">
        <v>0.1318</v>
      </c>
    </row>
    <row r="555" spans="17:23" ht="20.100000000000001" customHeight="1">
      <c r="Q555" s="174">
        <v>551</v>
      </c>
      <c r="R555" s="176" t="s">
        <v>683</v>
      </c>
      <c r="S555" s="176" t="s">
        <v>693</v>
      </c>
      <c r="T555" s="240" t="s">
        <v>1488</v>
      </c>
      <c r="U555" s="238">
        <v>104.29940000000001</v>
      </c>
      <c r="V555" s="238">
        <v>21.047699999999999</v>
      </c>
      <c r="W555" s="238">
        <v>0.1077</v>
      </c>
    </row>
    <row r="556" spans="17:23" ht="20.100000000000001" customHeight="1">
      <c r="Q556" s="174">
        <v>552</v>
      </c>
      <c r="R556" s="176" t="s">
        <v>694</v>
      </c>
      <c r="S556" s="176" t="s">
        <v>695</v>
      </c>
      <c r="T556" s="240" t="s">
        <v>1470</v>
      </c>
      <c r="U556" s="238">
        <v>106.086</v>
      </c>
      <c r="V556" s="238">
        <v>11.311500000000001</v>
      </c>
      <c r="W556" s="238">
        <v>5.7500000000000002E-2</v>
      </c>
    </row>
    <row r="557" spans="17:23" ht="20.100000000000001" customHeight="1">
      <c r="Q557" s="174">
        <v>553</v>
      </c>
      <c r="R557" s="176" t="s">
        <v>694</v>
      </c>
      <c r="S557" s="176" t="s">
        <v>696</v>
      </c>
      <c r="T557" s="240" t="s">
        <v>1489</v>
      </c>
      <c r="U557" s="238">
        <v>106.1786</v>
      </c>
      <c r="V557" s="238">
        <v>11.1114</v>
      </c>
      <c r="W557" s="238">
        <v>6.3100000000000003E-2</v>
      </c>
    </row>
    <row r="558" spans="17:23" ht="20.100000000000001" customHeight="1">
      <c r="Q558" s="174">
        <v>554</v>
      </c>
      <c r="R558" s="176" t="s">
        <v>694</v>
      </c>
      <c r="S558" s="176" t="s">
        <v>241</v>
      </c>
      <c r="T558" s="240" t="s">
        <v>1085</v>
      </c>
      <c r="U558" s="238">
        <v>106.02979999999999</v>
      </c>
      <c r="V558" s="238">
        <v>11.3133</v>
      </c>
      <c r="W558" s="238">
        <v>6.5000000000000002E-2</v>
      </c>
    </row>
    <row r="559" spans="17:23" ht="20.100000000000001" customHeight="1">
      <c r="Q559" s="174">
        <v>555</v>
      </c>
      <c r="R559" s="176" t="s">
        <v>694</v>
      </c>
      <c r="S559" s="176" t="s">
        <v>817</v>
      </c>
      <c r="T559" s="240" t="s">
        <v>1490</v>
      </c>
      <c r="U559" s="238">
        <v>106.22</v>
      </c>
      <c r="V559" s="238">
        <v>11.3772</v>
      </c>
      <c r="W559" s="238">
        <v>6.4699999999999994E-2</v>
      </c>
    </row>
    <row r="560" spans="17:23" ht="20.100000000000001" customHeight="1">
      <c r="Q560" s="174">
        <v>556</v>
      </c>
      <c r="R560" s="176" t="s">
        <v>694</v>
      </c>
      <c r="S560" s="176" t="s">
        <v>697</v>
      </c>
      <c r="T560" s="240" t="s">
        <v>1491</v>
      </c>
      <c r="U560" s="238">
        <v>106.26439999999999</v>
      </c>
      <c r="V560" s="238">
        <v>11.084</v>
      </c>
      <c r="W560" s="238">
        <v>5.7799999999999997E-2</v>
      </c>
    </row>
    <row r="561" spans="17:23" ht="20.100000000000001" customHeight="1">
      <c r="Q561" s="174">
        <v>557</v>
      </c>
      <c r="R561" s="176" t="s">
        <v>694</v>
      </c>
      <c r="S561" s="176" t="s">
        <v>698</v>
      </c>
      <c r="T561" s="240" t="s">
        <v>1492</v>
      </c>
      <c r="U561" s="238">
        <v>106.12730000000001</v>
      </c>
      <c r="V561" s="238">
        <v>11.2883</v>
      </c>
      <c r="W561" s="238">
        <v>5.5100000000000003E-2</v>
      </c>
    </row>
    <row r="562" spans="17:23" ht="20.100000000000001" customHeight="1">
      <c r="Q562" s="174">
        <v>558</v>
      </c>
      <c r="R562" s="176" t="s">
        <v>694</v>
      </c>
      <c r="S562" s="176" t="s">
        <v>699</v>
      </c>
      <c r="T562" s="240" t="s">
        <v>1493</v>
      </c>
      <c r="U562" s="238">
        <v>106.0048</v>
      </c>
      <c r="V562" s="238">
        <v>11.5436</v>
      </c>
      <c r="W562" s="238">
        <v>5.7000000000000002E-2</v>
      </c>
    </row>
    <row r="563" spans="17:23" ht="20.100000000000001" customHeight="1">
      <c r="Q563" s="174">
        <v>559</v>
      </c>
      <c r="R563" s="176" t="s">
        <v>694</v>
      </c>
      <c r="S563" s="176" t="s">
        <v>244</v>
      </c>
      <c r="T563" s="240" t="s">
        <v>1042</v>
      </c>
      <c r="U563" s="238">
        <v>106.1614</v>
      </c>
      <c r="V563" s="238">
        <v>11.5541</v>
      </c>
      <c r="W563" s="238">
        <v>6.4699999999999994E-2</v>
      </c>
    </row>
    <row r="564" spans="17:23" ht="20.100000000000001" customHeight="1">
      <c r="Q564" s="174">
        <v>560</v>
      </c>
      <c r="R564" s="176" t="s">
        <v>694</v>
      </c>
      <c r="S564" s="176" t="s">
        <v>700</v>
      </c>
      <c r="T564" s="240" t="s">
        <v>1494</v>
      </c>
      <c r="U564" s="238">
        <v>106.3586</v>
      </c>
      <c r="V564" s="238">
        <v>11.031000000000001</v>
      </c>
      <c r="W564" s="238">
        <v>6.3399999999999998E-2</v>
      </c>
    </row>
    <row r="565" spans="17:23" ht="20.100000000000001" customHeight="1">
      <c r="Q565" s="174">
        <v>561</v>
      </c>
      <c r="R565" s="176" t="s">
        <v>701</v>
      </c>
      <c r="S565" s="176" t="s">
        <v>702</v>
      </c>
      <c r="T565" s="240" t="s">
        <v>1495</v>
      </c>
      <c r="U565" s="238">
        <v>106.342</v>
      </c>
      <c r="V565" s="238">
        <v>20.4467</v>
      </c>
      <c r="W565" s="238">
        <v>0.1074</v>
      </c>
    </row>
    <row r="566" spans="17:23" ht="20.100000000000001" customHeight="1">
      <c r="Q566" s="174">
        <v>562</v>
      </c>
      <c r="R566" s="176" t="s">
        <v>701</v>
      </c>
      <c r="S566" s="176" t="s">
        <v>869</v>
      </c>
      <c r="T566" s="240" t="s">
        <v>1496</v>
      </c>
      <c r="U566" s="238">
        <v>106.3533</v>
      </c>
      <c r="V566" s="238">
        <v>20.557600000000001</v>
      </c>
      <c r="W566" s="238">
        <v>7.6600000000000001E-2</v>
      </c>
    </row>
    <row r="567" spans="17:23" ht="20.100000000000001" customHeight="1">
      <c r="Q567" s="174">
        <v>563</v>
      </c>
      <c r="R567" s="176" t="s">
        <v>701</v>
      </c>
      <c r="S567" s="176" t="s">
        <v>870</v>
      </c>
      <c r="T567" s="240" t="s">
        <v>1497</v>
      </c>
      <c r="U567" s="238">
        <v>106.22410000000001</v>
      </c>
      <c r="V567" s="238">
        <v>20.590800000000002</v>
      </c>
      <c r="W567" s="238">
        <v>0.1032</v>
      </c>
    </row>
    <row r="568" spans="17:23" ht="20.100000000000001" customHeight="1">
      <c r="Q568" s="174">
        <v>564</v>
      </c>
      <c r="R568" s="176" t="s">
        <v>701</v>
      </c>
      <c r="S568" s="176" t="s">
        <v>818</v>
      </c>
      <c r="T568" s="240" t="s">
        <v>1498</v>
      </c>
      <c r="U568" s="238">
        <v>106.43680000000001</v>
      </c>
      <c r="V568" s="238">
        <v>20.389399999999998</v>
      </c>
      <c r="W568" s="238">
        <v>0.1012</v>
      </c>
    </row>
    <row r="569" spans="17:23" ht="20.100000000000001" customHeight="1">
      <c r="Q569" s="174">
        <v>565</v>
      </c>
      <c r="R569" s="176" t="s">
        <v>701</v>
      </c>
      <c r="S569" s="176" t="s">
        <v>703</v>
      </c>
      <c r="T569" s="240" t="s">
        <v>1499</v>
      </c>
      <c r="U569" s="238">
        <v>106.3274</v>
      </c>
      <c r="V569" s="238">
        <v>20.6615</v>
      </c>
      <c r="W569" s="238">
        <v>6.1699999999999998E-2</v>
      </c>
    </row>
    <row r="570" spans="17:23" ht="20.100000000000001" customHeight="1">
      <c r="Q570" s="174">
        <v>566</v>
      </c>
      <c r="R570" s="176" t="s">
        <v>701</v>
      </c>
      <c r="S570" s="176" t="s">
        <v>704</v>
      </c>
      <c r="T570" s="240" t="s">
        <v>1500</v>
      </c>
      <c r="U570" s="238">
        <v>106.5663</v>
      </c>
      <c r="V570" s="238">
        <v>20.561299999999999</v>
      </c>
      <c r="W570" s="238">
        <v>5.2299999999999999E-2</v>
      </c>
    </row>
    <row r="571" spans="17:23" ht="20.100000000000001" customHeight="1">
      <c r="Q571" s="174">
        <v>567</v>
      </c>
      <c r="R571" s="176" t="s">
        <v>701</v>
      </c>
      <c r="S571" s="176" t="s">
        <v>705</v>
      </c>
      <c r="T571" s="240" t="s">
        <v>1501</v>
      </c>
      <c r="U571" s="238">
        <v>106.5029</v>
      </c>
      <c r="V571" s="238">
        <v>20.4055</v>
      </c>
      <c r="W571" s="238">
        <v>7.7700000000000005E-2</v>
      </c>
    </row>
    <row r="572" spans="17:23" ht="20.100000000000001" customHeight="1">
      <c r="Q572" s="174">
        <v>568</v>
      </c>
      <c r="R572" s="176" t="s">
        <v>701</v>
      </c>
      <c r="S572" s="176" t="s">
        <v>868</v>
      </c>
      <c r="T572" s="240" t="s">
        <v>1502</v>
      </c>
      <c r="U572" s="238">
        <v>106.2962</v>
      </c>
      <c r="V572" s="238">
        <v>20.4361</v>
      </c>
      <c r="W572" s="238">
        <v>0.11260000000000001</v>
      </c>
    </row>
    <row r="573" spans="17:23" ht="20.100000000000001" customHeight="1">
      <c r="Q573" s="174">
        <v>569</v>
      </c>
      <c r="R573" s="176" t="s">
        <v>706</v>
      </c>
      <c r="S573" s="176" t="s">
        <v>707</v>
      </c>
      <c r="T573" s="240" t="s">
        <v>1453</v>
      </c>
      <c r="U573" s="238">
        <v>105.8437</v>
      </c>
      <c r="V573" s="238">
        <v>21.596699999999998</v>
      </c>
      <c r="W573" s="238">
        <v>9.2799999999999994E-2</v>
      </c>
    </row>
    <row r="574" spans="17:23" ht="20.100000000000001" customHeight="1">
      <c r="Q574" s="174">
        <v>570</v>
      </c>
      <c r="R574" s="176" t="s">
        <v>706</v>
      </c>
      <c r="S574" s="176" t="s">
        <v>708</v>
      </c>
      <c r="T574" s="240" t="s">
        <v>1503</v>
      </c>
      <c r="U574" s="238">
        <v>105.8506</v>
      </c>
      <c r="V574" s="238">
        <v>21.482500000000002</v>
      </c>
      <c r="W574" s="238">
        <v>8.5599999999999996E-2</v>
      </c>
    </row>
    <row r="575" spans="17:23" ht="20.100000000000001" customHeight="1">
      <c r="Q575" s="174">
        <v>571</v>
      </c>
      <c r="R575" s="176" t="s">
        <v>706</v>
      </c>
      <c r="S575" s="176" t="s">
        <v>709</v>
      </c>
      <c r="T575" s="240" t="s">
        <v>1504</v>
      </c>
      <c r="U575" s="238">
        <v>105.6416</v>
      </c>
      <c r="V575" s="238">
        <v>21.630299999999998</v>
      </c>
      <c r="W575" s="238">
        <v>0.11849999999999999</v>
      </c>
    </row>
    <row r="576" spans="17:23" ht="20.100000000000001" customHeight="1">
      <c r="Q576" s="174">
        <v>572</v>
      </c>
      <c r="R576" s="176" t="s">
        <v>706</v>
      </c>
      <c r="S576" s="176" t="s">
        <v>710</v>
      </c>
      <c r="T576" s="240" t="s">
        <v>1505</v>
      </c>
      <c r="U576" s="238">
        <v>105.6459</v>
      </c>
      <c r="V576" s="238">
        <v>21.909500000000001</v>
      </c>
      <c r="W576" s="238">
        <v>4.6800000000000001E-2</v>
      </c>
    </row>
    <row r="577" spans="17:23" ht="20.100000000000001" customHeight="1">
      <c r="Q577" s="174">
        <v>573</v>
      </c>
      <c r="R577" s="176" t="s">
        <v>706</v>
      </c>
      <c r="S577" s="176" t="s">
        <v>711</v>
      </c>
      <c r="T577" s="240" t="s">
        <v>1506</v>
      </c>
      <c r="U577" s="238">
        <v>105.83929999999999</v>
      </c>
      <c r="V577" s="238">
        <v>21.627400000000002</v>
      </c>
      <c r="W577" s="238">
        <v>9.5299999999999996E-2</v>
      </c>
    </row>
    <row r="578" spans="17:23" ht="20.100000000000001" customHeight="1">
      <c r="Q578" s="174">
        <v>574</v>
      </c>
      <c r="R578" s="176" t="s">
        <v>706</v>
      </c>
      <c r="S578" s="176" t="s">
        <v>712</v>
      </c>
      <c r="T578" s="240" t="s">
        <v>1507</v>
      </c>
      <c r="U578" s="238">
        <v>105.87779999999999</v>
      </c>
      <c r="V578" s="238">
        <v>21.414100000000001</v>
      </c>
      <c r="W578" s="238">
        <v>9.4500000000000001E-2</v>
      </c>
    </row>
    <row r="579" spans="17:23" ht="20.100000000000001" customHeight="1">
      <c r="Q579" s="174">
        <v>575</v>
      </c>
      <c r="R579" s="176" t="s">
        <v>706</v>
      </c>
      <c r="S579" s="176" t="s">
        <v>713</v>
      </c>
      <c r="T579" s="240" t="s">
        <v>1508</v>
      </c>
      <c r="U579" s="238">
        <v>105.97750000000001</v>
      </c>
      <c r="V579" s="238">
        <v>21.459700000000002</v>
      </c>
      <c r="W579" s="238">
        <v>6.4600000000000005E-2</v>
      </c>
    </row>
    <row r="580" spans="17:23" ht="20.100000000000001" customHeight="1">
      <c r="Q580" s="174">
        <v>576</v>
      </c>
      <c r="R580" s="176" t="s">
        <v>706</v>
      </c>
      <c r="S580" s="176" t="s">
        <v>819</v>
      </c>
      <c r="T580" s="240" t="s">
        <v>1509</v>
      </c>
      <c r="U580" s="238">
        <v>105.7037</v>
      </c>
      <c r="V580" s="238">
        <v>21.731300000000001</v>
      </c>
      <c r="W580" s="238">
        <v>0.1032</v>
      </c>
    </row>
    <row r="581" spans="17:23" ht="20.100000000000001" customHeight="1">
      <c r="Q581" s="174">
        <v>577</v>
      </c>
      <c r="R581" s="176" t="s">
        <v>706</v>
      </c>
      <c r="S581" s="176" t="s">
        <v>714</v>
      </c>
      <c r="T581" s="240" t="s">
        <v>1510</v>
      </c>
      <c r="U581" s="238">
        <v>106.0762</v>
      </c>
      <c r="V581" s="238">
        <v>21.751000000000001</v>
      </c>
      <c r="W581" s="238">
        <v>4.5100000000000001E-2</v>
      </c>
    </row>
    <row r="582" spans="17:23" ht="20.100000000000001" customHeight="1">
      <c r="Q582" s="174">
        <v>578</v>
      </c>
      <c r="R582" s="176" t="s">
        <v>715</v>
      </c>
      <c r="S582" s="176" t="s">
        <v>716</v>
      </c>
      <c r="T582" s="240" t="s">
        <v>1511</v>
      </c>
      <c r="U582" s="238">
        <v>105.77800000000001</v>
      </c>
      <c r="V582" s="238">
        <v>19.8126</v>
      </c>
      <c r="W582" s="238">
        <v>9.1800000000000007E-2</v>
      </c>
    </row>
    <row r="583" spans="17:23" ht="20.100000000000001" customHeight="1">
      <c r="Q583" s="174">
        <v>579</v>
      </c>
      <c r="R583" s="176" t="s">
        <v>715</v>
      </c>
      <c r="S583" s="176" t="s">
        <v>717</v>
      </c>
      <c r="T583" s="240" t="s">
        <v>1384</v>
      </c>
      <c r="U583" s="238">
        <v>105.85720000000001</v>
      </c>
      <c r="V583" s="238">
        <v>20.099799999999998</v>
      </c>
      <c r="W583" s="238">
        <v>0.1205</v>
      </c>
    </row>
    <row r="584" spans="17:23" ht="20.100000000000001" customHeight="1">
      <c r="Q584" s="174">
        <v>580</v>
      </c>
      <c r="R584" s="176" t="s">
        <v>715</v>
      </c>
      <c r="S584" s="176" t="s">
        <v>718</v>
      </c>
      <c r="T584" s="240" t="s">
        <v>1384</v>
      </c>
      <c r="U584" s="238">
        <v>105.89749999999999</v>
      </c>
      <c r="V584" s="238">
        <v>19.737400000000001</v>
      </c>
      <c r="W584" s="238">
        <v>7.9799999999999996E-2</v>
      </c>
    </row>
    <row r="585" spans="17:23" ht="20.100000000000001" customHeight="1">
      <c r="Q585" s="174">
        <v>581</v>
      </c>
      <c r="R585" s="176" t="s">
        <v>715</v>
      </c>
      <c r="S585" s="176" t="s">
        <v>833</v>
      </c>
      <c r="T585" s="240" t="s">
        <v>1512</v>
      </c>
      <c r="U585" s="238">
        <v>105.2334</v>
      </c>
      <c r="V585" s="238">
        <v>20.346</v>
      </c>
      <c r="W585" s="238">
        <v>0.11840000000000001</v>
      </c>
    </row>
    <row r="586" spans="17:23" ht="20.100000000000001" customHeight="1">
      <c r="Q586" s="174">
        <v>582</v>
      </c>
      <c r="R586" s="176" t="s">
        <v>715</v>
      </c>
      <c r="S586" s="176" t="s">
        <v>719</v>
      </c>
      <c r="T586" s="240" t="s">
        <v>1513</v>
      </c>
      <c r="U586" s="238">
        <v>105.4752</v>
      </c>
      <c r="V586" s="238">
        <v>20.2163</v>
      </c>
      <c r="W586" s="238">
        <v>0.1172</v>
      </c>
    </row>
    <row r="587" spans="17:23" ht="20.100000000000001" customHeight="1">
      <c r="Q587" s="174">
        <v>583</v>
      </c>
      <c r="R587" s="176" t="s">
        <v>715</v>
      </c>
      <c r="S587" s="176" t="s">
        <v>720</v>
      </c>
      <c r="T587" s="240" t="s">
        <v>1514</v>
      </c>
      <c r="U587" s="238">
        <v>105.7332</v>
      </c>
      <c r="V587" s="238">
        <v>19.816099999999999</v>
      </c>
      <c r="W587" s="238">
        <v>9.2899999999999996E-2</v>
      </c>
    </row>
    <row r="588" spans="17:23" ht="20.100000000000001" customHeight="1">
      <c r="Q588" s="174">
        <v>584</v>
      </c>
      <c r="R588" s="176" t="s">
        <v>715</v>
      </c>
      <c r="S588" s="176" t="s">
        <v>721</v>
      </c>
      <c r="T588" s="240" t="s">
        <v>1515</v>
      </c>
      <c r="U588" s="238">
        <v>105.8519</v>
      </c>
      <c r="V588" s="238">
        <v>20.011600000000001</v>
      </c>
      <c r="W588" s="238">
        <v>0.1439</v>
      </c>
    </row>
    <row r="589" spans="17:23" ht="20.100000000000001" customHeight="1">
      <c r="Q589" s="174">
        <v>585</v>
      </c>
      <c r="R589" s="176" t="s">
        <v>715</v>
      </c>
      <c r="S589" s="176" t="s">
        <v>722</v>
      </c>
      <c r="T589" s="240" t="s">
        <v>1516</v>
      </c>
      <c r="U589" s="238">
        <v>105.8903</v>
      </c>
      <c r="V589" s="238">
        <v>19.916799999999999</v>
      </c>
      <c r="W589" s="238">
        <v>0.12609999999999999</v>
      </c>
    </row>
    <row r="590" spans="17:23" ht="20.100000000000001" customHeight="1">
      <c r="Q590" s="174">
        <v>586</v>
      </c>
      <c r="R590" s="176" t="s">
        <v>715</v>
      </c>
      <c r="S590" s="176" t="s">
        <v>723</v>
      </c>
      <c r="T590" s="240" t="s">
        <v>1517</v>
      </c>
      <c r="U590" s="238">
        <v>105.85380000000001</v>
      </c>
      <c r="V590" s="238">
        <v>19.861999999999998</v>
      </c>
      <c r="W590" s="238">
        <v>0.10539999999999999</v>
      </c>
    </row>
    <row r="591" spans="17:23" ht="20.100000000000001" customHeight="1">
      <c r="Q591" s="174">
        <v>587</v>
      </c>
      <c r="R591" s="176" t="s">
        <v>715</v>
      </c>
      <c r="S591" s="176" t="s">
        <v>724</v>
      </c>
      <c r="T591" s="240" t="s">
        <v>1518</v>
      </c>
      <c r="U591" s="238">
        <v>105.24290000000001</v>
      </c>
      <c r="V591" s="238">
        <v>20.155000000000001</v>
      </c>
      <c r="W591" s="238">
        <v>0.1051</v>
      </c>
    </row>
    <row r="592" spans="17:23" ht="20.100000000000001" customHeight="1">
      <c r="Q592" s="174">
        <v>588</v>
      </c>
      <c r="R592" s="176" t="s">
        <v>715</v>
      </c>
      <c r="S592" s="176" t="s">
        <v>855</v>
      </c>
      <c r="T592" s="240" t="s">
        <v>1519</v>
      </c>
      <c r="U592" s="238">
        <v>104.6083</v>
      </c>
      <c r="V592" s="238">
        <v>20.538599999999999</v>
      </c>
      <c r="W592" s="238">
        <v>0.1053</v>
      </c>
    </row>
    <row r="593" spans="17:23" ht="20.100000000000001" customHeight="1">
      <c r="Q593" s="174">
        <v>589</v>
      </c>
      <c r="R593" s="176" t="s">
        <v>715</v>
      </c>
      <c r="S593" s="176" t="s">
        <v>725</v>
      </c>
      <c r="T593" s="240" t="s">
        <v>1520</v>
      </c>
      <c r="U593" s="238">
        <v>105.9708</v>
      </c>
      <c r="V593" s="238">
        <v>20.008400000000002</v>
      </c>
      <c r="W593" s="238">
        <v>0.12570000000000001</v>
      </c>
    </row>
    <row r="594" spans="17:23" ht="20.100000000000001" customHeight="1">
      <c r="Q594" s="174">
        <v>590</v>
      </c>
      <c r="R594" s="176" t="s">
        <v>715</v>
      </c>
      <c r="S594" s="176" t="s">
        <v>726</v>
      </c>
      <c r="T594" s="240" t="s">
        <v>1521</v>
      </c>
      <c r="U594" s="238">
        <v>105.37220000000001</v>
      </c>
      <c r="V594" s="238">
        <v>20.091899999999999</v>
      </c>
      <c r="W594" s="238">
        <v>0.1002</v>
      </c>
    </row>
    <row r="595" spans="17:23" ht="20.100000000000001" customHeight="1">
      <c r="Q595" s="174">
        <v>591</v>
      </c>
      <c r="R595" s="176" t="s">
        <v>715</v>
      </c>
      <c r="S595" s="176" t="s">
        <v>871</v>
      </c>
      <c r="T595" s="240" t="s">
        <v>1522</v>
      </c>
      <c r="U595" s="238">
        <v>105.5759</v>
      </c>
      <c r="V595" s="238">
        <v>19.6325</v>
      </c>
      <c r="W595" s="238">
        <v>8.5300000000000001E-2</v>
      </c>
    </row>
    <row r="596" spans="17:23" ht="20.100000000000001" customHeight="1">
      <c r="Q596" s="174">
        <v>592</v>
      </c>
      <c r="R596" s="176" t="s">
        <v>715</v>
      </c>
      <c r="S596" s="176" t="s">
        <v>872</v>
      </c>
      <c r="T596" s="240" t="s">
        <v>1523</v>
      </c>
      <c r="U596" s="238">
        <v>105.4306</v>
      </c>
      <c r="V596" s="238">
        <v>19.6632</v>
      </c>
      <c r="W596" s="238">
        <v>5.3999999999999999E-2</v>
      </c>
    </row>
    <row r="597" spans="17:23" ht="20.100000000000001" customHeight="1">
      <c r="Q597" s="174">
        <v>593</v>
      </c>
      <c r="R597" s="176" t="s">
        <v>715</v>
      </c>
      <c r="S597" s="176" t="s">
        <v>727</v>
      </c>
      <c r="T597" s="240" t="s">
        <v>1524</v>
      </c>
      <c r="U597" s="238">
        <v>105.68640000000001</v>
      </c>
      <c r="V597" s="238">
        <v>19.705500000000001</v>
      </c>
      <c r="W597" s="238">
        <v>0.10489999999999999</v>
      </c>
    </row>
    <row r="598" spans="17:23" ht="20.100000000000001" customHeight="1">
      <c r="Q598" s="174">
        <v>594</v>
      </c>
      <c r="R598" s="176" t="s">
        <v>715</v>
      </c>
      <c r="S598" s="176" t="s">
        <v>820</v>
      </c>
      <c r="T598" s="240" t="s">
        <v>1525</v>
      </c>
      <c r="U598" s="238">
        <v>105.83</v>
      </c>
      <c r="V598" s="238">
        <v>19.727499999999999</v>
      </c>
      <c r="W598" s="238">
        <v>8.5900000000000004E-2</v>
      </c>
    </row>
    <row r="599" spans="17:23" ht="20.100000000000001" customHeight="1">
      <c r="Q599" s="174">
        <v>595</v>
      </c>
      <c r="R599" s="176" t="s">
        <v>715</v>
      </c>
      <c r="S599" s="176" t="s">
        <v>728</v>
      </c>
      <c r="T599" s="240" t="s">
        <v>1526</v>
      </c>
      <c r="U599" s="238">
        <v>105.1031</v>
      </c>
      <c r="V599" s="238">
        <v>20.3811</v>
      </c>
      <c r="W599" s="238">
        <v>0.11210000000000001</v>
      </c>
    </row>
    <row r="600" spans="17:23" ht="20.100000000000001" customHeight="1">
      <c r="Q600" s="174">
        <v>596</v>
      </c>
      <c r="R600" s="176" t="s">
        <v>715</v>
      </c>
      <c r="S600" s="176" t="s">
        <v>729</v>
      </c>
      <c r="T600" s="240" t="s">
        <v>1527</v>
      </c>
      <c r="U600" s="238">
        <v>104.8982</v>
      </c>
      <c r="V600" s="238">
        <v>20.265899999999998</v>
      </c>
      <c r="W600" s="238">
        <v>8.0600000000000005E-2</v>
      </c>
    </row>
    <row r="601" spans="17:23" ht="20.100000000000001" customHeight="1">
      <c r="Q601" s="174">
        <v>597</v>
      </c>
      <c r="R601" s="176" t="s">
        <v>715</v>
      </c>
      <c r="S601" s="176" t="s">
        <v>730</v>
      </c>
      <c r="T601" s="240" t="s">
        <v>1528</v>
      </c>
      <c r="U601" s="238">
        <v>105.6703</v>
      </c>
      <c r="V601" s="238">
        <v>20.128900000000002</v>
      </c>
      <c r="W601" s="238">
        <v>0.1421</v>
      </c>
    </row>
    <row r="602" spans="17:23" ht="20.100000000000001" customHeight="1">
      <c r="Q602" s="174">
        <v>598</v>
      </c>
      <c r="R602" s="176" t="s">
        <v>715</v>
      </c>
      <c r="S602" s="176" t="s">
        <v>731</v>
      </c>
      <c r="T602" s="240" t="s">
        <v>1529</v>
      </c>
      <c r="U602" s="238">
        <v>105.51949999999999</v>
      </c>
      <c r="V602" s="238">
        <v>19.935300000000002</v>
      </c>
      <c r="W602" s="238">
        <v>9.9699999999999997E-2</v>
      </c>
    </row>
    <row r="603" spans="17:23" ht="20.100000000000001" customHeight="1">
      <c r="Q603" s="174">
        <v>599</v>
      </c>
      <c r="R603" s="176" t="s">
        <v>715</v>
      </c>
      <c r="S603" s="176" t="s">
        <v>856</v>
      </c>
      <c r="T603" s="240" t="s">
        <v>1530</v>
      </c>
      <c r="U603" s="238">
        <v>105.3501</v>
      </c>
      <c r="V603" s="238">
        <v>19.9041</v>
      </c>
      <c r="W603" s="238">
        <v>9.5299999999999996E-2</v>
      </c>
    </row>
    <row r="604" spans="17:23" ht="20.100000000000001" customHeight="1">
      <c r="Q604" s="174">
        <v>600</v>
      </c>
      <c r="R604" s="176" t="s">
        <v>715</v>
      </c>
      <c r="S604" s="176" t="s">
        <v>732</v>
      </c>
      <c r="T604" s="240" t="s">
        <v>1531</v>
      </c>
      <c r="U604" s="238">
        <v>105.67870000000001</v>
      </c>
      <c r="V604" s="238">
        <v>19.882400000000001</v>
      </c>
      <c r="W604" s="238">
        <v>9.2799999999999994E-2</v>
      </c>
    </row>
    <row r="605" spans="17:23" ht="20.100000000000001" customHeight="1">
      <c r="Q605" s="174">
        <v>601</v>
      </c>
      <c r="R605" s="176" t="s">
        <v>715</v>
      </c>
      <c r="S605" s="176" t="s">
        <v>733</v>
      </c>
      <c r="T605" s="240" t="s">
        <v>1532</v>
      </c>
      <c r="U605" s="238">
        <v>105.7765</v>
      </c>
      <c r="V605" s="238">
        <v>19.4495</v>
      </c>
      <c r="W605" s="238">
        <v>9.8599999999999993E-2</v>
      </c>
    </row>
    <row r="606" spans="17:23" ht="20.100000000000001" customHeight="1">
      <c r="Q606" s="174">
        <v>602</v>
      </c>
      <c r="R606" s="176" t="s">
        <v>715</v>
      </c>
      <c r="S606" s="176" t="s">
        <v>734</v>
      </c>
      <c r="T606" s="240" t="s">
        <v>1533</v>
      </c>
      <c r="U606" s="238">
        <v>105.59569999999999</v>
      </c>
      <c r="V606" s="238">
        <v>19.819099999999999</v>
      </c>
      <c r="W606" s="238">
        <v>0.1017</v>
      </c>
    </row>
    <row r="607" spans="17:23" ht="20.100000000000001" customHeight="1">
      <c r="Q607" s="174">
        <v>603</v>
      </c>
      <c r="R607" s="176" t="s">
        <v>715</v>
      </c>
      <c r="S607" s="176" t="s">
        <v>735</v>
      </c>
      <c r="T607" s="240" t="s">
        <v>1534</v>
      </c>
      <c r="U607" s="238">
        <v>105.61409999999999</v>
      </c>
      <c r="V607" s="238">
        <v>20.0627</v>
      </c>
      <c r="W607" s="238">
        <v>0.1066</v>
      </c>
    </row>
    <row r="608" spans="17:23" ht="20.100000000000001" customHeight="1">
      <c r="Q608" s="174">
        <v>604</v>
      </c>
      <c r="R608" s="176" t="s">
        <v>715</v>
      </c>
      <c r="S608" s="176" t="s">
        <v>736</v>
      </c>
      <c r="T608" s="240" t="s">
        <v>1535</v>
      </c>
      <c r="U608" s="238">
        <v>105.65349999999999</v>
      </c>
      <c r="V608" s="238">
        <v>19.970800000000001</v>
      </c>
      <c r="W608" s="238">
        <v>8.7400000000000005E-2</v>
      </c>
    </row>
    <row r="609" spans="17:23" ht="20.100000000000001" customHeight="1">
      <c r="Q609" s="174">
        <v>605</v>
      </c>
      <c r="R609" s="176" t="s">
        <v>737</v>
      </c>
      <c r="S609" s="176" t="s">
        <v>738</v>
      </c>
      <c r="T609" s="240" t="s">
        <v>1536</v>
      </c>
      <c r="U609" s="238">
        <v>107.59350000000001</v>
      </c>
      <c r="V609" s="238">
        <v>16.462800000000001</v>
      </c>
      <c r="W609" s="238">
        <v>5.3800000000000001E-2</v>
      </c>
    </row>
    <row r="610" spans="17:23" ht="20.100000000000001" customHeight="1">
      <c r="Q610" s="174">
        <v>606</v>
      </c>
      <c r="R610" s="176" t="s">
        <v>737</v>
      </c>
      <c r="S610" s="176" t="s">
        <v>834</v>
      </c>
      <c r="T610" s="240" t="s">
        <v>1537</v>
      </c>
      <c r="U610" s="238">
        <v>107.23090000000001</v>
      </c>
      <c r="V610" s="238">
        <v>16.276700000000002</v>
      </c>
      <c r="W610" s="238">
        <v>5.7299999999999997E-2</v>
      </c>
    </row>
    <row r="611" spans="17:23" ht="20.100000000000001" customHeight="1">
      <c r="Q611" s="174">
        <v>607</v>
      </c>
      <c r="R611" s="176" t="s">
        <v>737</v>
      </c>
      <c r="S611" s="176" t="s">
        <v>821</v>
      </c>
      <c r="T611" s="240" t="s">
        <v>1538</v>
      </c>
      <c r="U611" s="238">
        <v>107.6874</v>
      </c>
      <c r="V611" s="238">
        <v>16.3993</v>
      </c>
      <c r="W611" s="238">
        <v>4.9200000000000001E-2</v>
      </c>
    </row>
    <row r="612" spans="17:23" ht="20.100000000000001" customHeight="1">
      <c r="Q612" s="174">
        <v>608</v>
      </c>
      <c r="R612" s="176" t="s">
        <v>737</v>
      </c>
      <c r="S612" s="176" t="s">
        <v>822</v>
      </c>
      <c r="T612" s="240" t="s">
        <v>1539</v>
      </c>
      <c r="U612" s="238">
        <v>107.4675</v>
      </c>
      <c r="V612" s="238">
        <v>16.5322</v>
      </c>
      <c r="W612" s="238">
        <v>5.3900000000000003E-2</v>
      </c>
    </row>
    <row r="613" spans="17:23" ht="20.100000000000001" customHeight="1">
      <c r="Q613" s="174">
        <v>609</v>
      </c>
      <c r="R613" s="176" t="s">
        <v>737</v>
      </c>
      <c r="S613" s="176" t="s">
        <v>739</v>
      </c>
      <c r="T613" s="240" t="s">
        <v>1540</v>
      </c>
      <c r="U613" s="238">
        <v>107.7236</v>
      </c>
      <c r="V613" s="238">
        <v>16.168500000000002</v>
      </c>
      <c r="W613" s="238">
        <v>8.0399999999999999E-2</v>
      </c>
    </row>
    <row r="614" spans="17:23" ht="20.100000000000001" customHeight="1">
      <c r="Q614" s="174">
        <v>610</v>
      </c>
      <c r="R614" s="176" t="s">
        <v>737</v>
      </c>
      <c r="S614" s="176" t="s">
        <v>740</v>
      </c>
      <c r="T614" s="240" t="s">
        <v>1477</v>
      </c>
      <c r="U614" s="238">
        <v>107.8605</v>
      </c>
      <c r="V614" s="238">
        <v>16.280200000000001</v>
      </c>
      <c r="W614" s="238">
        <v>4.3400000000000001E-2</v>
      </c>
    </row>
    <row r="615" spans="17:23" ht="20.100000000000001" customHeight="1">
      <c r="Q615" s="174">
        <v>611</v>
      </c>
      <c r="R615" s="176" t="s">
        <v>737</v>
      </c>
      <c r="S615" s="176" t="s">
        <v>741</v>
      </c>
      <c r="T615" s="240" t="s">
        <v>1541</v>
      </c>
      <c r="U615" s="238">
        <v>107.61450000000001</v>
      </c>
      <c r="V615" s="238">
        <v>16.526900000000001</v>
      </c>
      <c r="W615" s="238">
        <v>5.3499999999999999E-2</v>
      </c>
    </row>
    <row r="616" spans="17:23" ht="20.100000000000001" customHeight="1">
      <c r="Q616" s="174">
        <v>612</v>
      </c>
      <c r="R616" s="176" t="s">
        <v>737</v>
      </c>
      <c r="S616" s="176" t="s">
        <v>234</v>
      </c>
      <c r="T616" s="240" t="s">
        <v>1542</v>
      </c>
      <c r="U616" s="238">
        <v>107.36279999999999</v>
      </c>
      <c r="V616" s="238">
        <v>16.581600000000002</v>
      </c>
      <c r="W616" s="238">
        <v>4.9599999999999998E-2</v>
      </c>
    </row>
    <row r="617" spans="17:23" ht="20.100000000000001" customHeight="1">
      <c r="Q617" s="174">
        <v>613</v>
      </c>
      <c r="R617" s="176" t="s">
        <v>737</v>
      </c>
      <c r="S617" s="176" t="s">
        <v>742</v>
      </c>
      <c r="T617" s="240" t="s">
        <v>1543</v>
      </c>
      <c r="U617" s="238">
        <v>107.5078</v>
      </c>
      <c r="V617" s="238">
        <v>16.5763</v>
      </c>
      <c r="W617" s="238">
        <v>4.53E-2</v>
      </c>
    </row>
    <row r="618" spans="17:23" ht="20.100000000000001" customHeight="1">
      <c r="Q618" s="174">
        <v>614</v>
      </c>
      <c r="R618" s="176" t="s">
        <v>743</v>
      </c>
      <c r="S618" s="176" t="s">
        <v>744</v>
      </c>
      <c r="T618" s="240" t="s">
        <v>967</v>
      </c>
      <c r="U618" s="238">
        <v>106.36669999999999</v>
      </c>
      <c r="V618" s="238">
        <v>10.3588</v>
      </c>
      <c r="W618" s="238">
        <v>2.3699999999999999E-2</v>
      </c>
    </row>
    <row r="619" spans="17:23" ht="20.100000000000001" customHeight="1">
      <c r="Q619" s="174">
        <v>615</v>
      </c>
      <c r="R619" s="176" t="s">
        <v>743</v>
      </c>
      <c r="S619" s="176" t="s">
        <v>745</v>
      </c>
      <c r="T619" s="240" t="s">
        <v>1053</v>
      </c>
      <c r="U619" s="238">
        <v>106.6784</v>
      </c>
      <c r="V619" s="238">
        <v>10.366300000000001</v>
      </c>
      <c r="W619" s="238">
        <v>8.1699999999999995E-2</v>
      </c>
    </row>
    <row r="620" spans="17:23" ht="20.100000000000001" customHeight="1">
      <c r="Q620" s="174">
        <v>616</v>
      </c>
      <c r="R620" s="176" t="s">
        <v>743</v>
      </c>
      <c r="S620" s="176" t="s">
        <v>746</v>
      </c>
      <c r="T620" s="240" t="s">
        <v>1544</v>
      </c>
      <c r="U620" s="238">
        <v>106.03230000000001</v>
      </c>
      <c r="V620" s="238">
        <v>10.3386</v>
      </c>
      <c r="W620" s="238">
        <v>1.5599999999999999E-2</v>
      </c>
    </row>
    <row r="621" spans="17:23" ht="20.100000000000001" customHeight="1">
      <c r="Q621" s="174">
        <v>617</v>
      </c>
      <c r="R621" s="176" t="s">
        <v>743</v>
      </c>
      <c r="S621" s="176" t="s">
        <v>747</v>
      </c>
      <c r="T621" s="240" t="s">
        <v>1545</v>
      </c>
      <c r="U621" s="238">
        <v>106.11790000000001</v>
      </c>
      <c r="V621" s="238">
        <v>10.4077</v>
      </c>
      <c r="W621" s="238">
        <v>1.4200000000000001E-2</v>
      </c>
    </row>
    <row r="622" spans="17:23" ht="20.100000000000001" customHeight="1">
      <c r="Q622" s="174">
        <v>618</v>
      </c>
      <c r="R622" s="176" t="s">
        <v>743</v>
      </c>
      <c r="S622" s="176" t="s">
        <v>241</v>
      </c>
      <c r="T622" s="240" t="s">
        <v>1298</v>
      </c>
      <c r="U622" s="238">
        <v>106.3413</v>
      </c>
      <c r="V622" s="238">
        <v>10.449400000000001</v>
      </c>
      <c r="W622" s="238">
        <v>2.8000000000000001E-2</v>
      </c>
    </row>
    <row r="623" spans="17:23" ht="20.100000000000001" customHeight="1">
      <c r="Q623" s="174">
        <v>619</v>
      </c>
      <c r="R623" s="176" t="s">
        <v>743</v>
      </c>
      <c r="S623" s="176" t="s">
        <v>748</v>
      </c>
      <c r="T623" s="240" t="s">
        <v>1546</v>
      </c>
      <c r="U623" s="238">
        <v>106.4639</v>
      </c>
      <c r="V623" s="238">
        <v>10.3522</v>
      </c>
      <c r="W623" s="238">
        <v>3.4200000000000001E-2</v>
      </c>
    </row>
    <row r="624" spans="17:23" ht="20.100000000000001" customHeight="1">
      <c r="Q624" s="174">
        <v>620</v>
      </c>
      <c r="R624" s="176" t="s">
        <v>743</v>
      </c>
      <c r="S624" s="176" t="s">
        <v>749</v>
      </c>
      <c r="T624" s="240" t="s">
        <v>1547</v>
      </c>
      <c r="U624" s="238">
        <v>106.712</v>
      </c>
      <c r="V624" s="238">
        <v>10.32</v>
      </c>
      <c r="W624" s="238">
        <v>7.85E-2</v>
      </c>
    </row>
    <row r="625" spans="17:23" ht="20.100000000000001" customHeight="1">
      <c r="Q625" s="174">
        <v>621</v>
      </c>
      <c r="R625" s="176" t="s">
        <v>743</v>
      </c>
      <c r="S625" s="176" t="s">
        <v>750</v>
      </c>
      <c r="T625" s="240" t="s">
        <v>1548</v>
      </c>
      <c r="U625" s="238">
        <v>106.57980000000001</v>
      </c>
      <c r="V625" s="238">
        <v>10.3452</v>
      </c>
      <c r="W625" s="238">
        <v>5.74E-2</v>
      </c>
    </row>
    <row r="626" spans="17:23" ht="20.100000000000001" customHeight="1">
      <c r="Q626" s="174">
        <v>622</v>
      </c>
      <c r="R626" s="176" t="s">
        <v>743</v>
      </c>
      <c r="S626" s="176" t="s">
        <v>835</v>
      </c>
      <c r="T626" s="240" t="s">
        <v>1091</v>
      </c>
      <c r="U626" s="238">
        <v>106.1931</v>
      </c>
      <c r="V626" s="238">
        <v>10.4773</v>
      </c>
      <c r="W626" s="238">
        <v>1.7999999999999999E-2</v>
      </c>
    </row>
    <row r="627" spans="17:23" ht="20.100000000000001" customHeight="1">
      <c r="Q627" s="174">
        <v>623</v>
      </c>
      <c r="R627" s="176" t="s">
        <v>751</v>
      </c>
      <c r="S627" s="176" t="s">
        <v>752</v>
      </c>
      <c r="T627" s="240" t="s">
        <v>960</v>
      </c>
      <c r="U627" s="238">
        <v>106.3415</v>
      </c>
      <c r="V627" s="238">
        <v>9.9382000000000001</v>
      </c>
      <c r="W627" s="238">
        <v>2.1899999999999999E-2</v>
      </c>
    </row>
    <row r="628" spans="17:23" ht="20.100000000000001" customHeight="1">
      <c r="Q628" s="174">
        <v>624</v>
      </c>
      <c r="R628" s="176" t="s">
        <v>751</v>
      </c>
      <c r="S628" s="176" t="s">
        <v>873</v>
      </c>
      <c r="T628" s="240" t="s">
        <v>1549</v>
      </c>
      <c r="U628" s="238">
        <v>106.2034</v>
      </c>
      <c r="V628" s="238">
        <v>9.9893000000000001</v>
      </c>
      <c r="W628" s="238">
        <v>2.7699999999999999E-2</v>
      </c>
    </row>
    <row r="629" spans="17:23" ht="20.100000000000001" customHeight="1">
      <c r="Q629" s="174">
        <v>625</v>
      </c>
      <c r="R629" s="176" t="s">
        <v>751</v>
      </c>
      <c r="S629" s="176" t="s">
        <v>753</v>
      </c>
      <c r="T629" s="240" t="s">
        <v>1550</v>
      </c>
      <c r="U629" s="238">
        <v>106.05459999999999</v>
      </c>
      <c r="V629" s="238">
        <v>9.8704000000000001</v>
      </c>
      <c r="W629" s="238">
        <v>6.6000000000000003E-2</v>
      </c>
    </row>
    <row r="630" spans="17:23" ht="20.100000000000001" customHeight="1">
      <c r="Q630" s="174">
        <v>626</v>
      </c>
      <c r="R630" s="176" t="s">
        <v>751</v>
      </c>
      <c r="S630" s="176" t="s">
        <v>754</v>
      </c>
      <c r="T630" s="240" t="s">
        <v>1551</v>
      </c>
      <c r="U630" s="238">
        <v>106.4521</v>
      </c>
      <c r="V630" s="238">
        <v>9.8048000000000002</v>
      </c>
      <c r="W630" s="238">
        <v>2.86E-2</v>
      </c>
    </row>
    <row r="631" spans="17:23" ht="20.100000000000001" customHeight="1">
      <c r="Q631" s="174">
        <v>627</v>
      </c>
      <c r="R631" s="176" t="s">
        <v>751</v>
      </c>
      <c r="S631" s="176" t="s">
        <v>241</v>
      </c>
      <c r="T631" s="240" t="s">
        <v>1085</v>
      </c>
      <c r="U631" s="238">
        <v>106.3466</v>
      </c>
      <c r="V631" s="238">
        <v>9.8694000000000006</v>
      </c>
      <c r="W631" s="238">
        <v>2.7199999999999998E-2</v>
      </c>
    </row>
    <row r="632" spans="17:23" ht="20.100000000000001" customHeight="1">
      <c r="Q632" s="174">
        <v>628</v>
      </c>
      <c r="R632" s="176" t="s">
        <v>751</v>
      </c>
      <c r="S632" s="176" t="s">
        <v>755</v>
      </c>
      <c r="T632" s="240" t="s">
        <v>1552</v>
      </c>
      <c r="U632" s="238">
        <v>106.4909</v>
      </c>
      <c r="V632" s="238">
        <v>9.6342999999999996</v>
      </c>
      <c r="W632" s="238">
        <v>4.9099999999999998E-2</v>
      </c>
    </row>
    <row r="633" spans="17:23" ht="20.100000000000001" customHeight="1">
      <c r="Q633" s="174">
        <v>629</v>
      </c>
      <c r="R633" s="176" t="s">
        <v>751</v>
      </c>
      <c r="S633" s="176" t="s">
        <v>756</v>
      </c>
      <c r="T633" s="240" t="s">
        <v>1553</v>
      </c>
      <c r="U633" s="238">
        <v>106.18899999999999</v>
      </c>
      <c r="V633" s="238">
        <v>9.8125999999999998</v>
      </c>
      <c r="W633" s="238">
        <v>5.91E-2</v>
      </c>
    </row>
    <row r="634" spans="17:23" ht="20.100000000000001" customHeight="1">
      <c r="Q634" s="174">
        <v>630</v>
      </c>
      <c r="R634" s="176" t="s">
        <v>751</v>
      </c>
      <c r="S634" s="176" t="s">
        <v>757</v>
      </c>
      <c r="T634" s="240" t="s">
        <v>1554</v>
      </c>
      <c r="U634" s="238">
        <v>106.2623</v>
      </c>
      <c r="V634" s="238">
        <v>9.6806999999999999</v>
      </c>
      <c r="W634" s="238">
        <v>6.7299999999999999E-2</v>
      </c>
    </row>
    <row r="635" spans="17:23" ht="20.100000000000001" customHeight="1">
      <c r="Q635" s="174">
        <v>631</v>
      </c>
      <c r="R635" s="176" t="s">
        <v>758</v>
      </c>
      <c r="S635" s="176" t="s">
        <v>759</v>
      </c>
      <c r="T635" s="240" t="s">
        <v>1555</v>
      </c>
      <c r="U635" s="238">
        <v>105.21259999999999</v>
      </c>
      <c r="V635" s="238">
        <v>21.814399999999999</v>
      </c>
      <c r="W635" s="238">
        <v>5.9499999999999997E-2</v>
      </c>
    </row>
    <row r="636" spans="17:23" ht="20.100000000000001" customHeight="1">
      <c r="Q636" s="174">
        <v>632</v>
      </c>
      <c r="R636" s="176" t="s">
        <v>758</v>
      </c>
      <c r="S636" s="176" t="s">
        <v>760</v>
      </c>
      <c r="T636" s="240" t="s">
        <v>1534</v>
      </c>
      <c r="U636" s="238">
        <v>105.26</v>
      </c>
      <c r="V636" s="238">
        <v>22.148499999999999</v>
      </c>
      <c r="W636" s="238">
        <v>0.02</v>
      </c>
    </row>
    <row r="637" spans="17:23" ht="20.100000000000001" customHeight="1">
      <c r="Q637" s="174">
        <v>633</v>
      </c>
      <c r="R637" s="176" t="s">
        <v>758</v>
      </c>
      <c r="S637" s="176" t="s">
        <v>761</v>
      </c>
      <c r="T637" s="240" t="s">
        <v>1556</v>
      </c>
      <c r="U637" s="238">
        <v>105.02979999999999</v>
      </c>
      <c r="V637" s="238">
        <v>22.073</v>
      </c>
      <c r="W637" s="238">
        <v>4.8599999999999997E-2</v>
      </c>
    </row>
    <row r="638" spans="17:23" ht="20.100000000000001" customHeight="1">
      <c r="Q638" s="174">
        <v>634</v>
      </c>
      <c r="R638" s="176" t="s">
        <v>758</v>
      </c>
      <c r="S638" s="176" t="s">
        <v>762</v>
      </c>
      <c r="T638" s="240" t="s">
        <v>1557</v>
      </c>
      <c r="U638" s="238">
        <v>105.39530000000001</v>
      </c>
      <c r="V638" s="238">
        <v>22.350300000000001</v>
      </c>
      <c r="W638" s="238">
        <v>4.3799999999999999E-2</v>
      </c>
    </row>
    <row r="639" spans="17:23" ht="20.100000000000001" customHeight="1">
      <c r="Q639" s="174">
        <v>635</v>
      </c>
      <c r="R639" s="176" t="s">
        <v>758</v>
      </c>
      <c r="S639" s="176" t="s">
        <v>823</v>
      </c>
      <c r="T639" s="240" t="s">
        <v>1558</v>
      </c>
      <c r="U639" s="238">
        <v>105.3908</v>
      </c>
      <c r="V639" s="238">
        <v>21.701699999999999</v>
      </c>
      <c r="W639" s="238">
        <v>6.2700000000000006E-2</v>
      </c>
    </row>
    <row r="640" spans="17:23" ht="20.100000000000001" customHeight="1">
      <c r="Q640" s="174">
        <v>636</v>
      </c>
      <c r="R640" s="176" t="s">
        <v>758</v>
      </c>
      <c r="S640" s="176" t="s">
        <v>763</v>
      </c>
      <c r="T640" s="240" t="s">
        <v>1559</v>
      </c>
      <c r="U640" s="238">
        <v>105.2201</v>
      </c>
      <c r="V640" s="238">
        <v>21.795999999999999</v>
      </c>
      <c r="W640" s="238">
        <v>6.2E-2</v>
      </c>
    </row>
    <row r="641" spans="17:23" ht="20.100000000000001" customHeight="1">
      <c r="Q641" s="174">
        <v>637</v>
      </c>
      <c r="R641" s="175" t="s">
        <v>874</v>
      </c>
      <c r="S641" s="176" t="s">
        <v>764</v>
      </c>
      <c r="T641" s="240" t="s">
        <v>967</v>
      </c>
      <c r="U641" s="238">
        <v>105.9765</v>
      </c>
      <c r="V641" s="238">
        <v>10.253</v>
      </c>
      <c r="W641" s="238">
        <v>2.1999999999999999E-2</v>
      </c>
    </row>
    <row r="642" spans="17:23" ht="20.100000000000001" customHeight="1">
      <c r="Q642" s="174">
        <v>638</v>
      </c>
      <c r="R642" s="175" t="s">
        <v>874</v>
      </c>
      <c r="S642" s="176" t="s">
        <v>765</v>
      </c>
      <c r="T642" s="240" t="s">
        <v>1560</v>
      </c>
      <c r="U642" s="238">
        <v>105.82389999999999</v>
      </c>
      <c r="V642" s="238">
        <v>10.07</v>
      </c>
      <c r="W642" s="238">
        <v>7.1999999999999995E-2</v>
      </c>
    </row>
    <row r="643" spans="17:23" ht="20.100000000000001" customHeight="1">
      <c r="Q643" s="174">
        <v>639</v>
      </c>
      <c r="R643" s="175" t="s">
        <v>874</v>
      </c>
      <c r="S643" s="176" t="s">
        <v>766</v>
      </c>
      <c r="T643" s="240" t="s">
        <v>1561</v>
      </c>
      <c r="U643" s="238">
        <v>106.01260000000001</v>
      </c>
      <c r="V643" s="238">
        <v>10.192600000000001</v>
      </c>
      <c r="W643" s="238">
        <v>2.4500000000000001E-2</v>
      </c>
    </row>
    <row r="644" spans="17:23" ht="20.100000000000001" customHeight="1">
      <c r="Q644" s="174">
        <v>640</v>
      </c>
      <c r="R644" s="175" t="s">
        <v>874</v>
      </c>
      <c r="S644" s="176" t="s">
        <v>767</v>
      </c>
      <c r="T644" s="240" t="s">
        <v>1562</v>
      </c>
      <c r="U644" s="238">
        <v>106.1109</v>
      </c>
      <c r="V644" s="238">
        <v>10.1778</v>
      </c>
      <c r="W644" s="238">
        <v>1.9699999999999999E-2</v>
      </c>
    </row>
    <row r="645" spans="17:23" ht="20.100000000000001" customHeight="1">
      <c r="Q645" s="174">
        <v>641</v>
      </c>
      <c r="R645" s="175" t="s">
        <v>874</v>
      </c>
      <c r="S645" s="176" t="s">
        <v>768</v>
      </c>
      <c r="T645" s="240" t="s">
        <v>1563</v>
      </c>
      <c r="U645" s="238">
        <v>105.99420000000001</v>
      </c>
      <c r="V645" s="238">
        <v>10.043799999999999</v>
      </c>
      <c r="W645" s="238">
        <v>4.6800000000000001E-2</v>
      </c>
    </row>
    <row r="646" spans="17:23" ht="20.100000000000001" customHeight="1">
      <c r="Q646" s="174">
        <v>642</v>
      </c>
      <c r="R646" s="175" t="s">
        <v>874</v>
      </c>
      <c r="S646" s="176" t="s">
        <v>769</v>
      </c>
      <c r="T646" s="240" t="s">
        <v>1564</v>
      </c>
      <c r="U646" s="238">
        <v>105.92189999999999</v>
      </c>
      <c r="V646" s="238">
        <v>9.9657999999999998</v>
      </c>
      <c r="W646" s="238">
        <v>6.4199999999999993E-2</v>
      </c>
    </row>
    <row r="647" spans="17:23" ht="20.100000000000001" customHeight="1">
      <c r="Q647" s="174">
        <v>643</v>
      </c>
      <c r="R647" s="175" t="s">
        <v>874</v>
      </c>
      <c r="S647" s="176" t="s">
        <v>770</v>
      </c>
      <c r="T647" s="240" t="s">
        <v>1565</v>
      </c>
      <c r="U647" s="238">
        <v>106.18470000000001</v>
      </c>
      <c r="V647" s="238">
        <v>10.095800000000001</v>
      </c>
      <c r="W647" s="238">
        <v>2.0400000000000001E-2</v>
      </c>
    </row>
    <row r="648" spans="17:23" ht="20.100000000000001" customHeight="1">
      <c r="Q648" s="174">
        <v>644</v>
      </c>
      <c r="R648" s="176" t="s">
        <v>771</v>
      </c>
      <c r="S648" s="176" t="s">
        <v>772</v>
      </c>
      <c r="T648" s="240" t="s">
        <v>1566</v>
      </c>
      <c r="U648" s="238">
        <v>105.70489999999999</v>
      </c>
      <c r="V648" s="238">
        <v>21.237200000000001</v>
      </c>
      <c r="W648" s="238">
        <v>7.9299999999999995E-2</v>
      </c>
    </row>
    <row r="649" spans="17:23" ht="20.100000000000001" customHeight="1">
      <c r="Q649" s="174">
        <v>645</v>
      </c>
      <c r="R649" s="176" t="s">
        <v>771</v>
      </c>
      <c r="S649" s="176" t="s">
        <v>773</v>
      </c>
      <c r="T649" s="240" t="s">
        <v>1567</v>
      </c>
      <c r="U649" s="238">
        <v>105.59650000000001</v>
      </c>
      <c r="V649" s="238">
        <v>21.3123</v>
      </c>
      <c r="W649" s="238">
        <v>8.3699999999999997E-2</v>
      </c>
    </row>
    <row r="650" spans="17:23" ht="20.100000000000001" customHeight="1">
      <c r="Q650" s="174">
        <v>646</v>
      </c>
      <c r="R650" s="176" t="s">
        <v>771</v>
      </c>
      <c r="S650" s="176" t="s">
        <v>774</v>
      </c>
      <c r="T650" s="240" t="s">
        <v>1568</v>
      </c>
      <c r="U650" s="238">
        <v>105.648</v>
      </c>
      <c r="V650" s="238">
        <v>21.2775</v>
      </c>
      <c r="W650" s="238">
        <v>8.0799999999999997E-2</v>
      </c>
    </row>
    <row r="651" spans="17:23" ht="20.100000000000001" customHeight="1">
      <c r="Q651" s="174">
        <v>647</v>
      </c>
      <c r="R651" s="176" t="s">
        <v>771</v>
      </c>
      <c r="S651" s="176" t="s">
        <v>775</v>
      </c>
      <c r="T651" s="240" t="s">
        <v>1569</v>
      </c>
      <c r="U651" s="238">
        <v>105.4603</v>
      </c>
      <c r="V651" s="238">
        <v>21.415900000000001</v>
      </c>
      <c r="W651" s="238">
        <v>9.69E-2</v>
      </c>
    </row>
    <row r="652" spans="17:23" ht="20.100000000000001" customHeight="1">
      <c r="Q652" s="174">
        <v>648</v>
      </c>
      <c r="R652" s="176" t="s">
        <v>771</v>
      </c>
      <c r="S652" s="176" t="s">
        <v>776</v>
      </c>
      <c r="T652" s="240" t="s">
        <v>1566</v>
      </c>
      <c r="U652" s="238">
        <v>105.70489999999999</v>
      </c>
      <c r="V652" s="238">
        <v>21.237200000000001</v>
      </c>
      <c r="W652" s="238">
        <v>7.9299999999999995E-2</v>
      </c>
    </row>
    <row r="653" spans="17:23" ht="20.100000000000001" customHeight="1">
      <c r="Q653" s="174">
        <v>649</v>
      </c>
      <c r="R653" s="176" t="s">
        <v>771</v>
      </c>
      <c r="S653" s="176" t="s">
        <v>824</v>
      </c>
      <c r="T653" s="240" t="s">
        <v>1570</v>
      </c>
      <c r="U653" s="238">
        <v>105.5393</v>
      </c>
      <c r="V653" s="238">
        <v>21.381699999999999</v>
      </c>
      <c r="W653" s="238">
        <v>8.4900000000000003E-2</v>
      </c>
    </row>
    <row r="654" spans="17:23" ht="20.100000000000001" customHeight="1">
      <c r="Q654" s="174">
        <v>650</v>
      </c>
      <c r="R654" s="176" t="s">
        <v>771</v>
      </c>
      <c r="S654" s="176" t="s">
        <v>857</v>
      </c>
      <c r="T654" s="240" t="s">
        <v>1571</v>
      </c>
      <c r="U654" s="238">
        <v>105.5153</v>
      </c>
      <c r="V654" s="238">
        <v>21.219799999999999</v>
      </c>
      <c r="W654" s="238">
        <v>0.1144</v>
      </c>
    </row>
    <row r="655" spans="17:23" ht="20.100000000000001" customHeight="1">
      <c r="Q655" s="174">
        <v>651</v>
      </c>
      <c r="R655" s="176" t="s">
        <v>771</v>
      </c>
      <c r="S655" s="176" t="s">
        <v>777</v>
      </c>
      <c r="T655" s="240" t="s">
        <v>1072</v>
      </c>
      <c r="U655" s="238">
        <v>105.5772</v>
      </c>
      <c r="V655" s="238">
        <v>21.234000000000002</v>
      </c>
      <c r="W655" s="238">
        <v>0.10879999999999999</v>
      </c>
    </row>
    <row r="656" spans="17:23" ht="20.100000000000001" customHeight="1">
      <c r="Q656" s="174">
        <v>652</v>
      </c>
      <c r="R656" s="176" t="s">
        <v>778</v>
      </c>
      <c r="S656" s="176" t="s">
        <v>779</v>
      </c>
      <c r="T656" s="240" t="s">
        <v>1572</v>
      </c>
      <c r="U656" s="238">
        <v>104.8788</v>
      </c>
      <c r="V656" s="238">
        <v>21.711099999999998</v>
      </c>
      <c r="W656" s="238">
        <v>0.113</v>
      </c>
    </row>
    <row r="657" spans="17:23" ht="20.100000000000001" customHeight="1">
      <c r="Q657" s="174">
        <v>653</v>
      </c>
      <c r="R657" s="176" t="s">
        <v>778</v>
      </c>
      <c r="S657" s="176" t="s">
        <v>780</v>
      </c>
      <c r="T657" s="240" t="s">
        <v>1573</v>
      </c>
      <c r="U657" s="238">
        <v>104.5119</v>
      </c>
      <c r="V657" s="238">
        <v>21.603000000000002</v>
      </c>
      <c r="W657" s="238">
        <v>6.8000000000000005E-2</v>
      </c>
    </row>
    <row r="658" spans="17:23" ht="20.100000000000001" customHeight="1">
      <c r="Q658" s="174">
        <v>654</v>
      </c>
      <c r="R658" s="176" t="s">
        <v>778</v>
      </c>
      <c r="S658" s="176" t="s">
        <v>781</v>
      </c>
      <c r="T658" s="240" t="s">
        <v>1574</v>
      </c>
      <c r="U658" s="238">
        <v>104.7667</v>
      </c>
      <c r="V658" s="238">
        <v>22.0974</v>
      </c>
      <c r="W658" s="238">
        <v>0.1086</v>
      </c>
    </row>
    <row r="659" spans="17:23" ht="20.100000000000001" customHeight="1">
      <c r="Q659" s="174">
        <v>655</v>
      </c>
      <c r="R659" s="176" t="s">
        <v>778</v>
      </c>
      <c r="S659" s="176" t="s">
        <v>782</v>
      </c>
      <c r="T659" s="240" t="s">
        <v>1575</v>
      </c>
      <c r="U659" s="238">
        <v>104.08620000000001</v>
      </c>
      <c r="V659" s="238">
        <v>21.851099999999999</v>
      </c>
      <c r="W659" s="238">
        <v>5.6099999999999997E-2</v>
      </c>
    </row>
    <row r="660" spans="17:23" ht="20.100000000000001" customHeight="1">
      <c r="Q660" s="174">
        <v>656</v>
      </c>
      <c r="R660" s="176" t="s">
        <v>778</v>
      </c>
      <c r="S660" s="176" t="s">
        <v>783</v>
      </c>
      <c r="T660" s="240" t="s">
        <v>1576</v>
      </c>
      <c r="U660" s="238">
        <v>104.3886</v>
      </c>
      <c r="V660" s="238">
        <v>21.4666</v>
      </c>
      <c r="W660" s="238">
        <v>4.48E-2</v>
      </c>
    </row>
    <row r="661" spans="17:23" ht="20.100000000000001" customHeight="1">
      <c r="Q661" s="174">
        <v>657</v>
      </c>
      <c r="R661" s="176" t="s">
        <v>778</v>
      </c>
      <c r="S661" s="176" t="s">
        <v>784</v>
      </c>
      <c r="T661" s="240" t="s">
        <v>1577</v>
      </c>
      <c r="U661" s="238">
        <v>104.8232</v>
      </c>
      <c r="V661" s="238">
        <v>21.758600000000001</v>
      </c>
      <c r="W661" s="238">
        <v>0.11020000000000001</v>
      </c>
    </row>
    <row r="662" spans="17:23" ht="20.100000000000001" customHeight="1">
      <c r="Q662" s="174">
        <v>658</v>
      </c>
      <c r="R662" s="176" t="s">
        <v>778</v>
      </c>
      <c r="S662" s="176" t="s">
        <v>785</v>
      </c>
      <c r="T662" s="240" t="s">
        <v>1578</v>
      </c>
      <c r="U662" s="238">
        <v>104.49250000000001</v>
      </c>
      <c r="V662" s="238">
        <v>21.652100000000001</v>
      </c>
      <c r="W662" s="238">
        <v>6.9400000000000003E-2</v>
      </c>
    </row>
    <row r="663" spans="17:23" ht="20.100000000000001" customHeight="1">
      <c r="Q663" s="174">
        <v>659</v>
      </c>
      <c r="R663" s="176" t="s">
        <v>778</v>
      </c>
      <c r="S663" s="176" t="s">
        <v>786</v>
      </c>
      <c r="T663" s="240" t="s">
        <v>1579</v>
      </c>
      <c r="U663" s="238">
        <v>104.6855</v>
      </c>
      <c r="V663" s="238">
        <v>21.8749</v>
      </c>
      <c r="W663" s="238">
        <v>0.10829999999999999</v>
      </c>
    </row>
    <row r="664" spans="17:23" ht="20.100000000000001" customHeight="1">
      <c r="Q664" s="174">
        <v>660</v>
      </c>
      <c r="R664" s="176" t="s">
        <v>778</v>
      </c>
      <c r="S664" s="176" t="s">
        <v>787</v>
      </c>
      <c r="T664" s="240" t="s">
        <v>1580</v>
      </c>
      <c r="U664" s="238">
        <v>104.9641</v>
      </c>
      <c r="V664" s="238">
        <v>21.726800000000001</v>
      </c>
      <c r="W664" s="238">
        <v>0.1128</v>
      </c>
    </row>
    <row r="665" spans="17:23" ht="20.100000000000001" customHeight="1">
      <c r="Q665" s="230" t="s">
        <v>1581</v>
      </c>
      <c r="R665" s="231"/>
      <c r="S665" s="231"/>
      <c r="T665" s="231"/>
      <c r="U665" s="231"/>
      <c r="V665" s="231"/>
      <c r="W665" s="232"/>
    </row>
    <row r="666" spans="17:23" ht="20.100000000000001" customHeight="1">
      <c r="Q666" s="229"/>
    </row>
    <row r="667" spans="17:23" ht="20.100000000000001" customHeight="1">
      <c r="Q667" s="229"/>
    </row>
    <row r="668" spans="17:23" ht="20.100000000000001" customHeight="1">
      <c r="Q668" s="229"/>
    </row>
    <row r="669" spans="17:23" ht="20.100000000000001" customHeight="1">
      <c r="Q669" s="229"/>
    </row>
    <row r="670" spans="17:23" ht="20.100000000000001" customHeight="1">
      <c r="Q670" s="229"/>
    </row>
    <row r="671" spans="17:23" ht="20.100000000000001" customHeight="1">
      <c r="Q671" s="229"/>
    </row>
    <row r="672" spans="17:23" ht="20.100000000000001" customHeight="1"/>
    <row r="673" spans="17:17" ht="20.100000000000001" customHeight="1"/>
    <row r="674" spans="17:17" ht="20.100000000000001" customHeight="1"/>
    <row r="675" spans="17:17" ht="20.100000000000001" customHeight="1">
      <c r="Q675" s="229"/>
    </row>
    <row r="676" spans="17:17" ht="20.100000000000001" customHeight="1">
      <c r="Q676" s="229"/>
    </row>
    <row r="677" spans="17:17" ht="20.100000000000001" customHeight="1">
      <c r="Q677" s="229"/>
    </row>
    <row r="678" spans="17:17" ht="20.100000000000001" customHeight="1">
      <c r="Q678" s="229"/>
    </row>
    <row r="679" spans="17:17" ht="20.100000000000001" customHeight="1">
      <c r="Q679" s="229"/>
    </row>
    <row r="680" spans="17:17" ht="20.100000000000001" customHeight="1">
      <c r="Q680" s="229"/>
    </row>
    <row r="681" spans="17:17" ht="20.100000000000001" customHeight="1">
      <c r="Q681" s="229"/>
    </row>
    <row r="682" spans="17:17" ht="20.100000000000001" customHeight="1">
      <c r="Q682" s="229"/>
    </row>
    <row r="683" spans="17:17" ht="20.100000000000001" customHeight="1">
      <c r="Q683" s="229"/>
    </row>
    <row r="684" spans="17:17" ht="20.100000000000001" customHeight="1">
      <c r="Q684" s="229"/>
    </row>
    <row r="685" spans="17:17" ht="20.100000000000001" customHeight="1">
      <c r="Q685" s="229"/>
    </row>
    <row r="686" spans="17:17" ht="20.100000000000001" customHeight="1">
      <c r="Q686" s="229"/>
    </row>
    <row r="687" spans="17:17" ht="20.100000000000001" customHeight="1">
      <c r="Q687" s="229"/>
    </row>
    <row r="688" spans="17:17" ht="20.100000000000001" customHeight="1">
      <c r="Q688" s="229"/>
    </row>
    <row r="689" spans="17:17" ht="20.100000000000001" customHeight="1">
      <c r="Q689" s="229"/>
    </row>
    <row r="690" spans="17:17" ht="20.100000000000001" customHeight="1">
      <c r="Q690" s="229"/>
    </row>
    <row r="691" spans="17:17" ht="20.100000000000001" customHeight="1">
      <c r="Q691" s="229"/>
    </row>
    <row r="692" spans="17:17" ht="20.100000000000001" customHeight="1">
      <c r="Q692" s="229"/>
    </row>
    <row r="693" spans="17:17" ht="20.100000000000001" customHeight="1">
      <c r="Q693" s="229"/>
    </row>
    <row r="694" spans="17:17" ht="20.100000000000001" customHeight="1">
      <c r="Q694" s="229"/>
    </row>
    <row r="695" spans="17:17" ht="20.100000000000001" customHeight="1">
      <c r="Q695" s="229"/>
    </row>
    <row r="696" spans="17:17" ht="20.100000000000001" customHeight="1">
      <c r="Q696" s="229"/>
    </row>
    <row r="697" spans="17:17" ht="20.100000000000001" customHeight="1">
      <c r="Q697" s="229"/>
    </row>
    <row r="698" spans="17:17" ht="20.100000000000001" customHeight="1">
      <c r="Q698" s="229"/>
    </row>
    <row r="699" spans="17:17" ht="20.100000000000001" customHeight="1">
      <c r="Q699" s="229"/>
    </row>
    <row r="700" spans="17:17" ht="20.100000000000001" customHeight="1">
      <c r="Q700" s="229"/>
    </row>
    <row r="701" spans="17:17" ht="20.100000000000001" customHeight="1">
      <c r="Q701" s="229"/>
    </row>
    <row r="702" spans="17:17" ht="20.100000000000001" customHeight="1">
      <c r="Q702" s="229"/>
    </row>
    <row r="703" spans="17:17" ht="20.100000000000001" customHeight="1">
      <c r="Q703" s="229"/>
    </row>
    <row r="704" spans="17:17" ht="20.100000000000001" customHeight="1">
      <c r="Q704" s="229"/>
    </row>
    <row r="705" spans="17:17" ht="20.100000000000001" customHeight="1">
      <c r="Q705" s="229"/>
    </row>
    <row r="706" spans="17:17" ht="20.100000000000001" customHeight="1">
      <c r="Q706" s="229"/>
    </row>
    <row r="707" spans="17:17" ht="20.100000000000001" customHeight="1">
      <c r="Q707" s="229"/>
    </row>
    <row r="708" spans="17:17" ht="20.100000000000001" customHeight="1">
      <c r="Q708" s="229"/>
    </row>
    <row r="709" spans="17:17" ht="20.100000000000001" customHeight="1">
      <c r="Q709" s="229"/>
    </row>
    <row r="710" spans="17:17" ht="20.100000000000001" customHeight="1">
      <c r="Q710" s="229"/>
    </row>
    <row r="711" spans="17:17" ht="20.100000000000001" customHeight="1">
      <c r="Q711" s="229"/>
    </row>
    <row r="712" spans="17:17" ht="20.100000000000001" customHeight="1">
      <c r="Q712" s="229"/>
    </row>
    <row r="713" spans="17:17" ht="20.100000000000001" customHeight="1">
      <c r="Q713" s="229"/>
    </row>
    <row r="714" spans="17:17" ht="20.100000000000001" customHeight="1">
      <c r="Q714" s="229"/>
    </row>
    <row r="715" spans="17:17" ht="20.100000000000001" customHeight="1">
      <c r="Q715" s="229"/>
    </row>
    <row r="716" spans="17:17" ht="20.100000000000001" customHeight="1">
      <c r="Q716" s="229"/>
    </row>
    <row r="717" spans="17:17" ht="20.100000000000001" customHeight="1">
      <c r="Q717" s="229"/>
    </row>
    <row r="718" spans="17:17" ht="20.100000000000001" customHeight="1">
      <c r="Q718" s="229"/>
    </row>
    <row r="719" spans="17:17" ht="20.100000000000001" customHeight="1">
      <c r="Q719" s="229"/>
    </row>
    <row r="720" spans="17:17" ht="20.100000000000001" customHeight="1">
      <c r="Q720" s="229"/>
    </row>
    <row r="721" spans="17:17" ht="20.100000000000001" customHeight="1">
      <c r="Q721" s="229"/>
    </row>
    <row r="722" spans="17:17" ht="20.100000000000001" customHeight="1">
      <c r="Q722" s="229"/>
    </row>
    <row r="723" spans="17:17" ht="20.100000000000001" customHeight="1">
      <c r="Q723" s="229"/>
    </row>
    <row r="724" spans="17:17" ht="20.100000000000001" customHeight="1">
      <c r="Q724" s="229"/>
    </row>
    <row r="725" spans="17:17" ht="20.100000000000001" customHeight="1">
      <c r="Q725" s="229"/>
    </row>
    <row r="726" spans="17:17" ht="20.100000000000001" customHeight="1">
      <c r="Q726" s="229"/>
    </row>
    <row r="727" spans="17:17" ht="20.100000000000001" customHeight="1">
      <c r="Q727" s="229"/>
    </row>
    <row r="728" spans="17:17" ht="20.100000000000001" customHeight="1">
      <c r="Q728" s="229"/>
    </row>
    <row r="729" spans="17:17" ht="20.100000000000001" customHeight="1">
      <c r="Q729" s="229"/>
    </row>
    <row r="730" spans="17:17" ht="20.100000000000001" customHeight="1">
      <c r="Q730" s="229"/>
    </row>
    <row r="731" spans="17:17" ht="20.100000000000001" customHeight="1">
      <c r="Q731" s="229"/>
    </row>
    <row r="732" spans="17:17" ht="20.100000000000001" customHeight="1">
      <c r="Q732" s="229"/>
    </row>
    <row r="733" spans="17:17" ht="20.100000000000001" customHeight="1">
      <c r="Q733" s="229"/>
    </row>
    <row r="734" spans="17:17" ht="20.100000000000001" customHeight="1">
      <c r="Q734" s="229"/>
    </row>
    <row r="735" spans="17:17" ht="20.100000000000001" customHeight="1">
      <c r="Q735" s="229"/>
    </row>
    <row r="736" spans="17:17" ht="20.100000000000001" customHeight="1">
      <c r="Q736" s="229"/>
    </row>
    <row r="737" spans="17:17" ht="20.100000000000001" customHeight="1">
      <c r="Q737" s="229"/>
    </row>
    <row r="738" spans="17:17" ht="20.100000000000001" customHeight="1">
      <c r="Q738" s="229"/>
    </row>
    <row r="739" spans="17:17" ht="20.100000000000001" customHeight="1">
      <c r="Q739" s="229"/>
    </row>
    <row r="740" spans="17:17" ht="20.100000000000001" customHeight="1">
      <c r="Q740" s="229"/>
    </row>
    <row r="741" spans="17:17" ht="20.100000000000001" customHeight="1">
      <c r="Q741" s="229"/>
    </row>
    <row r="742" spans="17:17" ht="20.100000000000001" customHeight="1"/>
    <row r="743" spans="17:17" ht="20.100000000000001" customHeight="1"/>
    <row r="744" spans="17:17" ht="20.100000000000001" customHeight="1"/>
    <row r="745" spans="17:17" ht="20.100000000000001" customHeight="1"/>
    <row r="746" spans="17:17" ht="20.100000000000001" customHeight="1"/>
    <row r="747" spans="17:17" ht="20.100000000000001" customHeight="1"/>
    <row r="748" spans="17:17" ht="20.100000000000001" customHeight="1"/>
    <row r="749" spans="17:17" ht="20.100000000000001" customHeight="1"/>
    <row r="750" spans="17:17" ht="20.100000000000001" customHeight="1"/>
    <row r="751" spans="17:17" ht="20.100000000000001" customHeight="1"/>
    <row r="752" spans="17:17" ht="20.100000000000001" customHeight="1"/>
    <row r="753" ht="20.100000000000001" customHeight="1"/>
    <row r="754" ht="20.100000000000001" customHeight="1"/>
    <row r="755" ht="20.100000000000001" customHeight="1"/>
    <row r="756" ht="20.100000000000001" customHeight="1"/>
    <row r="757" ht="20.100000000000001" customHeight="1"/>
    <row r="758" ht="20.100000000000001" customHeight="1"/>
    <row r="759" ht="20.100000000000001" customHeight="1"/>
    <row r="760" ht="20.100000000000001" customHeight="1"/>
    <row r="761" ht="20.100000000000001" customHeight="1"/>
    <row r="762" ht="20.100000000000001" customHeight="1"/>
    <row r="763" ht="20.100000000000001" customHeight="1"/>
    <row r="764" ht="20.100000000000001" customHeight="1"/>
    <row r="765" ht="20.100000000000001" customHeight="1"/>
    <row r="766" ht="20.100000000000001" customHeight="1"/>
    <row r="767" ht="20.100000000000001" customHeight="1"/>
    <row r="768" ht="20.100000000000001" customHeight="1"/>
    <row r="769" ht="20.100000000000001" customHeight="1"/>
    <row r="770" ht="20.100000000000001" customHeight="1"/>
    <row r="771" ht="20.10000000000000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20.100000000000001" customHeight="1"/>
    <row r="777" ht="20.100000000000001" customHeight="1"/>
    <row r="778" ht="20.100000000000001" customHeight="1"/>
    <row r="779" ht="20.100000000000001" customHeight="1"/>
    <row r="780" ht="20.100000000000001" customHeight="1"/>
    <row r="781" ht="20.100000000000001" customHeight="1"/>
    <row r="782" ht="20.100000000000001" customHeight="1"/>
    <row r="783" ht="20.100000000000001" customHeight="1"/>
    <row r="784" ht="20.100000000000001" customHeight="1"/>
    <row r="785" ht="20.100000000000001" customHeight="1"/>
    <row r="786" ht="20.100000000000001" customHeight="1"/>
    <row r="787" ht="20.100000000000001" customHeight="1"/>
    <row r="788" ht="20.100000000000001" customHeight="1"/>
    <row r="789" ht="20.100000000000001" customHeight="1"/>
    <row r="790" ht="20.100000000000001" customHeight="1"/>
    <row r="791" ht="20.100000000000001" customHeight="1"/>
    <row r="792" ht="20.100000000000001" customHeight="1"/>
    <row r="793" ht="20.100000000000001" customHeight="1"/>
    <row r="794" ht="20.100000000000001" customHeight="1"/>
    <row r="795" ht="20.100000000000001" customHeight="1"/>
    <row r="796" ht="20.100000000000001" customHeight="1"/>
    <row r="797" ht="20.100000000000001" customHeight="1"/>
    <row r="798" ht="20.100000000000001" customHeight="1"/>
    <row r="799" ht="20.100000000000001" customHeight="1"/>
    <row r="800" ht="20.100000000000001" customHeight="1"/>
    <row r="801" ht="20.100000000000001" customHeight="1"/>
    <row r="802" ht="20.100000000000001" customHeight="1"/>
    <row r="803" ht="20.100000000000001" customHeight="1"/>
    <row r="804" ht="20.100000000000001" customHeight="1"/>
    <row r="805" ht="20.100000000000001" customHeight="1"/>
    <row r="806" ht="20.100000000000001" customHeight="1"/>
    <row r="807" ht="20.100000000000001" customHeight="1"/>
    <row r="808" ht="20.100000000000001" customHeight="1"/>
    <row r="809" ht="20.100000000000001" customHeight="1"/>
    <row r="810" ht="20.100000000000001" customHeight="1"/>
    <row r="811" ht="20.100000000000001" customHeight="1"/>
    <row r="812" ht="20.100000000000001" customHeight="1"/>
    <row r="813" ht="20.100000000000001" customHeight="1"/>
    <row r="814" ht="20.100000000000001" customHeight="1"/>
    <row r="815" ht="20.100000000000001" customHeight="1"/>
    <row r="816" ht="20.100000000000001" customHeight="1"/>
    <row r="817" ht="20.100000000000001" customHeight="1"/>
    <row r="818" ht="20.100000000000001" customHeight="1"/>
    <row r="819" ht="20.100000000000001" customHeight="1"/>
    <row r="820" ht="20.100000000000001" customHeight="1"/>
    <row r="821" ht="20.100000000000001" customHeight="1"/>
    <row r="822" ht="20.100000000000001" customHeight="1"/>
    <row r="823" ht="20.100000000000001" customHeight="1"/>
    <row r="824" ht="20.100000000000001" customHeight="1"/>
    <row r="825" ht="20.100000000000001" customHeight="1"/>
    <row r="826" ht="20.100000000000001" customHeight="1"/>
    <row r="827" ht="20.100000000000001" customHeight="1"/>
    <row r="828" ht="20.100000000000001" customHeight="1"/>
    <row r="829" ht="20.100000000000001" customHeight="1"/>
    <row r="830" ht="20.100000000000001" customHeight="1"/>
    <row r="831" ht="20.100000000000001" customHeight="1"/>
    <row r="832" ht="20.100000000000001" customHeight="1"/>
    <row r="833" ht="20.100000000000001" customHeight="1"/>
    <row r="834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2" ht="20.100000000000001" customHeight="1"/>
    <row r="843" ht="20.100000000000001" customHeight="1"/>
    <row r="844" ht="20.100000000000001" customHeight="1"/>
    <row r="845" ht="20.100000000000001" customHeight="1"/>
    <row r="846" ht="20.100000000000001" customHeight="1"/>
    <row r="847" ht="20.100000000000001" customHeight="1"/>
    <row r="848" ht="20.100000000000001" customHeight="1"/>
    <row r="849" ht="20.100000000000001" customHeight="1"/>
    <row r="850" ht="20.100000000000001" customHeight="1"/>
    <row r="851" ht="20.100000000000001" customHeight="1"/>
    <row r="852" ht="20.100000000000001" customHeight="1"/>
    <row r="853" ht="20.100000000000001" customHeight="1"/>
    <row r="854" ht="20.100000000000001" customHeight="1"/>
    <row r="855" ht="20.100000000000001" customHeight="1"/>
    <row r="856" ht="20.100000000000001" customHeight="1"/>
    <row r="857" ht="20.100000000000001" customHeight="1"/>
    <row r="858" ht="20.100000000000001" customHeight="1"/>
    <row r="859" ht="20.100000000000001" customHeight="1"/>
    <row r="860" ht="20.100000000000001" customHeight="1"/>
    <row r="861" ht="20.100000000000001" customHeight="1"/>
    <row r="862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0" ht="20.100000000000001" customHeight="1"/>
    <row r="871" ht="20.100000000000001" customHeight="1"/>
    <row r="872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4" ht="20.100000000000001" customHeight="1"/>
    <row r="885" ht="20.100000000000001" customHeight="1"/>
    <row r="886" ht="20.100000000000001" customHeight="1"/>
    <row r="887" ht="20.100000000000001" customHeight="1"/>
    <row r="888" ht="20.100000000000001" customHeight="1"/>
    <row r="889" ht="20.100000000000001" customHeight="1"/>
    <row r="890" ht="20.100000000000001" customHeight="1"/>
    <row r="891" ht="20.100000000000001" customHeight="1"/>
    <row r="892" ht="20.100000000000001" customHeight="1"/>
    <row r="893" ht="20.100000000000001" customHeight="1"/>
    <row r="894" ht="20.100000000000001" customHeight="1"/>
    <row r="895" ht="20.100000000000001" customHeight="1"/>
    <row r="896" ht="20.100000000000001" customHeight="1"/>
    <row r="897" ht="20.100000000000001" customHeight="1"/>
    <row r="898" ht="20.100000000000001" customHeight="1"/>
    <row r="899" ht="20.100000000000001" customHeight="1"/>
    <row r="900" ht="20.100000000000001" customHeight="1"/>
    <row r="901" ht="20.100000000000001" customHeight="1"/>
    <row r="902" ht="20.100000000000001" customHeight="1"/>
    <row r="903" ht="20.100000000000001" customHeight="1"/>
    <row r="904" ht="20.100000000000001" customHeight="1"/>
    <row r="905" ht="20.100000000000001" customHeight="1"/>
    <row r="906" ht="20.100000000000001" customHeight="1"/>
    <row r="907" ht="20.100000000000001" customHeight="1"/>
    <row r="908" ht="20.100000000000001" customHeight="1"/>
    <row r="909" ht="20.100000000000001" customHeight="1"/>
    <row r="910" ht="20.100000000000001" customHeight="1"/>
    <row r="911" ht="20.100000000000001" customHeight="1"/>
    <row r="912" ht="20.100000000000001" customHeight="1"/>
    <row r="913" ht="20.100000000000001" customHeight="1"/>
    <row r="914" ht="20.100000000000001" customHeight="1"/>
    <row r="915" ht="20.100000000000001" customHeight="1"/>
    <row r="916" ht="20.100000000000001" customHeight="1"/>
    <row r="917" ht="20.100000000000001" customHeight="1"/>
    <row r="918" ht="20.100000000000001" customHeight="1"/>
    <row r="919" ht="20.100000000000001" customHeight="1"/>
    <row r="920" ht="20.100000000000001" customHeight="1"/>
    <row r="921" ht="20.100000000000001" customHeight="1"/>
    <row r="922" ht="20.100000000000001" customHeight="1"/>
    <row r="923" ht="20.100000000000001" customHeight="1"/>
    <row r="924" ht="20.100000000000001" customHeight="1"/>
    <row r="925" ht="20.100000000000001" customHeight="1"/>
    <row r="926" ht="20.100000000000001" customHeight="1"/>
    <row r="927" ht="20.100000000000001" customHeight="1"/>
    <row r="928" ht="20.100000000000001" customHeight="1"/>
    <row r="929" ht="20.100000000000001" customHeight="1"/>
    <row r="930" ht="20.100000000000001" customHeight="1"/>
    <row r="931" ht="20.100000000000001" customHeight="1"/>
    <row r="932" ht="20.100000000000001" customHeight="1"/>
    <row r="933" ht="20.100000000000001" customHeight="1"/>
    <row r="934" ht="20.100000000000001" customHeight="1"/>
    <row r="935" ht="20.100000000000001" customHeight="1"/>
    <row r="936" ht="20.100000000000001" customHeight="1"/>
    <row r="937" ht="20.100000000000001" customHeight="1"/>
    <row r="938" ht="20.100000000000001" customHeight="1"/>
    <row r="939" ht="20.100000000000001" customHeight="1"/>
    <row r="940" ht="20.100000000000001" customHeight="1"/>
    <row r="941" ht="20.100000000000001" customHeight="1"/>
    <row r="942" ht="20.100000000000001" customHeight="1"/>
    <row r="943" ht="20.100000000000001" customHeight="1"/>
    <row r="944" ht="20.100000000000001" customHeight="1"/>
    <row r="945" ht="20.100000000000001" customHeight="1"/>
    <row r="946" ht="20.100000000000001" customHeight="1"/>
    <row r="947" ht="20.100000000000001" customHeight="1"/>
    <row r="948" ht="20.100000000000001" customHeight="1"/>
    <row r="949" ht="20.100000000000001" customHeight="1"/>
    <row r="950" ht="20.100000000000001" customHeight="1"/>
    <row r="951" ht="20.100000000000001" customHeight="1"/>
    <row r="952" ht="20.100000000000001" customHeight="1"/>
    <row r="953" ht="20.100000000000001" customHeight="1"/>
    <row r="954" ht="20.100000000000001" customHeight="1"/>
    <row r="955" ht="20.100000000000001" customHeight="1"/>
    <row r="956" ht="20.100000000000001" customHeight="1"/>
    <row r="957" ht="20.100000000000001" customHeight="1"/>
    <row r="958" ht="20.100000000000001" customHeight="1"/>
    <row r="959" ht="20.100000000000001" customHeight="1"/>
    <row r="960" ht="20.100000000000001" customHeight="1"/>
    <row r="961" ht="20.100000000000001" customHeight="1"/>
    <row r="962" ht="20.100000000000001" customHeight="1"/>
    <row r="963" ht="20.100000000000001" customHeight="1"/>
    <row r="964" ht="20.100000000000001" customHeight="1"/>
    <row r="965" ht="20.100000000000001" customHeight="1"/>
    <row r="966" ht="20.100000000000001" customHeight="1"/>
    <row r="967" ht="20.100000000000001" customHeight="1"/>
    <row r="968" ht="20.100000000000001" customHeight="1"/>
    <row r="969" ht="20.100000000000001" customHeight="1"/>
    <row r="970" ht="20.100000000000001" customHeight="1"/>
    <row r="971" ht="20.100000000000001" customHeight="1"/>
    <row r="972" ht="20.100000000000001" customHeight="1"/>
    <row r="973" ht="20.100000000000001" customHeight="1"/>
    <row r="974" ht="20.100000000000001" customHeight="1"/>
    <row r="975" ht="20.100000000000001" customHeight="1"/>
    <row r="976" ht="20.100000000000001" customHeight="1"/>
    <row r="977" ht="20.100000000000001" customHeight="1"/>
    <row r="978" ht="20.100000000000001" customHeight="1"/>
    <row r="979" ht="20.100000000000001" customHeight="1"/>
    <row r="980" ht="20.100000000000001" customHeight="1"/>
    <row r="981" ht="20.100000000000001" customHeight="1"/>
    <row r="982" ht="20.100000000000001" customHeight="1"/>
    <row r="983" ht="20.100000000000001" customHeight="1"/>
    <row r="984" ht="20.100000000000001" customHeight="1"/>
    <row r="985" ht="20.100000000000001" customHeight="1"/>
    <row r="986" ht="20.100000000000001" customHeight="1"/>
    <row r="987" ht="20.100000000000001" customHeight="1"/>
    <row r="988" ht="20.100000000000001" customHeight="1"/>
    <row r="989" ht="20.100000000000001" customHeight="1"/>
    <row r="990" ht="20.100000000000001" customHeight="1"/>
    <row r="991" ht="20.100000000000001" customHeight="1"/>
    <row r="992" ht="20.100000000000001" customHeight="1"/>
    <row r="993" ht="20.100000000000001" customHeight="1"/>
    <row r="994" ht="20.100000000000001" customHeight="1"/>
    <row r="995" ht="20.100000000000001" customHeight="1"/>
    <row r="996" ht="20.100000000000001" customHeight="1"/>
    <row r="997" ht="20.100000000000001" customHeight="1"/>
    <row r="998" ht="20.100000000000001" customHeight="1"/>
    <row r="999" ht="20.100000000000001" customHeight="1"/>
    <row r="1000" ht="20.100000000000001" customHeight="1"/>
    <row r="1001" ht="20.100000000000001" customHeight="1"/>
    <row r="1002" ht="20.100000000000001" customHeight="1"/>
    <row r="1003" ht="20.100000000000001" customHeight="1"/>
    <row r="1004" ht="20.100000000000001" customHeight="1"/>
    <row r="1005" ht="20.100000000000001" customHeight="1"/>
    <row r="1006" ht="20.100000000000001" customHeight="1"/>
    <row r="1007" ht="20.100000000000001" customHeight="1"/>
    <row r="1008" ht="20.100000000000001" customHeight="1"/>
    <row r="1009" ht="20.100000000000001" customHeight="1"/>
    <row r="1010" ht="20.100000000000001" customHeight="1"/>
    <row r="1011" ht="20.100000000000001" customHeight="1"/>
    <row r="1012" ht="20.100000000000001" customHeight="1"/>
    <row r="1013" ht="20.100000000000001" customHeight="1"/>
    <row r="1014" ht="20.100000000000001" customHeight="1"/>
    <row r="1015" ht="20.100000000000001" customHeight="1"/>
    <row r="1016" ht="20.100000000000001" customHeight="1"/>
    <row r="1017" ht="20.100000000000001" customHeight="1"/>
    <row r="1018" ht="20.100000000000001" customHeight="1"/>
    <row r="1019" ht="20.100000000000001" customHeight="1"/>
    <row r="1020" ht="20.100000000000001" customHeight="1"/>
    <row r="1021" ht="20.100000000000001" customHeight="1"/>
    <row r="1022" ht="20.100000000000001" customHeight="1"/>
    <row r="1023" ht="20.100000000000001" customHeight="1"/>
    <row r="1024" ht="20.100000000000001" customHeight="1"/>
    <row r="1025" ht="20.100000000000001" customHeight="1"/>
    <row r="1026" ht="20.100000000000001" customHeight="1"/>
    <row r="1027" ht="20.100000000000001" customHeight="1"/>
    <row r="1028" ht="20.100000000000001" customHeight="1"/>
    <row r="1029" ht="20.100000000000001" customHeight="1"/>
    <row r="1030" ht="20.100000000000001" customHeight="1"/>
    <row r="1031" ht="20.100000000000001" customHeight="1"/>
    <row r="1032" ht="20.100000000000001" customHeight="1"/>
    <row r="1033" ht="20.100000000000001" customHeight="1"/>
    <row r="1034" ht="20.100000000000001" customHeight="1"/>
    <row r="1035" ht="20.100000000000001" customHeight="1"/>
    <row r="1036" ht="20.100000000000001" customHeight="1"/>
    <row r="1037" ht="20.100000000000001" customHeight="1"/>
    <row r="1038" ht="20.100000000000001" customHeight="1"/>
    <row r="1039" ht="20.100000000000001" customHeight="1"/>
    <row r="1040" ht="20.100000000000001" customHeight="1"/>
    <row r="1041" ht="20.100000000000001" customHeight="1"/>
    <row r="1042" ht="20.100000000000001" customHeight="1"/>
    <row r="1043" ht="20.100000000000001" customHeight="1"/>
    <row r="1044" ht="20.100000000000001" customHeight="1"/>
    <row r="1045" ht="20.100000000000001" customHeight="1"/>
    <row r="1046" ht="20.100000000000001" customHeight="1"/>
    <row r="1047" ht="20.100000000000001" customHeight="1"/>
    <row r="1048" ht="20.100000000000001" customHeight="1"/>
    <row r="1049" ht="20.100000000000001" customHeight="1"/>
    <row r="1050" ht="20.100000000000001" customHeight="1"/>
    <row r="1051" ht="20.100000000000001" customHeight="1"/>
    <row r="1052" ht="20.100000000000001" customHeight="1"/>
    <row r="1053" ht="20.100000000000001" customHeight="1"/>
    <row r="1054" ht="20.100000000000001" customHeight="1"/>
    <row r="1055" ht="20.100000000000001" customHeight="1"/>
    <row r="1056" ht="20.100000000000001" customHeight="1"/>
    <row r="1057" ht="20.100000000000001" customHeight="1"/>
    <row r="1058" ht="20.100000000000001" customHeight="1"/>
    <row r="1059" ht="20.100000000000001" customHeight="1"/>
    <row r="1060" ht="20.100000000000001" customHeight="1"/>
    <row r="1061" ht="20.100000000000001" customHeight="1"/>
    <row r="1062" ht="20.100000000000001" customHeight="1"/>
    <row r="1063" ht="20.100000000000001" customHeight="1"/>
    <row r="1064" ht="20.100000000000001" customHeight="1"/>
    <row r="1065" ht="20.100000000000001" customHeight="1"/>
    <row r="1066" ht="20.100000000000001" customHeight="1"/>
    <row r="1067" ht="20.100000000000001" customHeight="1"/>
    <row r="1068" ht="20.100000000000001" customHeight="1"/>
    <row r="1069" ht="20.100000000000001" customHeight="1"/>
    <row r="1070" ht="20.100000000000001" customHeight="1"/>
    <row r="1071" ht="20.100000000000001" customHeight="1"/>
    <row r="1072" ht="20.100000000000001" customHeight="1"/>
    <row r="1073" ht="20.100000000000001" customHeight="1"/>
    <row r="1074" ht="20.100000000000001" customHeight="1"/>
    <row r="1075" ht="20.100000000000001" customHeight="1"/>
    <row r="1076" ht="20.100000000000001" customHeight="1"/>
    <row r="1077" ht="20.100000000000001" customHeight="1"/>
    <row r="1078" ht="20.100000000000001" customHeight="1"/>
    <row r="1079" ht="20.100000000000001" customHeight="1"/>
    <row r="1080" ht="20.100000000000001" customHeight="1"/>
    <row r="1081" ht="20.100000000000001" customHeight="1"/>
    <row r="1082" ht="20.100000000000001" customHeight="1"/>
    <row r="1083" ht="20.100000000000001" customHeight="1"/>
    <row r="1084" ht="20.100000000000001" customHeight="1"/>
    <row r="1085" ht="20.100000000000001" customHeight="1"/>
    <row r="1086" ht="20.100000000000001" customHeight="1"/>
    <row r="1087" ht="20.100000000000001" customHeight="1"/>
    <row r="1088" ht="20.100000000000001" customHeight="1"/>
    <row r="1089" ht="20.100000000000001" customHeight="1"/>
    <row r="1090" ht="20.100000000000001" customHeight="1"/>
    <row r="1091" ht="20.100000000000001" customHeight="1"/>
    <row r="1092" ht="20.100000000000001" customHeight="1"/>
    <row r="1093" ht="20.100000000000001" customHeight="1"/>
    <row r="1094" ht="20.100000000000001" customHeight="1"/>
    <row r="1095" ht="20.100000000000001" customHeight="1"/>
    <row r="1096" ht="20.100000000000001" customHeight="1"/>
    <row r="1097" ht="20.100000000000001" customHeight="1"/>
    <row r="1098" ht="20.100000000000001" customHeight="1"/>
    <row r="1099" ht="20.100000000000001" customHeight="1"/>
    <row r="1100" ht="20.100000000000001" customHeight="1"/>
    <row r="1101" ht="20.100000000000001" customHeight="1"/>
    <row r="1102" ht="20.100000000000001" customHeight="1"/>
    <row r="1103" ht="20.100000000000001" customHeight="1"/>
    <row r="1104" ht="20.100000000000001" customHeight="1"/>
    <row r="1105" ht="20.100000000000001" customHeight="1"/>
    <row r="1106" ht="20.100000000000001" customHeight="1"/>
    <row r="1107" ht="20.100000000000001" customHeight="1"/>
    <row r="1108" ht="20.100000000000001" customHeight="1"/>
    <row r="1109" ht="20.100000000000001" customHeight="1"/>
    <row r="1110" ht="20.100000000000001" customHeight="1"/>
    <row r="1111" ht="20.100000000000001" customHeight="1"/>
    <row r="1112" ht="20.100000000000001" customHeight="1"/>
    <row r="1113" ht="20.100000000000001" customHeight="1"/>
    <row r="1114" ht="20.10000000000000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20.100000000000001" customHeight="1"/>
    <row r="1120" ht="20.100000000000001" customHeight="1"/>
    <row r="1121" ht="20.100000000000001" customHeight="1"/>
    <row r="1122" ht="20.100000000000001" customHeight="1"/>
    <row r="1123" ht="20.100000000000001" customHeight="1"/>
    <row r="1124" ht="20.100000000000001" customHeight="1"/>
    <row r="1125" ht="20.100000000000001" customHeight="1"/>
    <row r="1126" ht="20.100000000000001" customHeight="1"/>
    <row r="1127" ht="20.100000000000001" customHeight="1"/>
    <row r="1128" ht="20.100000000000001" customHeight="1"/>
    <row r="1129" ht="20.100000000000001" customHeight="1"/>
    <row r="1130" ht="20.100000000000001" customHeight="1"/>
    <row r="1131" ht="20.100000000000001" customHeight="1"/>
    <row r="1132" ht="20.100000000000001" customHeight="1"/>
    <row r="1133" ht="20.100000000000001" customHeight="1"/>
    <row r="1134" ht="20.100000000000001" customHeight="1"/>
    <row r="1135" ht="20.100000000000001" customHeight="1"/>
    <row r="1136" ht="20.100000000000001" customHeight="1"/>
    <row r="1137" ht="20.100000000000001" customHeight="1"/>
    <row r="1138" ht="20.100000000000001" customHeight="1"/>
    <row r="1139" ht="20.100000000000001" customHeight="1"/>
    <row r="1140" ht="20.100000000000001" customHeight="1"/>
    <row r="1141" ht="20.100000000000001" customHeight="1"/>
    <row r="1142" ht="20.100000000000001" customHeight="1"/>
    <row r="1143" ht="20.100000000000001" customHeight="1"/>
    <row r="1144" ht="20.100000000000001" customHeight="1"/>
    <row r="1145" ht="20.100000000000001" customHeight="1"/>
    <row r="1146" ht="20.100000000000001" customHeight="1"/>
    <row r="1147" ht="20.100000000000001" customHeight="1"/>
    <row r="1148" ht="20.100000000000001" customHeight="1"/>
    <row r="1149" ht="20.100000000000001" customHeight="1"/>
    <row r="1150" ht="20.100000000000001" customHeight="1"/>
    <row r="1151" ht="20.100000000000001" customHeight="1"/>
    <row r="1152" ht="20.100000000000001" customHeight="1"/>
    <row r="1153" ht="20.100000000000001" customHeight="1"/>
    <row r="1154" ht="20.100000000000001" customHeight="1"/>
    <row r="1155" ht="20.100000000000001" customHeight="1"/>
    <row r="1156" ht="20.100000000000001" customHeight="1"/>
    <row r="1157" ht="20.100000000000001" customHeight="1"/>
    <row r="1158" ht="20.100000000000001" customHeight="1"/>
    <row r="1159" ht="20.100000000000001" customHeight="1"/>
    <row r="1160" ht="20.100000000000001" customHeight="1"/>
    <row r="1161" ht="20.100000000000001" customHeight="1"/>
    <row r="1162" ht="20.100000000000001" customHeight="1"/>
    <row r="1163" ht="20.100000000000001" customHeight="1"/>
    <row r="1164" ht="20.100000000000001" customHeight="1"/>
    <row r="1165" ht="20.100000000000001" customHeight="1"/>
    <row r="1166" ht="20.100000000000001" customHeight="1"/>
    <row r="1167" ht="20.100000000000001" customHeight="1"/>
    <row r="1168" ht="20.100000000000001" customHeight="1"/>
    <row r="1169" ht="20.100000000000001" customHeight="1"/>
    <row r="1170" ht="20.100000000000001" customHeight="1"/>
    <row r="1171" ht="20.100000000000001" customHeight="1"/>
    <row r="1172" ht="20.100000000000001" customHeight="1"/>
    <row r="1173" ht="20.100000000000001" customHeight="1"/>
    <row r="1174" ht="20.100000000000001" customHeight="1"/>
    <row r="1175" ht="20.100000000000001" customHeight="1"/>
    <row r="1176" ht="20.100000000000001" customHeight="1"/>
    <row r="1177" ht="20.100000000000001" customHeight="1"/>
    <row r="1178" ht="20.100000000000001" customHeight="1"/>
    <row r="1179" ht="20.100000000000001" customHeight="1"/>
    <row r="1180" ht="20.100000000000001" customHeight="1"/>
    <row r="1181" ht="20.100000000000001" customHeight="1"/>
    <row r="1182" ht="20.100000000000001" customHeight="1"/>
    <row r="1183" ht="20.100000000000001" customHeight="1"/>
    <row r="1184" ht="20.100000000000001" customHeight="1"/>
    <row r="1185" ht="20.100000000000001" customHeight="1"/>
    <row r="1186" ht="20.100000000000001" customHeight="1"/>
    <row r="1187" ht="20.100000000000001" customHeight="1"/>
    <row r="1188" ht="20.100000000000001" customHeight="1"/>
    <row r="1189" ht="20.100000000000001" customHeight="1"/>
    <row r="1190" ht="20.100000000000001" customHeight="1"/>
    <row r="1191" ht="20.100000000000001" customHeight="1"/>
    <row r="1192" ht="20.10000000000000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20.100000000000001" customHeight="1"/>
    <row r="1205" ht="20.100000000000001" customHeight="1"/>
    <row r="1206" ht="20.100000000000001" customHeight="1"/>
    <row r="1207" ht="20.100000000000001" customHeight="1"/>
    <row r="1208" ht="20.100000000000001" customHeight="1"/>
    <row r="1209" ht="20.100000000000001" customHeight="1"/>
    <row r="1210" ht="20.100000000000001" customHeight="1"/>
    <row r="1211" ht="20.100000000000001" customHeight="1"/>
    <row r="1212" ht="20.100000000000001" customHeight="1"/>
    <row r="1213" ht="20.100000000000001" customHeight="1"/>
    <row r="1214" ht="20.100000000000001" customHeight="1"/>
    <row r="1215" ht="20.100000000000001" customHeight="1"/>
    <row r="1216" ht="20.100000000000001" customHeight="1"/>
    <row r="1217" ht="20.100000000000001" customHeight="1"/>
    <row r="1218" ht="20.100000000000001" customHeight="1"/>
    <row r="1219" ht="20.100000000000001" customHeight="1"/>
    <row r="1220" ht="20.100000000000001" customHeight="1"/>
    <row r="1221" ht="20.100000000000001" customHeight="1"/>
    <row r="1222" ht="20.100000000000001" customHeight="1"/>
    <row r="1223" ht="20.100000000000001" customHeight="1"/>
    <row r="1224" ht="20.100000000000001" customHeight="1"/>
    <row r="1225" ht="20.100000000000001" customHeight="1"/>
    <row r="1226" ht="20.100000000000001" customHeight="1"/>
    <row r="1227" ht="20.100000000000001" customHeight="1"/>
    <row r="1228" ht="20.100000000000001" customHeight="1"/>
    <row r="1229" ht="20.100000000000001" customHeight="1"/>
    <row r="1230" ht="20.100000000000001" customHeight="1"/>
    <row r="1231" ht="20.100000000000001" customHeight="1"/>
    <row r="1232" ht="20.100000000000001" customHeight="1"/>
    <row r="1233" ht="20.100000000000001" customHeight="1"/>
    <row r="1234" ht="20.100000000000001" customHeight="1"/>
    <row r="1235" ht="20.100000000000001" customHeight="1"/>
    <row r="1236" ht="20.100000000000001" customHeight="1"/>
    <row r="1237" ht="20.100000000000001" customHeight="1"/>
    <row r="1238" ht="20.100000000000001" customHeight="1"/>
    <row r="1239" ht="20.100000000000001" customHeight="1"/>
    <row r="1240" ht="20.100000000000001" customHeight="1"/>
    <row r="1241" ht="20.100000000000001" customHeight="1"/>
    <row r="1242" ht="20.100000000000001" customHeight="1"/>
    <row r="1243" ht="20.100000000000001" customHeight="1"/>
    <row r="1244" ht="20.100000000000001" customHeight="1"/>
    <row r="1245" ht="20.100000000000001" customHeight="1"/>
    <row r="1246" ht="20.100000000000001" customHeight="1"/>
    <row r="1247" ht="20.100000000000001" customHeight="1"/>
    <row r="1248" ht="20.100000000000001" customHeight="1"/>
    <row r="1249" ht="20.100000000000001" customHeight="1"/>
    <row r="1250" ht="20.100000000000001" customHeight="1"/>
    <row r="1251" ht="20.100000000000001" customHeight="1"/>
    <row r="1252" ht="20.100000000000001" customHeight="1"/>
    <row r="1253" ht="20.100000000000001" customHeight="1"/>
    <row r="1254" ht="20.100000000000001" customHeight="1"/>
    <row r="1255" ht="20.100000000000001" customHeight="1"/>
    <row r="1256" ht="20.100000000000001" customHeight="1"/>
    <row r="1257" ht="20.100000000000001" customHeight="1"/>
    <row r="1258" ht="20.100000000000001" customHeight="1"/>
    <row r="1259" ht="20.100000000000001" customHeight="1"/>
    <row r="1260" ht="20.100000000000001" customHeight="1"/>
    <row r="1261" ht="20.100000000000001" customHeight="1"/>
    <row r="1262" ht="20.100000000000001" customHeight="1"/>
    <row r="1263" ht="20.100000000000001" customHeight="1"/>
    <row r="1264" ht="20.100000000000001" customHeight="1"/>
    <row r="1265" ht="20.100000000000001" customHeight="1"/>
    <row r="1266" ht="20.100000000000001" customHeight="1"/>
    <row r="1267" ht="20.100000000000001" customHeight="1"/>
    <row r="1268" ht="20.100000000000001" customHeight="1"/>
    <row r="1269" ht="20.100000000000001" customHeight="1"/>
    <row r="1270" ht="20.100000000000001" customHeight="1"/>
    <row r="1271" ht="20.100000000000001" customHeight="1"/>
    <row r="1272" ht="20.100000000000001" customHeight="1"/>
    <row r="1273" ht="20.100000000000001" customHeight="1"/>
    <row r="1274" ht="20.100000000000001" customHeight="1"/>
    <row r="1275" ht="20.100000000000001" customHeight="1"/>
    <row r="1276" ht="20.100000000000001" customHeight="1"/>
    <row r="1277" ht="20.100000000000001" customHeight="1"/>
    <row r="1278" ht="20.100000000000001" customHeight="1"/>
    <row r="1279" ht="20.100000000000001" customHeight="1"/>
    <row r="1280" ht="20.100000000000001" customHeight="1"/>
    <row r="1281" ht="20.100000000000001" customHeight="1"/>
    <row r="1282" ht="20.100000000000001" customHeight="1"/>
    <row r="1283" ht="20.100000000000001" customHeight="1"/>
    <row r="1284" ht="20.100000000000001" customHeight="1"/>
    <row r="1285" ht="20.100000000000001" customHeight="1"/>
    <row r="1286" ht="20.100000000000001" customHeight="1"/>
    <row r="1287" ht="20.100000000000001" customHeight="1"/>
    <row r="1288" ht="20.100000000000001" customHeight="1"/>
    <row r="1289" ht="20.100000000000001" customHeight="1"/>
    <row r="1290" ht="20.100000000000001" customHeight="1"/>
    <row r="1291" ht="20.100000000000001" customHeight="1"/>
    <row r="1292" ht="20.100000000000001" customHeight="1"/>
    <row r="1293" ht="20.100000000000001" customHeight="1"/>
    <row r="1294" ht="20.100000000000001" customHeight="1"/>
    <row r="1295" ht="20.100000000000001" customHeight="1"/>
    <row r="1296" ht="20.100000000000001" customHeight="1"/>
    <row r="1297" ht="20.100000000000001" customHeight="1"/>
    <row r="1298" ht="20.100000000000001" customHeight="1"/>
    <row r="1299" ht="20.100000000000001" customHeight="1"/>
    <row r="1300" ht="20.100000000000001" customHeight="1"/>
    <row r="1301" ht="20.100000000000001" customHeight="1"/>
    <row r="1302" ht="20.100000000000001" customHeight="1"/>
    <row r="1303" ht="20.100000000000001" customHeight="1"/>
    <row r="1304" ht="20.100000000000001" customHeight="1"/>
    <row r="1305" ht="20.100000000000001" customHeight="1"/>
    <row r="1306" ht="20.100000000000001" customHeight="1"/>
    <row r="1307" ht="20.100000000000001" customHeight="1"/>
    <row r="1308" ht="20.100000000000001" customHeight="1"/>
    <row r="1309" ht="20.100000000000001" customHeight="1"/>
    <row r="1310" ht="20.100000000000001" customHeight="1"/>
    <row r="1311" ht="20.100000000000001" customHeight="1"/>
    <row r="1312" ht="20.100000000000001" customHeight="1"/>
    <row r="1313" ht="20.100000000000001" customHeight="1"/>
    <row r="1314" ht="20.100000000000001" customHeight="1"/>
    <row r="1315" ht="20.100000000000001" customHeight="1"/>
    <row r="1316" ht="20.100000000000001" customHeight="1"/>
    <row r="1317" ht="20.100000000000001" customHeight="1"/>
    <row r="1318" ht="20.100000000000001" customHeight="1"/>
    <row r="1319" ht="20.100000000000001" customHeight="1"/>
    <row r="1320" ht="20.100000000000001" customHeight="1"/>
    <row r="1321" ht="20.100000000000001" customHeight="1"/>
    <row r="1322" ht="20.100000000000001" customHeight="1"/>
    <row r="1323" ht="20.100000000000001" customHeight="1"/>
    <row r="1324" ht="20.100000000000001" customHeight="1"/>
    <row r="1325" ht="20.100000000000001" customHeight="1"/>
    <row r="1326" ht="20.100000000000001" customHeight="1"/>
    <row r="1327" ht="20.100000000000001" customHeight="1"/>
    <row r="1328" ht="20.100000000000001" customHeight="1"/>
    <row r="1329" ht="20.100000000000001" customHeight="1"/>
    <row r="1330" ht="20.100000000000001" customHeight="1"/>
    <row r="1331" ht="20.100000000000001" customHeight="1"/>
    <row r="1332" ht="20.100000000000001" customHeight="1"/>
    <row r="1333" ht="20.100000000000001" customHeight="1"/>
    <row r="1334" ht="20.100000000000001" customHeight="1"/>
    <row r="1335" ht="20.100000000000001" customHeight="1"/>
    <row r="1336" ht="20.100000000000001" customHeight="1"/>
    <row r="1337" ht="20.100000000000001" customHeight="1"/>
    <row r="1338" ht="20.100000000000001" customHeight="1"/>
    <row r="1339" ht="20.100000000000001" customHeight="1"/>
    <row r="1340" ht="20.100000000000001" customHeight="1"/>
    <row r="1341" ht="20.100000000000001" customHeight="1"/>
    <row r="1342" ht="20.100000000000001" customHeight="1"/>
    <row r="1343" ht="20.100000000000001" customHeight="1"/>
    <row r="1344" ht="20.100000000000001" customHeight="1"/>
    <row r="1345" ht="20.100000000000001" customHeight="1"/>
    <row r="1346" ht="20.100000000000001" customHeight="1"/>
    <row r="1347" ht="20.100000000000001" customHeight="1"/>
    <row r="1348" ht="20.100000000000001" customHeight="1"/>
    <row r="1349" ht="20.100000000000001" customHeight="1"/>
    <row r="1350" ht="20.100000000000001" customHeight="1"/>
    <row r="1351" ht="20.100000000000001" customHeight="1"/>
    <row r="1352" ht="20.100000000000001" customHeight="1"/>
    <row r="1353" ht="20.100000000000001" customHeight="1"/>
    <row r="1354" ht="20.100000000000001" customHeight="1"/>
    <row r="1355" ht="20.100000000000001" customHeight="1"/>
    <row r="1356" ht="20.100000000000001" customHeight="1"/>
    <row r="1357" ht="20.100000000000001" customHeight="1"/>
    <row r="1358" ht="20.100000000000001" customHeight="1"/>
    <row r="1359" ht="20.100000000000001" customHeight="1"/>
    <row r="1360" ht="20.100000000000001" customHeight="1"/>
    <row r="1361" ht="20.100000000000001" customHeight="1"/>
    <row r="1362" ht="20.100000000000001" customHeight="1"/>
    <row r="1363" ht="20.100000000000001" customHeight="1"/>
    <row r="1364" ht="20.100000000000001" customHeight="1"/>
    <row r="1365" ht="20.100000000000001" customHeight="1"/>
    <row r="1366" ht="20.100000000000001" customHeight="1"/>
    <row r="1367" ht="20.100000000000001" customHeight="1"/>
    <row r="1368" ht="20.100000000000001" customHeight="1"/>
    <row r="1369" ht="20.100000000000001" customHeight="1"/>
    <row r="1370" ht="20.100000000000001" customHeight="1"/>
    <row r="1371" ht="20.100000000000001" customHeight="1"/>
    <row r="1372" ht="20.100000000000001" customHeight="1"/>
    <row r="1373" ht="20.100000000000001" customHeight="1"/>
    <row r="1374" ht="20.100000000000001" customHeight="1"/>
    <row r="1375" ht="20.100000000000001" customHeight="1"/>
    <row r="1376" ht="20.100000000000001" customHeight="1"/>
    <row r="1377" ht="20.100000000000001" customHeight="1"/>
    <row r="1378" ht="20.100000000000001" customHeight="1"/>
    <row r="1379" ht="20.100000000000001" customHeight="1"/>
    <row r="1380" ht="20.100000000000001" customHeight="1"/>
    <row r="1381" ht="20.100000000000001" customHeight="1"/>
    <row r="1382" ht="20.100000000000001" customHeight="1"/>
    <row r="1383" ht="20.100000000000001" customHeight="1"/>
    <row r="1384" ht="20.100000000000001" customHeight="1"/>
    <row r="1385" ht="20.100000000000001" customHeight="1"/>
    <row r="1386" ht="20.100000000000001" customHeight="1"/>
    <row r="1387" ht="20.100000000000001" customHeight="1"/>
    <row r="1388" ht="20.100000000000001" customHeight="1"/>
    <row r="1389" ht="20.100000000000001" customHeight="1"/>
    <row r="1390" ht="20.100000000000001" customHeight="1"/>
    <row r="1391" ht="20.100000000000001" customHeight="1"/>
    <row r="1392" ht="20.100000000000001" customHeight="1"/>
    <row r="1393" ht="20.100000000000001" customHeight="1"/>
    <row r="1394" ht="20.100000000000001" customHeight="1"/>
    <row r="1395" ht="20.100000000000001" customHeight="1"/>
    <row r="1396" ht="20.100000000000001" customHeight="1"/>
    <row r="1397" ht="20.100000000000001" customHeight="1"/>
    <row r="1398" ht="20.100000000000001" customHeight="1"/>
    <row r="1399" ht="20.100000000000001" customHeight="1"/>
    <row r="1400" ht="20.100000000000001" customHeight="1"/>
    <row r="1401" ht="20.100000000000001" customHeight="1"/>
    <row r="1402" ht="20.100000000000001" customHeight="1"/>
    <row r="1403" ht="20.100000000000001" customHeight="1"/>
    <row r="1404" ht="20.100000000000001" customHeight="1"/>
    <row r="1405" ht="20.100000000000001" customHeight="1"/>
    <row r="1406" ht="20.100000000000001" customHeight="1"/>
    <row r="1407" ht="20.100000000000001" customHeight="1"/>
    <row r="1408" ht="20.100000000000001" customHeight="1"/>
    <row r="1409" ht="20.100000000000001" customHeight="1"/>
    <row r="1410" ht="20.100000000000001" customHeight="1"/>
    <row r="1411" ht="20.100000000000001" customHeight="1"/>
    <row r="1412" ht="20.100000000000001" customHeight="1"/>
    <row r="1413" ht="20.100000000000001" customHeight="1"/>
    <row r="1414" ht="20.100000000000001" customHeight="1"/>
    <row r="1415" ht="20.100000000000001" customHeight="1"/>
    <row r="1416" ht="20.100000000000001" customHeight="1"/>
    <row r="1417" ht="20.100000000000001" customHeight="1"/>
    <row r="1418" ht="20.100000000000001" customHeight="1"/>
    <row r="1419" ht="20.100000000000001" customHeight="1"/>
    <row r="1420" ht="20.100000000000001" customHeight="1"/>
    <row r="1421" ht="20.100000000000001" customHeight="1"/>
    <row r="1422" ht="20.100000000000001" customHeight="1"/>
    <row r="1423" ht="20.100000000000001" customHeight="1"/>
    <row r="1424" ht="20.100000000000001" customHeight="1"/>
    <row r="1425" ht="20.100000000000001" customHeight="1"/>
    <row r="1426" ht="20.100000000000001" customHeight="1"/>
    <row r="1427" ht="20.100000000000001" customHeight="1"/>
    <row r="1428" ht="20.100000000000001" customHeight="1"/>
    <row r="1429" ht="20.100000000000001" customHeight="1"/>
    <row r="1430" ht="20.100000000000001" customHeight="1"/>
    <row r="1431" ht="20.100000000000001" customHeight="1"/>
    <row r="1432" ht="20.100000000000001" customHeight="1"/>
    <row r="1433" ht="20.100000000000001" customHeight="1"/>
    <row r="1434" ht="20.100000000000001" customHeight="1"/>
    <row r="1435" ht="20.100000000000001" customHeight="1"/>
    <row r="1436" ht="20.100000000000001" customHeight="1"/>
    <row r="1437" ht="20.100000000000001" customHeight="1"/>
    <row r="1438" ht="20.100000000000001" customHeight="1"/>
    <row r="1439" ht="20.100000000000001" customHeight="1"/>
    <row r="1440" ht="20.100000000000001" customHeight="1"/>
    <row r="1441" ht="20.100000000000001" customHeight="1"/>
    <row r="1442" ht="20.100000000000001" customHeight="1"/>
    <row r="1443" ht="20.100000000000001" customHeight="1"/>
    <row r="1444" ht="20.100000000000001" customHeight="1"/>
    <row r="1445" ht="20.100000000000001" customHeight="1"/>
    <row r="1446" ht="20.100000000000001" customHeight="1"/>
    <row r="1447" ht="20.100000000000001" customHeight="1"/>
    <row r="1448" ht="20.100000000000001" customHeight="1"/>
    <row r="1449" ht="20.100000000000001" customHeight="1"/>
    <row r="1450" ht="20.100000000000001" customHeight="1"/>
    <row r="1451" ht="20.100000000000001" customHeight="1"/>
    <row r="1452" ht="20.100000000000001" customHeight="1"/>
    <row r="1453" ht="20.100000000000001" customHeight="1"/>
    <row r="1454" ht="20.100000000000001" customHeight="1"/>
    <row r="1455" ht="20.100000000000001" customHeight="1"/>
    <row r="1456" ht="20.100000000000001" customHeight="1"/>
    <row r="1457" ht="20.100000000000001" customHeight="1"/>
    <row r="1458" ht="20.100000000000001" customHeight="1"/>
    <row r="1459" ht="20.100000000000001" customHeight="1"/>
    <row r="1460" ht="20.100000000000001" customHeight="1"/>
    <row r="1461" ht="20.100000000000001" customHeight="1"/>
    <row r="1462" ht="20.100000000000001" customHeight="1"/>
    <row r="1463" ht="20.100000000000001" customHeight="1"/>
    <row r="1464" ht="20.100000000000001" customHeight="1"/>
    <row r="1465" ht="20.100000000000001" customHeight="1"/>
    <row r="1466" ht="20.100000000000001" customHeight="1"/>
    <row r="1467" ht="20.100000000000001" customHeight="1"/>
    <row r="1468" ht="20.100000000000001" customHeight="1"/>
    <row r="1469" ht="20.100000000000001" customHeight="1"/>
    <row r="1470" ht="20.100000000000001" customHeight="1"/>
    <row r="1471" ht="20.100000000000001" customHeight="1"/>
    <row r="1472" ht="20.100000000000001" customHeight="1"/>
    <row r="1473" ht="20.100000000000001" customHeight="1"/>
    <row r="1474" ht="20.100000000000001" customHeight="1"/>
    <row r="1475" ht="20.100000000000001" customHeight="1"/>
    <row r="1476" ht="20.100000000000001" customHeight="1"/>
    <row r="1477" ht="20.100000000000001" customHeight="1"/>
    <row r="1478" ht="20.100000000000001" customHeight="1"/>
    <row r="1479" ht="20.100000000000001" customHeight="1"/>
    <row r="1480" ht="20.100000000000001" customHeight="1"/>
    <row r="1481" ht="20.100000000000001" customHeight="1"/>
    <row r="1482" ht="20.100000000000001" customHeight="1"/>
    <row r="1483" ht="20.100000000000001" customHeight="1"/>
    <row r="1484" ht="20.100000000000001" customHeight="1"/>
    <row r="1485" ht="20.100000000000001" customHeight="1"/>
    <row r="1486" ht="20.100000000000001" customHeight="1"/>
    <row r="1487" ht="20.100000000000001" customHeight="1"/>
    <row r="1488" ht="20.100000000000001" customHeight="1"/>
    <row r="1489" ht="20.100000000000001" customHeight="1"/>
    <row r="1490" ht="20.100000000000001" customHeight="1"/>
    <row r="1491" ht="20.100000000000001" customHeight="1"/>
    <row r="1492" ht="20.100000000000001" customHeight="1"/>
    <row r="1493" ht="20.100000000000001" customHeight="1"/>
    <row r="1494" ht="20.100000000000001" customHeight="1"/>
    <row r="1495" ht="20.100000000000001" customHeight="1"/>
    <row r="1496" ht="20.100000000000001" customHeight="1"/>
    <row r="1497" ht="20.100000000000001" customHeight="1"/>
    <row r="1498" ht="20.100000000000001" customHeight="1"/>
    <row r="1499" ht="20.100000000000001" customHeight="1"/>
    <row r="1500" ht="20.100000000000001" customHeight="1"/>
    <row r="1501" ht="20.100000000000001" customHeight="1"/>
    <row r="1502" ht="20.100000000000001" customHeight="1"/>
    <row r="1503" ht="20.100000000000001" customHeight="1"/>
    <row r="1504" ht="20.100000000000001" customHeight="1"/>
    <row r="1505" ht="20.100000000000001" customHeight="1"/>
    <row r="1506" ht="20.100000000000001" customHeight="1"/>
    <row r="1507" ht="20.100000000000001" customHeight="1"/>
    <row r="1508" ht="20.100000000000001" customHeight="1"/>
    <row r="1509" ht="20.100000000000001" customHeight="1"/>
    <row r="1510" ht="20.100000000000001" customHeight="1"/>
    <row r="1511" ht="20.100000000000001" customHeight="1"/>
    <row r="1512" ht="20.100000000000001" customHeight="1"/>
    <row r="1513" ht="20.100000000000001" customHeight="1"/>
    <row r="1514" ht="20.100000000000001" customHeight="1"/>
    <row r="1515" ht="20.100000000000001" customHeight="1"/>
    <row r="1516" ht="20.100000000000001" customHeight="1"/>
    <row r="1517" ht="20.100000000000001" customHeight="1"/>
    <row r="1518" ht="20.100000000000001" customHeight="1"/>
    <row r="1519" ht="20.100000000000001" customHeight="1"/>
    <row r="1520" ht="20.100000000000001" customHeight="1"/>
    <row r="1521" ht="20.100000000000001" customHeight="1"/>
    <row r="1522" ht="20.100000000000001" customHeight="1"/>
    <row r="1523" ht="20.100000000000001" customHeight="1"/>
    <row r="1524" ht="20.100000000000001" customHeight="1"/>
    <row r="1525" ht="20.100000000000001" customHeight="1"/>
    <row r="1526" ht="20.100000000000001" customHeight="1"/>
    <row r="1527" ht="20.100000000000001" customHeight="1"/>
    <row r="1528" ht="20.100000000000001" customHeight="1"/>
    <row r="1529" ht="20.100000000000001" customHeight="1"/>
    <row r="1530" ht="20.100000000000001" customHeight="1"/>
    <row r="1531" ht="20.100000000000001" customHeight="1"/>
    <row r="1532" ht="20.100000000000001" customHeight="1"/>
    <row r="1533" ht="20.100000000000001" customHeight="1"/>
    <row r="1534" ht="20.100000000000001" customHeight="1"/>
    <row r="1535" ht="20.100000000000001" customHeight="1"/>
    <row r="1536" ht="20.100000000000001" customHeight="1"/>
    <row r="1537" ht="20.100000000000001" customHeight="1"/>
    <row r="1538" ht="20.100000000000001" customHeight="1"/>
    <row r="1539" ht="20.100000000000001" customHeight="1"/>
    <row r="1540" ht="20.100000000000001" customHeight="1"/>
    <row r="1541" ht="20.100000000000001" customHeight="1"/>
    <row r="1542" ht="20.100000000000001" customHeight="1"/>
    <row r="1543" ht="20.100000000000001" customHeight="1"/>
    <row r="1544" ht="20.100000000000001" customHeight="1"/>
    <row r="1545" ht="20.100000000000001" customHeight="1"/>
    <row r="1546" ht="20.100000000000001" customHeight="1"/>
    <row r="1547" ht="20.100000000000001" customHeight="1"/>
    <row r="1548" ht="20.100000000000001" customHeight="1"/>
    <row r="1549" ht="20.100000000000001" customHeight="1"/>
    <row r="1550" ht="20.100000000000001" customHeight="1"/>
    <row r="1551" ht="20.100000000000001" customHeight="1"/>
    <row r="1552" ht="20.100000000000001" customHeight="1"/>
    <row r="1553" ht="20.100000000000001" customHeight="1"/>
    <row r="1554" ht="20.100000000000001" customHeight="1"/>
    <row r="1555" ht="20.100000000000001" customHeight="1"/>
    <row r="1556" ht="20.100000000000001" customHeight="1"/>
    <row r="1557" ht="20.100000000000001" customHeight="1"/>
    <row r="1558" ht="20.100000000000001" customHeight="1"/>
    <row r="1559" ht="20.100000000000001" customHeight="1"/>
    <row r="1560" ht="20.100000000000001" customHeight="1"/>
    <row r="1561" ht="20.100000000000001" customHeight="1"/>
    <row r="1562" ht="20.100000000000001" customHeight="1"/>
    <row r="1563" ht="20.100000000000001" customHeight="1"/>
    <row r="1564" ht="20.100000000000001" customHeight="1"/>
    <row r="1565" ht="20.100000000000001" customHeight="1"/>
    <row r="1566" ht="20.100000000000001" customHeight="1"/>
    <row r="1567" ht="20.100000000000001" customHeight="1"/>
  </sheetData>
  <mergeCells count="31">
    <mergeCell ref="W2:W3"/>
    <mergeCell ref="A3:A4"/>
    <mergeCell ref="B3:F4"/>
    <mergeCell ref="G3:I3"/>
    <mergeCell ref="A5:A6"/>
    <mergeCell ref="G5:G6"/>
    <mergeCell ref="H5:H6"/>
    <mergeCell ref="I5:I6"/>
    <mergeCell ref="Q2:Q3"/>
    <mergeCell ref="R2:R3"/>
    <mergeCell ref="S2:S3"/>
    <mergeCell ref="T2:T3"/>
    <mergeCell ref="A7:A9"/>
    <mergeCell ref="G7:G9"/>
    <mergeCell ref="H7:H9"/>
    <mergeCell ref="I7:I9"/>
    <mergeCell ref="A10:A11"/>
    <mergeCell ref="G10:G11"/>
    <mergeCell ref="H10:H11"/>
    <mergeCell ref="I10:I11"/>
    <mergeCell ref="H12:H14"/>
    <mergeCell ref="I12:I14"/>
    <mergeCell ref="A15:A18"/>
    <mergeCell ref="G15:G18"/>
    <mergeCell ref="H15:H18"/>
    <mergeCell ref="I15:I18"/>
    <mergeCell ref="A30:D30"/>
    <mergeCell ref="A40:E40"/>
    <mergeCell ref="F55:F56"/>
    <mergeCell ref="A12:A14"/>
    <mergeCell ref="G12:G14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MPMR</vt:lpstr>
      <vt:lpstr>DMD</vt:lpstr>
      <vt:lpstr>BD</vt:lpstr>
      <vt:lpstr>SD</vt:lpstr>
      <vt:lpstr>Modal Participating Mass 9.7.4</vt:lpstr>
      <vt:lpstr>Diaphragm Mass Data 9.7.4</vt:lpstr>
      <vt:lpstr>Building Modes_9.7.4</vt:lpstr>
      <vt:lpstr>Story Data 9.7.4</vt:lpstr>
      <vt:lpstr>Modal Participating Mass 2016</vt:lpstr>
      <vt:lpstr>Mass Summary Diaphragm 2016</vt:lpstr>
      <vt:lpstr>DC Mass Displacements 2016</vt:lpstr>
      <vt:lpstr>Story Data 2016</vt:lpstr>
      <vt:lpstr>Menu</vt:lpstr>
      <vt:lpstr>1.Dead Load</vt:lpstr>
      <vt:lpstr>2.Win Load</vt:lpstr>
      <vt:lpstr>3.Earthquake</vt:lpstr>
      <vt:lpstr>4.Combination</vt:lpstr>
      <vt:lpstr>5.HS GIAM TAI</vt:lpstr>
      <vt:lpstr>Sheet1</vt:lpstr>
      <vt:lpstr>Base</vt:lpstr>
      <vt:lpstr>Wind base</vt:lpstr>
      <vt:lpstr>EarthQuake Base</vt:lpstr>
      <vt:lpstr>Blding1</vt:lpstr>
      <vt:lpstr>Bldingtype</vt:lpstr>
      <vt:lpstr>Capcongtrinh</vt:lpstr>
      <vt:lpstr>cautao1</vt:lpstr>
      <vt:lpstr>cautao2</vt:lpstr>
      <vt:lpstr>cautaotuong</vt:lpstr>
      <vt:lpstr>Chieuday</vt:lpstr>
      <vt:lpstr>City_All</vt:lpstr>
      <vt:lpstr>City2</vt:lpstr>
      <vt:lpstr>City3</vt:lpstr>
      <vt:lpstr>CityValList</vt:lpstr>
      <vt:lpstr>DANG_DAO_DONG</vt:lpstr>
      <vt:lpstr>dangdiahinh</vt:lpstr>
      <vt:lpstr>Etabs</vt:lpstr>
      <vt:lpstr>Hesotohop</vt:lpstr>
      <vt:lpstr>Hoạt_tải___Live_loads</vt:lpstr>
      <vt:lpstr>HSTQT</vt:lpstr>
      <vt:lpstr>LDN</vt:lpstr>
      <vt:lpstr>Loaicaotuong</vt:lpstr>
      <vt:lpstr>Loainha</vt:lpstr>
      <vt:lpstr>loaituong</vt:lpstr>
      <vt:lpstr>loaituong1</vt:lpstr>
      <vt:lpstr>loaituong2</vt:lpstr>
      <vt:lpstr>Mass_data</vt:lpstr>
      <vt:lpstr>Mass_data_1</vt:lpstr>
      <vt:lpstr>Mass_data_2</vt:lpstr>
      <vt:lpstr>Menu</vt:lpstr>
      <vt:lpstr>Mode</vt:lpstr>
      <vt:lpstr>Mode_1</vt:lpstr>
      <vt:lpstr>Mode_2</vt:lpstr>
      <vt:lpstr>MODEDAODONG</vt:lpstr>
      <vt:lpstr>Period</vt:lpstr>
      <vt:lpstr>Period_1</vt:lpstr>
      <vt:lpstr>Period_2</vt:lpstr>
      <vt:lpstr>'1.Dead Load'!Print_Area</vt:lpstr>
      <vt:lpstr>'2.Win Load'!Print_Area</vt:lpstr>
      <vt:lpstr>'3.Earthquake'!Print_Area</vt:lpstr>
      <vt:lpstr>'4.Combination'!Print_Area</vt:lpstr>
      <vt:lpstr>'5.HS GIAM TAI'!Print_Area</vt:lpstr>
      <vt:lpstr>Base!Print_Area</vt:lpstr>
      <vt:lpstr>BD!Print_Area</vt:lpstr>
      <vt:lpstr>'Building Modes_9.7.4'!Print_Area</vt:lpstr>
      <vt:lpstr>'DC Mass Displacements 2016'!Print_Area</vt:lpstr>
      <vt:lpstr>'Diaphragm Mass Data 9.7.4'!Print_Area</vt:lpstr>
      <vt:lpstr>DMD!Print_Area</vt:lpstr>
      <vt:lpstr>'EarthQuake Base'!Print_Area</vt:lpstr>
      <vt:lpstr>'Mass Summary Diaphragm 2016'!Print_Area</vt:lpstr>
      <vt:lpstr>'Modal Participating Mass 2016'!Print_Area</vt:lpstr>
      <vt:lpstr>'Modal Participating Mass 9.7.4'!Print_Area</vt:lpstr>
      <vt:lpstr>MPMR!Print_Area</vt:lpstr>
      <vt:lpstr>SD!Print_Area</vt:lpstr>
      <vt:lpstr>'Story Data 2016'!Print_Area</vt:lpstr>
      <vt:lpstr>'Story Data 9.7.4'!Print_Area</vt:lpstr>
      <vt:lpstr>'1.Dead Load'!Print_Titles</vt:lpstr>
      <vt:lpstr>'2.Win Load'!Print_Titles</vt:lpstr>
      <vt:lpstr>'3.Earthquake'!Print_Titles</vt:lpstr>
      <vt:lpstr>Room1</vt:lpstr>
      <vt:lpstr>Room10</vt:lpstr>
      <vt:lpstr>Room11</vt:lpstr>
      <vt:lpstr>Room12</vt:lpstr>
      <vt:lpstr>Room13</vt:lpstr>
      <vt:lpstr>Room14</vt:lpstr>
      <vt:lpstr>Room15</vt:lpstr>
      <vt:lpstr>Room16</vt:lpstr>
      <vt:lpstr>Room17</vt:lpstr>
      <vt:lpstr>Room18</vt:lpstr>
      <vt:lpstr>Room19</vt:lpstr>
      <vt:lpstr>Room2</vt:lpstr>
      <vt:lpstr>Room20</vt:lpstr>
      <vt:lpstr>Room3</vt:lpstr>
      <vt:lpstr>Room4</vt:lpstr>
      <vt:lpstr>Room5</vt:lpstr>
      <vt:lpstr>Room6</vt:lpstr>
      <vt:lpstr>Room7</vt:lpstr>
      <vt:lpstr>Room8</vt:lpstr>
      <vt:lpstr>Room9</vt:lpstr>
      <vt:lpstr>RTValLIST</vt:lpstr>
      <vt:lpstr>RType</vt:lpstr>
      <vt:lpstr>ST_1</vt:lpstr>
      <vt:lpstr>ST_All</vt:lpstr>
      <vt:lpstr>Story_data</vt:lpstr>
      <vt:lpstr>Story_data_1</vt:lpstr>
      <vt:lpstr>Story_Data_2</vt:lpstr>
      <vt:lpstr>STValList</vt:lpstr>
      <vt:lpstr>TCVN</vt:lpstr>
      <vt:lpstr>vatlieu1</vt:lpstr>
      <vt:lpstr>vatlieu2</vt:lpstr>
      <vt:lpstr>vatlieu3</vt:lpstr>
      <vt:lpstr>vatlieu4</vt:lpstr>
      <vt:lpstr>vatlieu5</vt:lpstr>
      <vt:lpstr>vatlieutuong</vt:lpstr>
      <vt:lpstr>vatlieutuong1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X¸c ®Þnh t¶i träng</dc:title>
  <dc:creator>PHAM NHU HUY</dc:creator>
  <cp:lastModifiedBy>Dell</cp:lastModifiedBy>
  <cp:lastPrinted>2018-08-21T09:09:47Z</cp:lastPrinted>
  <dcterms:created xsi:type="dcterms:W3CDTF">1999-01-29T03:31:53Z</dcterms:created>
  <dcterms:modified xsi:type="dcterms:W3CDTF">2022-03-18T03:21:23Z</dcterms:modified>
</cp:coreProperties>
</file>