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92.168.1.253\ts1\#Thu muc ca nhan\03. Vo Trung Hieu\1.USER\ISO_CONINCO\01. VESION 2022 THUYET MINH + BANG TINH\2. Thuyết minh + Bản tính kết cấu\2. Phụ lục bản tính\10. Tường vây+BPTC\"/>
    </mc:Choice>
  </mc:AlternateContent>
  <bookViews>
    <workbookView xWindow="0" yWindow="0" windowWidth="28800" windowHeight="12330" tabRatio="731" activeTab="1"/>
  </bookViews>
  <sheets>
    <sheet name="Dia chat" sheetId="12" r:id="rId1"/>
    <sheet name="Kiểm tra sct đất nền" sheetId="18" r:id="rId2"/>
    <sheet name="Tinh dai theo bs" sheetId="19" state="hidden" r:id="rId3"/>
  </sheets>
  <definedNames>
    <definedName name="____huy1" hidden="1">{"'Sheet1'!$L$16"}</definedName>
    <definedName name="___BWg1">#REF!</definedName>
    <definedName name="___BWg2">#REF!</definedName>
    <definedName name="___BWm1">#REF!</definedName>
    <definedName name="___BWm2">#REF!</definedName>
    <definedName name="___BWP1">#REF!</definedName>
    <definedName name="___BWP2">#REF!</definedName>
    <definedName name="___BWx1">#REF!</definedName>
    <definedName name="___BWx2">#REF!</definedName>
    <definedName name="___BWy1">#REF!</definedName>
    <definedName name="___BWy2">#REF!</definedName>
    <definedName name="___CFC1">#REF!</definedName>
    <definedName name="___CFC10">#REF!</definedName>
    <definedName name="___CFC11">#REF!</definedName>
    <definedName name="___CFC12">#REF!</definedName>
    <definedName name="___CFC13">#REF!</definedName>
    <definedName name="___CFC14">#REF!</definedName>
    <definedName name="___CFC15">#REF!</definedName>
    <definedName name="___CFC16">#REF!</definedName>
    <definedName name="___CFC2">#REF!</definedName>
    <definedName name="___CFC3">#REF!</definedName>
    <definedName name="___CFC4">#REF!</definedName>
    <definedName name="___CFC5">#REF!</definedName>
    <definedName name="___CFC6">#REF!</definedName>
    <definedName name="___CFC7">#REF!</definedName>
    <definedName name="___CFC8">#REF!</definedName>
    <definedName name="___CFC9">#REF!</definedName>
    <definedName name="___CON1">#REF!</definedName>
    <definedName name="___CON2">#REF!</definedName>
    <definedName name="___huy1" localSheetId="1" hidden="1">{"'Sheet1'!$L$16"}</definedName>
    <definedName name="___huy1" hidden="1">{"'Sheet1'!$L$16"}</definedName>
    <definedName name="___MFC10">#REF!</definedName>
    <definedName name="___MFC11">#REF!</definedName>
    <definedName name="___MFC12">#REF!</definedName>
    <definedName name="___MFC13">#REF!</definedName>
    <definedName name="___MFC14">#REF!</definedName>
    <definedName name="___MFC15">#REF!</definedName>
    <definedName name="___MFC16">#REF!</definedName>
    <definedName name="___MFC2">#REF!</definedName>
    <definedName name="___MFC3">#REF!</definedName>
    <definedName name="___MFC5">#REF!</definedName>
    <definedName name="___MFC7">#REF!</definedName>
    <definedName name="___MFC9">#REF!</definedName>
    <definedName name="___MPJ1">#REF!</definedName>
    <definedName name="___MPJ2">#REF!</definedName>
    <definedName name="___MPJ3">#REF!</definedName>
    <definedName name="___MPJ4">#REF!</definedName>
    <definedName name="___MPJ5">#REF!</definedName>
    <definedName name="___NET2">#REF!</definedName>
    <definedName name="___PHA1">#REF!</definedName>
    <definedName name="___PHA2">#REF!</definedName>
    <definedName name="___PHA3">#REF!</definedName>
    <definedName name="___PHA4">#REF!</definedName>
    <definedName name="___PHB1">#REF!</definedName>
    <definedName name="___PHB2">#REF!</definedName>
    <definedName name="___PHB3">#REF!</definedName>
    <definedName name="___PHB4">#REF!</definedName>
    <definedName name="___PHC1">#REF!</definedName>
    <definedName name="___PHC2">#REF!</definedName>
    <definedName name="___PHC3">#REF!</definedName>
    <definedName name="___PHC4">#REF!</definedName>
    <definedName name="___PHD1">#REF!</definedName>
    <definedName name="___PHD2">#REF!</definedName>
    <definedName name="___PHD3">#REF!</definedName>
    <definedName name="___PHD4">#REF!</definedName>
    <definedName name="__BWg1">#REF!</definedName>
    <definedName name="__BWg2">#REF!</definedName>
    <definedName name="__BWm1">#REF!</definedName>
    <definedName name="__BWm2">#REF!</definedName>
    <definedName name="__BWP1">#REF!</definedName>
    <definedName name="__BWP2">#REF!</definedName>
    <definedName name="__BWx1">#REF!</definedName>
    <definedName name="__BWx2">#REF!</definedName>
    <definedName name="__BWy1">#REF!</definedName>
    <definedName name="__BWy2">#REF!</definedName>
    <definedName name="__CFC1">#REF!</definedName>
    <definedName name="__CFC10">#REF!</definedName>
    <definedName name="__CFC11">#REF!</definedName>
    <definedName name="__CFC12">#REF!</definedName>
    <definedName name="__CFC13">#REF!</definedName>
    <definedName name="__CFC14">#REF!</definedName>
    <definedName name="__CFC15">#REF!</definedName>
    <definedName name="__CFC16">#REF!</definedName>
    <definedName name="__CFC2">#REF!</definedName>
    <definedName name="__CFC3">#REF!</definedName>
    <definedName name="__CFC4">#REF!</definedName>
    <definedName name="__CFC5">#REF!</definedName>
    <definedName name="__CFC6">#REF!</definedName>
    <definedName name="__CFC7">#REF!</definedName>
    <definedName name="__CFC8">#REF!</definedName>
    <definedName name="__CFC9">#REF!</definedName>
    <definedName name="__CON1">#REF!</definedName>
    <definedName name="__CON2">#REF!</definedName>
    <definedName name="__huy1" localSheetId="1" hidden="1">{"'Sheet1'!$L$16"}</definedName>
    <definedName name="__MFC1">#REF!</definedName>
    <definedName name="__MFC10">#REF!</definedName>
    <definedName name="__MFC11">#REF!</definedName>
    <definedName name="__MFC12">#REF!</definedName>
    <definedName name="__MFC13">#REF!</definedName>
    <definedName name="__MFC14">#REF!</definedName>
    <definedName name="__MFC15">#REF!</definedName>
    <definedName name="__MFC16">#REF!</definedName>
    <definedName name="__MFC2">#REF!</definedName>
    <definedName name="__MFC3">#REF!</definedName>
    <definedName name="__MFC4">#REF!</definedName>
    <definedName name="__MFC5">#REF!</definedName>
    <definedName name="__MFC6">#REF!</definedName>
    <definedName name="__MFC7">#REF!</definedName>
    <definedName name="__MFC8">#REF!</definedName>
    <definedName name="__MFC9">#REF!</definedName>
    <definedName name="__MPJ1">#REF!</definedName>
    <definedName name="__MPJ2">#REF!</definedName>
    <definedName name="__MPJ3">#REF!</definedName>
    <definedName name="__MPJ4">#REF!</definedName>
    <definedName name="__MPJ5">#REF!</definedName>
    <definedName name="__NET2">#REF!</definedName>
    <definedName name="__PHA1">#REF!</definedName>
    <definedName name="__PHA2">#REF!</definedName>
    <definedName name="__PHA3">#REF!</definedName>
    <definedName name="__PHA4">#REF!</definedName>
    <definedName name="__PHB1">#REF!</definedName>
    <definedName name="__PHB2">#REF!</definedName>
    <definedName name="__PHB3">#REF!</definedName>
    <definedName name="__PHB4">#REF!</definedName>
    <definedName name="__PHC1">#REF!</definedName>
    <definedName name="__PHC2">#REF!</definedName>
    <definedName name="__PHC3">#REF!</definedName>
    <definedName name="__PHC4">#REF!</definedName>
    <definedName name="__PHD1">#REF!</definedName>
    <definedName name="__PHD2">#REF!</definedName>
    <definedName name="__PHD3">#REF!</definedName>
    <definedName name="__PHD4">#REF!</definedName>
    <definedName name="_1" localSheetId="1">#REF!</definedName>
    <definedName name="_1">#REF!</definedName>
    <definedName name="_2" localSheetId="1">#REF!</definedName>
    <definedName name="_2">#REF!</definedName>
    <definedName name="_BWg1">#REF!</definedName>
    <definedName name="_BWg2">#REF!</definedName>
    <definedName name="_BWm1">#REF!</definedName>
    <definedName name="_BWm2">#REF!</definedName>
    <definedName name="_BWP1">#REF!</definedName>
    <definedName name="_BWP2">#REF!</definedName>
    <definedName name="_BWx1">#REF!</definedName>
    <definedName name="_BWx2">#REF!</definedName>
    <definedName name="_BWy1">#REF!</definedName>
    <definedName name="_BWy2">#REF!</definedName>
    <definedName name="_CFC1">#REF!</definedName>
    <definedName name="_CFC10">#REF!</definedName>
    <definedName name="_CFC11">#REF!</definedName>
    <definedName name="_CFC12">#REF!</definedName>
    <definedName name="_CFC13">#REF!</definedName>
    <definedName name="_CFC14">#REF!</definedName>
    <definedName name="_CFC15">#REF!</definedName>
    <definedName name="_CFC16">#REF!</definedName>
    <definedName name="_CFC2">#REF!</definedName>
    <definedName name="_CFC3">#REF!</definedName>
    <definedName name="_CFC4">#REF!</definedName>
    <definedName name="_CFC5">#REF!</definedName>
    <definedName name="_CFC6">#REF!</definedName>
    <definedName name="_CFC7">#REF!</definedName>
    <definedName name="_CFC8">#REF!</definedName>
    <definedName name="_CFC9">#REF!</definedName>
    <definedName name="_CON1">#REF!</definedName>
    <definedName name="_CON2">#REF!</definedName>
    <definedName name="_Fill" localSheetId="1" hidden="1">#REF!</definedName>
    <definedName name="_Fill" hidden="1">#REF!</definedName>
    <definedName name="_huy1" localSheetId="0" hidden="1">{"'Sheet1'!$L$16"}</definedName>
    <definedName name="_MFC1">#REF!</definedName>
    <definedName name="_MFC10">#REF!</definedName>
    <definedName name="_MFC11">#REF!</definedName>
    <definedName name="_MFC12">#REF!</definedName>
    <definedName name="_MFC13">#REF!</definedName>
    <definedName name="_MFC14">#REF!</definedName>
    <definedName name="_MFC15">#REF!</definedName>
    <definedName name="_MFC16">#REF!</definedName>
    <definedName name="_MFC2">#REF!</definedName>
    <definedName name="_MFC3">#REF!</definedName>
    <definedName name="_MFC4">#REF!</definedName>
    <definedName name="_MFC5">#REF!</definedName>
    <definedName name="_MFC6">#REF!</definedName>
    <definedName name="_MFC7">#REF!</definedName>
    <definedName name="_MFC8">#REF!</definedName>
    <definedName name="_MFC9">#REF!</definedName>
    <definedName name="_MPJ1">#REF!</definedName>
    <definedName name="_MPJ2">#REF!</definedName>
    <definedName name="_MPJ3">#REF!</definedName>
    <definedName name="_MPJ4">#REF!</definedName>
    <definedName name="_MPJ5">#REF!</definedName>
    <definedName name="_NET2">#REF!</definedName>
    <definedName name="_Order1" hidden="1">255</definedName>
    <definedName name="_Order2" hidden="1">255</definedName>
    <definedName name="_PHA1">#REF!</definedName>
    <definedName name="_PHA2">#REF!</definedName>
    <definedName name="_PHA3">#REF!</definedName>
    <definedName name="_PHA4">#REF!</definedName>
    <definedName name="_PHB1">#REF!</definedName>
    <definedName name="_PHB2">#REF!</definedName>
    <definedName name="_PHB3">#REF!</definedName>
    <definedName name="_PHB4">#REF!</definedName>
    <definedName name="_PHC1">#REF!</definedName>
    <definedName name="_PHC2">#REF!</definedName>
    <definedName name="_PHC3">#REF!</definedName>
    <definedName name="_PHC4">#REF!</definedName>
    <definedName name="_PHD1">#REF!</definedName>
    <definedName name="_PHD2">#REF!</definedName>
    <definedName name="_PHD3">#REF!</definedName>
    <definedName name="_PHD4">#REF!</definedName>
    <definedName name="_Sort" localSheetId="1" hidden="1">#REF!</definedName>
    <definedName name="_Sort" hidden="1">#REF!</definedName>
    <definedName name="a277Print_Titles" localSheetId="1">#REF!</definedName>
    <definedName name="a277Print_Titles">#REF!</definedName>
    <definedName name="Anfa" localSheetId="1">#REF!</definedName>
    <definedName name="ao" localSheetId="1">#REF!</definedName>
    <definedName name="ao">#REF!</definedName>
    <definedName name="Bang_cly" localSheetId="1">#REF!</definedName>
    <definedName name="Bang_cly">#REF!</definedName>
    <definedName name="Bang_CVC" localSheetId="1">#REF!</definedName>
    <definedName name="Bang_CVC">#REF!</definedName>
    <definedName name="bang_gia" localSheetId="1">#REF!</definedName>
    <definedName name="bang_gia">#REF!</definedName>
    <definedName name="Bang_travl" localSheetId="1">#REF!</definedName>
    <definedName name="Bang_travl">#REF!</definedName>
    <definedName name="baove" localSheetId="1">#REF!</definedName>
    <definedName name="baove">#REF!</definedName>
    <definedName name="Bd" localSheetId="1">#REF!</definedName>
    <definedName name="Bd">#REF!</definedName>
    <definedName name="Bdphanto" localSheetId="1">#REF!</definedName>
    <definedName name="Bdphanto">#REF!</definedName>
    <definedName name="betong" localSheetId="0">'Dia chat'!$A$54:$S$60</definedName>
    <definedName name="BForces" localSheetId="1">#REF!</definedName>
    <definedName name="BForces">#REF!</definedName>
    <definedName name="Bm" localSheetId="1">#REF!</definedName>
    <definedName name="Bm">#REF!</definedName>
    <definedName name="bo" localSheetId="1">#REF!</definedName>
    <definedName name="bo">#REF!</definedName>
    <definedName name="BOQ" localSheetId="1">#REF!</definedName>
    <definedName name="BOQ">#REF!</definedName>
    <definedName name="Bs" localSheetId="1">#REF!</definedName>
    <definedName name="Bs">#REF!</definedName>
    <definedName name="btt" localSheetId="1">#REF!</definedName>
    <definedName name="btt">#REF!</definedName>
    <definedName name="btuong" localSheetId="1">#REF!</definedName>
    <definedName name="btuong">#REF!</definedName>
    <definedName name="BVCISUMMARY" localSheetId="1">#REF!</definedName>
    <definedName name="BVCISUMMARY">#REF!</definedName>
    <definedName name="BWCaodo" localSheetId="1">#REF!</definedName>
    <definedName name="BWCaodo">#REF!</definedName>
    <definedName name="BWCD1" localSheetId="1">#REF!</definedName>
    <definedName name="BWCD1">#REF!</definedName>
    <definedName name="BWCD2" localSheetId="1">#REF!</definedName>
    <definedName name="BWCD2">#REF!</definedName>
    <definedName name="BWCD3" localSheetId="1">#REF!</definedName>
    <definedName name="BWCD3">#REF!</definedName>
    <definedName name="BWGama" localSheetId="1">#REF!</definedName>
    <definedName name="BWGama">#REF!</definedName>
    <definedName name="BWGocMS" localSheetId="1">#REF!</definedName>
    <definedName name="BWGocMS">#REF!</definedName>
    <definedName name="BWH" localSheetId="1">#REF!</definedName>
    <definedName name="BWH">#REF!</definedName>
    <definedName name="BWLucdinh" localSheetId="1">#REF!</definedName>
    <definedName name="BWLucdinh">#REF!</definedName>
    <definedName name="BWmg1" localSheetId="1">#REF!</definedName>
    <definedName name="BWmg1">#REF!</definedName>
    <definedName name="BWmg2" localSheetId="1">#REF!</definedName>
    <definedName name="BWmg2">#REF!</definedName>
    <definedName name="BWq" localSheetId="1">#REF!</definedName>
    <definedName name="BWq">#REF!</definedName>
    <definedName name="c_1" localSheetId="1">#REF!</definedName>
    <definedName name="c_1">#REF!</definedName>
    <definedName name="c_2" localSheetId="1">#REF!</definedName>
    <definedName name="c_2">#REF!</definedName>
    <definedName name="CAngle" localSheetId="1">#REF!</definedName>
    <definedName name="CAngle">#REF!</definedName>
    <definedName name="Canhcoc" localSheetId="1">#REF!</definedName>
    <definedName name="Canhcoc">#REF!</definedName>
    <definedName name="Caodo" localSheetId="1">#REF!</definedName>
    <definedName name="Caodo">#REF!</definedName>
    <definedName name="Car" localSheetId="1">#REF!</definedName>
    <definedName name="Car">#REF!</definedName>
    <definedName name="CFaUpX" localSheetId="1">#REF!</definedName>
    <definedName name="CFaUpX">#REF!</definedName>
    <definedName name="CFaUpY" localSheetId="1">#REF!</definedName>
    <definedName name="CFaUpY">#REF!</definedName>
    <definedName name="CFax" localSheetId="1">#REF!</definedName>
    <definedName name="CFax">#REF!</definedName>
    <definedName name="CFay" localSheetId="1">#REF!</definedName>
    <definedName name="CFay">#REF!</definedName>
    <definedName name="CFB" localSheetId="1">#REF!</definedName>
    <definedName name="CFB">#REF!</definedName>
    <definedName name="CFBeamX" localSheetId="1">#REF!</definedName>
    <definedName name="CFBeamX">#REF!</definedName>
    <definedName name="CFBeamY" localSheetId="1">#REF!</definedName>
    <definedName name="CFBeamY">#REF!</definedName>
    <definedName name="CFBeta" localSheetId="1">#REF!</definedName>
    <definedName name="CFBeta">#REF!</definedName>
    <definedName name="CFCatX" localSheetId="1">#REF!</definedName>
    <definedName name="CFCatX">#REF!</definedName>
    <definedName name="CFCatX2" localSheetId="1">#REF!</definedName>
    <definedName name="CFCatX2">#REF!</definedName>
    <definedName name="CFCatY" localSheetId="1">#REF!</definedName>
    <definedName name="CFCatY">#REF!</definedName>
    <definedName name="CFCatY2" localSheetId="1">#REF!</definedName>
    <definedName name="CFCatY2">#REF!</definedName>
    <definedName name="CFcx" localSheetId="1">#REF!</definedName>
    <definedName name="CFcx">#REF!</definedName>
    <definedName name="CFcx2" localSheetId="1">#REF!</definedName>
    <definedName name="CFcx2">#REF!</definedName>
    <definedName name="CFcy" localSheetId="1">#REF!</definedName>
    <definedName name="CFcy">#REF!</definedName>
    <definedName name="CFcy2" localSheetId="1">#REF!</definedName>
    <definedName name="CFcy2">#REF!</definedName>
    <definedName name="CFD" localSheetId="1">#REF!</definedName>
    <definedName name="CFD">#REF!</definedName>
    <definedName name="CFDUpX" localSheetId="1">#REF!</definedName>
    <definedName name="CFDUpX">#REF!</definedName>
    <definedName name="CFDUpY" localSheetId="1">#REF!</definedName>
    <definedName name="CFDUpY">#REF!</definedName>
    <definedName name="CFDx" localSheetId="1">#REF!</definedName>
    <definedName name="CFDx">#REF!</definedName>
    <definedName name="CFDy" localSheetId="1">#REF!</definedName>
    <definedName name="CFDy">#REF!</definedName>
    <definedName name="CFEi" localSheetId="1">#REF!</definedName>
    <definedName name="CFEi">#REF!</definedName>
    <definedName name="CFGama" localSheetId="1">#REF!</definedName>
    <definedName name="CFGama">#REF!</definedName>
    <definedName name="CFGamaTB" localSheetId="1">#REF!</definedName>
    <definedName name="CFGamaTB">#REF!</definedName>
    <definedName name="CFGocMS" localSheetId="1">#REF!</definedName>
    <definedName name="CFGocMS">#REF!</definedName>
    <definedName name="CFH" localSheetId="1">#REF!</definedName>
    <definedName name="CFH">#REF!</definedName>
    <definedName name="CFhc" localSheetId="1">#REF!</definedName>
    <definedName name="CFhc">#REF!</definedName>
    <definedName name="CFHdai" localSheetId="1">#REF!</definedName>
    <definedName name="CFHdai">#REF!</definedName>
    <definedName name="CFhi" localSheetId="1">#REF!</definedName>
    <definedName name="CFhi">#REF!</definedName>
    <definedName name="cfk" localSheetId="1">#REF!</definedName>
    <definedName name="cfk">#REF!</definedName>
    <definedName name="CFL" localSheetId="1">#REF!</definedName>
    <definedName name="CFL">#REF!</definedName>
    <definedName name="CFLcoc" localSheetId="1">#REF!</definedName>
    <definedName name="CFLcoc">#REF!</definedName>
    <definedName name="CFLechtamX" localSheetId="1">#REF!</definedName>
    <definedName name="CFLechtamX">#REF!</definedName>
    <definedName name="CFLechtamY" localSheetId="1">#REF!</definedName>
    <definedName name="CFLechtamY">#REF!</definedName>
    <definedName name="CFLx" localSheetId="1">#REF!</definedName>
    <definedName name="CFLx">#REF!</definedName>
    <definedName name="CFLx2" localSheetId="1">#REF!</definedName>
    <definedName name="CFLx2">#REF!</definedName>
    <definedName name="CFLy" localSheetId="1">#REF!</definedName>
    <definedName name="CFLy">#REF!</definedName>
    <definedName name="CFLy2" localSheetId="1">#REF!</definedName>
    <definedName name="CFLy2">#REF!</definedName>
    <definedName name="CFMacBT" localSheetId="1">#REF!</definedName>
    <definedName name="CFMacBT">#REF!</definedName>
    <definedName name="CFMacThep" localSheetId="1">#REF!</definedName>
    <definedName name="CFMacThep">#REF!</definedName>
    <definedName name="CFMUpX" localSheetId="1">#REF!</definedName>
    <definedName name="CFMUpX">#REF!</definedName>
    <definedName name="CFMUpY" localSheetId="1">#REF!</definedName>
    <definedName name="CFMUpY">#REF!</definedName>
    <definedName name="CFMx" localSheetId="1">#REF!</definedName>
    <definedName name="CFMx">#REF!</definedName>
    <definedName name="CFMy" localSheetId="1">#REF!</definedName>
    <definedName name="CFMy">#REF!</definedName>
    <definedName name="CFn" localSheetId="1">#REF!</definedName>
    <definedName name="CFn">#REF!</definedName>
    <definedName name="CFName" localSheetId="1">#REF!</definedName>
    <definedName name="CFName">#REF!</definedName>
    <definedName name="CForces" localSheetId="1">#REF!</definedName>
    <definedName name="CForces">#REF!</definedName>
    <definedName name="CFP" localSheetId="1">#REF!</definedName>
    <definedName name="CFP">#REF!</definedName>
    <definedName name="CFq" localSheetId="1">#REF!</definedName>
    <definedName name="CFq">#REF!</definedName>
    <definedName name="CFS" localSheetId="1">#REF!</definedName>
    <definedName name="CFS">#REF!</definedName>
    <definedName name="CFShnut" localSheetId="1">#REF!</definedName>
    <definedName name="CFShnut">#REF!</definedName>
    <definedName name="CFTamX" localSheetId="1">#REF!</definedName>
    <definedName name="CFTamX">#REF!</definedName>
    <definedName name="CFTamY" localSheetId="1">#REF!</definedName>
    <definedName name="CFTamY">#REF!</definedName>
    <definedName name="CFTatlun" localSheetId="1">#REF!</definedName>
    <definedName name="CFTatlun">#REF!</definedName>
    <definedName name="CFTH1" localSheetId="1">#REF!</definedName>
    <definedName name="CFTH1">#REF!</definedName>
    <definedName name="CFTH2" localSheetId="1">#REF!</definedName>
    <definedName name="CFTH2">#REF!</definedName>
    <definedName name="CFTongcoc" localSheetId="1">#REF!</definedName>
    <definedName name="CFTongcoc">#REF!</definedName>
    <definedName name="CFTongX" localSheetId="1">#REF!</definedName>
    <definedName name="CFTongX">#REF!</definedName>
    <definedName name="CFTongY" localSheetId="1">#REF!</definedName>
    <definedName name="CFTongY">#REF!</definedName>
    <definedName name="CFType" localSheetId="1">#REF!</definedName>
    <definedName name="CFType">#REF!</definedName>
    <definedName name="Check" localSheetId="1">#REF!</definedName>
    <definedName name="Check">#REF!</definedName>
    <definedName name="Chieudai" localSheetId="1">#REF!</definedName>
    <definedName name="Chieudai">#REF!</definedName>
    <definedName name="ChongCat" localSheetId="1">#REF!</definedName>
    <definedName name="ChongCat">#REF!</definedName>
    <definedName name="ChongSet" localSheetId="1">#REF!</definedName>
    <definedName name="ChongSet">#REF!</definedName>
    <definedName name="Client" localSheetId="1">#REF!</definedName>
    <definedName name="Client">#REF!</definedName>
    <definedName name="Co" localSheetId="1">#REF!</definedName>
    <definedName name="Co">#REF!</definedName>
    <definedName name="Combo" localSheetId="1">#REF!</definedName>
    <definedName name="Combo">#REF!</definedName>
    <definedName name="COMMON" localSheetId="1">#REF!</definedName>
    <definedName name="COMMON">#REF!</definedName>
    <definedName name="CON_EQP_COS" localSheetId="1">#REF!</definedName>
    <definedName name="CON_EQP_COS">#REF!</definedName>
    <definedName name="Cong_HM_DTCT" localSheetId="1">#REF!</definedName>
    <definedName name="Cong_HM_DTCT">#REF!</definedName>
    <definedName name="Cong_M_DTCT" localSheetId="1">#REF!</definedName>
    <definedName name="Cong_M_DTCT">#REF!</definedName>
    <definedName name="Cong_NC_DTCT" localSheetId="1">#REF!</definedName>
    <definedName name="Cong_NC_DTCT">#REF!</definedName>
    <definedName name="Cong_VL_DTCT" localSheetId="1">#REF!</definedName>
    <definedName name="Cong_VL_DTCT">#REF!</definedName>
    <definedName name="Cotcaodo" localSheetId="1">#REF!</definedName>
    <definedName name="Cotcaodo">#REF!</definedName>
    <definedName name="Cotdiachat" localSheetId="1">#REF!</definedName>
    <definedName name="Cotdiachat">#REF!</definedName>
    <definedName name="Cotdoset" localSheetId="1">#REF!</definedName>
    <definedName name="Cotdoset">#REF!</definedName>
    <definedName name="Cotlucdinh" localSheetId="1">#REF!</definedName>
    <definedName name="Cotlucdinh">#REF!</definedName>
    <definedName name="CotSPT" localSheetId="1">#REF!</definedName>
    <definedName name="CotSPT">#REF!</definedName>
    <definedName name="Cotthep" localSheetId="0">'Dia chat'!$C$63:$J$64</definedName>
    <definedName name="COVER" localSheetId="1">#REF!</definedName>
    <definedName name="COVER">#REF!</definedName>
    <definedName name="CRITINST" localSheetId="1">#REF!</definedName>
    <definedName name="CRITINST">#REF!</definedName>
    <definedName name="CRITPURC" localSheetId="1">#REF!</definedName>
    <definedName name="CRITPURC">#REF!</definedName>
    <definedName name="CS_10" localSheetId="1">#REF!</definedName>
    <definedName name="CS_10">#REF!</definedName>
    <definedName name="CS_100" localSheetId="1">#REF!</definedName>
    <definedName name="CS_100">#REF!</definedName>
    <definedName name="CS_10S" localSheetId="1">#REF!</definedName>
    <definedName name="CS_10S">#REF!</definedName>
    <definedName name="CS_120" localSheetId="1">#REF!</definedName>
    <definedName name="CS_120">#REF!</definedName>
    <definedName name="CS_140" localSheetId="1">#REF!</definedName>
    <definedName name="CS_140">#REF!</definedName>
    <definedName name="CS_160" localSheetId="1">#REF!</definedName>
    <definedName name="CS_160">#REF!</definedName>
    <definedName name="CS_20" localSheetId="1">#REF!</definedName>
    <definedName name="CS_20">#REF!</definedName>
    <definedName name="CS_30" localSheetId="1">#REF!</definedName>
    <definedName name="CS_30">#REF!</definedName>
    <definedName name="CS_40" localSheetId="1">#REF!</definedName>
    <definedName name="CS_40">#REF!</definedName>
    <definedName name="CS_40S" localSheetId="1">#REF!</definedName>
    <definedName name="CS_40S">#REF!</definedName>
    <definedName name="CS_5S" localSheetId="1">#REF!</definedName>
    <definedName name="CS_5S">#REF!</definedName>
    <definedName name="CS_60" localSheetId="1">#REF!</definedName>
    <definedName name="CS_60">#REF!</definedName>
    <definedName name="CS_80" localSheetId="1">#REF!</definedName>
    <definedName name="CS_80">#REF!</definedName>
    <definedName name="CS_80S" localSheetId="1">#REF!</definedName>
    <definedName name="CS_80S">#REF!</definedName>
    <definedName name="CS_STD" localSheetId="1">#REF!</definedName>
    <definedName name="CS_STD">#REF!</definedName>
    <definedName name="CS_XS" localSheetId="1">#REF!</definedName>
    <definedName name="CS_XS">#REF!</definedName>
    <definedName name="CS_XXS" localSheetId="1">#REF!</definedName>
    <definedName name="CS_XXS">#REF!</definedName>
    <definedName name="CTBFL" localSheetId="1">#REF!</definedName>
    <definedName name="CTBFL">#REF!</definedName>
    <definedName name="CTBFR" localSheetId="1">#REF!</definedName>
    <definedName name="CTBFR">#REF!</definedName>
    <definedName name="CTColumn" localSheetId="1">#REF!</definedName>
    <definedName name="CTColumn">#REF!</definedName>
    <definedName name="CTDB" localSheetId="1">#REF!</definedName>
    <definedName name="CTDB">#REF!</definedName>
    <definedName name="CTDLk" localSheetId="1">#REF!</definedName>
    <definedName name="CTDLk">#REF!</definedName>
    <definedName name="CTDT" localSheetId="1">#REF!</definedName>
    <definedName name="CTDT">#REF!</definedName>
    <definedName name="CTDTd" localSheetId="1">#REF!</definedName>
    <definedName name="CTDTd">#REF!</definedName>
    <definedName name="CTForces" localSheetId="1">#REF!</definedName>
    <definedName name="CTForces">#REF!</definedName>
    <definedName name="CTH" localSheetId="1">#REF!</definedName>
    <definedName name="CTH">#REF!</definedName>
    <definedName name="ctiep" localSheetId="1">#REF!</definedName>
    <definedName name="ctiep">#REF!</definedName>
    <definedName name="CTLocation" localSheetId="1">#REF!</definedName>
    <definedName name="CTLocation">#REF!</definedName>
    <definedName name="CTMacBT" localSheetId="1">#REF!</definedName>
    <definedName name="CTMacBT">#REF!</definedName>
    <definedName name="CTMacTd" localSheetId="1">#REF!</definedName>
    <definedName name="CTMacTd">#REF!</definedName>
    <definedName name="CTMacTlk" localSheetId="1">#REF!</definedName>
    <definedName name="CTMacTlk">#REF!</definedName>
    <definedName name="CTName" localSheetId="1">#REF!</definedName>
    <definedName name="CTName">#REF!</definedName>
    <definedName name="CTSoTLk" localSheetId="1">#REF!</definedName>
    <definedName name="CTSoTLk">#REF!</definedName>
    <definedName name="CTSoTTd" localSheetId="1">#REF!</definedName>
    <definedName name="CTSoTTd">#REF!</definedName>
    <definedName name="CTStory" localSheetId="1">#REF!</definedName>
    <definedName name="CTStory">#REF!</definedName>
    <definedName name="CTTFL" localSheetId="1">#REF!</definedName>
    <definedName name="CTTFL">#REF!</definedName>
    <definedName name="CTTFR" localSheetId="1">#REF!</definedName>
    <definedName name="CTTFR">#REF!</definedName>
    <definedName name="CTTH1" localSheetId="1">#REF!</definedName>
    <definedName name="CTTH1">#REF!</definedName>
    <definedName name="CTTH2" localSheetId="1">#REF!</definedName>
    <definedName name="CTTH2">#REF!</definedName>
    <definedName name="CTTH3" localSheetId="1">#REF!</definedName>
    <definedName name="CTTH3">#REF!</definedName>
    <definedName name="CTW" localSheetId="1">#REF!</definedName>
    <definedName name="CTW">#REF!</definedName>
    <definedName name="d_3" localSheetId="1">#REF!</definedName>
    <definedName name="d_3">#REF!</definedName>
    <definedName name="data" localSheetId="1">#REF!</definedName>
    <definedName name="data">#REF!</definedName>
    <definedName name="_xlnm.Database" localSheetId="1">#REF!</definedName>
    <definedName name="_xlnm.Database" localSheetId="2">#REF!</definedName>
    <definedName name="_xlnm.Database">#REF!</definedName>
    <definedName name="Date" localSheetId="1">#REF!</definedName>
    <definedName name="Date">#REF!</definedName>
    <definedName name="Dead" localSheetId="1">#REF!</definedName>
    <definedName name="Dead">#REF!</definedName>
    <definedName name="den_bu" localSheetId="1">#REF!</definedName>
    <definedName name="den_bu">#REF!</definedName>
    <definedName name="Design1" localSheetId="1">#REF!</definedName>
    <definedName name="Design1">#REF!</definedName>
    <definedName name="Design2" localSheetId="1">#REF!</definedName>
    <definedName name="Design2">#REF!</definedName>
    <definedName name="DesignC" localSheetId="1">#REF!</definedName>
    <definedName name="DesignC">#REF!</definedName>
    <definedName name="df" localSheetId="1">#REF!</definedName>
    <definedName name="df">#REF!</definedName>
    <definedName name="DGCTI592" localSheetId="1">#REF!</definedName>
    <definedName name="DGCTI592">#REF!</definedName>
    <definedName name="Dk" localSheetId="1">#REF!</definedName>
    <definedName name="Dk">#REF!</definedName>
    <definedName name="DSUMDATA" localSheetId="1">#REF!</definedName>
    <definedName name="DSUMDATA">#REF!</definedName>
    <definedName name="End_1" localSheetId="1">#REF!</definedName>
    <definedName name="End_1">#REF!</definedName>
    <definedName name="End_10" localSheetId="1">#REF!</definedName>
    <definedName name="End_10">#REF!</definedName>
    <definedName name="End_11" localSheetId="1">#REF!</definedName>
    <definedName name="End_11">#REF!</definedName>
    <definedName name="End_12" localSheetId="1">#REF!</definedName>
    <definedName name="End_12">#REF!</definedName>
    <definedName name="End_13" localSheetId="1">#REF!</definedName>
    <definedName name="End_13">#REF!</definedName>
    <definedName name="End_2" localSheetId="1">#REF!</definedName>
    <definedName name="End_2">#REF!</definedName>
    <definedName name="End_3" localSheetId="1">#REF!</definedName>
    <definedName name="End_3">#REF!</definedName>
    <definedName name="End_4" localSheetId="1">#REF!</definedName>
    <definedName name="End_4">#REF!</definedName>
    <definedName name="End_5" localSheetId="1">#REF!</definedName>
    <definedName name="End_5">#REF!</definedName>
    <definedName name="End_6" localSheetId="1">#REF!</definedName>
    <definedName name="End_6">#REF!</definedName>
    <definedName name="End_7" localSheetId="1">#REF!</definedName>
    <definedName name="End_7">#REF!</definedName>
    <definedName name="End_8" localSheetId="1">#REF!</definedName>
    <definedName name="End_8">#REF!</definedName>
    <definedName name="End_9" localSheetId="1">#REF!</definedName>
    <definedName name="End_9">#REF!</definedName>
    <definedName name="_xlnm.Extract" localSheetId="1">#REF!</definedName>
    <definedName name="_xlnm.Extract" localSheetId="2">#REF!</definedName>
    <definedName name="_xlnm.Extract">#REF!</definedName>
    <definedName name="Fac" localSheetId="1">#REF!</definedName>
    <definedName name="Fac">#REF!</definedName>
    <definedName name="Fatt" localSheetId="1">#REF!</definedName>
    <definedName name="Fatt">#REF!</definedName>
    <definedName name="FCa" localSheetId="1">#REF!</definedName>
    <definedName name="FCa">#REF!</definedName>
    <definedName name="FCax" localSheetId="1">#REF!</definedName>
    <definedName name="FCax">#REF!</definedName>
    <definedName name="FCay" localSheetId="1">#REF!</definedName>
    <definedName name="FCay">#REF!</definedName>
    <definedName name="FCBuocdai" localSheetId="1">#REF!</definedName>
    <definedName name="FCBuocdai">#REF!</definedName>
    <definedName name="FCColumn" localSheetId="1">#REF!</definedName>
    <definedName name="FCColumn">#REF!</definedName>
    <definedName name="FCDTdai" localSheetId="1">#REF!</definedName>
    <definedName name="FCDTdai">#REF!</definedName>
    <definedName name="FCDTdoc" localSheetId="1">#REF!</definedName>
    <definedName name="FCDTdoc">#REF!</definedName>
    <definedName name="FCH" localSheetId="1">#REF!</definedName>
    <definedName name="FCH">#REF!</definedName>
    <definedName name="FCLocation" localSheetId="1">#REF!</definedName>
    <definedName name="FCLocation">#REF!</definedName>
    <definedName name="FCMacBT" localSheetId="1">#REF!</definedName>
    <definedName name="FCMacBT">#REF!</definedName>
    <definedName name="FCMacThep" localSheetId="1">#REF!</definedName>
    <definedName name="FCMacThep">#REF!</definedName>
    <definedName name="FCMuy" localSheetId="1">#REF!</definedName>
    <definedName name="FCMuy">#REF!</definedName>
    <definedName name="FCName" localSheetId="1">#REF!</definedName>
    <definedName name="FCName">#REF!</definedName>
    <definedName name="FCPb2" localSheetId="1">#REF!</definedName>
    <definedName name="FCPb2">#REF!</definedName>
    <definedName name="FCPb3" localSheetId="1">#REF!</definedName>
    <definedName name="FCPb3">#REF!</definedName>
    <definedName name="FCPb4" localSheetId="1">#REF!</definedName>
    <definedName name="FCPb4">#REF!</definedName>
    <definedName name="FCSonhanh" localSheetId="1">#REF!</definedName>
    <definedName name="FCSonhanh">#REF!</definedName>
    <definedName name="FCSothanhTd" localSheetId="1">#REF!</definedName>
    <definedName name="FCSothanhTd">#REF!</definedName>
    <definedName name="FCStory" localSheetId="1">#REF!</definedName>
    <definedName name="FCStory">#REF!</definedName>
    <definedName name="FCTH1" localSheetId="1">#REF!</definedName>
    <definedName name="FCTH1">#REF!</definedName>
    <definedName name="FCTH2" localSheetId="1">#REF!</definedName>
    <definedName name="FCTH2">#REF!</definedName>
    <definedName name="fdfdf" localSheetId="2">#REF!</definedName>
    <definedName name="FindPcoc" localSheetId="1">#REF!</definedName>
    <definedName name="FindPcoc">#REF!</definedName>
    <definedName name="gama" localSheetId="1">#REF!</definedName>
    <definedName name="gama">#REF!</definedName>
    <definedName name="gb" localSheetId="1">#REF!</definedName>
    <definedName name="gb">#REF!</definedName>
    <definedName name="GDX" localSheetId="1">#REF!</definedName>
    <definedName name="GDX">#REF!</definedName>
    <definedName name="GDY" localSheetId="1">#REF!</definedName>
    <definedName name="GDY">#REF!</definedName>
    <definedName name="ghgjhgjg" localSheetId="2">#REF!</definedName>
    <definedName name="gia" localSheetId="1">#REF!</definedName>
    <definedName name="gia">#REF!</definedName>
    <definedName name="gia_tien" localSheetId="1">#REF!</definedName>
    <definedName name="gia_tien">#REF!</definedName>
    <definedName name="gia_tien_BTN" localSheetId="1">#REF!</definedName>
    <definedName name="gia_tien_BTN">#REF!</definedName>
    <definedName name="GTXL" localSheetId="1">#REF!</definedName>
    <definedName name="GTXL">#REF!</definedName>
    <definedName name="GTXP" localSheetId="1">#REF!</definedName>
    <definedName name="GTXP">#REF!</definedName>
    <definedName name="GTXT" localSheetId="1">#REF!</definedName>
    <definedName name="GTXT">#REF!</definedName>
    <definedName name="GTYP" localSheetId="1">#REF!</definedName>
    <definedName name="GTYP">#REF!</definedName>
    <definedName name="GTYT" localSheetId="1">#REF!</definedName>
    <definedName name="GTYT">#REF!</definedName>
    <definedName name="GXA" localSheetId="1">#REF!</definedName>
    <definedName name="GXA">#REF!</definedName>
    <definedName name="GXD" localSheetId="1">#REF!</definedName>
    <definedName name="GXD">#REF!</definedName>
    <definedName name="GYA" localSheetId="1">#REF!</definedName>
    <definedName name="GYA">#REF!</definedName>
    <definedName name="GYD" localSheetId="1">#REF!</definedName>
    <definedName name="GYD">#REF!</definedName>
    <definedName name="h_1" localSheetId="1">#REF!</definedName>
    <definedName name="h_1">#REF!</definedName>
    <definedName name="h_2" localSheetId="1">#REF!</definedName>
    <definedName name="h_2">#REF!</definedName>
    <definedName name="Hd" localSheetId="1">#REF!</definedName>
    <definedName name="Hd">#REF!</definedName>
    <definedName name="HIEN" localSheetId="1">#REF!</definedName>
    <definedName name="HIEN">#REF!</definedName>
    <definedName name="Hinh_dang" localSheetId="1">#REF!</definedName>
    <definedName name="Hinh_dang">#REF!</definedName>
    <definedName name="hjhkhkhjhk" localSheetId="2">#REF!</definedName>
    <definedName name="hm_1" localSheetId="1">#REF!</definedName>
    <definedName name="hm_1">#REF!</definedName>
    <definedName name="hm_2" localSheetId="1">#REF!</definedName>
    <definedName name="hm_2">#REF!</definedName>
    <definedName name="HOME_MANP" localSheetId="1">#REF!</definedName>
    <definedName name="HOME_MANP">#REF!</definedName>
    <definedName name="HOMEOFFICE_COST" localSheetId="1">#REF!</definedName>
    <definedName name="HOMEOFFICE_COST">#REF!</definedName>
    <definedName name="hqd" localSheetId="1">#REF!</definedName>
    <definedName name="hqd">#REF!</definedName>
    <definedName name="Hs" localSheetId="1">#REF!</definedName>
    <definedName name="Hs">#REF!</definedName>
    <definedName name="Ht" localSheetId="1">#REF!</definedName>
    <definedName name="Ht">#REF!</definedName>
    <definedName name="HTML_CodePage" hidden="1">950</definedName>
    <definedName name="HTML_Control" localSheetId="0" hidden="1">{"'Sheet1'!$L$16"}</definedName>
    <definedName name="HTML_Control" localSheetId="1" hidden="1">{"'Sheet1'!$L$16"}</definedName>
    <definedName name="HTML_Control" localSheetId="2"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0" hidden="1">{"'Sheet1'!$L$16"}</definedName>
    <definedName name="huy" localSheetId="1" hidden="1">{"'Sheet1'!$L$16"}</definedName>
    <definedName name="huy" localSheetId="2" hidden="1">{"'Sheet1'!$L$16"}</definedName>
    <definedName name="huy" hidden="1">{"'Sheet1'!$L$16"}</definedName>
    <definedName name="I" localSheetId="1">#REF!</definedName>
    <definedName name="I">#REF!</definedName>
    <definedName name="IDLAB_COST" localSheetId="1">#REF!</definedName>
    <definedName name="IDLAB_COST">#REF!</definedName>
    <definedName name="INDMANP" localSheetId="1">#REF!</definedName>
    <definedName name="INDMANP">#REF!</definedName>
    <definedName name="j356C8" localSheetId="1">#REF!</definedName>
    <definedName name="j356C8">#REF!</definedName>
    <definedName name="JobNo" localSheetId="1">#REF!</definedName>
    <definedName name="JobNo">#REF!</definedName>
    <definedName name="k_1" localSheetId="1">#REF!</definedName>
    <definedName name="k_1">#REF!</definedName>
    <definedName name="k_2" localSheetId="1">#REF!</definedName>
    <definedName name="k_2">#REF!</definedName>
    <definedName name="K_a" localSheetId="1">#REF!</definedName>
    <definedName name="K_a">#REF!</definedName>
    <definedName name="Ka" localSheetId="1">#REF!</definedName>
    <definedName name="Ka">#REF!</definedName>
    <definedName name="kcong" localSheetId="1">#REF!</definedName>
    <definedName name="kcong">#REF!</definedName>
    <definedName name="Language" localSheetId="1">#REF!</definedName>
    <definedName name="Language">#REF!</definedName>
    <definedName name="Ld" localSheetId="1">#REF!</definedName>
    <definedName name="Ld">#REF!</definedName>
    <definedName name="Loai" localSheetId="1">#REF!</definedName>
    <definedName name="Loai">#REF!</definedName>
    <definedName name="Loaicoc" localSheetId="1">#REF!</definedName>
    <definedName name="Loaicoc">#REF!</definedName>
    <definedName name="Loaitd" localSheetId="1">#REF!</definedName>
    <definedName name="Loaitd">#REF!</definedName>
    <definedName name="LSummary" localSheetId="1">#REF!</definedName>
    <definedName name="LSummary">#REF!</definedName>
    <definedName name="mac" localSheetId="1">#REF!</definedName>
    <definedName name="Mainds" localSheetId="1">#REF!</definedName>
    <definedName name="Mainds">#REF!</definedName>
    <definedName name="MAJ_CON_EQP" localSheetId="1">#REF!</definedName>
    <definedName name="MAJ_CON_EQP">#REF!</definedName>
    <definedName name="Masat" localSheetId="1">#REF!</definedName>
    <definedName name="Masat">#REF!</definedName>
    <definedName name="me" localSheetId="1">#REF!</definedName>
    <definedName name="me">#REF!</definedName>
    <definedName name="MetreC" localSheetId="1">#REF!</definedName>
    <definedName name="MetreC">#REF!</definedName>
    <definedName name="MetreSW" localSheetId="1">#REF!</definedName>
    <definedName name="MetreSW">#REF!</definedName>
    <definedName name="MetreT" localSheetId="1">#REF!</definedName>
    <definedName name="MetreT">#REF!</definedName>
    <definedName name="MFaUpX" localSheetId="1">#REF!</definedName>
    <definedName name="MFaUpX">#REF!</definedName>
    <definedName name="MFaUpY" localSheetId="1">#REF!</definedName>
    <definedName name="MFaUpY">#REF!</definedName>
    <definedName name="MFax" localSheetId="1">#REF!</definedName>
    <definedName name="MFax">#REF!</definedName>
    <definedName name="MFay" localSheetId="1">#REF!</definedName>
    <definedName name="MFay">#REF!</definedName>
    <definedName name="MFB" localSheetId="1">#REF!</definedName>
    <definedName name="MFB">#REF!</definedName>
    <definedName name="MFBeamX" localSheetId="1">#REF!</definedName>
    <definedName name="MFBeamX">#REF!</definedName>
    <definedName name="MFBeamY" localSheetId="1">#REF!</definedName>
    <definedName name="MFBeamY">#REF!</definedName>
    <definedName name="MFBeta" localSheetId="1">#REF!</definedName>
    <definedName name="MFBeta">#REF!</definedName>
    <definedName name="MFCatX" localSheetId="1">#REF!</definedName>
    <definedName name="MFCatX">#REF!</definedName>
    <definedName name="MFCatX2" localSheetId="1">#REF!</definedName>
    <definedName name="MFCatX2">#REF!</definedName>
    <definedName name="MFCatY" localSheetId="1">#REF!</definedName>
    <definedName name="MFCatY">#REF!</definedName>
    <definedName name="MFCatY2" localSheetId="1">#REF!</definedName>
    <definedName name="MFCatY2">#REF!</definedName>
    <definedName name="MFcx" localSheetId="1">#REF!</definedName>
    <definedName name="MFcx">#REF!</definedName>
    <definedName name="MFcx2" localSheetId="1">#REF!</definedName>
    <definedName name="MFcx2">#REF!</definedName>
    <definedName name="MFcy" localSheetId="1">#REF!</definedName>
    <definedName name="MFcy">#REF!</definedName>
    <definedName name="MFcy2" localSheetId="1">#REF!</definedName>
    <definedName name="MFcy2">#REF!</definedName>
    <definedName name="MFD" localSheetId="1">#REF!</definedName>
    <definedName name="MFD">#REF!</definedName>
    <definedName name="MFDUpX" localSheetId="1">#REF!</definedName>
    <definedName name="MFDUpX">#REF!</definedName>
    <definedName name="MFDUpY" localSheetId="1">#REF!</definedName>
    <definedName name="MFDUpY">#REF!</definedName>
    <definedName name="MFDx" localSheetId="1">#REF!</definedName>
    <definedName name="MFDx">#REF!</definedName>
    <definedName name="MFDy" localSheetId="1">#REF!</definedName>
    <definedName name="MFDy">#REF!</definedName>
    <definedName name="MFEi" localSheetId="1">#REF!</definedName>
    <definedName name="MFEi">#REF!</definedName>
    <definedName name="MFGama" localSheetId="1">#REF!</definedName>
    <definedName name="MFGama">#REF!</definedName>
    <definedName name="MFGamaTB" localSheetId="1">#REF!</definedName>
    <definedName name="MFGamaTB">#REF!</definedName>
    <definedName name="MFGocMS" localSheetId="1">#REF!</definedName>
    <definedName name="MFGocMS">#REF!</definedName>
    <definedName name="MFH" localSheetId="1">#REF!</definedName>
    <definedName name="MFH">#REF!</definedName>
    <definedName name="MFhc" localSheetId="1">#REF!</definedName>
    <definedName name="MFhc">#REF!</definedName>
    <definedName name="MFHdai" localSheetId="1">#REF!</definedName>
    <definedName name="MFHdai">#REF!</definedName>
    <definedName name="MFhi" localSheetId="1">#REF!</definedName>
    <definedName name="MFhi">#REF!</definedName>
    <definedName name="MFJoint1" localSheetId="1">#REF!</definedName>
    <definedName name="MFJoint1">#REF!</definedName>
    <definedName name="MFJoint2" localSheetId="1">#REF!</definedName>
    <definedName name="MFJoint2">#REF!</definedName>
    <definedName name="MFJoint3" localSheetId="1">#REF!</definedName>
    <definedName name="MFJoint3">#REF!</definedName>
    <definedName name="MFJoint4" localSheetId="1">#REF!</definedName>
    <definedName name="MFJoint4">#REF!</definedName>
    <definedName name="MFJoint5" localSheetId="1">#REF!</definedName>
    <definedName name="MFJoint5">#REF!</definedName>
    <definedName name="MFL" localSheetId="1">#REF!</definedName>
    <definedName name="MFL">#REF!</definedName>
    <definedName name="MFLcoc" localSheetId="1">#REF!</definedName>
    <definedName name="MFLcoc">#REF!</definedName>
    <definedName name="MFLechtamX" localSheetId="1">#REF!</definedName>
    <definedName name="MFLechtamX">#REF!</definedName>
    <definedName name="MFLechtamY" localSheetId="1">#REF!</definedName>
    <definedName name="MFLechtamY">#REF!</definedName>
    <definedName name="MFLx" localSheetId="1">#REF!</definedName>
    <definedName name="MFLx">#REF!</definedName>
    <definedName name="MFLx2" localSheetId="1">#REF!</definedName>
    <definedName name="MFLx2">#REF!</definedName>
    <definedName name="MFLy" localSheetId="1">#REF!</definedName>
    <definedName name="MFLy">#REF!</definedName>
    <definedName name="MFLy2" localSheetId="1">#REF!</definedName>
    <definedName name="MFLy2">#REF!</definedName>
    <definedName name="MFMacBT" localSheetId="1">#REF!</definedName>
    <definedName name="MFMacBT">#REF!</definedName>
    <definedName name="MFMacThep" localSheetId="1">#REF!</definedName>
    <definedName name="MFMacThep">#REF!</definedName>
    <definedName name="MFMUpX" localSheetId="1">#REF!</definedName>
    <definedName name="MFMUpX">#REF!</definedName>
    <definedName name="MFMUpY" localSheetId="1">#REF!</definedName>
    <definedName name="MFMUpY">#REF!</definedName>
    <definedName name="MFMx" localSheetId="1">#REF!</definedName>
    <definedName name="MFMx">#REF!</definedName>
    <definedName name="MFMy" localSheetId="1">#REF!</definedName>
    <definedName name="MFMy">#REF!</definedName>
    <definedName name="MFn" localSheetId="1">#REF!</definedName>
    <definedName name="MFn">#REF!</definedName>
    <definedName name="MFName" localSheetId="1">#REF!</definedName>
    <definedName name="MFName">#REF!</definedName>
    <definedName name="MFP" localSheetId="1">#REF!</definedName>
    <definedName name="MFP">#REF!</definedName>
    <definedName name="MFq" localSheetId="1">#REF!</definedName>
    <definedName name="MFq">#REF!</definedName>
    <definedName name="MFS" localSheetId="1">#REF!</definedName>
    <definedName name="MFS">#REF!</definedName>
    <definedName name="MFTamX" localSheetId="1">#REF!</definedName>
    <definedName name="MFTamX">#REF!</definedName>
    <definedName name="MFTamY" localSheetId="1">#REF!</definedName>
    <definedName name="MFTamY">#REF!</definedName>
    <definedName name="MFTatlun" localSheetId="1">#REF!</definedName>
    <definedName name="MFTatlun">#REF!</definedName>
    <definedName name="MFTH1" localSheetId="1">#REF!</definedName>
    <definedName name="MFTH1">#REF!</definedName>
    <definedName name="MFTH2" localSheetId="1">#REF!</definedName>
    <definedName name="MFTH2">#REF!</definedName>
    <definedName name="MFTongcoc" localSheetId="1">#REF!</definedName>
    <definedName name="MFTongcoc">#REF!</definedName>
    <definedName name="MFTongX" localSheetId="1">#REF!</definedName>
    <definedName name="MFTongX">#REF!</definedName>
    <definedName name="MFTongY" localSheetId="1">#REF!</definedName>
    <definedName name="MFTongY">#REF!</definedName>
    <definedName name="MFType" localSheetId="1">#REF!</definedName>
    <definedName name="MFType">#REF!</definedName>
    <definedName name="MG_A" localSheetId="1">#REF!</definedName>
    <definedName name="MG_A">#REF!</definedName>
    <definedName name="MPBFL" localSheetId="1">#REF!</definedName>
    <definedName name="MPBFL">#REF!</definedName>
    <definedName name="MPBFR" localSheetId="1">#REF!</definedName>
    <definedName name="MPBFR">#REF!</definedName>
    <definedName name="MPDB" localSheetId="1">#REF!</definedName>
    <definedName name="MPDB">#REF!</definedName>
    <definedName name="MPDLk" localSheetId="1">#REF!</definedName>
    <definedName name="MPDLk">#REF!</definedName>
    <definedName name="MPDT" localSheetId="1">#REF!</definedName>
    <definedName name="MPDT">#REF!</definedName>
    <definedName name="MPDTd" localSheetId="1">#REF!</definedName>
    <definedName name="MPDTd">#REF!</definedName>
    <definedName name="MPH" localSheetId="1">#REF!</definedName>
    <definedName name="MPH">#REF!</definedName>
    <definedName name="MPMacBT" localSheetId="1">#REF!</definedName>
    <definedName name="MPMacBT">#REF!</definedName>
    <definedName name="MPMacTd" localSheetId="1">#REF!</definedName>
    <definedName name="MPMacTd">#REF!</definedName>
    <definedName name="MPMacTlk" localSheetId="1">#REF!</definedName>
    <definedName name="MPMacTlk">#REF!</definedName>
    <definedName name="MPName" localSheetId="1">#REF!</definedName>
    <definedName name="MPName">#REF!</definedName>
    <definedName name="MPSoTLk" localSheetId="1">#REF!</definedName>
    <definedName name="MPSoTLk">#REF!</definedName>
    <definedName name="MPSoTTd" localSheetId="1">#REF!</definedName>
    <definedName name="MPSoTTd">#REF!</definedName>
    <definedName name="MPTFL" localSheetId="1">#REF!</definedName>
    <definedName name="MPTFL">#REF!</definedName>
    <definedName name="MPTFR" localSheetId="1">#REF!</definedName>
    <definedName name="MPTFR">#REF!</definedName>
    <definedName name="MPTH1" localSheetId="1">#REF!</definedName>
    <definedName name="MPTH1">#REF!</definedName>
    <definedName name="MPTH2" localSheetId="1">#REF!</definedName>
    <definedName name="MPTH2">#REF!</definedName>
    <definedName name="MPTH3" localSheetId="1">#REF!</definedName>
    <definedName name="MPTH3">#REF!</definedName>
    <definedName name="MPW" localSheetId="1">#REF!</definedName>
    <definedName name="MPW">#REF!</definedName>
    <definedName name="MPX" localSheetId="1">#REF!</definedName>
    <definedName name="MPX">#REF!</definedName>
    <definedName name="MPY" localSheetId="1">#REF!</definedName>
    <definedName name="MPY">#REF!</definedName>
    <definedName name="Mtt" localSheetId="1">#REF!</definedName>
    <definedName name="Mtt">#REF!</definedName>
    <definedName name="Name" localSheetId="1">#REF!</definedName>
    <definedName name="Name">#REF!</definedName>
    <definedName name="NET" localSheetId="1">#REF!</definedName>
    <definedName name="NET">#REF!</definedName>
    <definedName name="NET_1" localSheetId="1">#REF!</definedName>
    <definedName name="NET_1">#REF!</definedName>
    <definedName name="NET_ANA" localSheetId="1">#REF!</definedName>
    <definedName name="NET_ANA">#REF!</definedName>
    <definedName name="NET_ANA_1" localSheetId="1">#REF!</definedName>
    <definedName name="NET_ANA_1">#REF!</definedName>
    <definedName name="NET_ANA_2" localSheetId="1">#REF!</definedName>
    <definedName name="NET_ANA_2">#REF!</definedName>
    <definedName name="NH" localSheetId="1">#REF!</definedName>
    <definedName name="NH">#REF!</definedName>
    <definedName name="NHot" localSheetId="1">#REF!</definedName>
    <definedName name="NHot">#REF!</definedName>
    <definedName name="nl" localSheetId="1">#REF!</definedName>
    <definedName name="No" localSheetId="1">#REF!</definedName>
    <definedName name="No">#REF!</definedName>
    <definedName name="PCa" localSheetId="1">#REF!</definedName>
    <definedName name="PCa">#REF!</definedName>
    <definedName name="PCax" localSheetId="1">#REF!</definedName>
    <definedName name="PCax">#REF!</definedName>
    <definedName name="PCay" localSheetId="1">#REF!</definedName>
    <definedName name="PCay">#REF!</definedName>
    <definedName name="PCBuocdai" localSheetId="1">#REF!</definedName>
    <definedName name="PCBuocdai">#REF!</definedName>
    <definedName name="PCDTdai" localSheetId="1">#REF!</definedName>
    <definedName name="PCDTdai">#REF!</definedName>
    <definedName name="PCDTdoc" localSheetId="1">#REF!</definedName>
    <definedName name="PCDTdoc">#REF!</definedName>
    <definedName name="PCH" localSheetId="1">#REF!</definedName>
    <definedName name="PCH">#REF!</definedName>
    <definedName name="PCMacBT" localSheetId="1">#REF!</definedName>
    <definedName name="PCMacBT">#REF!</definedName>
    <definedName name="PCMacThep" localSheetId="1">#REF!</definedName>
    <definedName name="PCMacThep">#REF!</definedName>
    <definedName name="PCMuy" localSheetId="1">#REF!</definedName>
    <definedName name="PCMuy">#REF!</definedName>
    <definedName name="PCName" localSheetId="1">#REF!</definedName>
    <definedName name="PCName">#REF!</definedName>
    <definedName name="PCPb2" localSheetId="1">#REF!</definedName>
    <definedName name="PCPb2">#REF!</definedName>
    <definedName name="PCPb3" localSheetId="1">#REF!</definedName>
    <definedName name="PCPb3">#REF!</definedName>
    <definedName name="PCPb4" localSheetId="1">#REF!</definedName>
    <definedName name="PCPb4">#REF!</definedName>
    <definedName name="PCPoint" localSheetId="1">#REF!</definedName>
    <definedName name="PCPoint">#REF!</definedName>
    <definedName name="PCSonhanh" localSheetId="1">#REF!</definedName>
    <definedName name="PCSonhanh">#REF!</definedName>
    <definedName name="PCSothanhTd" localSheetId="1">#REF!</definedName>
    <definedName name="PCSothanhTd">#REF!</definedName>
    <definedName name="PCTH1" localSheetId="1">#REF!</definedName>
    <definedName name="PCTH1">#REF!</definedName>
    <definedName name="PCTH2" localSheetId="1">#REF!</definedName>
    <definedName name="PCTH2">#REF!</definedName>
    <definedName name="PForces" localSheetId="1">#REF!</definedName>
    <definedName name="PForces">#REF!</definedName>
    <definedName name="PHAnfa" localSheetId="1">#REF!</definedName>
    <definedName name="PHAnfa">#REF!</definedName>
    <definedName name="PHE" localSheetId="1">#REF!</definedName>
    <definedName name="PHE">#REF!</definedName>
    <definedName name="PHHd" localSheetId="1">#REF!</definedName>
    <definedName name="PHHd">#REF!</definedName>
    <definedName name="PHHm" localSheetId="1">#REF!</definedName>
    <definedName name="PHHm">#REF!</definedName>
    <definedName name="PHHo" localSheetId="1">#REF!</definedName>
    <definedName name="PHHo">#REF!</definedName>
    <definedName name="phi" localSheetId="1">#REF!</definedName>
    <definedName name="phi">#REF!</definedName>
    <definedName name="PHJ" localSheetId="1">#REF!</definedName>
    <definedName name="PHJ">#REF!</definedName>
    <definedName name="PHKh" localSheetId="1">#REF!</definedName>
    <definedName name="PHKh">#REF!</definedName>
    <definedName name="PHm" localSheetId="1">#REF!</definedName>
    <definedName name="PHm">#REF!</definedName>
    <definedName name="PHMo" localSheetId="1">#REF!</definedName>
    <definedName name="PHMo">#REF!</definedName>
    <definedName name="PHphio" localSheetId="1">#REF!</definedName>
    <definedName name="PHphio">#REF!</definedName>
    <definedName name="phu_luc_vua" localSheetId="1">#REF!</definedName>
    <definedName name="phu_luc_vua">#REF!</definedName>
    <definedName name="PHyo" localSheetId="1">#REF!</definedName>
    <definedName name="PHyo">#REF!</definedName>
    <definedName name="Point" localSheetId="1">#REF!</definedName>
    <definedName name="Point">#REF!</definedName>
    <definedName name="Position" localSheetId="1">#REF!</definedName>
    <definedName name="Position">#REF!</definedName>
    <definedName name="Price" localSheetId="1">#REF!</definedName>
    <definedName name="Price">#REF!</definedName>
    <definedName name="_xlnm.Print_Area" localSheetId="0">'Dia chat'!$A$6:$L$22</definedName>
    <definedName name="_xlnm.Print_Area" localSheetId="1">'Kiểm tra sct đất nền'!$A$1:$J$404</definedName>
    <definedName name="_xlnm.Print_Area" localSheetId="2">'Tinh dai theo bs'!$A$1:$I$77</definedName>
    <definedName name="_xlnm.Print_Area">#REF!</definedName>
    <definedName name="_xlnm.Print_Titles" localSheetId="0">'Dia chat'!$14:$16</definedName>
    <definedName name="_xlnm.Print_Titles">#N/A</definedName>
    <definedName name="PRINT_TITLES_MI" localSheetId="1">#REF!</definedName>
    <definedName name="PRINT_TITLES_MI">#REF!</definedName>
    <definedName name="PRINTA" localSheetId="1">#REF!</definedName>
    <definedName name="PRINTA">#REF!</definedName>
    <definedName name="PRINTB" localSheetId="1">#REF!</definedName>
    <definedName name="PRINTB">#REF!</definedName>
    <definedName name="PRINTC" localSheetId="1">#REF!</definedName>
    <definedName name="PRINTC">#REF!</definedName>
    <definedName name="PROPOSAL" localSheetId="1">#REF!</definedName>
    <definedName name="PROPOSAL">#REF!</definedName>
    <definedName name="PT_Duong" localSheetId="1">#REF!</definedName>
    <definedName name="PT_Duong">#REF!</definedName>
    <definedName name="ptdg" localSheetId="1">#REF!</definedName>
    <definedName name="ptdg">#REF!</definedName>
    <definedName name="PTDG_cau" localSheetId="1">#REF!</definedName>
    <definedName name="PTDG_cau">#REF!</definedName>
    <definedName name="Rat" localSheetId="1">#REF!</definedName>
    <definedName name="Rat">#REF!</definedName>
    <definedName name="Reactions" localSheetId="1">#REF!</definedName>
    <definedName name="Reactions">#REF!</definedName>
    <definedName name="Revision" localSheetId="1">#REF!</definedName>
    <definedName name="Revision">#REF!</definedName>
    <definedName name="Rphay" localSheetId="1">#REF!</definedName>
    <definedName name="Rphay">#REF!</definedName>
    <definedName name="S" localSheetId="1">#REF!</definedName>
    <definedName name="S">#REF!</definedName>
    <definedName name="Sheet1" localSheetId="1">#REF!</definedName>
    <definedName name="Sheet1">#REF!</definedName>
    <definedName name="Sk1d" localSheetId="1">#REF!</definedName>
    <definedName name="Sk1d">#REF!</definedName>
    <definedName name="Sk1t" localSheetId="1">#REF!</definedName>
    <definedName name="Sk1t">#REF!</definedName>
    <definedName name="Sk2d" localSheetId="1">#REF!</definedName>
    <definedName name="Sk2d">#REF!</definedName>
    <definedName name="Sk2t" localSheetId="1">#REF!</definedName>
    <definedName name="Sk2t">#REF!</definedName>
    <definedName name="Sl" localSheetId="1">#REF!</definedName>
    <definedName name="Sl">#REF!</definedName>
    <definedName name="Sld" localSheetId="1">#REF!</definedName>
    <definedName name="Sld">#REF!</definedName>
    <definedName name="Slt" localSheetId="1">#REF!</definedName>
    <definedName name="Slt">#REF!</definedName>
    <definedName name="Sm1d" localSheetId="1">#REF!</definedName>
    <definedName name="Sm1d">#REF!</definedName>
    <definedName name="Sm1t" localSheetId="1">#REF!</definedName>
    <definedName name="Sm1t">#REF!</definedName>
    <definedName name="Sm2d" localSheetId="1">#REF!</definedName>
    <definedName name="Sm2d">#REF!</definedName>
    <definedName name="Sm2t" localSheetId="1">#REF!</definedName>
    <definedName name="Sm2t">#REF!</definedName>
    <definedName name="So_do_1" localSheetId="1">#REF!</definedName>
    <definedName name="So_do_1">#REF!</definedName>
    <definedName name="So_do_10" localSheetId="1">#REF!</definedName>
    <definedName name="So_do_10">#REF!</definedName>
    <definedName name="So_do_11" localSheetId="1">#REF!</definedName>
    <definedName name="So_do_11">#REF!</definedName>
    <definedName name="So_do_2" localSheetId="1">#REF!</definedName>
    <definedName name="So_do_2">#REF!</definedName>
    <definedName name="So_do_3" localSheetId="1">#REF!</definedName>
    <definedName name="So_do_3">#REF!</definedName>
    <definedName name="So_do_4" localSheetId="1">#REF!</definedName>
    <definedName name="So_do_4">#REF!</definedName>
    <definedName name="So_do_5" localSheetId="1">#REF!</definedName>
    <definedName name="So_do_5">#REF!</definedName>
    <definedName name="So_do_6" localSheetId="1">#REF!</definedName>
    <definedName name="So_do_6">#REF!</definedName>
    <definedName name="So_do_7" localSheetId="1">#REF!</definedName>
    <definedName name="So_do_7">#REF!</definedName>
    <definedName name="So_do_8" localSheetId="1">#REF!</definedName>
    <definedName name="So_do_8">#REF!</definedName>
    <definedName name="So_do_9" localSheetId="1">#REF!</definedName>
    <definedName name="So_do_9">#REF!</definedName>
    <definedName name="Sodo" localSheetId="1">#REF!</definedName>
    <definedName name="Sodo">#REF!</definedName>
    <definedName name="SORT" localSheetId="1">#REF!</definedName>
    <definedName name="SORT">#REF!</definedName>
    <definedName name="SPEC" localSheetId="1">#REF!</definedName>
    <definedName name="SPEC">#REF!</definedName>
    <definedName name="SPECSUMMARY" localSheetId="1">#REF!</definedName>
    <definedName name="SPECSUMMARY">#REF!</definedName>
    <definedName name="SProperties" localSheetId="1">#REF!</definedName>
    <definedName name="SProperties">#REF!</definedName>
    <definedName name="Start_1" localSheetId="1">#REF!</definedName>
    <definedName name="Start_1">#REF!</definedName>
    <definedName name="Start_10" localSheetId="1">#REF!</definedName>
    <definedName name="Start_10">#REF!</definedName>
    <definedName name="Start_11" localSheetId="1">#REF!</definedName>
    <definedName name="Start_11">#REF!</definedName>
    <definedName name="Start_12" localSheetId="1">#REF!</definedName>
    <definedName name="Start_12">#REF!</definedName>
    <definedName name="Start_13" localSheetId="1">#REF!</definedName>
    <definedName name="Start_13">#REF!</definedName>
    <definedName name="Start_2" localSheetId="1">#REF!</definedName>
    <definedName name="Start_2">#REF!</definedName>
    <definedName name="Start_3" localSheetId="1">#REF!</definedName>
    <definedName name="Start_3">#REF!</definedName>
    <definedName name="Start_4" localSheetId="1">#REF!</definedName>
    <definedName name="Start_4">#REF!</definedName>
    <definedName name="Start_5" localSheetId="1">#REF!</definedName>
    <definedName name="Start_5">#REF!</definedName>
    <definedName name="Start_6" localSheetId="1">#REF!</definedName>
    <definedName name="Start_6">#REF!</definedName>
    <definedName name="Start_7" localSheetId="1">#REF!</definedName>
    <definedName name="Start_7">#REF!</definedName>
    <definedName name="Start_8" localSheetId="1">#REF!</definedName>
    <definedName name="Start_8">#REF!</definedName>
    <definedName name="Start_9" localSheetId="1">#REF!</definedName>
    <definedName name="Start_9">#REF!</definedName>
    <definedName name="SUMMARY" localSheetId="1">#REF!</definedName>
    <definedName name="SUMMARY">#REF!</definedName>
    <definedName name="SWa" localSheetId="1">#REF!</definedName>
    <definedName name="SWa">#REF!</definedName>
    <definedName name="SWD" localSheetId="1">#REF!</definedName>
    <definedName name="SWD">#REF!</definedName>
    <definedName name="SWDK" localSheetId="1">#REF!</definedName>
    <definedName name="SWDK">#REF!</definedName>
    <definedName name="SWGocPier" localSheetId="1">#REF!</definedName>
    <definedName name="SWGocPier">#REF!</definedName>
    <definedName name="SWJx" localSheetId="1">#REF!</definedName>
    <definedName name="SWJx">#REF!</definedName>
    <definedName name="SWJy" localSheetId="1">#REF!</definedName>
    <definedName name="SWJy">#REF!</definedName>
    <definedName name="SWLocation" localSheetId="1">#REF!</definedName>
    <definedName name="SWLocation">#REF!</definedName>
    <definedName name="SWMacBT" localSheetId="1">#REF!</definedName>
    <definedName name="SWMacBT">#REF!</definedName>
    <definedName name="SWMacThep" localSheetId="1">#REF!</definedName>
    <definedName name="SWMacThep">#REF!</definedName>
    <definedName name="SWName" localSheetId="1">#REF!</definedName>
    <definedName name="SWName">#REF!</definedName>
    <definedName name="SWPier" localSheetId="1">#REF!</definedName>
    <definedName name="SWPier">#REF!</definedName>
    <definedName name="SWS" localSheetId="1">#REF!</definedName>
    <definedName name="SWS">#REF!</definedName>
    <definedName name="SWStory" localSheetId="1">#REF!</definedName>
    <definedName name="SWStory">#REF!</definedName>
    <definedName name="SWTamX" localSheetId="1">#REF!</definedName>
    <definedName name="SWTamX">#REF!</definedName>
    <definedName name="SWTamY" localSheetId="1">#REF!</definedName>
    <definedName name="SWTamY">#REF!</definedName>
    <definedName name="SWTH1" localSheetId="1">#REF!</definedName>
    <definedName name="SWTH1">#REF!</definedName>
    <definedName name="SWTH2" localSheetId="1">#REF!</definedName>
    <definedName name="SWTH2">#REF!</definedName>
    <definedName name="TaxTV">10%</definedName>
    <definedName name="TaxXL">5%</definedName>
    <definedName name="thep" localSheetId="0">'Dia chat'!$C$64:$J$71</definedName>
    <definedName name="Thietke" localSheetId="1">#REF!</definedName>
    <definedName name="Thietke">#REF!</definedName>
    <definedName name="Tien" localSheetId="1">#REF!</definedName>
    <definedName name="Tien">#REF!</definedName>
    <definedName name="TK" localSheetId="1">#REF!</definedName>
    <definedName name="TK">#REF!</definedName>
    <definedName name="Tle" localSheetId="1">#REF!</definedName>
    <definedName name="Tle">#REF!</definedName>
    <definedName name="Toadococ" localSheetId="1">#REF!</definedName>
    <definedName name="Toadococ">#REF!</definedName>
    <definedName name="ToadoT" localSheetId="1">#REF!</definedName>
    <definedName name="ToadoT">#REF!</definedName>
    <definedName name="Tra_DM_su_dung" localSheetId="1">#REF!</definedName>
    <definedName name="Tra_DM_su_dung">#REF!</definedName>
    <definedName name="Tra_don_gia_KS" localSheetId="1">#REF!</definedName>
    <definedName name="Tra_don_gia_KS">#REF!</definedName>
    <definedName name="Tra_DTCT" localSheetId="1">#REF!</definedName>
    <definedName name="Tra_DTCT">#REF!</definedName>
    <definedName name="Tra_tim_hang_mucPT_trung" localSheetId="1">#REF!</definedName>
    <definedName name="Tra_tim_hang_mucPT_trung">#REF!</definedName>
    <definedName name="Tra_TL" localSheetId="1">#REF!</definedName>
    <definedName name="Tra_TL">#REF!</definedName>
    <definedName name="Tra_ty_le2" localSheetId="1">#REF!</definedName>
    <definedName name="Tra_ty_le2">#REF!</definedName>
    <definedName name="Tra_ty_le3" localSheetId="1">#REF!</definedName>
    <definedName name="Tra_ty_le3">#REF!</definedName>
    <definedName name="Tra_ty_le4" localSheetId="1">#REF!</definedName>
    <definedName name="Tra_ty_le4">#REF!</definedName>
    <definedName name="Tra_ty_le5" localSheetId="1">#REF!</definedName>
    <definedName name="Tra_ty_le5">#REF!</definedName>
    <definedName name="TT" localSheetId="1">#REF!</definedName>
    <definedName name="TT">#REF!</definedName>
    <definedName name="tthi" localSheetId="1">#REF!</definedName>
    <definedName name="tthi">#REF!</definedName>
    <definedName name="ty_le" localSheetId="1">#REF!</definedName>
    <definedName name="ty_le">#REF!</definedName>
    <definedName name="ty_le_BTN" localSheetId="1">#REF!</definedName>
    <definedName name="ty_le_BTN">#REF!</definedName>
    <definedName name="Ty_le1" localSheetId="1">#REF!</definedName>
    <definedName name="Ty_le1">#REF!</definedName>
    <definedName name="VARIINST" localSheetId="1">#REF!</definedName>
    <definedName name="VARIINST">#REF!</definedName>
    <definedName name="VARIPURC" localSheetId="1">#REF!</definedName>
    <definedName name="VARIPURC">#REF!</definedName>
    <definedName name="W" localSheetId="1">#REF!</definedName>
    <definedName name="W">#REF!</definedName>
    <definedName name="WFaUpX" localSheetId="1">#REF!</definedName>
    <definedName name="WFaUpX">#REF!</definedName>
    <definedName name="WFaUpY" localSheetId="1">#REF!</definedName>
    <definedName name="WFaUpY">#REF!</definedName>
    <definedName name="WFax" localSheetId="1">#REF!</definedName>
    <definedName name="WFax">#REF!</definedName>
    <definedName name="WFay" localSheetId="1">#REF!</definedName>
    <definedName name="WFay">#REF!</definedName>
    <definedName name="WFB" localSheetId="1">#REF!</definedName>
    <definedName name="WFB">#REF!</definedName>
    <definedName name="WFBeamX" localSheetId="1">#REF!</definedName>
    <definedName name="WFBeamX">#REF!</definedName>
    <definedName name="WFBeamY" localSheetId="1">#REF!</definedName>
    <definedName name="WFBeamY">#REF!</definedName>
    <definedName name="WFBeta" localSheetId="1">#REF!</definedName>
    <definedName name="WFBeta">#REF!</definedName>
    <definedName name="WFCatX" localSheetId="1">#REF!</definedName>
    <definedName name="WFCatX">#REF!</definedName>
    <definedName name="WFCatX2" localSheetId="1">#REF!</definedName>
    <definedName name="WFCatX2">#REF!</definedName>
    <definedName name="WFCatY" localSheetId="1">#REF!</definedName>
    <definedName name="WFCatY">#REF!</definedName>
    <definedName name="WFCatY2" localSheetId="1">#REF!</definedName>
    <definedName name="WFCatY2">#REF!</definedName>
    <definedName name="WFcx" localSheetId="1">#REF!</definedName>
    <definedName name="WFcx">#REF!</definedName>
    <definedName name="WFcx2" localSheetId="1">#REF!</definedName>
    <definedName name="WFcx2">#REF!</definedName>
    <definedName name="WFcy" localSheetId="1">#REF!</definedName>
    <definedName name="WFcy">#REF!</definedName>
    <definedName name="WFcy2" localSheetId="1">#REF!</definedName>
    <definedName name="WFcy2">#REF!</definedName>
    <definedName name="WFd" localSheetId="1">#REF!</definedName>
    <definedName name="WFd">#REF!</definedName>
    <definedName name="WFDUpX" localSheetId="1">#REF!</definedName>
    <definedName name="WFDUpX">#REF!</definedName>
    <definedName name="WFDUpY" localSheetId="1">#REF!</definedName>
    <definedName name="WFDUpY">#REF!</definedName>
    <definedName name="WFDx" localSheetId="1">#REF!</definedName>
    <definedName name="WFDx">#REF!</definedName>
    <definedName name="WFDy" localSheetId="1">#REF!</definedName>
    <definedName name="WFDy">#REF!</definedName>
    <definedName name="WFEi" localSheetId="1">#REF!</definedName>
    <definedName name="WFEi">#REF!</definedName>
    <definedName name="WFGama" localSheetId="1">#REF!</definedName>
    <definedName name="WFGama">#REF!</definedName>
    <definedName name="WFGamaTB" localSheetId="1">#REF!</definedName>
    <definedName name="WFGamaTB">#REF!</definedName>
    <definedName name="WFGocMS" localSheetId="1">#REF!</definedName>
    <definedName name="WFGocMS">#REF!</definedName>
    <definedName name="WFGocPier" localSheetId="1">#REF!</definedName>
    <definedName name="WFGocPier">#REF!</definedName>
    <definedName name="WFH" localSheetId="1">#REF!</definedName>
    <definedName name="WFH">#REF!</definedName>
    <definedName name="WFhc" localSheetId="1">#REF!</definedName>
    <definedName name="WFhc">#REF!</definedName>
    <definedName name="WFHdai" localSheetId="1">#REF!</definedName>
    <definedName name="WFHdai">#REF!</definedName>
    <definedName name="WFhi" localSheetId="1">#REF!</definedName>
    <definedName name="WFhi">#REF!</definedName>
    <definedName name="WFL" localSheetId="1">#REF!</definedName>
    <definedName name="WFL">#REF!</definedName>
    <definedName name="WFLcoc" localSheetId="1">#REF!</definedName>
    <definedName name="WFLcoc">#REF!</definedName>
    <definedName name="WFLechtamX" localSheetId="1">#REF!</definedName>
    <definedName name="WFLechtamX">#REF!</definedName>
    <definedName name="WFLechtamY" localSheetId="1">#REF!</definedName>
    <definedName name="WFLechtamY">#REF!</definedName>
    <definedName name="WFLocation" localSheetId="1">#REF!</definedName>
    <definedName name="WFLocation">#REF!</definedName>
    <definedName name="WFLx" localSheetId="1">#REF!</definedName>
    <definedName name="WFLx">#REF!</definedName>
    <definedName name="WFLx2" localSheetId="1">#REF!</definedName>
    <definedName name="WFLx2">#REF!</definedName>
    <definedName name="WFLy" localSheetId="1">#REF!</definedName>
    <definedName name="WFLy">#REF!</definedName>
    <definedName name="WFLy2" localSheetId="1">#REF!</definedName>
    <definedName name="WFLy2">#REF!</definedName>
    <definedName name="WFMacBT" localSheetId="1">#REF!</definedName>
    <definedName name="WFMacBT">#REF!</definedName>
    <definedName name="WFMacThep" localSheetId="1">#REF!</definedName>
    <definedName name="WFMacThep">#REF!</definedName>
    <definedName name="WFMUpX" localSheetId="1">#REF!</definedName>
    <definedName name="WFMUpX">#REF!</definedName>
    <definedName name="WFMUpY" localSheetId="1">#REF!</definedName>
    <definedName name="WFMUpY">#REF!</definedName>
    <definedName name="WFMx" localSheetId="1">#REF!</definedName>
    <definedName name="WFMx">#REF!</definedName>
    <definedName name="WFMy" localSheetId="1">#REF!</definedName>
    <definedName name="WFMy">#REF!</definedName>
    <definedName name="WFn" localSheetId="1">#REF!</definedName>
    <definedName name="WFn">#REF!</definedName>
    <definedName name="WFName" localSheetId="1">#REF!</definedName>
    <definedName name="WFName">#REF!</definedName>
    <definedName name="WFP" localSheetId="1">#REF!</definedName>
    <definedName name="WFP">#REF!</definedName>
    <definedName name="WFPier" localSheetId="1">#REF!</definedName>
    <definedName name="WFPier">#REF!</definedName>
    <definedName name="WFq" localSheetId="1">#REF!</definedName>
    <definedName name="WFq">#REF!</definedName>
    <definedName name="WFS" localSheetId="1">#REF!</definedName>
    <definedName name="WFS">#REF!</definedName>
    <definedName name="WFStory" localSheetId="1">#REF!</definedName>
    <definedName name="WFStory">#REF!</definedName>
    <definedName name="WFTamX" localSheetId="1">#REF!</definedName>
    <definedName name="WFTamX">#REF!</definedName>
    <definedName name="WFTamY" localSheetId="1">#REF!</definedName>
    <definedName name="WFTamY">#REF!</definedName>
    <definedName name="WFTatlun" localSheetId="1">#REF!</definedName>
    <definedName name="WFTatlun">#REF!</definedName>
    <definedName name="WFTH1" localSheetId="1">#REF!</definedName>
    <definedName name="WFTH1">#REF!</definedName>
    <definedName name="WFTH2" localSheetId="1">#REF!</definedName>
    <definedName name="WFTH2">#REF!</definedName>
    <definedName name="WFTongcoc" localSheetId="1">#REF!</definedName>
    <definedName name="WFTongcoc">#REF!</definedName>
    <definedName name="WFTongX" localSheetId="1">#REF!</definedName>
    <definedName name="WFTongX">#REF!</definedName>
    <definedName name="WFTongY" localSheetId="1">#REF!</definedName>
    <definedName name="WFTongY">#REF!</definedName>
    <definedName name="WFType" localSheetId="1">#REF!</definedName>
    <definedName name="WFType">#REF!</definedName>
    <definedName name="WiindDY" localSheetId="1">#REF!</definedName>
    <definedName name="WiindDY">#REF!</definedName>
    <definedName name="WindDX" localSheetId="1">#REF!</definedName>
    <definedName name="WindDX">#REF!</definedName>
    <definedName name="WindDY" localSheetId="1">#REF!</definedName>
    <definedName name="WindDY">#REF!</definedName>
    <definedName name="WindTX" localSheetId="1">#REF!</definedName>
    <definedName name="WindTX">#REF!</definedName>
    <definedName name="WindTY" localSheetId="1">#REF!</definedName>
    <definedName name="WindTY">#REF!</definedName>
    <definedName name="WinDX" localSheetId="1">#REF!</definedName>
    <definedName name="WinDX">#REF!</definedName>
    <definedName name="WinDY" localSheetId="1">#REF!</definedName>
    <definedName name="WinDY">#REF!</definedName>
    <definedName name="WinXP" localSheetId="1">#REF!</definedName>
    <definedName name="WinXP">#REF!</definedName>
    <definedName name="WinXT" localSheetId="1">#REF!</definedName>
    <definedName name="WinXT">#REF!</definedName>
    <definedName name="WinYP" localSheetId="1">#REF!</definedName>
    <definedName name="WinYP">#REF!</definedName>
    <definedName name="WinYT" localSheetId="1">#REF!</definedName>
    <definedName name="WinYT">#REF!</definedName>
    <definedName name="Writer" localSheetId="1">#REF!</definedName>
    <definedName name="Writer">#REF!</definedName>
    <definedName name="X" localSheetId="1">#REF!</definedName>
    <definedName name="X">#REF!</definedName>
    <definedName name="xh" localSheetId="1">#REF!</definedName>
    <definedName name="xh">#REF!</definedName>
    <definedName name="xl" localSheetId="1">#REF!</definedName>
    <definedName name="xl">#REF!</definedName>
    <definedName name="xlc" localSheetId="1">#REF!</definedName>
    <definedName name="xlc">#REF!</definedName>
    <definedName name="xlk" localSheetId="1">#REF!</definedName>
    <definedName name="xlk">#REF!</definedName>
    <definedName name="xn" localSheetId="1">#REF!</definedName>
    <definedName name="xn">#REF!</definedName>
    <definedName name="ZYX" localSheetId="1">#REF!</definedName>
    <definedName name="ZYX">#REF!</definedName>
    <definedName name="ZZZ" localSheetId="1">#REF!</definedName>
    <definedName name="ZZZ">#REF!</definedName>
  </definedNames>
  <calcPr calcId="162913"/>
  <fileRecoveryPr autoRecover="0"/>
</workbook>
</file>

<file path=xl/calcChain.xml><?xml version="1.0" encoding="utf-8"?>
<calcChain xmlns="http://schemas.openxmlformats.org/spreadsheetml/2006/main">
  <c r="H156" i="18" l="1"/>
  <c r="F58" i="18"/>
  <c r="D15" i="18"/>
  <c r="D20" i="18" l="1"/>
  <c r="D23" i="18" s="1"/>
  <c r="B282" i="18"/>
  <c r="B235" i="18"/>
  <c r="J20" i="12" l="1"/>
  <c r="J21" i="12"/>
  <c r="J19" i="12"/>
  <c r="J18" i="12"/>
  <c r="J17" i="12"/>
  <c r="D21" i="12" l="1"/>
  <c r="D20" i="12"/>
  <c r="D19" i="12"/>
  <c r="D18" i="12"/>
  <c r="D17" i="12"/>
  <c r="S17" i="12"/>
  <c r="R17" i="12"/>
  <c r="K17" i="12" s="1"/>
  <c r="Q17" i="12"/>
  <c r="L17" i="12" l="1"/>
  <c r="R18" i="12"/>
  <c r="Q20" i="12"/>
  <c r="F20" i="12" s="1"/>
  <c r="Q19" i="12"/>
  <c r="F19" i="12" s="1"/>
  <c r="Q18" i="12"/>
  <c r="F18" i="12" s="1"/>
  <c r="K18" i="12" l="1"/>
  <c r="L18" i="12"/>
  <c r="S24" i="12"/>
  <c r="R24" i="12"/>
  <c r="Q24" i="12"/>
  <c r="D23" i="12" l="1"/>
  <c r="D24" i="12"/>
  <c r="F24" i="12"/>
  <c r="D22" i="12"/>
  <c r="D25" i="12"/>
  <c r="K24" i="12"/>
  <c r="L24" i="12"/>
  <c r="H373" i="18" l="1"/>
  <c r="H374" i="18" s="1"/>
  <c r="E332" i="18"/>
  <c r="F119" i="18"/>
  <c r="I146" i="18" s="1"/>
  <c r="E229" i="18" l="1"/>
  <c r="E274" i="18" s="1"/>
  <c r="S18" i="12" l="1"/>
  <c r="I150" i="18" l="1"/>
  <c r="R19" i="12" l="1"/>
  <c r="R20" i="12"/>
  <c r="R21" i="12"/>
  <c r="R22" i="12"/>
  <c r="R23" i="12"/>
  <c r="R25" i="12"/>
  <c r="K21" i="12" l="1"/>
  <c r="L21" i="12"/>
  <c r="K20" i="12"/>
  <c r="L20" i="12"/>
  <c r="K19" i="12"/>
  <c r="L19" i="12"/>
  <c r="K25" i="12"/>
  <c r="L25" i="12"/>
  <c r="S25" i="12"/>
  <c r="S21" i="12"/>
  <c r="S19" i="12"/>
  <c r="S20" i="12"/>
  <c r="Q25" i="12"/>
  <c r="F25" i="12" s="1"/>
  <c r="C76" i="19" l="1"/>
  <c r="F3" i="19"/>
  <c r="E52" i="19" s="1"/>
  <c r="D11" i="19"/>
  <c r="D33" i="19" s="1"/>
  <c r="D10" i="19"/>
  <c r="D3" i="19"/>
  <c r="E273" i="18"/>
  <c r="D206" i="18"/>
  <c r="I144" i="18"/>
  <c r="G153" i="18" s="1"/>
  <c r="B35" i="18"/>
  <c r="D109" i="18" s="1"/>
  <c r="D35" i="18"/>
  <c r="F109" i="18" s="1"/>
  <c r="F35" i="18"/>
  <c r="H109" i="18" s="1"/>
  <c r="B36" i="18"/>
  <c r="D110" i="18" s="1"/>
  <c r="D36" i="18"/>
  <c r="F110" i="18" s="1"/>
  <c r="F36" i="18"/>
  <c r="H110" i="18" s="1"/>
  <c r="B37" i="18"/>
  <c r="D111" i="18" s="1"/>
  <c r="D37" i="18"/>
  <c r="F37" i="18"/>
  <c r="B38" i="18"/>
  <c r="D112" i="18" s="1"/>
  <c r="D38" i="18"/>
  <c r="F112" i="18" s="1"/>
  <c r="F38" i="18"/>
  <c r="B39" i="18"/>
  <c r="D39" i="18"/>
  <c r="E39" i="18"/>
  <c r="F39" i="18"/>
  <c r="B40" i="18"/>
  <c r="D40" i="18"/>
  <c r="E40" i="18"/>
  <c r="F40" i="18"/>
  <c r="B41" i="18"/>
  <c r="D41" i="18"/>
  <c r="E41" i="18"/>
  <c r="F41" i="18"/>
  <c r="B33" i="18"/>
  <c r="D33" i="18"/>
  <c r="F33" i="18"/>
  <c r="B34" i="18"/>
  <c r="D34" i="18"/>
  <c r="F34" i="18"/>
  <c r="G32" i="18"/>
  <c r="F32" i="18"/>
  <c r="E32" i="18"/>
  <c r="D32" i="18"/>
  <c r="B32" i="18"/>
  <c r="C27" i="19" l="1"/>
  <c r="H111" i="18"/>
  <c r="G45" i="18"/>
  <c r="F111" i="18"/>
  <c r="G46" i="18"/>
  <c r="E275" i="18"/>
  <c r="E321" i="18" s="1"/>
  <c r="D205" i="18"/>
  <c r="C50" i="19"/>
  <c r="E50" i="19" s="1"/>
  <c r="F40" i="19"/>
  <c r="N22" i="12"/>
  <c r="N23" i="12"/>
  <c r="N21" i="12"/>
  <c r="N18" i="12"/>
  <c r="N19" i="12"/>
  <c r="N20" i="12"/>
  <c r="N17" i="12"/>
  <c r="G38" i="18"/>
  <c r="I112" i="18" s="1"/>
  <c r="G37" i="18"/>
  <c r="G36" i="18"/>
  <c r="I110" i="18" s="1"/>
  <c r="G35" i="18"/>
  <c r="I109" i="18" s="1"/>
  <c r="G33" i="18"/>
  <c r="C45" i="18" s="1"/>
  <c r="G34" i="18"/>
  <c r="C41" i="18"/>
  <c r="C40" i="18"/>
  <c r="C38" i="18"/>
  <c r="E112" i="18" s="1"/>
  <c r="C39" i="18"/>
  <c r="C37" i="18"/>
  <c r="E111" i="18" s="1"/>
  <c r="C36" i="18"/>
  <c r="E110" i="18" s="1"/>
  <c r="C34" i="18"/>
  <c r="C35" i="18"/>
  <c r="E109" i="18" s="1"/>
  <c r="C33" i="18"/>
  <c r="C32" i="18"/>
  <c r="C46" i="18" s="1"/>
  <c r="F120" i="18" s="1"/>
  <c r="D208" i="18" s="1"/>
  <c r="H375" i="18" l="1"/>
  <c r="H376" i="18" s="1"/>
  <c r="I111" i="18"/>
  <c r="F123" i="18" s="1"/>
  <c r="C55" i="18"/>
  <c r="D210" i="18"/>
  <c r="D211" i="18" s="1"/>
  <c r="D212" i="18"/>
  <c r="F121" i="18"/>
  <c r="F122" i="18"/>
  <c r="I147" i="18" s="1"/>
  <c r="E55" i="18"/>
  <c r="G40" i="18"/>
  <c r="G39" i="18"/>
  <c r="G41" i="18"/>
  <c r="C154" i="18"/>
  <c r="F154" i="18" s="1"/>
  <c r="F57" i="18"/>
  <c r="D209" i="18" l="1"/>
  <c r="I148" i="18"/>
  <c r="F125" i="18"/>
  <c r="F126" i="18" s="1"/>
  <c r="I145" i="18"/>
  <c r="H163" i="18" s="1"/>
  <c r="H379" i="18"/>
  <c r="E155" i="18"/>
  <c r="H155" i="18" s="1"/>
  <c r="E230" i="18"/>
  <c r="E241" i="18" s="1"/>
  <c r="I149" i="18" l="1"/>
  <c r="D213" i="18"/>
  <c r="H157" i="18"/>
  <c r="H160" i="18" s="1"/>
  <c r="C336" i="18"/>
  <c r="D336" i="18" s="1"/>
  <c r="F127" i="18"/>
  <c r="G127" i="18" s="1"/>
  <c r="H161" i="18"/>
  <c r="S22" i="12"/>
  <c r="S23" i="12"/>
  <c r="H159" i="18" l="1"/>
  <c r="H162" i="18" s="1"/>
  <c r="H165" i="18" s="1"/>
  <c r="H216" i="18"/>
  <c r="H217" i="18" s="1"/>
  <c r="C338" i="18"/>
  <c r="C128" i="18"/>
  <c r="Q23" i="12"/>
  <c r="F23" i="12" s="1"/>
  <c r="E38" i="18" s="1"/>
  <c r="G112" i="18" s="1"/>
  <c r="L23" i="12"/>
  <c r="K23" i="12"/>
  <c r="E33" i="18"/>
  <c r="E34" i="18"/>
  <c r="E35" i="18"/>
  <c r="G109" i="18" s="1"/>
  <c r="E235" i="18" s="1"/>
  <c r="Q21" i="12"/>
  <c r="Q22" i="12"/>
  <c r="S54" i="12"/>
  <c r="S55" i="12"/>
  <c r="S56" i="12"/>
  <c r="S57" i="12"/>
  <c r="S58" i="12"/>
  <c r="S59" i="12"/>
  <c r="S60" i="12"/>
  <c r="L22" i="12"/>
  <c r="K22" i="12"/>
  <c r="D31" i="19"/>
  <c r="J55" i="12"/>
  <c r="J56" i="12"/>
  <c r="J57" i="12"/>
  <c r="J58" i="12"/>
  <c r="J59" i="12"/>
  <c r="J60" i="12"/>
  <c r="L64" i="12"/>
  <c r="I216" i="18" l="1"/>
  <c r="F21" i="12"/>
  <c r="E36" i="18" s="1"/>
  <c r="G110" i="18" s="1"/>
  <c r="F22" i="12"/>
  <c r="E37" i="18" s="1"/>
  <c r="G111" i="18" s="1"/>
  <c r="E238" i="18"/>
  <c r="E282" i="18"/>
  <c r="C288" i="18" s="1"/>
  <c r="D35" i="19"/>
  <c r="F37" i="19"/>
  <c r="E20" i="19" s="1"/>
  <c r="G20" i="19" s="1"/>
  <c r="I165" i="18"/>
  <c r="H166" i="18"/>
  <c r="D245" i="18" l="1"/>
  <c r="E245" i="18" s="1"/>
  <c r="C246" i="18"/>
  <c r="C290" i="18"/>
  <c r="D288" i="18"/>
  <c r="C46" i="19"/>
  <c r="E46" i="19" s="1"/>
  <c r="B70" i="19" s="1"/>
  <c r="E73" i="19" s="1"/>
  <c r="H73" i="19" s="1"/>
  <c r="F76" i="19" s="1"/>
  <c r="G55" i="18" l="1"/>
  <c r="C65" i="18" s="1"/>
  <c r="C67" i="18" l="1"/>
</calcChain>
</file>

<file path=xl/comments1.xml><?xml version="1.0" encoding="utf-8"?>
<comments xmlns="http://schemas.openxmlformats.org/spreadsheetml/2006/main">
  <authors>
    <author>Lioness</author>
    <author>luuvandong</author>
  </authors>
  <commentList>
    <comment ref="F23" authorId="0" shapeId="0">
      <text>
        <r>
          <rPr>
            <b/>
            <sz val="9"/>
            <color indexed="81"/>
            <rFont val="Tahoma"/>
            <family val="2"/>
            <charset val="238"/>
          </rPr>
          <t>Lioness:</t>
        </r>
        <r>
          <rPr>
            <sz val="9"/>
            <color indexed="81"/>
            <rFont val="Tahoma"/>
            <family val="2"/>
            <charset val="238"/>
          </rPr>
          <t xml:space="preserve">
ma sát âm và ma sát dương cân bằng nhau do đó có thể bỏ qua ma sát dọc thân tường.</t>
        </r>
      </text>
    </comment>
    <comment ref="C62" authorId="1" shapeId="0">
      <text>
        <r>
          <rPr>
            <b/>
            <sz val="8"/>
            <color indexed="81"/>
            <rFont val="Tahoma"/>
            <family val="2"/>
          </rPr>
          <t>luuvandong:</t>
        </r>
        <r>
          <rPr>
            <sz val="8"/>
            <color indexed="81"/>
            <rFont val="Tahoma"/>
            <family val="2"/>
          </rPr>
          <t xml:space="preserve">
k là hệ số độ tin cậy: nếu các chỉ tiêu cơ lý được xác định bằng thí nghiệm trực tiếp đối với đất thì Ktc=1, 
nếu các chỉ tiêu nầy xác định theo quy phạm thì Ktc=1.1</t>
        </r>
      </text>
    </comment>
    <comment ref="J151" authorId="0" shapeId="0">
      <text>
        <r>
          <rPr>
            <b/>
            <sz val="9"/>
            <color indexed="81"/>
            <rFont val="Tahoma"/>
            <family val="2"/>
          </rPr>
          <t>Lioness:</t>
        </r>
        <r>
          <rPr>
            <sz val="9"/>
            <color indexed="81"/>
            <rFont val="Tahoma"/>
            <family val="2"/>
          </rPr>
          <t xml:space="preserve">
độ sâu tới sàn tầng hầm gần trên cốt sàn mặt móng.
</t>
        </r>
      </text>
    </comment>
    <comment ref="K378" authorId="0" shapeId="0">
      <text>
        <r>
          <rPr>
            <b/>
            <sz val="9"/>
            <color indexed="81"/>
            <rFont val="Tahoma"/>
            <family val="2"/>
          </rPr>
          <t>Lioness:</t>
        </r>
        <r>
          <rPr>
            <sz val="9"/>
            <color indexed="81"/>
            <rFont val="Tahoma"/>
            <family val="2"/>
          </rPr>
          <t xml:space="preserve">
Chỉ tính cho phần diện tích đào đất
</t>
        </r>
      </text>
    </comment>
  </commentList>
</comments>
</file>

<file path=xl/comments2.xml><?xml version="1.0" encoding="utf-8"?>
<comments xmlns="http://schemas.openxmlformats.org/spreadsheetml/2006/main">
  <authors>
    <author>Microsoft Cop.</author>
  </authors>
  <commentList>
    <comment ref="A75" authorId="0" shapeId="0">
      <text>
        <r>
          <rPr>
            <b/>
            <sz val="8"/>
            <color indexed="81"/>
            <rFont val="Tahoma"/>
            <family val="2"/>
          </rPr>
          <t>Microsoft Cop.:</t>
        </r>
        <r>
          <rPr>
            <sz val="8"/>
            <color indexed="81"/>
            <rFont val="Tahoma"/>
            <family val="2"/>
          </rPr>
          <t xml:space="preserve">
so nhanh</t>
        </r>
      </text>
    </comment>
  </commentList>
</comments>
</file>

<file path=xl/sharedStrings.xml><?xml version="1.0" encoding="utf-8"?>
<sst xmlns="http://schemas.openxmlformats.org/spreadsheetml/2006/main" count="576" uniqueCount="399">
  <si>
    <t>=</t>
  </si>
  <si>
    <t>m</t>
  </si>
  <si>
    <t>j</t>
  </si>
  <si>
    <t>C</t>
  </si>
  <si>
    <t>o</t>
  </si>
  <si>
    <t>B22.5</t>
  </si>
  <si>
    <t>B12.5</t>
  </si>
  <si>
    <t>B15</t>
  </si>
  <si>
    <t>B20</t>
  </si>
  <si>
    <t>B25</t>
  </si>
  <si>
    <t>B30</t>
  </si>
  <si>
    <t>B35</t>
  </si>
  <si>
    <t>B40</t>
  </si>
  <si>
    <t>B45</t>
  </si>
  <si>
    <t>B50</t>
  </si>
  <si>
    <t>B55</t>
  </si>
  <si>
    <t>B60</t>
  </si>
  <si>
    <t>M50</t>
  </si>
  <si>
    <t>M75</t>
  </si>
  <si>
    <t>M100</t>
  </si>
  <si>
    <t>M150</t>
  </si>
  <si>
    <t>M200</t>
  </si>
  <si>
    <t>M250</t>
  </si>
  <si>
    <t>M300</t>
  </si>
  <si>
    <t>M350</t>
  </si>
  <si>
    <t>M400</t>
  </si>
  <si>
    <t>M600</t>
  </si>
  <si>
    <t>M700</t>
  </si>
  <si>
    <t>M800</t>
  </si>
  <si>
    <t>CÊp ®é bÒn</t>
  </si>
  <si>
    <t>B5</t>
  </si>
  <si>
    <t>B10</t>
  </si>
  <si>
    <t>B3.5</t>
  </si>
  <si>
    <t>B7.5</t>
  </si>
  <si>
    <t>Mpa</t>
  </si>
  <si>
    <t>M¸c bª t«ng</t>
  </si>
  <si>
    <t>Tra</t>
  </si>
  <si>
    <t>KÕt qu¶</t>
  </si>
  <si>
    <t>Nhãm
cèt thÐp</t>
  </si>
  <si>
    <t>A-I</t>
  </si>
  <si>
    <t>A-II</t>
  </si>
  <si>
    <t>A-III</t>
  </si>
  <si>
    <t>A-IV</t>
  </si>
  <si>
    <t>A-V</t>
  </si>
  <si>
    <t>A-VI</t>
  </si>
  <si>
    <t>A-VII</t>
  </si>
  <si>
    <t>A-VIIIB</t>
  </si>
  <si>
    <t>C-I</t>
  </si>
  <si>
    <t>C-II</t>
  </si>
  <si>
    <t>C-III</t>
  </si>
  <si>
    <t>C-IV</t>
  </si>
  <si>
    <r>
      <t>b¶ng c­êng ®é cña bª t«ng (MP</t>
    </r>
    <r>
      <rPr>
        <b/>
        <sz val="12"/>
        <rFont val=".VnArial"/>
        <family val="2"/>
      </rPr>
      <t>a</t>
    </r>
    <r>
      <rPr>
        <b/>
        <sz val="12"/>
        <rFont val=".VnArialH"/>
        <family val="2"/>
      </rPr>
      <t>)</t>
    </r>
  </si>
  <si>
    <r>
      <t>R</t>
    </r>
    <r>
      <rPr>
        <b/>
        <vertAlign val="subscript"/>
        <sz val="9"/>
        <rFont val=".VnArial"/>
        <family val="2"/>
      </rPr>
      <t xml:space="preserve">bn </t>
    </r>
    <r>
      <rPr>
        <b/>
        <sz val="9"/>
        <rFont val=".VnArial"/>
        <family val="2"/>
      </rPr>
      <t>, R</t>
    </r>
    <r>
      <rPr>
        <b/>
        <vertAlign val="subscript"/>
        <sz val="9"/>
        <rFont val=".VnArial"/>
        <family val="2"/>
      </rPr>
      <t>b,ser</t>
    </r>
  </si>
  <si>
    <r>
      <t>R</t>
    </r>
    <r>
      <rPr>
        <b/>
        <vertAlign val="subscript"/>
        <sz val="9"/>
        <rFont val=".VnArial"/>
        <family val="2"/>
      </rPr>
      <t xml:space="preserve">btn </t>
    </r>
    <r>
      <rPr>
        <b/>
        <sz val="9"/>
        <rFont val=".VnArial"/>
        <family val="2"/>
      </rPr>
      <t>, R</t>
    </r>
    <r>
      <rPr>
        <b/>
        <vertAlign val="subscript"/>
        <sz val="9"/>
        <rFont val=".VnArial"/>
        <family val="2"/>
      </rPr>
      <t>bt,ser</t>
    </r>
  </si>
  <si>
    <r>
      <t>R</t>
    </r>
    <r>
      <rPr>
        <b/>
        <vertAlign val="subscript"/>
        <sz val="9"/>
        <rFont val=".VnArial"/>
        <family val="2"/>
      </rPr>
      <t>b</t>
    </r>
  </si>
  <si>
    <r>
      <t>R</t>
    </r>
    <r>
      <rPr>
        <b/>
        <vertAlign val="subscript"/>
        <sz val="9"/>
        <rFont val=".VnArial"/>
        <family val="2"/>
      </rPr>
      <t>bt</t>
    </r>
  </si>
  <si>
    <r>
      <t>E</t>
    </r>
    <r>
      <rPr>
        <b/>
        <vertAlign val="subscript"/>
        <sz val="9"/>
        <rFont val=".VnArial"/>
        <family val="2"/>
      </rPr>
      <t>b</t>
    </r>
    <r>
      <rPr>
        <b/>
        <sz val="9"/>
        <rFont val=".VnArial"/>
        <family val="2"/>
      </rPr>
      <t xml:space="preserve"> (Tù nhiªn)</t>
    </r>
  </si>
  <si>
    <r>
      <t>E</t>
    </r>
    <r>
      <rPr>
        <b/>
        <vertAlign val="subscript"/>
        <sz val="9"/>
        <rFont val=".VnArial"/>
        <family val="2"/>
      </rPr>
      <t>b</t>
    </r>
    <r>
      <rPr>
        <b/>
        <sz val="9"/>
        <rFont val=".VnArial"/>
        <family val="2"/>
      </rPr>
      <t xml:space="preserve"> (D­ìng nhiÖt)</t>
    </r>
  </si>
  <si>
    <r>
      <t>b¶ng c­êng ®é cèt thÐp (mp</t>
    </r>
    <r>
      <rPr>
        <b/>
        <sz val="12"/>
        <rFont val=".VnArial"/>
        <family val="2"/>
      </rPr>
      <t>a</t>
    </r>
    <r>
      <rPr>
        <b/>
        <sz val="12"/>
        <rFont val=".VnArialH"/>
        <family val="2"/>
      </rPr>
      <t>)</t>
    </r>
  </si>
  <si>
    <t>E</t>
  </si>
  <si>
    <t>ton</t>
  </si>
  <si>
    <t>ton.m</t>
  </si>
  <si>
    <t>b</t>
  </si>
  <si>
    <r>
      <t>R</t>
    </r>
    <r>
      <rPr>
        <b/>
        <vertAlign val="subscript"/>
        <sz val="9"/>
        <color indexed="9"/>
        <rFont val=".VnArial"/>
        <family val="2"/>
      </rPr>
      <t xml:space="preserve">sn </t>
    </r>
    <r>
      <rPr>
        <b/>
        <sz val="9"/>
        <color indexed="9"/>
        <rFont val=".VnArial"/>
        <family val="2"/>
      </rPr>
      <t>, R</t>
    </r>
    <r>
      <rPr>
        <b/>
        <vertAlign val="subscript"/>
        <sz val="9"/>
        <color indexed="9"/>
        <rFont val=".VnArial"/>
        <family val="2"/>
      </rPr>
      <t>s,ser</t>
    </r>
  </si>
  <si>
    <r>
      <t>R</t>
    </r>
    <r>
      <rPr>
        <b/>
        <vertAlign val="subscript"/>
        <sz val="9"/>
        <color indexed="9"/>
        <rFont val=".VnArial"/>
        <family val="2"/>
      </rPr>
      <t>s</t>
    </r>
  </si>
  <si>
    <r>
      <t>R</t>
    </r>
    <r>
      <rPr>
        <b/>
        <vertAlign val="subscript"/>
        <sz val="9"/>
        <color indexed="9"/>
        <rFont val=".VnArial"/>
        <family val="2"/>
      </rPr>
      <t>sc</t>
    </r>
  </si>
  <si>
    <r>
      <t>R</t>
    </r>
    <r>
      <rPr>
        <b/>
        <vertAlign val="subscript"/>
        <sz val="9"/>
        <color indexed="9"/>
        <rFont val=".VnArial"/>
        <family val="2"/>
      </rPr>
      <t>sw</t>
    </r>
  </si>
  <si>
    <r>
      <t>f</t>
    </r>
    <r>
      <rPr>
        <b/>
        <vertAlign val="subscript"/>
        <sz val="9"/>
        <color indexed="9"/>
        <rFont val=".VnArial"/>
        <family val="2"/>
      </rPr>
      <t>c</t>
    </r>
  </si>
  <si>
    <r>
      <t>f</t>
    </r>
    <r>
      <rPr>
        <b/>
        <vertAlign val="subscript"/>
        <sz val="9"/>
        <color indexed="9"/>
        <rFont val=".VnArial"/>
        <family val="2"/>
      </rPr>
      <t>b</t>
    </r>
  </si>
  <si>
    <r>
      <t>E</t>
    </r>
    <r>
      <rPr>
        <b/>
        <vertAlign val="subscript"/>
        <sz val="9"/>
        <color indexed="9"/>
        <rFont val=".VnArial"/>
        <family val="2"/>
      </rPr>
      <t>s</t>
    </r>
  </si>
  <si>
    <r>
      <t>g</t>
    </r>
    <r>
      <rPr>
        <vertAlign val="subscript"/>
        <sz val="12"/>
        <rFont val="Times New Roman"/>
        <family val="1"/>
      </rPr>
      <t>sat</t>
    </r>
  </si>
  <si>
    <r>
      <t>E</t>
    </r>
    <r>
      <rPr>
        <vertAlign val="subscript"/>
        <sz val="12"/>
        <rFont val="Times New Roman"/>
        <family val="1"/>
      </rPr>
      <t>def</t>
    </r>
    <r>
      <rPr>
        <sz val="12"/>
        <rFont val="Times New Roman"/>
        <family val="1"/>
      </rPr>
      <t xml:space="preserve"> </t>
    </r>
  </si>
  <si>
    <r>
      <t>kN/m</t>
    </r>
    <r>
      <rPr>
        <vertAlign val="superscript"/>
        <sz val="12"/>
        <rFont val="Times New Roman"/>
        <family val="1"/>
      </rPr>
      <t>3</t>
    </r>
  </si>
  <si>
    <r>
      <t>kN/m</t>
    </r>
    <r>
      <rPr>
        <vertAlign val="superscript"/>
        <sz val="12"/>
        <rFont val="Times New Roman"/>
        <family val="1"/>
      </rPr>
      <t>2</t>
    </r>
  </si>
  <si>
    <r>
      <t>j</t>
    </r>
    <r>
      <rPr>
        <vertAlign val="subscript"/>
        <sz val="12"/>
        <rFont val="Times New Roman"/>
        <family val="1"/>
      </rPr>
      <t>c</t>
    </r>
  </si>
  <si>
    <r>
      <t>j</t>
    </r>
    <r>
      <rPr>
        <vertAlign val="subscript"/>
        <sz val="12"/>
        <rFont val="Times New Roman"/>
        <family val="1"/>
      </rPr>
      <t>p</t>
    </r>
  </si>
  <si>
    <t>Void ratio
e</t>
  </si>
  <si>
    <r>
      <t xml:space="preserve">Specific Gravity
</t>
    </r>
    <r>
      <rPr>
        <sz val="12"/>
        <rFont val="Symbol"/>
        <family val="1"/>
        <charset val="2"/>
      </rPr>
      <t>r</t>
    </r>
  </si>
  <si>
    <t>Interaction 
coefficient
 between
 D-wall and soil</t>
  </si>
  <si>
    <t>d</t>
  </si>
  <si>
    <t>I.Thông tin chung dự án:</t>
  </si>
  <si>
    <t>Phân loại đất</t>
  </si>
  <si>
    <t>Lớp 
đất</t>
  </si>
  <si>
    <t>Chiều sâu 
lớp đất</t>
  </si>
  <si>
    <t>Chiều dày
lớp đất</t>
  </si>
  <si>
    <t>Dung trọng đất</t>
  </si>
  <si>
    <t>Mô đun biến
dạng của đất</t>
  </si>
  <si>
    <t>Lực dính đơn vị</t>
  </si>
  <si>
    <t xml:space="preserve">Góc ma sát trong </t>
  </si>
  <si>
    <t>Hệ số 
poisson</t>
  </si>
  <si>
    <t>Góc ma
sát chủ
động</t>
  </si>
  <si>
    <t>Góc ma
sát bị 
động</t>
  </si>
  <si>
    <t>độ</t>
  </si>
  <si>
    <t>Trong đó:</t>
  </si>
  <si>
    <t>độ rỗng</t>
  </si>
  <si>
    <t>trọng lượng riêng</t>
  </si>
  <si>
    <t>C«ng tr×nh: Nhµ ë  th­¬ng m¹i CT36 Tower</t>
  </si>
  <si>
    <t>§Þa ®iÓm: 326 Lª Träng TÊn - Hµ Néi</t>
  </si>
  <si>
    <t>Sè tÇng hÇm:</t>
  </si>
  <si>
    <t>TƯỜNG VÂY 326</t>
  </si>
  <si>
    <t>g</t>
  </si>
  <si>
    <t>Số tầng hầm:</t>
  </si>
  <si>
    <t>Hố khoan khảo sát:</t>
  </si>
  <si>
    <t>hệ số
 ma sát 
giữa đất 
và tường vây</t>
  </si>
  <si>
    <t>l =</t>
  </si>
  <si>
    <t>A =</t>
  </si>
  <si>
    <r>
      <t>E=766*N</t>
    </r>
    <r>
      <rPr>
        <vertAlign val="subscript"/>
        <sz val="15"/>
        <rFont val="Times New Roman"/>
        <family val="1"/>
      </rPr>
      <t>30</t>
    </r>
    <r>
      <rPr>
        <sz val="15"/>
        <rFont val="Times New Roman"/>
        <family val="1"/>
      </rPr>
      <t>/100</t>
    </r>
  </si>
  <si>
    <t>Dung
 trọng 
đẩy 
nổi</t>
  </si>
  <si>
    <r>
      <t>g</t>
    </r>
    <r>
      <rPr>
        <vertAlign val="subscript"/>
        <sz val="12"/>
        <rFont val="Times New Roman"/>
        <family val="1"/>
      </rPr>
      <t>pullout</t>
    </r>
  </si>
  <si>
    <t>Điều kiện đất nền dưới chân tường đảm bảo khả năng chịu lực là:</t>
  </si>
  <si>
    <t>b là bề dày của tường (m)</t>
  </si>
  <si>
    <t>B là bề rộng của tường (m)</t>
  </si>
  <si>
    <t>Chiều dài tường H =</t>
  </si>
  <si>
    <t>Chiều dày tường b=</t>
  </si>
  <si>
    <t>Chiều rộng tường B=</t>
  </si>
  <si>
    <t>Sơ đồ lực dọc tác dụng lên tường</t>
  </si>
  <si>
    <t>----&gt; Áp lực tiêu chuẩn dưới chân tường:</t>
  </si>
  <si>
    <t>Thông số các lớp đất từ chân tường lên mặt đất phía ngoài hố đào:</t>
  </si>
  <si>
    <t>Thông số  lớp đất chân tường:</t>
  </si>
  <si>
    <t>Lớp đất đặt chân tường:</t>
  </si>
  <si>
    <t>(độ)</t>
  </si>
  <si>
    <t>Góc ma sát trong của đất dưới chân tường.</t>
  </si>
  <si>
    <t>Lực dính của lớp đất chân tường.</t>
  </si>
  <si>
    <t xml:space="preserve">Trị trung bình của trọng lượng thể tích các lớp đất </t>
  </si>
  <si>
    <t>từ chân tường tới mặt đất.</t>
  </si>
  <si>
    <t>Trọng lượng thể tích của lớp đất đặt chân tường.</t>
  </si>
  <si>
    <t>Các hệ số không thứ nguyên phụ thuộc vào góc ma sát trong của đất:</t>
  </si>
  <si>
    <t xml:space="preserve">A = </t>
  </si>
  <si>
    <t xml:space="preserve">B = </t>
  </si>
  <si>
    <t xml:space="preserve">D = </t>
  </si>
  <si>
    <t>Các thông số quy ước tại chân tường:</t>
  </si>
  <si>
    <t>Chiều sâu đặt tường từ mặt đất  h =</t>
  </si>
  <si>
    <t>Chiều sâu đất nền tầng hầm nếu có ho =</t>
  </si>
  <si>
    <t>Các hế số độ tin cậy và hệ số điều kiện làm viêc( lấy theo điều 3.38 và 3.39)</t>
  </si>
  <si>
    <t>Sức chịu tải đất nền dưới chân tường:</t>
  </si>
  <si>
    <t>C. Kết luận:</t>
  </si>
  <si>
    <t>Hệ số ổn định chống trồi là:</t>
  </si>
  <si>
    <t>Hệ sô giới hạn khả năng chịu lực cực hạn của đất theo Terzaghiz:</t>
  </si>
  <si>
    <t>Thông số các lớp đất từ chân tường lên đáy hố móng phía trong hố đào:</t>
  </si>
  <si>
    <t>Ta có:</t>
  </si>
  <si>
    <t>Cao độ mặt đất tự nhiên:</t>
  </si>
  <si>
    <t>Độ sâu đào đất:</t>
  </si>
  <si>
    <t>H=</t>
  </si>
  <si>
    <t>D=</t>
  </si>
  <si>
    <t>Dung trọng trung bình đất ngoài hố đào:</t>
  </si>
  <si>
    <r>
      <t>g</t>
    </r>
    <r>
      <rPr>
        <sz val="11"/>
        <rFont val="Times New Roman"/>
        <family val="1"/>
      </rPr>
      <t>1=</t>
    </r>
  </si>
  <si>
    <r>
      <t>kN/m</t>
    </r>
    <r>
      <rPr>
        <b/>
        <vertAlign val="superscript"/>
        <sz val="11"/>
        <rFont val="Times New Roman"/>
        <family val="1"/>
      </rPr>
      <t>3</t>
    </r>
  </si>
  <si>
    <t>Dung trọng trung bình đất trong hố đào:</t>
  </si>
  <si>
    <r>
      <t>g</t>
    </r>
    <r>
      <rPr>
        <sz val="11"/>
        <rFont val="Times New Roman"/>
        <family val="1"/>
      </rPr>
      <t>2=</t>
    </r>
  </si>
  <si>
    <t>Lực dính trung bình đất trong hố đào:</t>
  </si>
  <si>
    <t>c=</t>
  </si>
  <si>
    <r>
      <t>kN/m</t>
    </r>
    <r>
      <rPr>
        <b/>
        <vertAlign val="superscript"/>
        <sz val="11"/>
        <rFont val="Times New Roman"/>
        <family val="1"/>
      </rPr>
      <t>2</t>
    </r>
  </si>
  <si>
    <t>góc ma sát trung bình đất trong hố đào:</t>
  </si>
  <si>
    <r>
      <t>j</t>
    </r>
    <r>
      <rPr>
        <vertAlign val="subscript"/>
        <sz val="11"/>
        <rFont val="Times New Roman"/>
        <family val="1"/>
      </rPr>
      <t>tb</t>
    </r>
    <r>
      <rPr>
        <sz val="11"/>
        <rFont val="Times New Roman"/>
        <family val="1"/>
      </rPr>
      <t>=</t>
    </r>
  </si>
  <si>
    <t>Tải trọng phụ thêm mặt đất:</t>
  </si>
  <si>
    <t>q=</t>
  </si>
  <si>
    <t>Hệ số chịu lực giới hạn của đất:</t>
  </si>
  <si>
    <t>NqT=</t>
  </si>
  <si>
    <t>NcT=</t>
  </si>
  <si>
    <t>Hệ số ổn định:</t>
  </si>
  <si>
    <r>
      <t>K</t>
    </r>
    <r>
      <rPr>
        <vertAlign val="subscript"/>
        <sz val="11"/>
        <rFont val="Times New Roman"/>
        <family val="1"/>
      </rPr>
      <t>L</t>
    </r>
    <r>
      <rPr>
        <sz val="11"/>
        <rFont val="Times New Roman"/>
        <family val="1"/>
      </rPr>
      <t>=</t>
    </r>
  </si>
  <si>
    <t>Kết luận:</t>
  </si>
  <si>
    <t>Sơ đồ hố đào</t>
  </si>
  <si>
    <t xml:space="preserve">Độ chệnh cột nước: </t>
  </si>
  <si>
    <t>Chiều sâu chôn tường:</t>
  </si>
  <si>
    <t>D =</t>
  </si>
  <si>
    <t>Bề rộng khối đất chống bùng :</t>
  </si>
  <si>
    <t>ho =</t>
  </si>
  <si>
    <t>q =</t>
  </si>
  <si>
    <t>Dung trọng bão hòa của đất dưới hố đào:</t>
  </si>
  <si>
    <t>Lớp đất:</t>
  </si>
  <si>
    <t>Trọng lượng của khối đất chống thổi bùng hố đào:</t>
  </si>
  <si>
    <t>kN/m</t>
  </si>
  <si>
    <t>Áp lực thổi bùng hố móng:</t>
  </si>
  <si>
    <t>B. Kiểm tra khả năng chống trồi theo quy trình hố móng thượng Hải( theo giáo trình</t>
  </si>
  <si>
    <t>Thiết kế và thi công hố móng sâu-PGS.TS. Nguyễn Bá Kế)</t>
  </si>
  <si>
    <t>D là độ sâu cắm tường vây:</t>
  </si>
  <si>
    <t>c =</t>
  </si>
  <si>
    <t>c là lực dính trung bình của đất trên mặt trượt:</t>
  </si>
  <si>
    <t>ho' là độ sâu của sàn tầng hầm chống cuối cùng:</t>
  </si>
  <si>
    <t>ho' =</t>
  </si>
  <si>
    <t>---&gt; a1 =</t>
  </si>
  <si>
    <t>(rad)</t>
  </si>
  <si>
    <t>q là tải trọng bề mặt</t>
  </si>
  <si>
    <t>Thay vào các công thức trên ta có:</t>
  </si>
  <si>
    <t>Chiều dài tường vây:</t>
  </si>
  <si>
    <t xml:space="preserve">2. Mô men gây trồi: </t>
  </si>
  <si>
    <t>3. Hệ số an toàn chống trồi :</t>
  </si>
  <si>
    <t xml:space="preserve">Hệ số an toàn chống phun trào : </t>
  </si>
  <si>
    <t>Ld =</t>
  </si>
  <si>
    <t>Ld/2 =</t>
  </si>
  <si>
    <t>hw =</t>
  </si>
  <si>
    <t>Fs = w/u =</t>
  </si>
  <si>
    <t>Chiều dài dòng thấm:</t>
  </si>
  <si>
    <t>Dung trọng đẩy nổi của đất dưới hố đào:</t>
  </si>
  <si>
    <t>Dung trọng đẩy nổi của đất trong nước:</t>
  </si>
  <si>
    <t>Gs là dung trọng hạt.</t>
  </si>
  <si>
    <t>e là hệ số rỗng của đất</t>
  </si>
  <si>
    <t xml:space="preserve">Hệ số an toàn chống chảy thấm : </t>
  </si>
  <si>
    <t>Fs = ic/i =</t>
  </si>
  <si>
    <t xml:space="preserve">Điều kiện chống xói ngầm do dòng chảy thấm là  gradian kiểm tra trung bình nhỏ hơn gradian cột </t>
  </si>
  <si>
    <t>nước kiểm tra tới hạn.</t>
  </si>
  <si>
    <t>(Jk)cp tra theo bảng sau (theo tiêu chuẩn CHuII II -16-76 của Liên Xô Cũ).</t>
  </si>
  <si>
    <t>Loại đất</t>
  </si>
  <si>
    <t>Đất sét</t>
  </si>
  <si>
    <t>Đất á sét</t>
  </si>
  <si>
    <t>Đất cát hạt lớn</t>
  </si>
  <si>
    <t>Đất cát trung bình</t>
  </si>
  <si>
    <t>Đất cát nhỏ</t>
  </si>
  <si>
    <t>Để an toàn chọn (Jk)cp nhỏ nhất:</t>
  </si>
  <si>
    <t>(Jk)cp =</t>
  </si>
  <si>
    <t xml:space="preserve">Hệ số an toàn chống xói ngầm : </t>
  </si>
  <si>
    <t>Fs = (Jk)cp/Jk =</t>
  </si>
  <si>
    <t>Vận tốc thấm V = k.i</t>
  </si>
  <si>
    <t>Trong đó K là hệ số thấm:</t>
  </si>
  <si>
    <t>Hệ số thấm của một số loại đất được cho trong bảng tính toán sau:</t>
  </si>
  <si>
    <t xml:space="preserve">Sỏi cuội không có hạt nhỏ </t>
  </si>
  <si>
    <t>Cát to, cát vừa, cát nhỏ sach</t>
  </si>
  <si>
    <t>Cát bụi, cát pha</t>
  </si>
  <si>
    <t>Sét pha</t>
  </si>
  <si>
    <t xml:space="preserve">Sét </t>
  </si>
  <si>
    <t>Kt,cm/s</t>
  </si>
  <si>
    <t>10-100</t>
  </si>
  <si>
    <t>10-10^-3</t>
  </si>
  <si>
    <t>10^-3 - 10^-5</t>
  </si>
  <si>
    <t>10^-5 - 10^-7</t>
  </si>
  <si>
    <t>&lt;10^-7</t>
  </si>
  <si>
    <t>Theo kết  quả thí nghiệm thấm ta có hệ số thấm là:</t>
  </si>
  <si>
    <t>kt =</t>
  </si>
  <si>
    <t>cm/s</t>
  </si>
  <si>
    <t>m/ngày</t>
  </si>
  <si>
    <t>I =</t>
  </si>
  <si>
    <t>Vận tốc thấm là:</t>
  </si>
  <si>
    <t>V =</t>
  </si>
  <si>
    <t>Lưu lượng nước vào hố đào là:</t>
  </si>
  <si>
    <t>m2</t>
  </si>
  <si>
    <t>q = V.A=</t>
  </si>
  <si>
    <t>m3/ngày</t>
  </si>
  <si>
    <t>Diện tích thấm( diện tích phía trong hố đào):</t>
  </si>
  <si>
    <t>mm</t>
  </si>
  <si>
    <t>Dung trọng của nước:</t>
  </si>
  <si>
    <t xml:space="preserve">THIẾT KẾ THÉP ĐAI THEO TIÊU CHUẨN BS </t>
  </si>
  <si>
    <t>1MN/M2</t>
  </si>
  <si>
    <t>1MPA</t>
  </si>
  <si>
    <t>100T/M2</t>
  </si>
  <si>
    <t>10KG/CM2</t>
  </si>
  <si>
    <t>-VẬT LIỆU :</t>
  </si>
  <si>
    <t>Cường độ của bê tông:</t>
  </si>
  <si>
    <t xml:space="preserve">   fcu   =    </t>
  </si>
  <si>
    <t>MPA</t>
  </si>
  <si>
    <t>Cường độ của thép:</t>
  </si>
  <si>
    <t xml:space="preserve">   fy   =    </t>
  </si>
  <si>
    <t>-NỘI LỰC TRONG TƯỜNG VÂY:</t>
  </si>
  <si>
    <t>Lực dọc</t>
  </si>
  <si>
    <t>N</t>
  </si>
  <si>
    <t>Mô men</t>
  </si>
  <si>
    <t>M</t>
  </si>
  <si>
    <t>Lực cắt</t>
  </si>
  <si>
    <t>Q</t>
  </si>
  <si>
    <t>Chiều dài tường vây</t>
  </si>
  <si>
    <t>Chiều dầy tường vây</t>
  </si>
  <si>
    <t>-TÍNH TOÁN VÀ BỐ TRÍ THÉP ĐAI</t>
  </si>
  <si>
    <t>I. Xác định khả năng chịu cắt của bê tông vc':</t>
  </si>
  <si>
    <t>ton/m2</t>
  </si>
  <si>
    <r>
      <t>R</t>
    </r>
    <r>
      <rPr>
        <vertAlign val="subscript"/>
        <sz val="10"/>
        <rFont val="Arial"/>
        <family val="2"/>
      </rPr>
      <t>LW</t>
    </r>
  </si>
  <si>
    <t>k1</t>
  </si>
  <si>
    <t xml:space="preserve">          '=</t>
  </si>
  <si>
    <t>As là diện tích thép chịu lực trong tường vây và lấy bằng một nửa tổng diện tích thép .</t>
  </si>
  <si>
    <t>As</t>
  </si>
  <si>
    <t>mm2</t>
  </si>
  <si>
    <t>dv =</t>
  </si>
  <si>
    <t>Ac là diện tích tiết diện bêtong.</t>
  </si>
  <si>
    <t>Ac</t>
  </si>
  <si>
    <t>=&gt;</t>
  </si>
  <si>
    <t xml:space="preserve">   '------&gt;</t>
  </si>
  <si>
    <t xml:space="preserve">vc'  =  </t>
  </si>
  <si>
    <t>Xác dịnh ứng suất cắt :</t>
  </si>
  <si>
    <t xml:space="preserve">       '=</t>
  </si>
  <si>
    <t xml:space="preserve">Nếu v vượt quá </t>
  </si>
  <si>
    <t>thì nên tăng tiết diện của bê tông theo (BS 3.4.5.2, 3.4.5.12)</t>
  </si>
  <si>
    <t xml:space="preserve">Nếu </t>
  </si>
  <si>
    <t>thì lượng thép đai nhỏ nhất được xác định theo công thức.</t>
  </si>
  <si>
    <t>thì phải tăng chiều dày của tường vây để đảm bảo khả năng chịu lực.</t>
  </si>
  <si>
    <t>Chọn khoảng cách giũa các thép đai là:sv =</t>
  </si>
  <si>
    <t>Ta có diện tích thép đai yêu cầu là: Asv =</t>
  </si>
  <si>
    <t>(mm2)</t>
  </si>
  <si>
    <t>(cm2/m)</t>
  </si>
  <si>
    <t>f</t>
  </si>
  <si>
    <t>=&gt; As(pro) =</t>
  </si>
  <si>
    <t>cm2/m</t>
  </si>
  <si>
    <t>&gt;=Asv</t>
  </si>
  <si>
    <t>dv là khoảng cách từ thớ ngoài cùng tới trọng tâm của thép chụi lực . Lấy bằng 0.8*d</t>
  </si>
  <si>
    <r>
      <t>Lựa chọn thép đai hai nhánh có : s</t>
    </r>
    <r>
      <rPr>
        <vertAlign val="subscript"/>
        <sz val="10"/>
        <rFont val="Arial"/>
        <family val="2"/>
      </rPr>
      <t>đ</t>
    </r>
    <r>
      <rPr>
        <sz val="10"/>
        <rFont val="Arial"/>
        <family val="2"/>
      </rPr>
      <t xml:space="preserve"> &gt;=Asv </t>
    </r>
  </si>
  <si>
    <t>Dung trọng bão hòa</t>
  </si>
  <si>
    <t>II. THÔNG TIN CHUNG VỀ DỰ ÁN VÀ SỐ LIỆU ĐỊA CHẤT</t>
  </si>
  <si>
    <t>Sơ đồ phá hoại đất chân tường</t>
  </si>
  <si>
    <t>C. Kiểm tra khả năng chống trồi theo kohsaka &amp;ishizuka, 1995</t>
  </si>
  <si>
    <t>s =</t>
  </si>
  <si>
    <t>H =</t>
  </si>
  <si>
    <t>Điều kiện kiểm tra chống thổi bùng là:</t>
  </si>
  <si>
    <t>r = D+s =</t>
  </si>
  <si>
    <t>g =</t>
  </si>
  <si>
    <t xml:space="preserve">Hệ số ổn định chống thổi bùng là: </t>
  </si>
  <si>
    <t>Tính lưu lượng nước khi thi công đào đất từ lớp 6</t>
  </si>
  <si>
    <t>Cuội sỏi lẫn cát hạt thô, xám xanh, rất chặt</t>
  </si>
  <si>
    <t>Sức kháng cắt của đất :su =</t>
  </si>
  <si>
    <t>Giá trị trung bình của gradian tới hạn 
(Jk)cp</t>
  </si>
  <si>
    <t>7B</t>
  </si>
  <si>
    <t>7A</t>
  </si>
  <si>
    <t>Cát hạt trung, chặt vừa</t>
  </si>
  <si>
    <t>Cát sạn sỏi, màu xám ghi, rất chặt</t>
  </si>
  <si>
    <t>Cát hạt trung, chặt</t>
  </si>
  <si>
    <t>Địa điểm:  Mỹ Đình 2 - Quận Nam Từ Liêm - Thành Phố Hà Nội</t>
  </si>
  <si>
    <t>Đất lấp: Đất san lấp, hỗn hợp không đồng nhất cát, sét, sạn, gạch vỡ .</t>
  </si>
  <si>
    <t>Sét pha, màu xám ghi, xám đen, xám nâu dẻo chảy - dẻo mềm.</t>
  </si>
  <si>
    <t>Sét pha, màu xám nâu, xám ghi, dẻo cứng.</t>
  </si>
  <si>
    <t>Đât cát hạt mịn - thô, đa màu, trạng thái chặt vừa- chặt.</t>
  </si>
  <si>
    <t>Cuội sỏi lẫn cát: màu xám trắng, xám ghi, trạng thái rất chặt.</t>
  </si>
  <si>
    <t>Dự án :  MHDI - 1</t>
  </si>
  <si>
    <t>Thông số địa chất:</t>
  </si>
  <si>
    <t>&lt;theo hố khoan yếu nhất&gt;</t>
  </si>
  <si>
    <t>Kết quả báo cáo khảo sát địa chất dựa theo báo cáo khảo sát của :  Công ty Cổ phần đầu tư xây dựng và Quản lý dự án Việt Nam</t>
  </si>
  <si>
    <r>
      <t>P</t>
    </r>
    <r>
      <rPr>
        <vertAlign val="superscript"/>
        <sz val="11"/>
        <rFont val="Times New Roman"/>
        <family val="1"/>
      </rPr>
      <t xml:space="preserve">tc </t>
    </r>
    <r>
      <rPr>
        <sz val="11"/>
        <rFont val="Times New Roman"/>
        <family val="1"/>
      </rPr>
      <t>=(N</t>
    </r>
    <r>
      <rPr>
        <vertAlign val="superscript"/>
        <sz val="11"/>
        <rFont val="Times New Roman"/>
        <family val="1"/>
      </rPr>
      <t>tc</t>
    </r>
    <r>
      <rPr>
        <sz val="11"/>
        <rFont val="Times New Roman"/>
        <family val="1"/>
      </rPr>
      <t xml:space="preserve"> + G</t>
    </r>
    <r>
      <rPr>
        <vertAlign val="superscript"/>
        <sz val="11"/>
        <rFont val="Times New Roman"/>
        <family val="1"/>
      </rPr>
      <t>tc</t>
    </r>
    <r>
      <rPr>
        <sz val="11"/>
        <rFont val="Times New Roman"/>
        <family val="1"/>
      </rPr>
      <t>)/b &lt;= R</t>
    </r>
    <r>
      <rPr>
        <vertAlign val="superscript"/>
        <sz val="11"/>
        <rFont val="Times New Roman"/>
        <family val="1"/>
      </rPr>
      <t>tc</t>
    </r>
  </si>
  <si>
    <r>
      <t>P</t>
    </r>
    <r>
      <rPr>
        <vertAlign val="superscript"/>
        <sz val="11"/>
        <rFont val="Times New Roman"/>
        <family val="1"/>
      </rPr>
      <t>tc</t>
    </r>
    <r>
      <rPr>
        <sz val="11"/>
        <rFont val="Times New Roman"/>
        <family val="1"/>
      </rPr>
      <t xml:space="preserve"> là áp lực tiêu chuẩn dưới chân tường (T/m</t>
    </r>
    <r>
      <rPr>
        <vertAlign val="superscript"/>
        <sz val="11"/>
        <rFont val="Times New Roman"/>
        <family val="1"/>
      </rPr>
      <t>2</t>
    </r>
    <r>
      <rPr>
        <sz val="11"/>
        <rFont val="Times New Roman"/>
        <family val="1"/>
      </rPr>
      <t>)</t>
    </r>
  </si>
  <si>
    <r>
      <t>N</t>
    </r>
    <r>
      <rPr>
        <vertAlign val="superscript"/>
        <sz val="11"/>
        <rFont val="Times New Roman"/>
        <family val="1"/>
      </rPr>
      <t>tc</t>
    </r>
    <r>
      <rPr>
        <sz val="11"/>
        <rFont val="Times New Roman"/>
        <family val="1"/>
      </rPr>
      <t xml:space="preserve"> là tải trọng công trình trên mỗi mét dài (T/m)</t>
    </r>
  </si>
  <si>
    <r>
      <t>G</t>
    </r>
    <r>
      <rPr>
        <vertAlign val="superscript"/>
        <sz val="11"/>
        <rFont val="Times New Roman"/>
        <family val="1"/>
      </rPr>
      <t>tc</t>
    </r>
    <r>
      <rPr>
        <sz val="11"/>
        <rFont val="Times New Roman"/>
        <family val="1"/>
      </rPr>
      <t xml:space="preserve"> là trọng lượng bản thân tường trên mỗi mét dài (T/m</t>
    </r>
    <r>
      <rPr>
        <vertAlign val="superscript"/>
        <sz val="11"/>
        <rFont val="Times New Roman"/>
        <family val="1"/>
      </rPr>
      <t>2</t>
    </r>
    <r>
      <rPr>
        <sz val="11"/>
        <rFont val="Times New Roman"/>
        <family val="1"/>
      </rPr>
      <t>)</t>
    </r>
  </si>
  <si>
    <r>
      <t>R</t>
    </r>
    <r>
      <rPr>
        <vertAlign val="superscript"/>
        <sz val="11"/>
        <rFont val="Times New Roman"/>
        <family val="1"/>
      </rPr>
      <t>tc</t>
    </r>
    <r>
      <rPr>
        <sz val="11"/>
        <rFont val="Times New Roman"/>
        <family val="1"/>
      </rPr>
      <t xml:space="preserve"> là sức chịu tải đất nền dưới chân tường (T/m</t>
    </r>
    <r>
      <rPr>
        <vertAlign val="superscript"/>
        <sz val="11"/>
        <rFont val="Times New Roman"/>
        <family val="1"/>
      </rPr>
      <t>2</t>
    </r>
    <r>
      <rPr>
        <sz val="11"/>
        <rFont val="Times New Roman"/>
        <family val="1"/>
      </rPr>
      <t xml:space="preserve">) </t>
    </r>
  </si>
  <si>
    <r>
      <t>A. Tính P</t>
    </r>
    <r>
      <rPr>
        <b/>
        <i/>
        <u/>
        <vertAlign val="superscript"/>
        <sz val="11"/>
        <rFont val="Times New Roman"/>
        <family val="1"/>
      </rPr>
      <t>tc</t>
    </r>
    <r>
      <rPr>
        <b/>
        <i/>
        <u/>
        <sz val="11"/>
        <rFont val="Times New Roman"/>
        <family val="1"/>
      </rPr>
      <t>:</t>
    </r>
  </si>
  <si>
    <r>
      <t>Tải trọng công trình N</t>
    </r>
    <r>
      <rPr>
        <vertAlign val="superscript"/>
        <sz val="11"/>
        <rFont val="Times New Roman"/>
        <family val="1"/>
      </rPr>
      <t>tc</t>
    </r>
    <r>
      <rPr>
        <sz val="11"/>
        <rFont val="Times New Roman"/>
        <family val="1"/>
      </rPr>
      <t xml:space="preserve"> =</t>
    </r>
  </si>
  <si>
    <r>
      <t xml:space="preserve">Dung trong bê tông </t>
    </r>
    <r>
      <rPr>
        <sz val="11"/>
        <rFont val="Symbol"/>
        <family val="1"/>
        <charset val="2"/>
      </rPr>
      <t>g</t>
    </r>
    <r>
      <rPr>
        <sz val="11"/>
        <rFont val="Times New Roman"/>
        <family val="1"/>
      </rPr>
      <t xml:space="preserve"> =</t>
    </r>
  </si>
  <si>
    <r>
      <t>Trọng lượng tường G</t>
    </r>
    <r>
      <rPr>
        <vertAlign val="superscript"/>
        <sz val="11"/>
        <rFont val="Times New Roman"/>
        <family val="1"/>
      </rPr>
      <t>tc</t>
    </r>
    <r>
      <rPr>
        <sz val="11"/>
        <rFont val="Times New Roman"/>
        <family val="1"/>
      </rPr>
      <t xml:space="preserve"> =</t>
    </r>
  </si>
  <si>
    <r>
      <t>P</t>
    </r>
    <r>
      <rPr>
        <vertAlign val="superscript"/>
        <sz val="11"/>
        <rFont val="Times New Roman"/>
        <family val="1"/>
      </rPr>
      <t>tc</t>
    </r>
    <r>
      <rPr>
        <sz val="11"/>
        <rFont val="Times New Roman"/>
        <family val="1"/>
      </rPr>
      <t xml:space="preserve"> =</t>
    </r>
  </si>
  <si>
    <r>
      <t>B. Tính R</t>
    </r>
    <r>
      <rPr>
        <b/>
        <i/>
        <u/>
        <vertAlign val="superscript"/>
        <sz val="11"/>
        <rFont val="Times New Roman"/>
        <family val="1"/>
      </rPr>
      <t>tc</t>
    </r>
    <r>
      <rPr>
        <b/>
        <i/>
        <u/>
        <sz val="11"/>
        <rFont val="Times New Roman"/>
        <family val="1"/>
      </rPr>
      <t>:</t>
    </r>
  </si>
  <si>
    <r>
      <t>g</t>
    </r>
    <r>
      <rPr>
        <vertAlign val="subscript"/>
        <sz val="11"/>
        <rFont val="Times New Roman"/>
        <family val="1"/>
      </rPr>
      <t>wet</t>
    </r>
  </si>
  <si>
    <r>
      <t>g</t>
    </r>
    <r>
      <rPr>
        <vertAlign val="subscript"/>
        <sz val="11"/>
        <rFont val="Times New Roman"/>
        <family val="1"/>
      </rPr>
      <t>sat</t>
    </r>
  </si>
  <si>
    <r>
      <t>kN/m</t>
    </r>
    <r>
      <rPr>
        <vertAlign val="superscript"/>
        <sz val="11"/>
        <rFont val="Times New Roman"/>
        <family val="1"/>
      </rPr>
      <t>3</t>
    </r>
  </si>
  <si>
    <r>
      <t>kN/m</t>
    </r>
    <r>
      <rPr>
        <vertAlign val="superscript"/>
        <sz val="11"/>
        <rFont val="Times New Roman"/>
        <family val="1"/>
      </rPr>
      <t>2</t>
    </r>
  </si>
  <si>
    <r>
      <t>j</t>
    </r>
    <r>
      <rPr>
        <vertAlign val="subscript"/>
        <sz val="11"/>
        <rFont val="Times New Roman"/>
        <family val="1"/>
      </rPr>
      <t>tc</t>
    </r>
    <r>
      <rPr>
        <sz val="11"/>
        <rFont val="Times New Roman"/>
        <family val="1"/>
      </rPr>
      <t xml:space="preserve"> =</t>
    </r>
  </si>
  <si>
    <r>
      <t>C</t>
    </r>
    <r>
      <rPr>
        <vertAlign val="subscript"/>
        <sz val="11"/>
        <rFont val="Times New Roman"/>
        <family val="1"/>
      </rPr>
      <t>II</t>
    </r>
    <r>
      <rPr>
        <sz val="11"/>
        <rFont val="Times New Roman"/>
        <family val="1"/>
      </rPr>
      <t xml:space="preserve"> =</t>
    </r>
  </si>
  <si>
    <r>
      <t>g</t>
    </r>
    <r>
      <rPr>
        <sz val="11"/>
        <rFont val="Times New Roman"/>
        <family val="1"/>
      </rPr>
      <t>'</t>
    </r>
    <r>
      <rPr>
        <vertAlign val="subscript"/>
        <sz val="11"/>
        <rFont val="Times New Roman"/>
        <family val="1"/>
      </rPr>
      <t>II</t>
    </r>
    <r>
      <rPr>
        <sz val="11"/>
        <rFont val="Times New Roman"/>
        <family val="1"/>
      </rPr>
      <t xml:space="preserve"> (t) = </t>
    </r>
  </si>
  <si>
    <r>
      <t>g</t>
    </r>
    <r>
      <rPr>
        <vertAlign val="subscript"/>
        <sz val="11"/>
        <rFont val="Times New Roman"/>
        <family val="1"/>
      </rPr>
      <t>II</t>
    </r>
    <r>
      <rPr>
        <sz val="11"/>
        <rFont val="Times New Roman"/>
        <family val="1"/>
      </rPr>
      <t xml:space="preserve"> (d) = </t>
    </r>
  </si>
  <si>
    <r>
      <t>j</t>
    </r>
    <r>
      <rPr>
        <vertAlign val="subscript"/>
        <sz val="11"/>
        <rFont val="Times New Roman"/>
        <family val="1"/>
      </rPr>
      <t>tc</t>
    </r>
  </si>
  <si>
    <r>
      <t>C</t>
    </r>
    <r>
      <rPr>
        <vertAlign val="subscript"/>
        <sz val="11"/>
        <rFont val="Times New Roman"/>
        <family val="1"/>
      </rPr>
      <t>II</t>
    </r>
  </si>
  <si>
    <r>
      <t>g</t>
    </r>
    <r>
      <rPr>
        <sz val="11"/>
        <rFont val="Times New Roman"/>
        <family val="1"/>
      </rPr>
      <t>'</t>
    </r>
    <r>
      <rPr>
        <vertAlign val="subscript"/>
        <sz val="11"/>
        <rFont val="Times New Roman"/>
        <family val="1"/>
      </rPr>
      <t>II</t>
    </r>
    <r>
      <rPr>
        <sz val="11"/>
        <rFont val="Times New Roman"/>
        <family val="1"/>
      </rPr>
      <t xml:space="preserve"> (t)</t>
    </r>
  </si>
  <si>
    <r>
      <t>g</t>
    </r>
    <r>
      <rPr>
        <vertAlign val="subscript"/>
        <sz val="11"/>
        <rFont val="Times New Roman"/>
        <family val="1"/>
      </rPr>
      <t>II</t>
    </r>
    <r>
      <rPr>
        <sz val="11"/>
        <rFont val="Times New Roman"/>
        <family val="1"/>
      </rPr>
      <t xml:space="preserve"> (d)</t>
    </r>
  </si>
  <si>
    <r>
      <t>k</t>
    </r>
    <r>
      <rPr>
        <b/>
        <vertAlign val="subscript"/>
        <sz val="11"/>
        <rFont val="Times New Roman"/>
        <family val="1"/>
      </rPr>
      <t>tc</t>
    </r>
    <r>
      <rPr>
        <b/>
        <sz val="11"/>
        <rFont val="Times New Roman"/>
        <family val="1"/>
      </rPr>
      <t xml:space="preserve"> =</t>
    </r>
  </si>
  <si>
    <r>
      <t>m</t>
    </r>
    <r>
      <rPr>
        <b/>
        <vertAlign val="subscript"/>
        <sz val="11"/>
        <rFont val="Times New Roman"/>
        <family val="1"/>
      </rPr>
      <t>1</t>
    </r>
    <r>
      <rPr>
        <b/>
        <sz val="11"/>
        <rFont val="Times New Roman"/>
        <family val="1"/>
      </rPr>
      <t xml:space="preserve"> = </t>
    </r>
  </si>
  <si>
    <r>
      <t>m</t>
    </r>
    <r>
      <rPr>
        <b/>
        <vertAlign val="subscript"/>
        <sz val="11"/>
        <rFont val="Times New Roman"/>
        <family val="1"/>
      </rPr>
      <t>2</t>
    </r>
    <r>
      <rPr>
        <b/>
        <sz val="11"/>
        <rFont val="Times New Roman"/>
        <family val="1"/>
      </rPr>
      <t xml:space="preserve"> = </t>
    </r>
  </si>
  <si>
    <r>
      <t>R</t>
    </r>
    <r>
      <rPr>
        <b/>
        <vertAlign val="superscript"/>
        <sz val="11"/>
        <rFont val="Times New Roman"/>
        <family val="1"/>
      </rPr>
      <t>tc</t>
    </r>
    <r>
      <rPr>
        <sz val="11"/>
        <rFont val="Times New Roman"/>
        <family val="1"/>
      </rPr>
      <t xml:space="preserve"> = </t>
    </r>
  </si>
  <si>
    <r>
      <t>[m</t>
    </r>
    <r>
      <rPr>
        <b/>
        <vertAlign val="subscript"/>
        <sz val="11"/>
        <rFont val="Times New Roman"/>
        <family val="1"/>
      </rPr>
      <t>1</t>
    </r>
    <r>
      <rPr>
        <b/>
        <sz val="11"/>
        <rFont val="Times New Roman"/>
        <family val="1"/>
      </rPr>
      <t xml:space="preserve"> x m</t>
    </r>
    <r>
      <rPr>
        <b/>
        <vertAlign val="subscript"/>
        <sz val="11"/>
        <rFont val="Times New Roman"/>
        <family val="1"/>
      </rPr>
      <t>2</t>
    </r>
    <r>
      <rPr>
        <b/>
        <sz val="11"/>
        <rFont val="Times New Roman"/>
        <family val="1"/>
      </rPr>
      <t xml:space="preserve"> x (Ab</t>
    </r>
    <r>
      <rPr>
        <b/>
        <sz val="11"/>
        <rFont val="Symbol"/>
        <family val="1"/>
        <charset val="2"/>
      </rPr>
      <t>g</t>
    </r>
    <r>
      <rPr>
        <b/>
        <vertAlign val="subscript"/>
        <sz val="11"/>
        <rFont val="Times New Roman"/>
        <family val="1"/>
      </rPr>
      <t>II</t>
    </r>
    <r>
      <rPr>
        <b/>
        <sz val="11"/>
        <rFont val="Times New Roman"/>
        <family val="1"/>
      </rPr>
      <t xml:space="preserve"> + Bh</t>
    </r>
    <r>
      <rPr>
        <b/>
        <sz val="11"/>
        <rFont val="Symbol"/>
        <family val="1"/>
        <charset val="2"/>
      </rPr>
      <t>g</t>
    </r>
    <r>
      <rPr>
        <b/>
        <sz val="11"/>
        <rFont val="Times New Roman"/>
        <family val="1"/>
      </rPr>
      <t>'</t>
    </r>
    <r>
      <rPr>
        <b/>
        <vertAlign val="subscript"/>
        <sz val="11"/>
        <rFont val="Times New Roman"/>
        <family val="1"/>
      </rPr>
      <t>II</t>
    </r>
    <r>
      <rPr>
        <b/>
        <sz val="11"/>
        <rFont val="Times New Roman"/>
        <family val="1"/>
      </rPr>
      <t xml:space="preserve"> + DC</t>
    </r>
    <r>
      <rPr>
        <b/>
        <vertAlign val="subscript"/>
        <sz val="11"/>
        <rFont val="Times New Roman"/>
        <family val="1"/>
      </rPr>
      <t>II</t>
    </r>
    <r>
      <rPr>
        <b/>
        <sz val="11"/>
        <rFont val="Times New Roman"/>
        <family val="1"/>
      </rPr>
      <t xml:space="preserve"> - </t>
    </r>
    <r>
      <rPr>
        <b/>
        <sz val="11"/>
        <rFont val="Symbol"/>
        <family val="1"/>
        <charset val="2"/>
      </rPr>
      <t>g</t>
    </r>
    <r>
      <rPr>
        <b/>
        <sz val="11"/>
        <rFont val="Times New Roman"/>
        <family val="1"/>
      </rPr>
      <t>'</t>
    </r>
    <r>
      <rPr>
        <b/>
        <vertAlign val="subscript"/>
        <sz val="11"/>
        <rFont val="Times New Roman"/>
        <family val="1"/>
      </rPr>
      <t>II</t>
    </r>
    <r>
      <rPr>
        <b/>
        <sz val="11"/>
        <rFont val="Times New Roman"/>
        <family val="1"/>
      </rPr>
      <t>h</t>
    </r>
    <r>
      <rPr>
        <b/>
        <vertAlign val="subscript"/>
        <sz val="11"/>
        <rFont val="Times New Roman"/>
        <family val="1"/>
      </rPr>
      <t>o</t>
    </r>
    <r>
      <rPr>
        <b/>
        <sz val="11"/>
        <rFont val="Times New Roman"/>
        <family val="1"/>
      </rPr>
      <t>)] / k</t>
    </r>
    <r>
      <rPr>
        <b/>
        <vertAlign val="subscript"/>
        <sz val="11"/>
        <rFont val="Times New Roman"/>
        <family val="1"/>
      </rPr>
      <t>tc</t>
    </r>
  </si>
  <si>
    <r>
      <t xml:space="preserve">A. Kiểm tra khả năng chống trồi hố đào khi xét đồng thời cả c và </t>
    </r>
    <r>
      <rPr>
        <b/>
        <i/>
        <u/>
        <sz val="11"/>
        <rFont val="Symbol"/>
        <family val="1"/>
        <charset val="2"/>
      </rPr>
      <t>f</t>
    </r>
    <r>
      <rPr>
        <b/>
        <i/>
        <u/>
        <sz val="11"/>
        <rFont val="Times New Roman"/>
        <family val="1"/>
      </rPr>
      <t>:</t>
    </r>
  </si>
  <si>
    <r>
      <t>1. Mô men chống trồi: M</t>
    </r>
    <r>
      <rPr>
        <vertAlign val="subscript"/>
        <sz val="11"/>
        <rFont val="Times New Roman"/>
        <family val="1"/>
      </rPr>
      <t>RL</t>
    </r>
    <r>
      <rPr>
        <sz val="11"/>
        <rFont val="Times New Roman"/>
        <family val="1"/>
      </rPr>
      <t xml:space="preserve"> = R</t>
    </r>
    <r>
      <rPr>
        <vertAlign val="subscript"/>
        <sz val="11"/>
        <rFont val="Times New Roman"/>
        <family val="1"/>
      </rPr>
      <t>1</t>
    </r>
    <r>
      <rPr>
        <sz val="11"/>
        <rFont val="Times New Roman"/>
        <family val="1"/>
      </rPr>
      <t>K</t>
    </r>
    <r>
      <rPr>
        <vertAlign val="subscript"/>
        <sz val="11"/>
        <rFont val="Times New Roman"/>
        <family val="1"/>
      </rPr>
      <t>a</t>
    </r>
    <r>
      <rPr>
        <sz val="11"/>
        <rFont val="Times New Roman"/>
        <family val="1"/>
      </rPr>
      <t>tan</t>
    </r>
    <r>
      <rPr>
        <sz val="11"/>
        <rFont val="Symbol"/>
        <family val="1"/>
        <charset val="2"/>
      </rPr>
      <t>f</t>
    </r>
    <r>
      <rPr>
        <sz val="11"/>
        <rFont val="Times New Roman"/>
        <family val="1"/>
      </rPr>
      <t xml:space="preserve"> +R</t>
    </r>
    <r>
      <rPr>
        <vertAlign val="subscript"/>
        <sz val="11"/>
        <rFont val="Times New Roman"/>
        <family val="1"/>
      </rPr>
      <t>2</t>
    </r>
    <r>
      <rPr>
        <sz val="11"/>
        <rFont val="Times New Roman"/>
        <family val="1"/>
      </rPr>
      <t xml:space="preserve"> tan</t>
    </r>
    <r>
      <rPr>
        <sz val="11"/>
        <rFont val="Symbol"/>
        <family val="1"/>
        <charset val="2"/>
      </rPr>
      <t>f</t>
    </r>
    <r>
      <rPr>
        <sz val="11"/>
        <rFont val="Times New Roman"/>
        <family val="1"/>
      </rPr>
      <t xml:space="preserve"> + R</t>
    </r>
    <r>
      <rPr>
        <vertAlign val="subscript"/>
        <sz val="11"/>
        <rFont val="Times New Roman"/>
        <family val="1"/>
      </rPr>
      <t>3</t>
    </r>
    <r>
      <rPr>
        <sz val="11"/>
        <rFont val="Times New Roman"/>
        <family val="1"/>
      </rPr>
      <t xml:space="preserve"> c</t>
    </r>
  </si>
  <si>
    <r>
      <t>R</t>
    </r>
    <r>
      <rPr>
        <vertAlign val="subscript"/>
        <sz val="11"/>
        <rFont val="Times New Roman"/>
        <family val="1"/>
      </rPr>
      <t>1</t>
    </r>
    <r>
      <rPr>
        <sz val="11"/>
        <rFont val="Times New Roman"/>
        <family val="1"/>
      </rPr>
      <t xml:space="preserve"> = D(</t>
    </r>
    <r>
      <rPr>
        <sz val="11"/>
        <rFont val="Symbol"/>
        <family val="1"/>
        <charset val="2"/>
      </rPr>
      <t>g</t>
    </r>
    <r>
      <rPr>
        <sz val="11"/>
        <rFont val="Times New Roman"/>
        <family val="1"/>
      </rPr>
      <t>h</t>
    </r>
    <r>
      <rPr>
        <vertAlign val="subscript"/>
        <sz val="11"/>
        <rFont val="Times New Roman"/>
        <family val="1"/>
      </rPr>
      <t>o</t>
    </r>
    <r>
      <rPr>
        <vertAlign val="superscript"/>
        <sz val="11"/>
        <rFont val="Times New Roman"/>
        <family val="1"/>
      </rPr>
      <t>2</t>
    </r>
    <r>
      <rPr>
        <sz val="11"/>
        <rFont val="Times New Roman"/>
        <family val="1"/>
      </rPr>
      <t>/2 + qh</t>
    </r>
    <r>
      <rPr>
        <vertAlign val="subscript"/>
        <sz val="11"/>
        <rFont val="Times New Roman"/>
        <family val="1"/>
      </rPr>
      <t>o</t>
    </r>
    <r>
      <rPr>
        <sz val="11"/>
        <rFont val="Times New Roman"/>
        <family val="1"/>
      </rPr>
      <t>) + D</t>
    </r>
    <r>
      <rPr>
        <vertAlign val="superscript"/>
        <sz val="11"/>
        <rFont val="Times New Roman"/>
        <family val="1"/>
      </rPr>
      <t>2</t>
    </r>
    <r>
      <rPr>
        <sz val="11"/>
        <rFont val="Times New Roman"/>
        <family val="1"/>
      </rPr>
      <t xml:space="preserve"> q</t>
    </r>
    <r>
      <rPr>
        <vertAlign val="subscript"/>
        <sz val="11"/>
        <rFont val="Times New Roman"/>
        <family val="1"/>
      </rPr>
      <t>f</t>
    </r>
    <r>
      <rPr>
        <sz val="11"/>
        <rFont val="Times New Roman"/>
        <family val="1"/>
      </rPr>
      <t xml:space="preserve"> (</t>
    </r>
    <r>
      <rPr>
        <sz val="11"/>
        <rFont val="Symbol"/>
        <family val="1"/>
        <charset val="2"/>
      </rPr>
      <t>a</t>
    </r>
    <r>
      <rPr>
        <vertAlign val="subscript"/>
        <sz val="11"/>
        <rFont val="Times New Roman"/>
        <family val="1"/>
      </rPr>
      <t>2</t>
    </r>
    <r>
      <rPr>
        <sz val="11"/>
        <rFont val="Times New Roman"/>
        <family val="1"/>
      </rPr>
      <t>-</t>
    </r>
    <r>
      <rPr>
        <sz val="11"/>
        <rFont val="Symbol"/>
        <family val="1"/>
        <charset val="2"/>
      </rPr>
      <t>a</t>
    </r>
    <r>
      <rPr>
        <vertAlign val="subscript"/>
        <sz val="11"/>
        <rFont val="Times New Roman"/>
        <family val="1"/>
      </rPr>
      <t>1</t>
    </r>
    <r>
      <rPr>
        <sz val="11"/>
        <rFont val="Times New Roman"/>
        <family val="1"/>
      </rPr>
      <t xml:space="preserve"> + sin</t>
    </r>
    <r>
      <rPr>
        <sz val="11"/>
        <rFont val="Symbol"/>
        <family val="1"/>
        <charset val="2"/>
      </rPr>
      <t>a</t>
    </r>
    <r>
      <rPr>
        <vertAlign val="subscript"/>
        <sz val="11"/>
        <rFont val="Times New Roman"/>
        <family val="1"/>
      </rPr>
      <t>2</t>
    </r>
    <r>
      <rPr>
        <sz val="11"/>
        <rFont val="Times New Roman"/>
        <family val="1"/>
      </rPr>
      <t>cos</t>
    </r>
    <r>
      <rPr>
        <sz val="11"/>
        <rFont val="Symbol"/>
        <family val="1"/>
        <charset val="2"/>
      </rPr>
      <t>a</t>
    </r>
    <r>
      <rPr>
        <vertAlign val="subscript"/>
        <sz val="11"/>
        <rFont val="Times New Roman"/>
        <family val="1"/>
      </rPr>
      <t>2</t>
    </r>
    <r>
      <rPr>
        <sz val="11"/>
        <rFont val="Times New Roman"/>
        <family val="1"/>
      </rPr>
      <t>-sin</t>
    </r>
    <r>
      <rPr>
        <sz val="11"/>
        <rFont val="Symbol"/>
        <family val="1"/>
        <charset val="2"/>
      </rPr>
      <t>a</t>
    </r>
    <r>
      <rPr>
        <vertAlign val="subscript"/>
        <sz val="11"/>
        <rFont val="Times New Roman"/>
        <family val="1"/>
      </rPr>
      <t>1</t>
    </r>
    <r>
      <rPr>
        <sz val="11"/>
        <rFont val="Times New Roman"/>
        <family val="1"/>
      </rPr>
      <t>cos</t>
    </r>
    <r>
      <rPr>
        <sz val="11"/>
        <rFont val="Symbol"/>
        <family val="1"/>
        <charset val="2"/>
      </rPr>
      <t>a</t>
    </r>
    <r>
      <rPr>
        <vertAlign val="subscript"/>
        <sz val="11"/>
        <rFont val="Times New Roman"/>
        <family val="1"/>
      </rPr>
      <t>1</t>
    </r>
    <r>
      <rPr>
        <sz val="11"/>
        <rFont val="Times New Roman"/>
        <family val="1"/>
      </rPr>
      <t>)/2-</t>
    </r>
    <r>
      <rPr>
        <sz val="11"/>
        <rFont val="Symbol"/>
        <family val="1"/>
        <charset val="2"/>
      </rPr>
      <t>g</t>
    </r>
    <r>
      <rPr>
        <sz val="11"/>
        <rFont val="Times New Roman"/>
        <family val="1"/>
      </rPr>
      <t>D</t>
    </r>
    <r>
      <rPr>
        <vertAlign val="superscript"/>
        <sz val="11"/>
        <rFont val="Times New Roman"/>
        <family val="1"/>
      </rPr>
      <t>3</t>
    </r>
    <r>
      <rPr>
        <sz val="11"/>
        <rFont val="Times New Roman"/>
        <family val="1"/>
      </rPr>
      <t>(cos</t>
    </r>
    <r>
      <rPr>
        <vertAlign val="superscript"/>
        <sz val="11"/>
        <rFont val="Times New Roman"/>
        <family val="1"/>
      </rPr>
      <t>3</t>
    </r>
    <r>
      <rPr>
        <sz val="11"/>
        <rFont val="Symbol"/>
        <family val="1"/>
        <charset val="2"/>
      </rPr>
      <t>a</t>
    </r>
    <r>
      <rPr>
        <vertAlign val="subscript"/>
        <sz val="11"/>
        <rFont val="Times New Roman"/>
        <family val="1"/>
      </rPr>
      <t>2</t>
    </r>
    <r>
      <rPr>
        <sz val="11"/>
        <rFont val="Times New Roman"/>
        <family val="1"/>
      </rPr>
      <t xml:space="preserve"> - cos</t>
    </r>
    <r>
      <rPr>
        <vertAlign val="superscript"/>
        <sz val="11"/>
        <rFont val="Times New Roman"/>
        <family val="1"/>
      </rPr>
      <t>3</t>
    </r>
    <r>
      <rPr>
        <sz val="11"/>
        <rFont val="Symbol"/>
        <family val="1"/>
        <charset val="2"/>
      </rPr>
      <t>a</t>
    </r>
    <r>
      <rPr>
        <vertAlign val="subscript"/>
        <sz val="11"/>
        <rFont val="Times New Roman"/>
        <family val="1"/>
      </rPr>
      <t>1</t>
    </r>
    <r>
      <rPr>
        <sz val="11"/>
        <rFont val="Times New Roman"/>
        <family val="1"/>
      </rPr>
      <t>)/3</t>
    </r>
  </si>
  <si>
    <r>
      <t>R</t>
    </r>
    <r>
      <rPr>
        <vertAlign val="subscript"/>
        <sz val="11"/>
        <rFont val="Times New Roman"/>
        <family val="1"/>
      </rPr>
      <t>2</t>
    </r>
    <r>
      <rPr>
        <sz val="11"/>
        <rFont val="Times New Roman"/>
        <family val="1"/>
      </rPr>
      <t xml:space="preserve"> = D</t>
    </r>
    <r>
      <rPr>
        <vertAlign val="superscript"/>
        <sz val="11"/>
        <rFont val="Times New Roman"/>
        <family val="1"/>
      </rPr>
      <t>2</t>
    </r>
    <r>
      <rPr>
        <sz val="11"/>
        <rFont val="Times New Roman"/>
        <family val="1"/>
      </rPr>
      <t>q</t>
    </r>
    <r>
      <rPr>
        <vertAlign val="subscript"/>
        <sz val="11"/>
        <rFont val="Times New Roman"/>
        <family val="1"/>
      </rPr>
      <t>f</t>
    </r>
    <r>
      <rPr>
        <sz val="11"/>
        <rFont val="Times New Roman"/>
        <family val="1"/>
      </rPr>
      <t xml:space="preserve">/2 +[ </t>
    </r>
    <r>
      <rPr>
        <sz val="11"/>
        <rFont val="Symbol"/>
        <family val="1"/>
        <charset val="2"/>
      </rPr>
      <t>a</t>
    </r>
    <r>
      <rPr>
        <vertAlign val="subscript"/>
        <sz val="11"/>
        <rFont val="Times New Roman"/>
        <family val="1"/>
      </rPr>
      <t>2</t>
    </r>
    <r>
      <rPr>
        <sz val="11"/>
        <rFont val="Times New Roman"/>
        <family val="1"/>
      </rPr>
      <t>-</t>
    </r>
    <r>
      <rPr>
        <sz val="11"/>
        <rFont val="Symbol"/>
        <family val="1"/>
        <charset val="2"/>
      </rPr>
      <t>a</t>
    </r>
    <r>
      <rPr>
        <vertAlign val="subscript"/>
        <sz val="11"/>
        <rFont val="Times New Roman"/>
        <family val="1"/>
      </rPr>
      <t>1</t>
    </r>
    <r>
      <rPr>
        <sz val="11"/>
        <rFont val="Times New Roman"/>
        <family val="1"/>
      </rPr>
      <t>- (sin2</t>
    </r>
    <r>
      <rPr>
        <sz val="11"/>
        <rFont val="Symbol"/>
        <family val="1"/>
        <charset val="2"/>
      </rPr>
      <t>a</t>
    </r>
    <r>
      <rPr>
        <vertAlign val="subscript"/>
        <sz val="11"/>
        <rFont val="Times New Roman"/>
        <family val="1"/>
      </rPr>
      <t>2</t>
    </r>
    <r>
      <rPr>
        <sz val="11"/>
        <rFont val="Times New Roman"/>
        <family val="1"/>
      </rPr>
      <t xml:space="preserve"> -sin2</t>
    </r>
    <r>
      <rPr>
        <sz val="11"/>
        <rFont val="Symbol"/>
        <family val="1"/>
        <charset val="2"/>
      </rPr>
      <t>a</t>
    </r>
    <r>
      <rPr>
        <vertAlign val="subscript"/>
        <sz val="11"/>
        <rFont val="Times New Roman"/>
        <family val="1"/>
      </rPr>
      <t>1</t>
    </r>
    <r>
      <rPr>
        <sz val="11"/>
        <rFont val="Times New Roman"/>
        <family val="1"/>
      </rPr>
      <t>)/2] -</t>
    </r>
    <r>
      <rPr>
        <sz val="11"/>
        <rFont val="Symbol"/>
        <family val="1"/>
        <charset val="2"/>
      </rPr>
      <t>g</t>
    </r>
    <r>
      <rPr>
        <sz val="11"/>
        <rFont val="Times New Roman"/>
        <family val="1"/>
      </rPr>
      <t>D</t>
    </r>
    <r>
      <rPr>
        <vertAlign val="superscript"/>
        <sz val="11"/>
        <rFont val="Times New Roman"/>
        <family val="1"/>
      </rPr>
      <t>3</t>
    </r>
    <r>
      <rPr>
        <sz val="11"/>
        <rFont val="Times New Roman"/>
        <family val="1"/>
      </rPr>
      <t>[sin</t>
    </r>
    <r>
      <rPr>
        <vertAlign val="superscript"/>
        <sz val="11"/>
        <rFont val="Times New Roman"/>
        <family val="1"/>
      </rPr>
      <t>2</t>
    </r>
    <r>
      <rPr>
        <sz val="11"/>
        <rFont val="Symbol"/>
        <family val="1"/>
        <charset val="2"/>
      </rPr>
      <t>a</t>
    </r>
    <r>
      <rPr>
        <vertAlign val="subscript"/>
        <sz val="11"/>
        <rFont val="Times New Roman"/>
        <family val="1"/>
      </rPr>
      <t>2</t>
    </r>
    <r>
      <rPr>
        <sz val="11"/>
        <rFont val="Times New Roman"/>
        <family val="1"/>
      </rPr>
      <t>cos</t>
    </r>
    <r>
      <rPr>
        <sz val="11"/>
        <rFont val="Symbol"/>
        <family val="1"/>
        <charset val="2"/>
      </rPr>
      <t>a</t>
    </r>
    <r>
      <rPr>
        <vertAlign val="subscript"/>
        <sz val="11"/>
        <rFont val="Times New Roman"/>
        <family val="1"/>
      </rPr>
      <t>2</t>
    </r>
    <r>
      <rPr>
        <sz val="11"/>
        <rFont val="Times New Roman"/>
        <family val="1"/>
      </rPr>
      <t xml:space="preserve"> - sin</t>
    </r>
    <r>
      <rPr>
        <vertAlign val="superscript"/>
        <sz val="11"/>
        <rFont val="Times New Roman"/>
        <family val="1"/>
      </rPr>
      <t>2</t>
    </r>
    <r>
      <rPr>
        <sz val="11"/>
        <rFont val="Symbol"/>
        <family val="1"/>
        <charset val="2"/>
      </rPr>
      <t>a</t>
    </r>
    <r>
      <rPr>
        <vertAlign val="subscript"/>
        <sz val="11"/>
        <rFont val="Times New Roman"/>
        <family val="1"/>
      </rPr>
      <t>1</t>
    </r>
    <r>
      <rPr>
        <sz val="11"/>
        <rFont val="Times New Roman"/>
        <family val="1"/>
      </rPr>
      <t>cos</t>
    </r>
    <r>
      <rPr>
        <sz val="11"/>
        <rFont val="Symbol"/>
        <family val="1"/>
        <charset val="2"/>
      </rPr>
      <t>a</t>
    </r>
    <r>
      <rPr>
        <vertAlign val="subscript"/>
        <sz val="11"/>
        <rFont val="Times New Roman"/>
        <family val="1"/>
      </rPr>
      <t>1</t>
    </r>
    <r>
      <rPr>
        <sz val="11"/>
        <rFont val="Times New Roman"/>
        <family val="1"/>
      </rPr>
      <t xml:space="preserve"> + 2(cos</t>
    </r>
    <r>
      <rPr>
        <sz val="11"/>
        <rFont val="Symbol"/>
        <family val="1"/>
        <charset val="2"/>
      </rPr>
      <t>a</t>
    </r>
    <r>
      <rPr>
        <vertAlign val="subscript"/>
        <sz val="11"/>
        <rFont val="Times New Roman"/>
        <family val="1"/>
      </rPr>
      <t>2</t>
    </r>
    <r>
      <rPr>
        <sz val="11"/>
        <rFont val="Times New Roman"/>
        <family val="1"/>
      </rPr>
      <t xml:space="preserve"> - cos</t>
    </r>
    <r>
      <rPr>
        <sz val="11"/>
        <rFont val="Symbol"/>
        <family val="1"/>
        <charset val="2"/>
      </rPr>
      <t>a</t>
    </r>
    <r>
      <rPr>
        <vertAlign val="subscript"/>
        <sz val="11"/>
        <rFont val="Times New Roman"/>
        <family val="1"/>
      </rPr>
      <t>1</t>
    </r>
    <r>
      <rPr>
        <sz val="11"/>
        <rFont val="Times New Roman"/>
        <family val="1"/>
      </rPr>
      <t xml:space="preserve">)]/3 </t>
    </r>
  </si>
  <si>
    <r>
      <t>R</t>
    </r>
    <r>
      <rPr>
        <vertAlign val="subscript"/>
        <sz val="11"/>
        <rFont val="Times New Roman"/>
        <family val="1"/>
      </rPr>
      <t>3</t>
    </r>
    <r>
      <rPr>
        <sz val="11"/>
        <rFont val="Times New Roman"/>
        <family val="1"/>
      </rPr>
      <t xml:space="preserve"> = h</t>
    </r>
    <r>
      <rPr>
        <vertAlign val="subscript"/>
        <sz val="11"/>
        <rFont val="Times New Roman"/>
        <family val="1"/>
      </rPr>
      <t>o</t>
    </r>
    <r>
      <rPr>
        <sz val="11"/>
        <rFont val="Times New Roman"/>
        <family val="1"/>
      </rPr>
      <t>D + (</t>
    </r>
    <r>
      <rPr>
        <sz val="11"/>
        <rFont val="Symbol"/>
        <family val="1"/>
        <charset val="2"/>
      </rPr>
      <t>a</t>
    </r>
    <r>
      <rPr>
        <vertAlign val="subscript"/>
        <sz val="11"/>
        <rFont val="Times New Roman"/>
        <family val="1"/>
      </rPr>
      <t>2</t>
    </r>
    <r>
      <rPr>
        <sz val="11"/>
        <rFont val="Times New Roman"/>
        <family val="1"/>
      </rPr>
      <t>-</t>
    </r>
    <r>
      <rPr>
        <sz val="11"/>
        <rFont val="Symbol"/>
        <family val="1"/>
        <charset val="2"/>
      </rPr>
      <t>a</t>
    </r>
    <r>
      <rPr>
        <vertAlign val="subscript"/>
        <sz val="11"/>
        <rFont val="Times New Roman"/>
        <family val="1"/>
      </rPr>
      <t>1</t>
    </r>
    <r>
      <rPr>
        <sz val="11"/>
        <rFont val="Times New Roman"/>
        <family val="1"/>
      </rPr>
      <t>)D</t>
    </r>
    <r>
      <rPr>
        <vertAlign val="superscript"/>
        <sz val="11"/>
        <rFont val="Times New Roman"/>
        <family val="1"/>
      </rPr>
      <t>2</t>
    </r>
  </si>
  <si>
    <r>
      <rPr>
        <sz val="11"/>
        <rFont val="Symbol"/>
        <family val="1"/>
        <charset val="2"/>
      </rPr>
      <t>g</t>
    </r>
    <r>
      <rPr>
        <sz val="11"/>
        <rFont val="Times New Roman"/>
        <family val="1"/>
      </rPr>
      <t xml:space="preserve"> là dung trọng trung bình các lớp đất từ đáy tường vây trở lên:</t>
    </r>
  </si>
  <si>
    <r>
      <rPr>
        <sz val="11"/>
        <rFont val="Symbol"/>
        <family val="1"/>
        <charset val="2"/>
      </rPr>
      <t>g</t>
    </r>
    <r>
      <rPr>
        <sz val="11"/>
        <rFont val="Times New Roman"/>
        <family val="1"/>
      </rPr>
      <t xml:space="preserve"> =</t>
    </r>
  </si>
  <si>
    <r>
      <rPr>
        <sz val="11"/>
        <rFont val="Symbol"/>
        <family val="1"/>
        <charset val="2"/>
      </rPr>
      <t>f</t>
    </r>
    <r>
      <rPr>
        <sz val="11"/>
        <rFont val="Times New Roman"/>
        <family val="1"/>
      </rPr>
      <t xml:space="preserve"> là góc ma sát trung bình của đất trên mặt trượt:</t>
    </r>
  </si>
  <si>
    <r>
      <rPr>
        <sz val="11"/>
        <rFont val="Symbol"/>
        <family val="1"/>
        <charset val="2"/>
      </rPr>
      <t>f</t>
    </r>
    <r>
      <rPr>
        <sz val="11"/>
        <rFont val="Times New Roman"/>
        <family val="1"/>
      </rPr>
      <t xml:space="preserve"> =</t>
    </r>
  </si>
  <si>
    <r>
      <t>K</t>
    </r>
    <r>
      <rPr>
        <vertAlign val="subscript"/>
        <sz val="11"/>
        <rFont val="Times New Roman"/>
        <family val="1"/>
      </rPr>
      <t>a</t>
    </r>
    <r>
      <rPr>
        <sz val="11"/>
        <rFont val="Times New Roman"/>
        <family val="1"/>
      </rPr>
      <t xml:space="preserve"> là hệ số áp lực chủ động:</t>
    </r>
  </si>
  <si>
    <r>
      <t>K</t>
    </r>
    <r>
      <rPr>
        <vertAlign val="subscript"/>
        <sz val="11"/>
        <rFont val="Times New Roman"/>
        <family val="1"/>
      </rPr>
      <t>a</t>
    </r>
    <r>
      <rPr>
        <sz val="11"/>
        <rFont val="Times New Roman"/>
        <family val="1"/>
      </rPr>
      <t xml:space="preserve"> = tan</t>
    </r>
    <r>
      <rPr>
        <vertAlign val="superscript"/>
        <sz val="11"/>
        <rFont val="Times New Roman"/>
        <family val="1"/>
      </rPr>
      <t>2</t>
    </r>
    <r>
      <rPr>
        <sz val="11"/>
        <rFont val="Times New Roman"/>
        <family val="1"/>
      </rPr>
      <t>(45</t>
    </r>
    <r>
      <rPr>
        <vertAlign val="superscript"/>
        <sz val="11"/>
        <rFont val="Times New Roman"/>
        <family val="1"/>
      </rPr>
      <t>o</t>
    </r>
    <r>
      <rPr>
        <sz val="11"/>
        <rFont val="Times New Roman"/>
        <family val="1"/>
      </rPr>
      <t>-</t>
    </r>
    <r>
      <rPr>
        <sz val="11"/>
        <rFont val="Symbol"/>
        <family val="1"/>
        <charset val="2"/>
      </rPr>
      <t>f</t>
    </r>
    <r>
      <rPr>
        <sz val="11"/>
        <rFont val="Times New Roman"/>
        <family val="1"/>
      </rPr>
      <t>/2) =</t>
    </r>
  </si>
  <si>
    <r>
      <t>h</t>
    </r>
    <r>
      <rPr>
        <vertAlign val="subscript"/>
        <sz val="11"/>
        <rFont val="Times New Roman"/>
        <family val="1"/>
      </rPr>
      <t>o</t>
    </r>
    <r>
      <rPr>
        <sz val="11"/>
        <rFont val="Times New Roman"/>
        <family val="1"/>
      </rPr>
      <t xml:space="preserve"> là độ sâu đào móng:</t>
    </r>
  </si>
  <si>
    <r>
      <rPr>
        <sz val="11"/>
        <rFont val="Symbol"/>
        <family val="1"/>
        <charset val="2"/>
      </rPr>
      <t>a</t>
    </r>
    <r>
      <rPr>
        <vertAlign val="subscript"/>
        <sz val="11"/>
        <rFont val="Times New Roman"/>
        <family val="1"/>
      </rPr>
      <t>1</t>
    </r>
    <r>
      <rPr>
        <sz val="11"/>
        <rFont val="Times New Roman"/>
        <family val="1"/>
      </rPr>
      <t xml:space="preserve"> là góc ngang giữa sàn chống dưới cùng và bán kính cung trượt giao đáy hố đào.</t>
    </r>
  </si>
  <si>
    <r>
      <t>sin</t>
    </r>
    <r>
      <rPr>
        <sz val="11"/>
        <rFont val="Symbol"/>
        <family val="1"/>
        <charset val="2"/>
      </rPr>
      <t>a</t>
    </r>
    <r>
      <rPr>
        <vertAlign val="subscript"/>
        <sz val="11"/>
        <rFont val="Times New Roman"/>
        <family val="1"/>
      </rPr>
      <t xml:space="preserve">1 </t>
    </r>
    <r>
      <rPr>
        <sz val="11"/>
        <rFont val="Times New Roman"/>
        <family val="1"/>
      </rPr>
      <t>= (ho - ho')/(Chiều dài tường vây -ho') =</t>
    </r>
  </si>
  <si>
    <r>
      <t>---&gt; a2 = 2</t>
    </r>
    <r>
      <rPr>
        <sz val="11"/>
        <rFont val="Times New Roman"/>
        <family val="1"/>
      </rPr>
      <t>x(</t>
    </r>
    <r>
      <rPr>
        <sz val="11"/>
        <rFont val="Symbol"/>
        <family val="1"/>
        <charset val="2"/>
      </rPr>
      <t>90</t>
    </r>
    <r>
      <rPr>
        <vertAlign val="superscript"/>
        <sz val="11"/>
        <rFont val="Symbol"/>
        <family val="1"/>
        <charset val="2"/>
      </rPr>
      <t>o</t>
    </r>
    <r>
      <rPr>
        <sz val="11"/>
        <rFont val="Symbol"/>
        <family val="1"/>
        <charset val="2"/>
      </rPr>
      <t>-a1) =</t>
    </r>
  </si>
  <si>
    <r>
      <t xml:space="preserve">                                                                        q</t>
    </r>
    <r>
      <rPr>
        <vertAlign val="subscript"/>
        <sz val="11"/>
        <rFont val="Times New Roman"/>
        <family val="1"/>
      </rPr>
      <t>f</t>
    </r>
    <r>
      <rPr>
        <sz val="11"/>
        <rFont val="Times New Roman"/>
        <family val="1"/>
      </rPr>
      <t xml:space="preserve">  = </t>
    </r>
    <r>
      <rPr>
        <sz val="11"/>
        <rFont val="Symbol"/>
        <family val="1"/>
        <charset val="2"/>
      </rPr>
      <t>g</t>
    </r>
    <r>
      <rPr>
        <sz val="11"/>
        <rFont val="Times New Roman"/>
        <family val="1"/>
      </rPr>
      <t>h</t>
    </r>
    <r>
      <rPr>
        <vertAlign val="subscript"/>
        <sz val="11"/>
        <rFont val="Times New Roman"/>
        <family val="1"/>
      </rPr>
      <t>o</t>
    </r>
    <r>
      <rPr>
        <sz val="11"/>
        <rFont val="Times New Roman"/>
        <family val="1"/>
      </rPr>
      <t>' +q =</t>
    </r>
  </si>
  <si>
    <r>
      <t>R</t>
    </r>
    <r>
      <rPr>
        <vertAlign val="subscript"/>
        <sz val="11"/>
        <rFont val="Times New Roman"/>
        <family val="1"/>
      </rPr>
      <t>1</t>
    </r>
    <r>
      <rPr>
        <sz val="11"/>
        <rFont val="Times New Roman"/>
        <family val="1"/>
      </rPr>
      <t xml:space="preserve"> = </t>
    </r>
  </si>
  <si>
    <r>
      <t>R</t>
    </r>
    <r>
      <rPr>
        <vertAlign val="subscript"/>
        <sz val="11"/>
        <rFont val="Times New Roman"/>
        <family val="1"/>
      </rPr>
      <t>2</t>
    </r>
    <r>
      <rPr>
        <sz val="11"/>
        <rFont val="Times New Roman"/>
        <family val="1"/>
      </rPr>
      <t xml:space="preserve"> = </t>
    </r>
  </si>
  <si>
    <r>
      <t>R</t>
    </r>
    <r>
      <rPr>
        <vertAlign val="subscript"/>
        <sz val="11"/>
        <rFont val="Times New Roman"/>
        <family val="1"/>
      </rPr>
      <t>3</t>
    </r>
    <r>
      <rPr>
        <sz val="11"/>
        <rFont val="Times New Roman"/>
        <family val="1"/>
      </rPr>
      <t xml:space="preserve"> = </t>
    </r>
  </si>
  <si>
    <r>
      <t>M</t>
    </r>
    <r>
      <rPr>
        <vertAlign val="subscript"/>
        <sz val="11"/>
        <rFont val="Times New Roman"/>
        <family val="1"/>
      </rPr>
      <t>RL</t>
    </r>
    <r>
      <rPr>
        <sz val="11"/>
        <rFont val="Times New Roman"/>
        <family val="1"/>
      </rPr>
      <t xml:space="preserve"> =</t>
    </r>
  </si>
  <si>
    <r>
      <t>M</t>
    </r>
    <r>
      <rPr>
        <vertAlign val="subscript"/>
        <sz val="11"/>
        <rFont val="Times New Roman"/>
        <family val="1"/>
      </rPr>
      <t>SL</t>
    </r>
    <r>
      <rPr>
        <sz val="11"/>
        <rFont val="Times New Roman"/>
        <family val="1"/>
      </rPr>
      <t xml:space="preserve"> = (</t>
    </r>
    <r>
      <rPr>
        <sz val="11"/>
        <rFont val="Symbol"/>
        <family val="1"/>
        <charset val="2"/>
      </rPr>
      <t>g</t>
    </r>
    <r>
      <rPr>
        <sz val="11"/>
        <rFont val="Times New Roman"/>
        <family val="1"/>
      </rPr>
      <t>h</t>
    </r>
    <r>
      <rPr>
        <vertAlign val="subscript"/>
        <sz val="11"/>
        <rFont val="Times New Roman"/>
        <family val="1"/>
      </rPr>
      <t>o</t>
    </r>
    <r>
      <rPr>
        <sz val="11"/>
        <rFont val="Times New Roman"/>
        <family val="1"/>
      </rPr>
      <t>' +q)*D^2/2 =</t>
    </r>
  </si>
  <si>
    <r>
      <t>K</t>
    </r>
    <r>
      <rPr>
        <vertAlign val="subscript"/>
        <sz val="11"/>
        <rFont val="Times New Roman"/>
        <family val="1"/>
      </rPr>
      <t>L</t>
    </r>
    <r>
      <rPr>
        <sz val="11"/>
        <rFont val="Times New Roman"/>
        <family val="1"/>
      </rPr>
      <t xml:space="preserve"> = M</t>
    </r>
    <r>
      <rPr>
        <vertAlign val="subscript"/>
        <sz val="11"/>
        <rFont val="Times New Roman"/>
        <family val="1"/>
      </rPr>
      <t>RL</t>
    </r>
    <r>
      <rPr>
        <sz val="11"/>
        <rFont val="Times New Roman"/>
        <family val="1"/>
      </rPr>
      <t xml:space="preserve"> /M </t>
    </r>
    <r>
      <rPr>
        <vertAlign val="subscript"/>
        <sz val="11"/>
        <rFont val="Times New Roman"/>
        <family val="1"/>
      </rPr>
      <t>SL</t>
    </r>
    <r>
      <rPr>
        <sz val="11"/>
        <rFont val="Times New Roman"/>
        <family val="1"/>
      </rPr>
      <t xml:space="preserve"> = </t>
    </r>
  </si>
  <si>
    <r>
      <t>FS =s</t>
    </r>
    <r>
      <rPr>
        <vertAlign val="subscript"/>
        <sz val="11"/>
        <rFont val="Times New Roman"/>
        <family val="1"/>
      </rPr>
      <t>u</t>
    </r>
    <r>
      <rPr>
        <sz val="11"/>
        <rFont val="Times New Roman"/>
        <family val="1"/>
      </rPr>
      <t>.L.r/(W + Q)/(r/2) =</t>
    </r>
  </si>
  <si>
    <r>
      <rPr>
        <sz val="11"/>
        <rFont val="Symbol"/>
        <family val="1"/>
        <charset val="2"/>
      </rPr>
      <t>g</t>
    </r>
    <r>
      <rPr>
        <vertAlign val="subscript"/>
        <sz val="11"/>
        <rFont val="Times New Roman"/>
        <family val="1"/>
        <charset val="238"/>
      </rPr>
      <t>w</t>
    </r>
    <r>
      <rPr>
        <sz val="11"/>
        <rFont val="Times New Roman"/>
        <family val="1"/>
      </rPr>
      <t xml:space="preserve"> =</t>
    </r>
  </si>
  <si>
    <r>
      <t>g</t>
    </r>
    <r>
      <rPr>
        <vertAlign val="subscript"/>
        <sz val="11"/>
        <rFont val="Times New Roman"/>
        <family val="1"/>
      </rPr>
      <t>bh</t>
    </r>
    <r>
      <rPr>
        <sz val="11"/>
        <rFont val="Times New Roman"/>
        <family val="1"/>
      </rPr>
      <t xml:space="preserve"> =</t>
    </r>
  </si>
  <si>
    <r>
      <t>w = (</t>
    </r>
    <r>
      <rPr>
        <sz val="11"/>
        <rFont val="Symbol"/>
        <family val="1"/>
        <charset val="2"/>
      </rPr>
      <t>g</t>
    </r>
    <r>
      <rPr>
        <vertAlign val="subscript"/>
        <sz val="11"/>
        <rFont val="Times New Roman"/>
        <family val="1"/>
      </rPr>
      <t>bh</t>
    </r>
    <r>
      <rPr>
        <sz val="11"/>
        <rFont val="Times New Roman"/>
        <family val="1"/>
      </rPr>
      <t xml:space="preserve"> - </t>
    </r>
    <r>
      <rPr>
        <sz val="11"/>
        <rFont val="Symbol"/>
        <family val="1"/>
        <charset val="2"/>
      </rPr>
      <t>g</t>
    </r>
    <r>
      <rPr>
        <vertAlign val="subscript"/>
        <sz val="11"/>
        <rFont val="Times New Roman"/>
        <family val="1"/>
      </rPr>
      <t>w</t>
    </r>
    <r>
      <rPr>
        <sz val="11"/>
        <rFont val="Times New Roman"/>
        <family val="1"/>
      </rPr>
      <t>)L</t>
    </r>
    <r>
      <rPr>
        <vertAlign val="subscript"/>
        <sz val="11"/>
        <rFont val="Times New Roman"/>
        <family val="1"/>
        <charset val="238"/>
      </rPr>
      <t>d</t>
    </r>
    <r>
      <rPr>
        <sz val="11"/>
        <rFont val="Times New Roman"/>
        <family val="1"/>
      </rPr>
      <t>xL</t>
    </r>
    <r>
      <rPr>
        <vertAlign val="subscript"/>
        <sz val="11"/>
        <rFont val="Times New Roman"/>
        <family val="1"/>
        <charset val="238"/>
      </rPr>
      <t>d</t>
    </r>
    <r>
      <rPr>
        <sz val="11"/>
        <rFont val="Times New Roman"/>
        <family val="1"/>
      </rPr>
      <t>/2 =</t>
    </r>
  </si>
  <si>
    <r>
      <t>u =</t>
    </r>
    <r>
      <rPr>
        <sz val="11"/>
        <rFont val="Symbol"/>
        <family val="1"/>
        <charset val="2"/>
      </rPr>
      <t>g</t>
    </r>
    <r>
      <rPr>
        <vertAlign val="subscript"/>
        <sz val="11"/>
        <rFont val="Times New Roman"/>
        <family val="1"/>
        <charset val="238"/>
      </rPr>
      <t>w</t>
    </r>
    <r>
      <rPr>
        <sz val="11"/>
        <rFont val="Times New Roman"/>
        <family val="1"/>
      </rPr>
      <t>xh</t>
    </r>
    <r>
      <rPr>
        <vertAlign val="subscript"/>
        <sz val="11"/>
        <rFont val="Times New Roman"/>
        <family val="1"/>
        <charset val="238"/>
      </rPr>
      <t>w</t>
    </r>
    <r>
      <rPr>
        <sz val="11"/>
        <rFont val="Times New Roman"/>
        <family val="1"/>
      </rPr>
      <t>xL</t>
    </r>
    <r>
      <rPr>
        <vertAlign val="subscript"/>
        <sz val="11"/>
        <rFont val="Times New Roman"/>
        <family val="1"/>
        <charset val="238"/>
      </rPr>
      <t>d</t>
    </r>
    <r>
      <rPr>
        <sz val="11"/>
        <rFont val="Times New Roman"/>
        <family val="1"/>
      </rPr>
      <t>/2 =</t>
    </r>
  </si>
  <si>
    <r>
      <rPr>
        <sz val="11"/>
        <rFont val="Symbol"/>
        <family val="1"/>
        <charset val="2"/>
      </rPr>
      <t>g</t>
    </r>
    <r>
      <rPr>
        <vertAlign val="subscript"/>
        <sz val="11"/>
        <rFont val="Times New Roman"/>
        <family val="1"/>
      </rPr>
      <t>đn</t>
    </r>
    <r>
      <rPr>
        <sz val="11"/>
        <rFont val="Times New Roman"/>
        <family val="1"/>
      </rPr>
      <t xml:space="preserve"> = (G</t>
    </r>
    <r>
      <rPr>
        <vertAlign val="subscript"/>
        <sz val="11"/>
        <rFont val="Times New Roman"/>
        <family val="1"/>
      </rPr>
      <t>s</t>
    </r>
    <r>
      <rPr>
        <sz val="11"/>
        <rFont val="Times New Roman"/>
        <family val="1"/>
      </rPr>
      <t>-1)/(1+e)</t>
    </r>
  </si>
  <si>
    <r>
      <t>g</t>
    </r>
    <r>
      <rPr>
        <vertAlign val="subscript"/>
        <sz val="11"/>
        <rFont val="Times New Roman"/>
        <family val="1"/>
      </rPr>
      <t>đn</t>
    </r>
    <r>
      <rPr>
        <sz val="11"/>
        <rFont val="Times New Roman"/>
        <family val="1"/>
      </rPr>
      <t xml:space="preserve"> =</t>
    </r>
  </si>
  <si>
    <r>
      <t>J</t>
    </r>
    <r>
      <rPr>
        <vertAlign val="subscript"/>
        <sz val="11"/>
        <rFont val="Times New Roman"/>
        <family val="1"/>
      </rPr>
      <t>k</t>
    </r>
    <r>
      <rPr>
        <sz val="11"/>
        <rFont val="Times New Roman"/>
        <family val="1"/>
      </rPr>
      <t xml:space="preserve"> = h</t>
    </r>
    <r>
      <rPr>
        <vertAlign val="subscript"/>
        <sz val="11"/>
        <rFont val="Times New Roman"/>
        <family val="1"/>
      </rPr>
      <t>w</t>
    </r>
    <r>
      <rPr>
        <sz val="11"/>
        <rFont val="Times New Roman"/>
        <family val="1"/>
      </rPr>
      <t>/l &lt;=(j</t>
    </r>
    <r>
      <rPr>
        <vertAlign val="subscript"/>
        <sz val="11"/>
        <rFont val="Times New Roman"/>
        <family val="1"/>
      </rPr>
      <t>k</t>
    </r>
    <r>
      <rPr>
        <sz val="11"/>
        <rFont val="Times New Roman"/>
        <family val="1"/>
      </rPr>
      <t>)</t>
    </r>
    <r>
      <rPr>
        <vertAlign val="subscript"/>
        <sz val="11"/>
        <rFont val="Times New Roman"/>
        <family val="1"/>
      </rPr>
      <t>cp</t>
    </r>
  </si>
  <si>
    <r>
      <t>J</t>
    </r>
    <r>
      <rPr>
        <vertAlign val="subscript"/>
        <sz val="11"/>
        <rFont val="Times New Roman"/>
        <family val="1"/>
      </rPr>
      <t>k</t>
    </r>
    <r>
      <rPr>
        <sz val="11"/>
        <rFont val="Times New Roman"/>
        <family val="1"/>
      </rPr>
      <t xml:space="preserve"> =</t>
    </r>
  </si>
  <si>
    <t>Ta có các thông số sau:</t>
  </si>
  <si>
    <t>IX. KIỂM TRA SỨC CHỊU TẢI ĐẤT NỀN CHÂN TƯỜNG:</t>
  </si>
  <si>
    <t>X. KIỂM TRA KHẢ NĂNG CHỐNG ĐẨY TRỒI HỐ MÓNG:</t>
  </si>
  <si>
    <t>XI. KIỂM TRA ỔN ĐỊNH CHỐNG PHUN TRÀO HỐ MÓNG</t>
  </si>
  <si>
    <t>XII. KIỂM TRA ỔN ĐỊNH CHỐNG CHẢY THẤM</t>
  </si>
  <si>
    <t>XIII. KIỂM TRA CHỐNG XÓI NGẦM DO DÒNG CHẢY THẤM</t>
  </si>
  <si>
    <t xml:space="preserve">XIV. TÍNH LƯỢNG NƯỚC PHẢI BƠM RA HỐ MÓNG KHI THI CÔNG     
</t>
  </si>
  <si>
    <t>HK04</t>
  </si>
  <si>
    <t>kN</t>
  </si>
  <si>
    <r>
      <t>(kN/m</t>
    </r>
    <r>
      <rPr>
        <vertAlign val="superscript"/>
        <sz val="11"/>
        <rFont val="Times New Roman"/>
        <family val="1"/>
      </rPr>
      <t>3</t>
    </r>
    <r>
      <rPr>
        <sz val="11"/>
        <rFont val="Times New Roman"/>
        <family val="1"/>
      </rPr>
      <t>)</t>
    </r>
  </si>
  <si>
    <r>
      <t>(kN/m</t>
    </r>
    <r>
      <rPr>
        <vertAlign val="superscript"/>
        <sz val="11"/>
        <rFont val="Times New Roman"/>
        <family val="1"/>
      </rPr>
      <t>2</t>
    </r>
    <r>
      <rPr>
        <sz val="11"/>
        <rFont val="Times New Roman"/>
        <family val="1"/>
      </rPr>
      <t>)</t>
    </r>
  </si>
  <si>
    <t>kN/m3</t>
  </si>
  <si>
    <r>
      <t xml:space="preserve">W = </t>
    </r>
    <r>
      <rPr>
        <sz val="11"/>
        <rFont val="Symbol"/>
        <family val="1"/>
        <charset val="2"/>
      </rPr>
      <t>g</t>
    </r>
    <r>
      <rPr>
        <sz val="11"/>
        <rFont val="Times New Roman"/>
        <family val="1"/>
      </rPr>
      <t xml:space="preserve">.H.r = </t>
    </r>
  </si>
  <si>
    <t>Q =q.r =</t>
  </si>
  <si>
    <t>Độ sâu chôn tường:</t>
  </si>
  <si>
    <r>
      <t>H</t>
    </r>
    <r>
      <rPr>
        <vertAlign val="subscript"/>
        <sz val="11"/>
        <rFont val="Times New Roman"/>
        <family val="1"/>
      </rPr>
      <t>tn</t>
    </r>
    <r>
      <rPr>
        <sz val="11"/>
        <rFont val="Times New Roman"/>
        <family val="1"/>
      </rPr>
      <t xml:space="preserve"> =</t>
    </r>
  </si>
  <si>
    <t>L =</t>
  </si>
  <si>
    <r>
      <t xml:space="preserve">L = </t>
    </r>
    <r>
      <rPr>
        <sz val="11"/>
        <rFont val="Symbol"/>
        <family val="1"/>
        <charset val="2"/>
      </rPr>
      <t>p</t>
    </r>
    <r>
      <rPr>
        <sz val="11"/>
        <rFont val="Times New Roman"/>
        <family val="1"/>
      </rPr>
      <t>.D-2s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</si>
</sst>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0">
    <numFmt numFmtId="6" formatCode="&quot;$&quot;#,##0_);[Red]\(&quot;$&quot;#,##0\)"/>
    <numFmt numFmtId="164" formatCode="0.0"/>
    <numFmt numFmtId="165" formatCode="0.000"/>
    <numFmt numFmtId="166" formatCode="_-* #,##0_-;\-* #,##0_-;_-* &quot;-&quot;_-;_-@_-"/>
    <numFmt numFmtId="167" formatCode="_-* #,##0.00_-;\-* #,##0.00_-;_-* &quot;-&quot;??_-;_-@_-"/>
    <numFmt numFmtId="168" formatCode="_-&quot;$&quot;* #,##0_-;\-&quot;$&quot;* #,##0_-;_-&quot;$&quot;* &quot;-&quot;_-;_-@_-"/>
    <numFmt numFmtId="169" formatCode="_-&quot;$&quot;* #,##0.00_-;\-&quot;$&quot;* #,##0.00_-;_-&quot;$&quot;* &quot;-&quot;??_-;_-@_-"/>
    <numFmt numFmtId="170" formatCode="00.000"/>
    <numFmt numFmtId="171" formatCode="&quot;￥&quot;#,##0;&quot;￥&quot;\-#,##0"/>
    <numFmt numFmtId="172" formatCode="#,##0\ &quot;DM&quot;;\-#,##0\ &quot;DM&quot;"/>
    <numFmt numFmtId="173" formatCode="0.000%"/>
    <numFmt numFmtId="174" formatCode="\$#,##0\ ;\(\$#,##0\)"/>
    <numFmt numFmtId="175" formatCode="0.0000000"/>
    <numFmt numFmtId="176" formatCode="_ * #,##0_ ;_ * \-#,##0_ ;_ * &quot;-&quot;_ ;_ @_ "/>
    <numFmt numFmtId="177" formatCode="_ * #,##0.00_ ;_ * \-#,##0.00_ ;_ * &quot;-&quot;??_ ;_ @_ "/>
    <numFmt numFmtId="178" formatCode="_(* #,##0.000_);_(* \(#,##0.000\);_(* &quot;-&quot;??_);_(@_)"/>
    <numFmt numFmtId="179" formatCode="_ &quot;\&quot;* #,##0_ ;_ &quot;\&quot;* \-#,##0_ ;_ &quot;\&quot;* &quot;-&quot;_ ;_ @_ "/>
    <numFmt numFmtId="180" formatCode="_ &quot;\&quot;* #,##0.00_ ;_ &quot;\&quot;* \-#,##0.00_ ;_ &quot;\&quot;* &quot;-&quot;??_ ;_ @_ "/>
    <numFmt numFmtId="181" formatCode="_(&quot;$&quot;* #,##0.0_);_(&quot;$&quot;* \(#,##0.0\);_(&quot;$&quot;* &quot;-&quot;??_);_(@_)"/>
    <numFmt numFmtId="182" formatCode="\-0.00"/>
    <numFmt numFmtId="183" formatCode="&quot;=&quot;\ \ \ \ 0.0"/>
    <numFmt numFmtId="184" formatCode="&quot;f&quot;0"/>
    <numFmt numFmtId="185" formatCode="&quot; ~ &quot;0.00"/>
    <numFmt numFmtId="186" formatCode="&quot;@&quot;0"/>
    <numFmt numFmtId="187" formatCode="&quot;=&quot;0.0"/>
    <numFmt numFmtId="188" formatCode="&quot;=&quot;0.0000"/>
    <numFmt numFmtId="189" formatCode="&quot;=&quot;0.00"/>
    <numFmt numFmtId="190" formatCode="&quot;=&quot;\ \ \ \ 0.00"/>
    <numFmt numFmtId="191" formatCode="&quot;=&quot;0.000"/>
    <numFmt numFmtId="192" formatCode="#,##0.0"/>
  </numFmts>
  <fonts count="103">
    <font>
      <sz val="10"/>
      <name val="Arial"/>
    </font>
    <font>
      <sz val="10"/>
      <name val="Arial"/>
      <family val="2"/>
    </font>
    <font>
      <sz val="8"/>
      <name val="Arial"/>
      <family val="2"/>
    </font>
    <font>
      <sz val="12"/>
      <name val=".VnArial Narrow"/>
      <family val="2"/>
    </font>
    <font>
      <sz val="11"/>
      <name val=".VnArial Narrow"/>
      <family val="2"/>
    </font>
    <font>
      <sz val="10"/>
      <name val="Arial"/>
      <family val="2"/>
    </font>
    <font>
      <sz val="9"/>
      <name val="Arial"/>
      <family val="2"/>
    </font>
    <font>
      <sz val="9"/>
      <name val=".VnArial"/>
      <family val="2"/>
    </font>
    <font>
      <b/>
      <sz val="9"/>
      <name val=".VnArial"/>
      <family val="2"/>
    </font>
    <font>
      <sz val="12"/>
      <name val=".VnTime"/>
      <family val="2"/>
    </font>
    <font>
      <sz val="14"/>
      <name val="??"/>
      <family val="3"/>
    </font>
    <font>
      <sz val="12"/>
      <name val="????"/>
      <charset val="136"/>
    </font>
    <font>
      <sz val="12"/>
      <name val="???"/>
      <family val="3"/>
    </font>
    <font>
      <sz val="10"/>
      <name val="???"/>
      <family val="3"/>
    </font>
    <font>
      <b/>
      <u/>
      <sz val="14"/>
      <color indexed="8"/>
      <name val=".VnBook-AntiquaH"/>
      <family val="2"/>
    </font>
    <font>
      <i/>
      <sz val="12"/>
      <color indexed="8"/>
      <name val=".VnBook-AntiquaH"/>
      <family val="2"/>
    </font>
    <font>
      <b/>
      <sz val="12"/>
      <color indexed="8"/>
      <name val=".VnBook-Antiqua"/>
      <family val="2"/>
    </font>
    <font>
      <i/>
      <sz val="12"/>
      <color indexed="8"/>
      <name val=".VnBook-Antiqua"/>
      <family val="2"/>
    </font>
    <font>
      <sz val="12"/>
      <name val="±¼¸²Ã¼"/>
      <family val="3"/>
      <charset val="129"/>
    </font>
    <font>
      <sz val="12"/>
      <name val="¹UAAA¼"/>
      <family val="3"/>
      <charset val="129"/>
    </font>
    <font>
      <sz val="12"/>
      <name val="µ¸¿òÃ¼"/>
      <family val="3"/>
      <charset val="129"/>
    </font>
    <font>
      <b/>
      <sz val="12"/>
      <name val="Arial"/>
      <family val="2"/>
    </font>
    <font>
      <b/>
      <sz val="18"/>
      <name val="Arial"/>
      <family val="2"/>
    </font>
    <font>
      <u/>
      <sz val="9"/>
      <color indexed="12"/>
      <name val="Geneva"/>
    </font>
    <font>
      <u/>
      <sz val="9"/>
      <color indexed="36"/>
      <name val="Geneva"/>
    </font>
    <font>
      <sz val="12"/>
      <name val="Arial"/>
      <family val="2"/>
    </font>
    <font>
      <sz val="14"/>
      <name val=".VnTime"/>
      <family val="2"/>
    </font>
    <font>
      <sz val="14"/>
      <name val=".VnArial"/>
      <family val="2"/>
    </font>
    <font>
      <sz val="14"/>
      <name val="뼻뮝"/>
      <family val="3"/>
    </font>
    <font>
      <sz val="12"/>
      <name val="바탕체"/>
      <family val="3"/>
    </font>
    <font>
      <sz val="12"/>
      <name val="뼻뮝"/>
      <family val="3"/>
    </font>
    <font>
      <sz val="11"/>
      <name val="돋움"/>
      <family val="3"/>
    </font>
    <font>
      <sz val="10"/>
      <name val="굴림체"/>
      <family val="3"/>
    </font>
    <font>
      <sz val="12"/>
      <name val="Courier"/>
      <family val="3"/>
    </font>
    <font>
      <sz val="10"/>
      <name val=" "/>
      <family val="1"/>
      <charset val="136"/>
    </font>
    <font>
      <sz val="12"/>
      <name val="Times New Roman"/>
      <family val="1"/>
    </font>
    <font>
      <b/>
      <sz val="12"/>
      <name val=".VnArial"/>
      <family val="2"/>
    </font>
    <font>
      <b/>
      <sz val="12"/>
      <name val=".VnArialH"/>
      <family val="2"/>
    </font>
    <font>
      <b/>
      <vertAlign val="subscript"/>
      <sz val="9"/>
      <name val=".VnArial"/>
      <family val="2"/>
    </font>
    <font>
      <sz val="9"/>
      <name val=".VnArialH"/>
      <family val="2"/>
    </font>
    <font>
      <sz val="11"/>
      <name val="Times New Roman"/>
      <family val="1"/>
    </font>
    <font>
      <b/>
      <sz val="11"/>
      <name val=".VnArial Narrow"/>
      <family val="2"/>
    </font>
    <font>
      <b/>
      <sz val="9"/>
      <color indexed="9"/>
      <name val=".VnArial"/>
      <family val="2"/>
    </font>
    <font>
      <b/>
      <vertAlign val="subscript"/>
      <sz val="9"/>
      <color indexed="9"/>
      <name val=".VnArial"/>
      <family val="2"/>
    </font>
    <font>
      <sz val="9"/>
      <color indexed="9"/>
      <name val=".VnArial"/>
      <family val="2"/>
    </font>
    <font>
      <b/>
      <sz val="14"/>
      <name val="Times New Roman"/>
      <family val="1"/>
    </font>
    <font>
      <b/>
      <sz val="12"/>
      <name val="Times New Roman"/>
      <family val="1"/>
    </font>
    <font>
      <vertAlign val="subscript"/>
      <sz val="12"/>
      <name val="Times New Roman"/>
      <family val="1"/>
    </font>
    <font>
      <b/>
      <sz val="16"/>
      <name val="Times New Roman"/>
      <family val="1"/>
    </font>
    <font>
      <vertAlign val="superscript"/>
      <sz val="12"/>
      <name val="Times New Roman"/>
      <family val="1"/>
    </font>
    <font>
      <sz val="12"/>
      <name val="Symbol"/>
      <family val="1"/>
      <charset val="2"/>
    </font>
    <font>
      <b/>
      <sz val="11"/>
      <name val="Times New Roman"/>
      <family val="1"/>
    </font>
    <font>
      <sz val="13"/>
      <name val="Times New Roman"/>
      <family val="1"/>
    </font>
    <font>
      <vertAlign val="subscript"/>
      <sz val="11"/>
      <name val="Times New Roman"/>
      <family val="1"/>
    </font>
    <font>
      <sz val="13"/>
      <name val=".VnArial Narrow"/>
      <family val="2"/>
    </font>
    <font>
      <sz val="12"/>
      <color rgb="FFFF0000"/>
      <name val="Times New Roman"/>
      <family val="1"/>
    </font>
    <font>
      <b/>
      <sz val="12"/>
      <color rgb="FFFF0000"/>
      <name val="Times New Roman"/>
      <family val="1"/>
    </font>
    <font>
      <sz val="13"/>
      <color rgb="FFFF0000"/>
      <name val="Times New Roman"/>
      <family val="1"/>
    </font>
    <font>
      <sz val="12"/>
      <name val=".VnArial"/>
      <family val="2"/>
    </font>
    <font>
      <sz val="15"/>
      <name val="Times New Roman"/>
      <family val="1"/>
    </font>
    <font>
      <vertAlign val="subscript"/>
      <sz val="15"/>
      <name val="Times New Roman"/>
      <family val="1"/>
    </font>
    <font>
      <b/>
      <sz val="11"/>
      <color rgb="FFFF0000"/>
      <name val="Times New Roman"/>
      <family val="1"/>
    </font>
    <font>
      <sz val="11"/>
      <name val="Symbol"/>
      <family val="1"/>
      <charset val="2"/>
    </font>
    <font>
      <b/>
      <vertAlign val="superscript"/>
      <sz val="11"/>
      <name val="Times New Roman"/>
      <family val="1"/>
    </font>
    <font>
      <b/>
      <sz val="8"/>
      <color indexed="81"/>
      <name val="Tahoma"/>
      <family val="2"/>
    </font>
    <font>
      <sz val="8"/>
      <color indexed="81"/>
      <name val="Tahoma"/>
      <family val="2"/>
    </font>
    <font>
      <sz val="9"/>
      <color indexed="81"/>
      <name val="Tahoma"/>
      <family val="2"/>
      <charset val="238"/>
    </font>
    <font>
      <b/>
      <sz val="9"/>
      <color indexed="81"/>
      <name val="Tahoma"/>
      <family val="2"/>
      <charset val="238"/>
    </font>
    <font>
      <sz val="9"/>
      <color indexed="81"/>
      <name val="Tahoma"/>
      <family val="2"/>
    </font>
    <font>
      <b/>
      <sz val="9"/>
      <color indexed="81"/>
      <name val="Tahoma"/>
      <family val="2"/>
    </font>
    <font>
      <b/>
      <sz val="12"/>
      <name val="Times New Roman"/>
      <family val="1"/>
      <charset val="238"/>
    </font>
    <font>
      <sz val="12"/>
      <name val="Times New Roman"/>
      <family val="1"/>
      <charset val="238"/>
    </font>
    <font>
      <b/>
      <sz val="10"/>
      <name val="Arial"/>
      <family val="2"/>
    </font>
    <font>
      <vertAlign val="subscript"/>
      <sz val="10"/>
      <name val="Arial"/>
      <family val="2"/>
    </font>
    <font>
      <sz val="10"/>
      <name val="Arial"/>
      <family val="2"/>
    </font>
    <font>
      <b/>
      <sz val="14"/>
      <name val="Arial"/>
      <family val="2"/>
    </font>
    <font>
      <sz val="10"/>
      <name val="Symbol"/>
      <family val="1"/>
      <charset val="2"/>
    </font>
    <font>
      <b/>
      <i/>
      <u/>
      <sz val="10"/>
      <name val="Arial"/>
      <family val="2"/>
    </font>
    <font>
      <b/>
      <sz val="16"/>
      <name val="Times New Romanh"/>
    </font>
    <font>
      <sz val="11"/>
      <color rgb="FFFF0000"/>
      <name val=".VnArial Narrow"/>
      <family val="2"/>
    </font>
    <font>
      <b/>
      <sz val="11"/>
      <color rgb="FFFF0000"/>
      <name val=".VnArial Narrow"/>
      <family val="2"/>
    </font>
    <font>
      <sz val="12"/>
      <color rgb="FFFF0000"/>
      <name val="Times New Roman"/>
      <family val="1"/>
      <charset val="238"/>
    </font>
    <font>
      <b/>
      <sz val="13"/>
      <name val="Times New Roman"/>
      <family val="1"/>
    </font>
    <font>
      <b/>
      <u/>
      <sz val="11"/>
      <name val="Times New Roman"/>
      <family val="1"/>
    </font>
    <font>
      <vertAlign val="superscript"/>
      <sz val="11"/>
      <name val="Times New Roman"/>
      <family val="1"/>
    </font>
    <font>
      <b/>
      <i/>
      <u/>
      <sz val="11"/>
      <name val="Times New Roman"/>
      <family val="1"/>
    </font>
    <font>
      <b/>
      <i/>
      <u/>
      <vertAlign val="superscript"/>
      <sz val="11"/>
      <name val="Times New Roman"/>
      <family val="1"/>
    </font>
    <font>
      <u/>
      <sz val="11"/>
      <name val="Times New Roman"/>
      <family val="1"/>
    </font>
    <font>
      <sz val="11"/>
      <color indexed="10"/>
      <name val="Times New Roman"/>
      <family val="1"/>
    </font>
    <font>
      <b/>
      <sz val="11"/>
      <name val="Symbol"/>
      <family val="1"/>
      <charset val="2"/>
    </font>
    <font>
      <i/>
      <sz val="11"/>
      <name val="Times New Roman"/>
      <family val="1"/>
    </font>
    <font>
      <b/>
      <vertAlign val="subscript"/>
      <sz val="11"/>
      <name val="Times New Roman"/>
      <family val="1"/>
    </font>
    <font>
      <b/>
      <sz val="11"/>
      <color indexed="10"/>
      <name val="Times New Roman"/>
      <family val="1"/>
    </font>
    <font>
      <sz val="11"/>
      <name val=".VnTime"/>
      <family val="2"/>
    </font>
    <font>
      <b/>
      <i/>
      <sz val="11"/>
      <name val="Times New Roman"/>
      <family val="1"/>
    </font>
    <font>
      <b/>
      <sz val="11"/>
      <name val=".VnTime"/>
      <family val="2"/>
    </font>
    <font>
      <b/>
      <i/>
      <u/>
      <sz val="11"/>
      <name val="Symbol"/>
      <family val="1"/>
      <charset val="2"/>
    </font>
    <font>
      <vertAlign val="superscript"/>
      <sz val="11"/>
      <name val="Symbol"/>
      <family val="1"/>
      <charset val="2"/>
    </font>
    <font>
      <sz val="11"/>
      <color indexed="22"/>
      <name val="Times New Roman"/>
      <family val="1"/>
    </font>
    <font>
      <vertAlign val="subscript"/>
      <sz val="11"/>
      <name val="Times New Roman"/>
      <family val="1"/>
      <charset val="238"/>
    </font>
    <font>
      <b/>
      <sz val="11"/>
      <name val="Times New Roman"/>
      <family val="1"/>
      <charset val="238"/>
    </font>
    <font>
      <sz val="11"/>
      <name val="Arial"/>
      <family val="2"/>
    </font>
    <font>
      <sz val="11"/>
      <color rgb="FFFF0000"/>
      <name val="Times New Roman"/>
      <family val="1"/>
    </font>
  </fonts>
  <fills count="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indexed="43"/>
        <bgColor indexed="64"/>
      </patternFill>
    </fill>
  </fills>
  <borders count="3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bottom style="dashed">
        <color indexed="64"/>
      </bottom>
      <diagonal/>
    </border>
    <border>
      <left style="dashed">
        <color indexed="64"/>
      </left>
      <right/>
      <top/>
      <bottom/>
      <diagonal/>
    </border>
  </borders>
  <cellStyleXfs count="65">
    <xf numFmtId="0" fontId="0" fillId="0" borderId="0"/>
    <xf numFmtId="178" fontId="9" fillId="0" borderId="0" applyFont="0" applyFill="0" applyBorder="0" applyAlignment="0" applyProtection="0"/>
    <xf numFmtId="0" fontId="10" fillId="0" borderId="0" applyFont="0" applyFill="0" applyBorder="0" applyAlignment="0" applyProtection="0"/>
    <xf numFmtId="175" fontId="9" fillId="0" borderId="0" applyFont="0" applyFill="0" applyBorder="0" applyAlignment="0" applyProtection="0"/>
    <xf numFmtId="40" fontId="10" fillId="0" borderId="0" applyFont="0" applyFill="0" applyBorder="0" applyAlignment="0" applyProtection="0"/>
    <xf numFmtId="38" fontId="10" fillId="0" borderId="0" applyFont="0" applyFill="0" applyBorder="0" applyAlignment="0" applyProtection="0"/>
    <xf numFmtId="166" fontId="11" fillId="0" borderId="0" applyFont="0" applyFill="0" applyBorder="0" applyAlignment="0" applyProtection="0"/>
    <xf numFmtId="9" fontId="12" fillId="0" borderId="0" applyFont="0" applyFill="0" applyBorder="0" applyAlignment="0" applyProtection="0"/>
    <xf numFmtId="0" fontId="13" fillId="0" borderId="0"/>
    <xf numFmtId="0" fontId="14" fillId="2" borderId="0"/>
    <xf numFmtId="0" fontId="15" fillId="2" borderId="0"/>
    <xf numFmtId="0" fontId="16" fillId="2" borderId="0"/>
    <xf numFmtId="0" fontId="17" fillId="0" borderId="0">
      <alignment wrapText="1"/>
    </xf>
    <xf numFmtId="179" fontId="18" fillId="0" borderId="0" applyFont="0" applyFill="0" applyBorder="0" applyAlignment="0" applyProtection="0"/>
    <xf numFmtId="0" fontId="19" fillId="0" borderId="0" applyFont="0" applyFill="0" applyBorder="0" applyAlignment="0" applyProtection="0"/>
    <xf numFmtId="180" fontId="18" fillId="0" borderId="0" applyFont="0" applyFill="0" applyBorder="0" applyAlignment="0" applyProtection="0"/>
    <xf numFmtId="0" fontId="19" fillId="0" borderId="0" applyFont="0" applyFill="0" applyBorder="0" applyAlignment="0" applyProtection="0"/>
    <xf numFmtId="176" fontId="18" fillId="0" borderId="0" applyFont="0" applyFill="0" applyBorder="0" applyAlignment="0" applyProtection="0"/>
    <xf numFmtId="0" fontId="19" fillId="0" borderId="0" applyFont="0" applyFill="0" applyBorder="0" applyAlignment="0" applyProtection="0"/>
    <xf numFmtId="177" fontId="18" fillId="0" borderId="0" applyFont="0" applyFill="0" applyBorder="0" applyAlignment="0" applyProtection="0"/>
    <xf numFmtId="0" fontId="19" fillId="0" borderId="0" applyFont="0" applyFill="0" applyBorder="0" applyAlignment="0" applyProtection="0"/>
    <xf numFmtId="0" fontId="19" fillId="0" borderId="0"/>
    <xf numFmtId="0" fontId="20" fillId="0" borderId="0"/>
    <xf numFmtId="0" fontId="19" fillId="0" borderId="0"/>
    <xf numFmtId="3" fontId="5" fillId="0" borderId="0" applyFont="0" applyFill="0" applyBorder="0" applyAlignment="0" applyProtection="0"/>
    <xf numFmtId="174"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21" fillId="0" borderId="1" applyNumberFormat="0" applyAlignment="0" applyProtection="0">
      <alignment horizontal="left" vertical="center"/>
    </xf>
    <xf numFmtId="0" fontId="21" fillId="0" borderId="2">
      <alignment horizontal="left" vertical="center"/>
    </xf>
    <xf numFmtId="0" fontId="22" fillId="0" borderId="0" applyNumberFormat="0" applyFill="0" applyBorder="0" applyAlignment="0" applyProtection="0"/>
    <xf numFmtId="0" fontId="21"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ont="0" applyFill="0" applyAlignment="0"/>
    <xf numFmtId="181" fontId="26" fillId="0" borderId="0"/>
    <xf numFmtId="0" fontId="1" fillId="0" borderId="0"/>
    <xf numFmtId="0" fontId="1" fillId="0" borderId="0"/>
    <xf numFmtId="0" fontId="5" fillId="0" borderId="3" applyNumberFormat="0" applyFont="0" applyFill="0" applyAlignment="0" applyProtection="0"/>
    <xf numFmtId="0" fontId="27" fillId="0" borderId="0" applyNumberForma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9" fontId="29" fillId="0" borderId="0" applyFont="0" applyFill="0" applyBorder="0" applyAlignment="0" applyProtection="0"/>
    <xf numFmtId="0" fontId="30" fillId="0" borderId="0"/>
    <xf numFmtId="0" fontId="25" fillId="0" borderId="0"/>
    <xf numFmtId="166" fontId="6" fillId="0" borderId="0" applyFont="0" applyFill="0" applyBorder="0" applyAlignment="0" applyProtection="0"/>
    <xf numFmtId="167" fontId="6" fillId="0" borderId="0" applyFont="0" applyFill="0" applyBorder="0" applyAlignment="0" applyProtection="0"/>
    <xf numFmtId="172" fontId="31" fillId="0" borderId="0" applyFont="0" applyFill="0" applyBorder="0" applyAlignment="0" applyProtection="0"/>
    <xf numFmtId="173" fontId="31" fillId="0" borderId="0" applyFont="0" applyFill="0" applyBorder="0" applyAlignment="0" applyProtection="0"/>
    <xf numFmtId="171" fontId="31" fillId="0" borderId="0" applyFont="0" applyFill="0" applyBorder="0" applyAlignment="0" applyProtection="0"/>
    <xf numFmtId="170" fontId="31" fillId="0" borderId="0" applyFont="0" applyFill="0" applyBorder="0" applyAlignment="0" applyProtection="0"/>
    <xf numFmtId="0" fontId="32" fillId="0" borderId="0"/>
    <xf numFmtId="168" fontId="6" fillId="0" borderId="0" applyFont="0" applyFill="0" applyBorder="0" applyAlignment="0" applyProtection="0"/>
    <xf numFmtId="6" fontId="33" fillId="0" borderId="0" applyFont="0" applyFill="0" applyBorder="0" applyAlignment="0" applyProtection="0"/>
    <xf numFmtId="169" fontId="6"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0" fontId="35" fillId="0" borderId="0">
      <alignment vertical="center"/>
    </xf>
    <xf numFmtId="0" fontId="1" fillId="0" borderId="0"/>
    <xf numFmtId="0" fontId="58" fillId="0" borderId="0"/>
    <xf numFmtId="0" fontId="1" fillId="0" borderId="0"/>
    <xf numFmtId="0" fontId="1" fillId="0" borderId="0"/>
    <xf numFmtId="0" fontId="74" fillId="0" borderId="0"/>
  </cellStyleXfs>
  <cellXfs count="328">
    <xf numFmtId="0" fontId="0" fillId="0" borderId="0" xfId="0"/>
    <xf numFmtId="0" fontId="0" fillId="0" borderId="0" xfId="0" applyFill="1" applyBorder="1"/>
    <xf numFmtId="0" fontId="8" fillId="3" borderId="0" xfId="64" applyFont="1" applyFill="1" applyBorder="1" applyAlignment="1">
      <alignment horizontal="center" vertical="center"/>
    </xf>
    <xf numFmtId="0" fontId="0" fillId="0" borderId="0" xfId="0" applyBorder="1"/>
    <xf numFmtId="0" fontId="0" fillId="0" borderId="0" xfId="0" quotePrefix="1"/>
    <xf numFmtId="0" fontId="72" fillId="0" borderId="0" xfId="0" quotePrefix="1" applyFont="1" applyBorder="1"/>
    <xf numFmtId="0" fontId="0" fillId="4" borderId="0" xfId="0" applyFill="1" applyBorder="1"/>
    <xf numFmtId="0" fontId="72" fillId="0" borderId="0" xfId="0" applyFont="1" applyBorder="1"/>
    <xf numFmtId="0" fontId="0" fillId="0" borderId="0" xfId="0" applyBorder="1" applyAlignment="1">
      <alignment horizontal="center"/>
    </xf>
    <xf numFmtId="0" fontId="0" fillId="0" borderId="18" xfId="0" applyBorder="1" applyAlignment="1">
      <alignment horizontal="center"/>
    </xf>
    <xf numFmtId="0" fontId="0" fillId="4" borderId="18" xfId="0" applyFill="1" applyBorder="1"/>
    <xf numFmtId="0" fontId="0" fillId="0" borderId="18" xfId="0" applyBorder="1"/>
    <xf numFmtId="2" fontId="0" fillId="4" borderId="18" xfId="0" applyNumberFormat="1" applyFill="1" applyBorder="1"/>
    <xf numFmtId="0" fontId="8" fillId="3" borderId="15" xfId="64" applyFont="1" applyFill="1" applyBorder="1" applyAlignment="1">
      <alignment horizontal="center" vertical="center"/>
    </xf>
    <xf numFmtId="0" fontId="8" fillId="3" borderId="4" xfId="64" applyFont="1" applyFill="1" applyBorder="1" applyAlignment="1">
      <alignment horizontal="center" vertical="center"/>
    </xf>
    <xf numFmtId="0" fontId="0" fillId="0" borderId="33" xfId="0" applyBorder="1"/>
    <xf numFmtId="0" fontId="8" fillId="3" borderId="16" xfId="64" applyFont="1" applyFill="1" applyBorder="1" applyAlignment="1">
      <alignment horizontal="center" vertical="center"/>
    </xf>
    <xf numFmtId="0" fontId="72" fillId="0" borderId="0" xfId="0" quotePrefix="1" applyFont="1"/>
    <xf numFmtId="0" fontId="0" fillId="0" borderId="0" xfId="0" applyFill="1" applyBorder="1" applyAlignment="1">
      <alignment vertical="center"/>
    </xf>
    <xf numFmtId="188" fontId="72" fillId="0" borderId="0" xfId="0" applyNumberFormat="1" applyFont="1"/>
    <xf numFmtId="189" fontId="72" fillId="0" borderId="0" xfId="0" applyNumberFormat="1" applyFont="1"/>
    <xf numFmtId="190" fontId="0" fillId="0" borderId="0" xfId="0" applyNumberFormat="1"/>
    <xf numFmtId="187" fontId="0" fillId="0" borderId="0" xfId="0" applyNumberFormat="1"/>
    <xf numFmtId="0" fontId="0" fillId="0" borderId="0" xfId="0" applyAlignment="1">
      <alignment horizontal="right"/>
    </xf>
    <xf numFmtId="188" fontId="0" fillId="0" borderId="0" xfId="0" applyNumberFormat="1"/>
    <xf numFmtId="165" fontId="0" fillId="0" borderId="0" xfId="0" applyNumberFormat="1"/>
    <xf numFmtId="165" fontId="0" fillId="0" borderId="0" xfId="0" applyNumberFormat="1" applyAlignment="1">
      <alignment horizontal="center"/>
    </xf>
    <xf numFmtId="0" fontId="0" fillId="0" borderId="0" xfId="0" quotePrefix="1" applyAlignment="1">
      <alignment horizontal="center"/>
    </xf>
    <xf numFmtId="0" fontId="0" fillId="4" borderId="0" xfId="0" applyFill="1"/>
    <xf numFmtId="2" fontId="72" fillId="0" borderId="0" xfId="0" applyNumberFormat="1" applyFont="1" applyAlignment="1">
      <alignment horizontal="right"/>
    </xf>
    <xf numFmtId="2" fontId="72" fillId="0" borderId="0" xfId="0" applyNumberFormat="1" applyFont="1"/>
    <xf numFmtId="0" fontId="0" fillId="4" borderId="0" xfId="0" applyFill="1" applyAlignment="1">
      <alignment horizontal="center"/>
    </xf>
    <xf numFmtId="0" fontId="76" fillId="0" borderId="0" xfId="0" applyFont="1" applyAlignment="1">
      <alignment horizontal="center"/>
    </xf>
    <xf numFmtId="0" fontId="0" fillId="0" borderId="0" xfId="0" applyAlignment="1">
      <alignment horizontal="center"/>
    </xf>
    <xf numFmtId="0" fontId="77" fillId="0" borderId="0" xfId="0" applyFont="1" applyAlignment="1">
      <alignment horizontal="center"/>
    </xf>
    <xf numFmtId="191" fontId="72" fillId="0" borderId="0" xfId="0" applyNumberFormat="1" applyFont="1" applyAlignment="1">
      <alignment horizontal="center"/>
    </xf>
    <xf numFmtId="0" fontId="48" fillId="5" borderId="0" xfId="0" quotePrefix="1" applyFont="1" applyFill="1" applyBorder="1" applyAlignment="1">
      <alignment horizontal="center"/>
    </xf>
    <xf numFmtId="0" fontId="48" fillId="5" borderId="0" xfId="0" quotePrefix="1" applyFont="1" applyFill="1" applyAlignment="1">
      <alignment horizontal="center"/>
    </xf>
    <xf numFmtId="0" fontId="35" fillId="5" borderId="0" xfId="0" applyFont="1" applyFill="1"/>
    <xf numFmtId="0" fontId="45" fillId="5" borderId="0" xfId="0" applyFont="1" applyFill="1"/>
    <xf numFmtId="0" fontId="35" fillId="5" borderId="0" xfId="0" applyFont="1" applyFill="1" applyBorder="1"/>
    <xf numFmtId="0" fontId="3" fillId="5" borderId="0" xfId="0" applyFont="1" applyFill="1"/>
    <xf numFmtId="0" fontId="46" fillId="5" borderId="4" xfId="0" applyFont="1" applyFill="1" applyBorder="1" applyAlignment="1">
      <alignment horizontal="center"/>
    </xf>
    <xf numFmtId="0" fontId="45" fillId="5" borderId="0" xfId="0" applyFont="1" applyFill="1" applyAlignment="1">
      <alignment horizontal="left"/>
    </xf>
    <xf numFmtId="0" fontId="35" fillId="5" borderId="0" xfId="0" applyFont="1" applyFill="1" applyAlignment="1">
      <alignment horizontal="left"/>
    </xf>
    <xf numFmtId="0" fontId="35" fillId="5" borderId="4" xfId="0" applyFont="1" applyFill="1" applyBorder="1" applyAlignment="1">
      <alignment horizontal="center" vertical="center" wrapText="1"/>
    </xf>
    <xf numFmtId="0" fontId="35" fillId="5" borderId="0" xfId="0" applyFont="1" applyFill="1" applyBorder="1" applyAlignment="1">
      <alignment horizontal="center" vertical="center" wrapText="1"/>
    </xf>
    <xf numFmtId="0" fontId="50" fillId="5" borderId="4" xfId="0" applyFont="1" applyFill="1" applyBorder="1" applyAlignment="1">
      <alignment horizontal="center" vertical="center" wrapText="1"/>
    </xf>
    <xf numFmtId="0" fontId="35" fillId="5" borderId="4" xfId="0" applyFont="1" applyFill="1" applyBorder="1" applyAlignment="1">
      <alignment horizontal="center" vertical="center"/>
    </xf>
    <xf numFmtId="0" fontId="50" fillId="5" borderId="0" xfId="0" applyFont="1" applyFill="1" applyBorder="1" applyAlignment="1">
      <alignment horizontal="center" vertical="center" wrapText="1"/>
    </xf>
    <xf numFmtId="0" fontId="35" fillId="5" borderId="0" xfId="0" applyFont="1" applyFill="1" applyBorder="1" applyAlignment="1">
      <alignment horizontal="center" vertical="center"/>
    </xf>
    <xf numFmtId="0" fontId="54" fillId="5" borderId="4" xfId="0" applyFont="1" applyFill="1" applyBorder="1" applyAlignment="1">
      <alignment horizontal="center" vertical="center"/>
    </xf>
    <xf numFmtId="0" fontId="52" fillId="5" borderId="4" xfId="0" applyFont="1" applyFill="1" applyBorder="1" applyAlignment="1">
      <alignment horizontal="center" vertical="center" wrapText="1"/>
    </xf>
    <xf numFmtId="0" fontId="57" fillId="5" borderId="4" xfId="0" applyFont="1" applyFill="1" applyBorder="1" applyAlignment="1">
      <alignment horizontal="center" vertical="center"/>
    </xf>
    <xf numFmtId="0" fontId="52" fillId="5" borderId="4" xfId="0" applyFont="1" applyFill="1" applyBorder="1" applyAlignment="1">
      <alignment horizontal="center" vertical="center"/>
    </xf>
    <xf numFmtId="164" fontId="52" fillId="5" borderId="4" xfId="0" applyNumberFormat="1" applyFont="1" applyFill="1" applyBorder="1" applyAlignment="1">
      <alignment horizontal="center" vertical="center"/>
    </xf>
    <xf numFmtId="2" fontId="57" fillId="5" borderId="4" xfId="0" applyNumberFormat="1" applyFont="1" applyFill="1" applyBorder="1" applyAlignment="1">
      <alignment horizontal="center" vertical="center"/>
    </xf>
    <xf numFmtId="2" fontId="52" fillId="5" borderId="4" xfId="0" applyNumberFormat="1" applyFont="1" applyFill="1" applyBorder="1" applyAlignment="1">
      <alignment horizontal="center" vertical="center"/>
    </xf>
    <xf numFmtId="2" fontId="52" fillId="5" borderId="0" xfId="0" applyNumberFormat="1" applyFont="1" applyFill="1" applyBorder="1" applyAlignment="1">
      <alignment horizontal="center" vertical="center"/>
    </xf>
    <xf numFmtId="1" fontId="35" fillId="5" borderId="0" xfId="0" applyNumberFormat="1" applyFont="1" applyFill="1" applyAlignment="1">
      <alignment horizontal="center" vertical="center"/>
    </xf>
    <xf numFmtId="0" fontId="41" fillId="5" borderId="4" xfId="0" applyFont="1" applyFill="1" applyBorder="1" applyAlignment="1">
      <alignment horizontal="center" vertical="center"/>
    </xf>
    <xf numFmtId="164" fontId="35" fillId="5" borderId="4" xfId="0" applyNumberFormat="1" applyFont="1" applyFill="1" applyBorder="1" applyAlignment="1">
      <alignment horizontal="center" vertical="center"/>
    </xf>
    <xf numFmtId="0" fontId="8" fillId="5" borderId="4" xfId="37" applyFont="1" applyFill="1" applyBorder="1" applyAlignment="1">
      <alignment horizontal="center" vertical="center"/>
    </xf>
    <xf numFmtId="0" fontId="8" fillId="5" borderId="14" xfId="37" applyFont="1" applyFill="1" applyBorder="1" applyAlignment="1">
      <alignment horizontal="center" vertical="center"/>
    </xf>
    <xf numFmtId="0" fontId="8" fillId="5" borderId="5" xfId="37" applyFont="1" applyFill="1" applyBorder="1" applyAlignment="1">
      <alignment horizontal="center" vertical="center"/>
    </xf>
    <xf numFmtId="164" fontId="7" fillId="5" borderId="5" xfId="37" applyNumberFormat="1" applyFont="1" applyFill="1" applyBorder="1" applyAlignment="1">
      <alignment horizontal="center" vertical="center"/>
    </xf>
    <xf numFmtId="2" fontId="7" fillId="5" borderId="5" xfId="37" applyNumberFormat="1" applyFont="1" applyFill="1" applyBorder="1" applyAlignment="1">
      <alignment horizontal="center" vertical="center"/>
    </xf>
    <xf numFmtId="164" fontId="7" fillId="5" borderId="14" xfId="37" applyNumberFormat="1" applyFont="1" applyFill="1" applyBorder="1" applyAlignment="1">
      <alignment horizontal="center" vertical="center"/>
    </xf>
    <xf numFmtId="0" fontId="7" fillId="5" borderId="5" xfId="37" applyFont="1" applyFill="1" applyBorder="1" applyAlignment="1">
      <alignment horizontal="center" vertical="center"/>
    </xf>
    <xf numFmtId="2" fontId="7" fillId="5" borderId="6" xfId="37" applyNumberFormat="1" applyFont="1" applyFill="1" applyBorder="1" applyAlignment="1">
      <alignment horizontal="center" vertical="center"/>
    </xf>
    <xf numFmtId="2" fontId="7" fillId="5" borderId="14" xfId="37" applyNumberFormat="1" applyFont="1" applyFill="1" applyBorder="1" applyAlignment="1">
      <alignment horizontal="center" vertical="center"/>
    </xf>
    <xf numFmtId="0" fontId="7" fillId="5" borderId="6" xfId="37" applyFont="1" applyFill="1" applyBorder="1" applyAlignment="1">
      <alignment horizontal="center" vertical="center"/>
    </xf>
    <xf numFmtId="164" fontId="7" fillId="5" borderId="6" xfId="37" applyNumberFormat="1" applyFont="1" applyFill="1" applyBorder="1" applyAlignment="1">
      <alignment horizontal="center" vertical="center"/>
    </xf>
    <xf numFmtId="1" fontId="7" fillId="5" borderId="6" xfId="37" applyNumberFormat="1" applyFont="1" applyFill="1" applyBorder="1" applyAlignment="1">
      <alignment horizontal="center" vertical="center"/>
    </xf>
    <xf numFmtId="1" fontId="7" fillId="5" borderId="14" xfId="37" applyNumberFormat="1" applyFont="1" applyFill="1" applyBorder="1" applyAlignment="1">
      <alignment horizontal="center" vertical="center"/>
    </xf>
    <xf numFmtId="1" fontId="7" fillId="5" borderId="7" xfId="37" applyNumberFormat="1" applyFont="1" applyFill="1" applyBorder="1" applyAlignment="1">
      <alignment horizontal="center" vertical="center"/>
    </xf>
    <xf numFmtId="0" fontId="7" fillId="5" borderId="7" xfId="37" applyFont="1" applyFill="1" applyBorder="1" applyAlignment="1">
      <alignment horizontal="center" vertical="center"/>
    </xf>
    <xf numFmtId="0" fontId="8" fillId="5" borderId="0" xfId="37" applyFont="1" applyFill="1" applyBorder="1" applyAlignment="1">
      <alignment horizontal="center" vertical="center"/>
    </xf>
    <xf numFmtId="1" fontId="7" fillId="5" borderId="0" xfId="37" applyNumberFormat="1" applyFont="1" applyFill="1" applyBorder="1" applyAlignment="1">
      <alignment horizontal="center" vertical="center"/>
    </xf>
    <xf numFmtId="0" fontId="7" fillId="5" borderId="0" xfId="37" applyFont="1" applyFill="1" applyBorder="1" applyAlignment="1">
      <alignment horizontal="center" vertical="center"/>
    </xf>
    <xf numFmtId="0" fontId="37" fillId="5" borderId="8" xfId="37" applyFont="1" applyFill="1" applyBorder="1" applyAlignment="1">
      <alignment horizontal="center" vertical="center"/>
    </xf>
    <xf numFmtId="0" fontId="37" fillId="5" borderId="0" xfId="37" applyFont="1" applyFill="1" applyBorder="1" applyAlignment="1">
      <alignment horizontal="center" vertical="center"/>
    </xf>
    <xf numFmtId="0" fontId="39" fillId="5" borderId="0" xfId="37" applyFont="1" applyFill="1" applyBorder="1" applyAlignment="1">
      <alignment vertical="center"/>
    </xf>
    <xf numFmtId="0" fontId="8" fillId="5" borderId="9" xfId="37" applyFont="1" applyFill="1" applyBorder="1" applyAlignment="1">
      <alignment horizontal="center" vertical="center" wrapText="1"/>
    </xf>
    <xf numFmtId="0" fontId="8" fillId="5" borderId="10" xfId="37" applyFont="1" applyFill="1" applyBorder="1" applyAlignment="1">
      <alignment horizontal="center" vertical="center" wrapText="1"/>
    </xf>
    <xf numFmtId="0" fontId="8" fillId="5" borderId="11" xfId="37" applyFont="1" applyFill="1" applyBorder="1" applyAlignment="1">
      <alignment horizontal="center" vertical="center" wrapText="1"/>
    </xf>
    <xf numFmtId="0" fontId="8" fillId="5" borderId="12" xfId="37" applyFont="1" applyFill="1" applyBorder="1" applyAlignment="1">
      <alignment horizontal="center" vertical="center" wrapText="1"/>
    </xf>
    <xf numFmtId="0" fontId="7" fillId="5" borderId="4" xfId="37" applyFont="1" applyFill="1" applyBorder="1" applyAlignment="1">
      <alignment horizontal="center" vertical="center"/>
    </xf>
    <xf numFmtId="0" fontId="44" fillId="5" borderId="4" xfId="37" applyFont="1" applyFill="1" applyBorder="1" applyAlignment="1">
      <alignment horizontal="center" vertical="center"/>
    </xf>
    <xf numFmtId="0" fontId="40" fillId="5" borderId="0" xfId="62" applyFont="1" applyFill="1" applyAlignment="1">
      <alignment horizontal="left" vertical="center"/>
    </xf>
    <xf numFmtId="0" fontId="40" fillId="5" borderId="0" xfId="62" applyFont="1" applyFill="1" applyAlignment="1">
      <alignment horizontal="center" vertical="center"/>
    </xf>
    <xf numFmtId="0" fontId="40" fillId="5" borderId="0" xfId="36" applyFont="1" applyFill="1" applyAlignment="1">
      <alignment horizontal="center" vertical="center"/>
    </xf>
    <xf numFmtId="0" fontId="40" fillId="5" borderId="0" xfId="60" applyFont="1" applyFill="1"/>
    <xf numFmtId="0" fontId="4" fillId="5" borderId="0" xfId="60" applyFont="1" applyFill="1"/>
    <xf numFmtId="0" fontId="40" fillId="5" borderId="0" xfId="36" applyFont="1" applyFill="1" applyAlignment="1">
      <alignment horizontal="left" vertical="center"/>
    </xf>
    <xf numFmtId="0" fontId="40" fillId="5" borderId="0" xfId="36" applyFont="1" applyFill="1" applyBorder="1" applyAlignment="1">
      <alignment horizontal="center" vertical="center"/>
    </xf>
    <xf numFmtId="0" fontId="4" fillId="5" borderId="0" xfId="36" applyFont="1" applyFill="1" applyBorder="1" applyAlignment="1">
      <alignment horizontal="center" vertical="center"/>
    </xf>
    <xf numFmtId="0" fontId="4" fillId="5" borderId="0" xfId="36" applyFont="1" applyFill="1" applyAlignment="1">
      <alignment horizontal="center" vertical="center"/>
    </xf>
    <xf numFmtId="182" fontId="61" fillId="5" borderId="4" xfId="36" applyNumberFormat="1" applyFont="1" applyFill="1" applyBorder="1" applyAlignment="1">
      <alignment horizontal="center" vertical="center"/>
    </xf>
    <xf numFmtId="0" fontId="51" fillId="5" borderId="0" xfId="36" applyFont="1" applyFill="1" applyAlignment="1">
      <alignment horizontal="center" vertical="center"/>
    </xf>
    <xf numFmtId="2" fontId="61" fillId="5" borderId="4" xfId="36" applyNumberFormat="1" applyFont="1" applyFill="1" applyBorder="1" applyAlignment="1">
      <alignment horizontal="center" vertical="center"/>
    </xf>
    <xf numFmtId="0" fontId="62" fillId="5" borderId="0" xfId="36" applyFont="1" applyFill="1" applyAlignment="1">
      <alignment horizontal="center" vertical="center"/>
    </xf>
    <xf numFmtId="2" fontId="51" fillId="5" borderId="4" xfId="36" applyNumberFormat="1" applyFont="1" applyFill="1" applyBorder="1" applyAlignment="1">
      <alignment horizontal="center" vertical="center"/>
    </xf>
    <xf numFmtId="164" fontId="61" fillId="5" borderId="4" xfId="36" applyNumberFormat="1" applyFont="1" applyFill="1" applyBorder="1" applyAlignment="1">
      <alignment horizontal="center" vertical="center"/>
    </xf>
    <xf numFmtId="0" fontId="61" fillId="5" borderId="4" xfId="36" applyNumberFormat="1" applyFont="1" applyFill="1" applyBorder="1" applyAlignment="1">
      <alignment horizontal="center" vertical="center"/>
    </xf>
    <xf numFmtId="0" fontId="40" fillId="5" borderId="0" xfId="60" applyFont="1" applyFill="1" applyBorder="1"/>
    <xf numFmtId="164" fontId="51" fillId="5" borderId="4" xfId="36" applyNumberFormat="1" applyFont="1" applyFill="1" applyBorder="1" applyAlignment="1">
      <alignment horizontal="center" vertical="center"/>
    </xf>
    <xf numFmtId="164" fontId="51" fillId="5" borderId="0" xfId="36" applyNumberFormat="1" applyFont="1" applyFill="1" applyBorder="1" applyAlignment="1">
      <alignment horizontal="center" vertical="center"/>
    </xf>
    <xf numFmtId="0" fontId="51" fillId="5" borderId="0" xfId="36" applyNumberFormat="1" applyFont="1" applyFill="1" applyBorder="1" applyAlignment="1">
      <alignment horizontal="center" vertical="center"/>
    </xf>
    <xf numFmtId="2" fontId="51" fillId="5" borderId="0" xfId="36" applyNumberFormat="1" applyFont="1" applyFill="1" applyBorder="1" applyAlignment="1">
      <alignment horizontal="center" vertical="center"/>
    </xf>
    <xf numFmtId="0" fontId="35" fillId="5" borderId="13" xfId="0" applyFont="1" applyFill="1" applyBorder="1" applyAlignment="1">
      <alignment horizontal="center" vertical="center" wrapText="1"/>
    </xf>
    <xf numFmtId="0" fontId="35" fillId="5" borderId="0" xfId="0" applyFont="1" applyFill="1" applyAlignment="1">
      <alignment vertical="center"/>
    </xf>
    <xf numFmtId="0" fontId="35" fillId="5" borderId="4" xfId="0" applyFont="1" applyFill="1" applyBorder="1" applyAlignment="1">
      <alignment horizontal="center" vertical="center"/>
    </xf>
    <xf numFmtId="0" fontId="35" fillId="5" borderId="14" xfId="0" applyFont="1" applyFill="1" applyBorder="1" applyAlignment="1">
      <alignment horizontal="center" vertical="center"/>
    </xf>
    <xf numFmtId="0" fontId="35" fillId="5" borderId="15" xfId="0" applyFont="1" applyFill="1" applyBorder="1" applyAlignment="1">
      <alignment horizontal="center" vertical="center"/>
    </xf>
    <xf numFmtId="0" fontId="4" fillId="5" borderId="4" xfId="0" applyFont="1" applyFill="1" applyBorder="1" applyAlignment="1">
      <alignment vertical="center"/>
    </xf>
    <xf numFmtId="2" fontId="35" fillId="5" borderId="4" xfId="0" applyNumberFormat="1" applyFont="1" applyFill="1" applyBorder="1" applyAlignment="1">
      <alignment horizontal="center" vertical="center"/>
    </xf>
    <xf numFmtId="0" fontId="35" fillId="5" borderId="4" xfId="0" applyFont="1" applyFill="1" applyBorder="1" applyAlignment="1">
      <alignment horizontal="center" vertical="center"/>
    </xf>
    <xf numFmtId="0" fontId="59" fillId="5" borderId="0" xfId="0" applyFont="1" applyFill="1" applyBorder="1" applyAlignment="1">
      <alignment horizontal="center" vertical="center" textRotation="180"/>
    </xf>
    <xf numFmtId="0" fontId="79" fillId="5" borderId="4" xfId="0" applyFont="1" applyFill="1" applyBorder="1" applyAlignment="1">
      <alignment vertical="center"/>
    </xf>
    <xf numFmtId="0" fontId="80" fillId="5" borderId="4" xfId="0" applyFont="1" applyFill="1" applyBorder="1" applyAlignment="1">
      <alignment horizontal="center" vertical="center"/>
    </xf>
    <xf numFmtId="0" fontId="35" fillId="5" borderId="4" xfId="0" applyFont="1" applyFill="1" applyBorder="1" applyAlignment="1">
      <alignment horizontal="center" vertical="center" wrapText="1"/>
    </xf>
    <xf numFmtId="0" fontId="35" fillId="5" borderId="4" xfId="0" applyFont="1" applyFill="1" applyBorder="1" applyAlignment="1">
      <alignment horizontal="center" vertical="center"/>
    </xf>
    <xf numFmtId="0" fontId="55" fillId="5" borderId="4" xfId="0" applyFont="1" applyFill="1" applyBorder="1" applyAlignment="1">
      <alignment horizontal="center" vertical="center"/>
    </xf>
    <xf numFmtId="4" fontId="55" fillId="5" borderId="4" xfId="0" applyNumberFormat="1" applyFont="1" applyFill="1" applyBorder="1" applyAlignment="1">
      <alignment horizontal="center" vertical="center"/>
    </xf>
    <xf numFmtId="2" fontId="55" fillId="5" borderId="4" xfId="0" applyNumberFormat="1" applyFont="1" applyFill="1" applyBorder="1" applyAlignment="1">
      <alignment horizontal="center" vertical="center"/>
    </xf>
    <xf numFmtId="0" fontId="56" fillId="6" borderId="4" xfId="0" applyFont="1" applyFill="1" applyBorder="1" applyAlignment="1">
      <alignment horizontal="center" vertical="center"/>
    </xf>
    <xf numFmtId="0" fontId="55" fillId="6" borderId="4" xfId="0" applyFont="1" applyFill="1" applyBorder="1" applyAlignment="1">
      <alignment horizontal="center" vertical="center"/>
    </xf>
    <xf numFmtId="192" fontId="55" fillId="5" borderId="4" xfId="0" applyNumberFormat="1" applyFont="1" applyFill="1" applyBorder="1" applyAlignment="1">
      <alignment horizontal="center" vertical="center"/>
    </xf>
    <xf numFmtId="0" fontId="70" fillId="5" borderId="0" xfId="0" applyFont="1" applyFill="1" applyBorder="1" applyAlignment="1">
      <alignment horizontal="left" vertical="center"/>
    </xf>
    <xf numFmtId="0" fontId="71" fillId="5" borderId="0" xfId="0" applyFont="1" applyFill="1"/>
    <xf numFmtId="0" fontId="70" fillId="5" borderId="0" xfId="0" applyFont="1" applyFill="1" applyBorder="1" applyAlignment="1">
      <alignment horizontal="center" vertical="center"/>
    </xf>
    <xf numFmtId="0" fontId="81" fillId="5" borderId="4" xfId="0" applyFont="1" applyFill="1" applyBorder="1" applyAlignment="1">
      <alignment horizontal="center"/>
    </xf>
    <xf numFmtId="0" fontId="70" fillId="5" borderId="0" xfId="0" applyFont="1" applyFill="1" applyBorder="1" applyAlignment="1">
      <alignment vertical="center"/>
    </xf>
    <xf numFmtId="0" fontId="51" fillId="5" borderId="0" xfId="60" applyFont="1" applyFill="1" applyBorder="1" applyAlignment="1">
      <alignment vertical="center" wrapText="1"/>
    </xf>
    <xf numFmtId="0" fontId="40" fillId="5" borderId="0" xfId="60" applyFont="1" applyFill="1" applyBorder="1" applyAlignment="1"/>
    <xf numFmtId="0" fontId="40" fillId="5" borderId="0" xfId="60" applyFont="1" applyFill="1" applyAlignment="1"/>
    <xf numFmtId="0" fontId="83" fillId="5" borderId="0" xfId="60" applyFont="1" applyFill="1" applyBorder="1"/>
    <xf numFmtId="0" fontId="40" fillId="5" borderId="0" xfId="60" applyFont="1" applyFill="1" applyBorder="1" applyAlignment="1">
      <alignment horizontal="center"/>
    </xf>
    <xf numFmtId="0" fontId="40" fillId="5" borderId="0" xfId="60" applyFont="1" applyFill="1" applyBorder="1" applyAlignment="1">
      <alignment horizontal="center" vertical="center"/>
    </xf>
    <xf numFmtId="0" fontId="40" fillId="5" borderId="0" xfId="60" applyFont="1" applyFill="1" applyBorder="1" applyAlignment="1">
      <alignment horizontal="right"/>
    </xf>
    <xf numFmtId="2" fontId="40" fillId="5" borderId="0" xfId="60" applyNumberFormat="1" applyFont="1" applyFill="1" applyBorder="1" applyAlignment="1">
      <alignment horizontal="right"/>
    </xf>
    <xf numFmtId="2" fontId="40" fillId="5" borderId="0" xfId="60" applyNumberFormat="1" applyFont="1" applyFill="1" applyBorder="1" applyAlignment="1">
      <alignment horizontal="center"/>
    </xf>
    <xf numFmtId="0" fontId="51" fillId="5" borderId="0" xfId="60" applyFont="1" applyFill="1" applyBorder="1" applyAlignment="1" applyProtection="1">
      <alignment horizontal="center"/>
      <protection locked="0"/>
    </xf>
    <xf numFmtId="0" fontId="40" fillId="5" borderId="0" xfId="60" applyFont="1" applyFill="1" applyBorder="1" applyAlignment="1" applyProtection="1">
      <alignment horizontal="right"/>
      <protection locked="0"/>
    </xf>
    <xf numFmtId="0" fontId="40" fillId="5" borderId="0" xfId="60" applyFont="1" applyFill="1" applyBorder="1" applyAlignment="1" applyProtection="1">
      <alignment horizontal="center"/>
      <protection locked="0"/>
    </xf>
    <xf numFmtId="2" fontId="40" fillId="5" borderId="0" xfId="60" applyNumberFormat="1" applyFont="1" applyFill="1" applyBorder="1" applyProtection="1">
      <protection locked="0"/>
    </xf>
    <xf numFmtId="0" fontId="85" fillId="5" borderId="0" xfId="60" applyFont="1" applyFill="1" applyBorder="1"/>
    <xf numFmtId="0" fontId="40" fillId="5" borderId="0" xfId="60" applyFont="1" applyFill="1" applyBorder="1" applyProtection="1">
      <protection locked="0"/>
    </xf>
    <xf numFmtId="0" fontId="51" fillId="5" borderId="0" xfId="60" applyFont="1" applyFill="1" applyBorder="1"/>
    <xf numFmtId="0" fontId="51" fillId="5" borderId="0" xfId="60" applyFont="1" applyFill="1" applyBorder="1" applyAlignment="1">
      <alignment horizontal="right"/>
    </xf>
    <xf numFmtId="0" fontId="61" fillId="5" borderId="4" xfId="60" applyFont="1" applyFill="1" applyBorder="1" applyAlignment="1" applyProtection="1">
      <alignment horizontal="center"/>
      <protection locked="0"/>
    </xf>
    <xf numFmtId="0" fontId="51" fillId="5" borderId="4" xfId="60" applyFont="1" applyFill="1" applyBorder="1" applyAlignment="1" applyProtection="1">
      <alignment horizontal="center"/>
      <protection locked="0"/>
    </xf>
    <xf numFmtId="0" fontId="85" fillId="5" borderId="0" xfId="60" applyFont="1" applyFill="1" applyBorder="1" applyAlignment="1" applyProtection="1">
      <alignment wrapText="1"/>
      <protection locked="0"/>
    </xf>
    <xf numFmtId="0" fontId="51" fillId="5" borderId="0" xfId="60" quotePrefix="1" applyFont="1" applyFill="1" applyBorder="1" applyAlignment="1">
      <alignment horizontal="left"/>
    </xf>
    <xf numFmtId="185" fontId="40" fillId="5" borderId="0" xfId="60" applyNumberFormat="1" applyFont="1" applyFill="1" applyBorder="1" applyAlignment="1">
      <alignment horizontal="center"/>
    </xf>
    <xf numFmtId="2" fontId="40" fillId="5" borderId="0" xfId="60" applyNumberFormat="1" applyFont="1" applyFill="1" applyBorder="1" applyAlignment="1">
      <alignment horizontal="center" shrinkToFit="1"/>
    </xf>
    <xf numFmtId="185" fontId="40" fillId="5" borderId="0" xfId="60" applyNumberFormat="1" applyFont="1" applyFill="1" applyBorder="1" applyAlignment="1">
      <alignment horizontal="left"/>
    </xf>
    <xf numFmtId="2" fontId="40" fillId="5" borderId="0" xfId="60" applyNumberFormat="1" applyFont="1" applyFill="1" applyBorder="1" applyAlignment="1" applyProtection="1">
      <alignment horizontal="center" shrinkToFit="1"/>
      <protection locked="0"/>
    </xf>
    <xf numFmtId="0" fontId="40" fillId="5" borderId="0" xfId="60" applyFont="1" applyFill="1" applyBorder="1" applyAlignment="1" applyProtection="1">
      <alignment horizontal="left"/>
      <protection locked="0"/>
    </xf>
    <xf numFmtId="1" fontId="40" fillId="5" borderId="0" xfId="60" applyNumberFormat="1" applyFont="1" applyFill="1" applyBorder="1" applyAlignment="1" applyProtection="1">
      <alignment shrinkToFit="1"/>
      <protection locked="0"/>
    </xf>
    <xf numFmtId="2" fontId="40" fillId="5" borderId="0" xfId="60" applyNumberFormat="1" applyFont="1" applyFill="1" applyBorder="1" applyAlignment="1" applyProtection="1">
      <alignment shrinkToFit="1"/>
      <protection locked="0"/>
    </xf>
    <xf numFmtId="2" fontId="40" fillId="5" borderId="0" xfId="60" applyNumberFormat="1" applyFont="1" applyFill="1" applyProtection="1">
      <protection locked="0"/>
    </xf>
    <xf numFmtId="0" fontId="85" fillId="5" borderId="0" xfId="60" applyFont="1" applyFill="1"/>
    <xf numFmtId="0" fontId="40" fillId="5" borderId="26" xfId="60" applyFont="1" applyFill="1" applyBorder="1" applyAlignment="1">
      <alignment horizontal="center" vertical="center" wrapText="1"/>
    </xf>
    <xf numFmtId="0" fontId="40" fillId="5" borderId="27" xfId="60" applyFont="1" applyFill="1" applyBorder="1" applyAlignment="1">
      <alignment horizontal="center" vertical="center" wrapText="1"/>
    </xf>
    <xf numFmtId="0" fontId="40" fillId="5" borderId="28" xfId="60" applyFont="1" applyFill="1" applyBorder="1" applyAlignment="1">
      <alignment horizontal="center" vertical="center" wrapText="1"/>
    </xf>
    <xf numFmtId="0" fontId="40" fillId="5" borderId="29" xfId="60" applyFont="1" applyFill="1" applyBorder="1" applyAlignment="1">
      <alignment horizontal="center" vertical="center"/>
    </xf>
    <xf numFmtId="0" fontId="40" fillId="5" borderId="18" xfId="60" applyFont="1" applyFill="1" applyBorder="1" applyAlignment="1">
      <alignment horizontal="center" vertical="center" wrapText="1"/>
    </xf>
    <xf numFmtId="0" fontId="62" fillId="5" borderId="18" xfId="60" applyFont="1" applyFill="1" applyBorder="1" applyAlignment="1">
      <alignment horizontal="center" vertical="center" wrapText="1"/>
    </xf>
    <xf numFmtId="0" fontId="40" fillId="5" borderId="18" xfId="60" applyFont="1" applyFill="1" applyBorder="1" applyAlignment="1">
      <alignment horizontal="center" vertical="center"/>
    </xf>
    <xf numFmtId="0" fontId="62" fillId="5" borderId="30" xfId="60" applyFont="1" applyFill="1" applyBorder="1" applyAlignment="1">
      <alignment horizontal="center" vertical="center" wrapText="1"/>
    </xf>
    <xf numFmtId="0" fontId="40" fillId="5" borderId="30" xfId="60" applyFont="1" applyFill="1" applyBorder="1" applyAlignment="1">
      <alignment horizontal="center" vertical="center"/>
    </xf>
    <xf numFmtId="4" fontId="40" fillId="5" borderId="18" xfId="60" applyNumberFormat="1" applyFont="1" applyFill="1" applyBorder="1" applyAlignment="1">
      <alignment horizontal="center" vertical="center"/>
    </xf>
    <xf numFmtId="2" fontId="40" fillId="5" borderId="30" xfId="60" applyNumberFormat="1" applyFont="1" applyFill="1" applyBorder="1" applyAlignment="1">
      <alignment horizontal="center" vertical="center"/>
    </xf>
    <xf numFmtId="0" fontId="88" fillId="5" borderId="0" xfId="60" applyFont="1" applyFill="1" applyAlignment="1">
      <alignment horizontal="right"/>
    </xf>
    <xf numFmtId="0" fontId="61" fillId="5" borderId="4" xfId="60" applyFont="1" applyFill="1" applyBorder="1" applyAlignment="1">
      <alignment horizontal="center" vertical="center"/>
    </xf>
    <xf numFmtId="0" fontId="87" fillId="5" borderId="0" xfId="60" applyFont="1" applyFill="1" applyBorder="1" applyProtection="1">
      <protection locked="0"/>
    </xf>
    <xf numFmtId="0" fontId="51" fillId="5" borderId="0" xfId="60" applyFont="1" applyFill="1" applyAlignment="1">
      <alignment horizontal="left"/>
    </xf>
    <xf numFmtId="0" fontId="89" fillId="5" borderId="0" xfId="60" applyFont="1" applyFill="1" applyAlignment="1">
      <alignment horizontal="right"/>
    </xf>
    <xf numFmtId="0" fontId="40" fillId="5" borderId="4" xfId="60" applyFont="1" applyFill="1" applyBorder="1" applyAlignment="1">
      <alignment horizontal="center"/>
    </xf>
    <xf numFmtId="0" fontId="40" fillId="5" borderId="0" xfId="60" applyFont="1" applyFill="1" applyAlignment="1">
      <alignment horizontal="left"/>
    </xf>
    <xf numFmtId="0" fontId="51" fillId="5" borderId="0" xfId="60" applyFont="1" applyFill="1" applyAlignment="1">
      <alignment horizontal="right"/>
    </xf>
    <xf numFmtId="164" fontId="40" fillId="5" borderId="4" xfId="60" applyNumberFormat="1" applyFont="1" applyFill="1" applyBorder="1" applyAlignment="1">
      <alignment horizontal="center"/>
    </xf>
    <xf numFmtId="0" fontId="40" fillId="5" borderId="0" xfId="60" applyFont="1" applyFill="1" applyAlignment="1">
      <alignment horizontal="right"/>
    </xf>
    <xf numFmtId="0" fontId="40" fillId="5" borderId="0" xfId="60" applyFont="1" applyFill="1" applyAlignment="1">
      <alignment horizontal="center"/>
    </xf>
    <xf numFmtId="0" fontId="89" fillId="5" borderId="0" xfId="60" applyFont="1" applyFill="1" applyAlignment="1">
      <alignment horizontal="center"/>
    </xf>
    <xf numFmtId="0" fontId="51" fillId="5" borderId="0" xfId="60" applyFont="1" applyFill="1" applyAlignment="1">
      <alignment horizontal="center"/>
    </xf>
    <xf numFmtId="0" fontId="90" fillId="5" borderId="0" xfId="60" applyFont="1" applyFill="1" applyAlignment="1">
      <alignment horizontal="left"/>
    </xf>
    <xf numFmtId="165" fontId="40" fillId="5" borderId="0" xfId="60" applyNumberFormat="1" applyFont="1" applyFill="1" applyAlignment="1">
      <alignment horizontal="left"/>
    </xf>
    <xf numFmtId="0" fontId="40" fillId="5" borderId="0" xfId="60" quotePrefix="1" applyFont="1" applyFill="1" applyAlignment="1">
      <alignment horizontal="left"/>
    </xf>
    <xf numFmtId="2" fontId="40" fillId="5" borderId="0" xfId="60" applyNumberFormat="1" applyFont="1" applyFill="1" applyAlignment="1">
      <alignment horizontal="center"/>
    </xf>
    <xf numFmtId="164" fontId="40" fillId="5" borderId="0" xfId="60" applyNumberFormat="1" applyFont="1" applyFill="1" applyAlignment="1">
      <alignment horizontal="left"/>
    </xf>
    <xf numFmtId="2" fontId="92" fillId="5" borderId="0" xfId="60" applyNumberFormat="1" applyFont="1" applyFill="1" applyBorder="1" applyAlignment="1">
      <alignment horizontal="center"/>
    </xf>
    <xf numFmtId="0" fontId="51" fillId="5" borderId="0" xfId="36" applyFont="1" applyFill="1" applyBorder="1" applyAlignment="1">
      <alignment horizontal="left" vertical="center" wrapText="1"/>
    </xf>
    <xf numFmtId="165" fontId="40" fillId="5" borderId="0" xfId="60" applyNumberFormat="1" applyFont="1" applyFill="1" applyBorder="1"/>
    <xf numFmtId="0" fontId="93" fillId="5" borderId="0" xfId="60" applyFont="1" applyFill="1" applyAlignment="1">
      <alignment horizontal="left"/>
    </xf>
    <xf numFmtId="0" fontId="94" fillId="5" borderId="0" xfId="60" applyFont="1" applyFill="1" applyBorder="1" applyAlignment="1">
      <alignment horizontal="left"/>
    </xf>
    <xf numFmtId="0" fontId="95" fillId="5" borderId="0" xfId="60" applyFont="1" applyFill="1" applyAlignment="1">
      <alignment horizontal="right"/>
    </xf>
    <xf numFmtId="0" fontId="93" fillId="5" borderId="0" xfId="60" applyFont="1" applyFill="1" applyAlignment="1">
      <alignment horizontal="center"/>
    </xf>
    <xf numFmtId="0" fontId="93" fillId="5" borderId="0" xfId="60" applyFont="1" applyFill="1"/>
    <xf numFmtId="0" fontId="62" fillId="5" borderId="0" xfId="60" applyFont="1" applyFill="1" applyBorder="1"/>
    <xf numFmtId="0" fontId="51" fillId="5" borderId="0" xfId="60" applyFont="1" applyFill="1" applyBorder="1" applyAlignment="1">
      <alignment horizontal="left"/>
    </xf>
    <xf numFmtId="0" fontId="40" fillId="5" borderId="31" xfId="60" applyFont="1" applyFill="1" applyBorder="1" applyAlignment="1">
      <alignment horizontal="center" vertical="center"/>
    </xf>
    <xf numFmtId="0" fontId="40" fillId="5" borderId="32" xfId="60" applyFont="1" applyFill="1" applyBorder="1" applyAlignment="1">
      <alignment horizontal="center" vertical="center"/>
    </xf>
    <xf numFmtId="0" fontId="85" fillId="5" borderId="0" xfId="60" applyFont="1" applyFill="1" applyBorder="1" applyAlignment="1"/>
    <xf numFmtId="184" fontId="62" fillId="5" borderId="0" xfId="60" applyNumberFormat="1" applyFont="1" applyFill="1" applyBorder="1" applyAlignment="1"/>
    <xf numFmtId="186" fontId="40" fillId="5" borderId="0" xfId="60" applyNumberFormat="1" applyFont="1" applyFill="1" applyBorder="1" applyAlignment="1">
      <alignment horizontal="left"/>
    </xf>
    <xf numFmtId="0" fontId="40" fillId="5" borderId="0" xfId="60" quotePrefix="1" applyFont="1" applyFill="1" applyBorder="1" applyAlignment="1">
      <alignment horizontal="center"/>
    </xf>
    <xf numFmtId="0" fontId="51" fillId="5" borderId="0" xfId="60" applyFont="1" applyFill="1" applyBorder="1" applyAlignment="1"/>
    <xf numFmtId="0" fontId="62" fillId="5" borderId="0" xfId="60" quotePrefix="1" applyFont="1" applyFill="1" applyBorder="1"/>
    <xf numFmtId="164" fontId="40" fillId="5" borderId="0" xfId="60" applyNumberFormat="1" applyFont="1" applyFill="1" applyBorder="1"/>
    <xf numFmtId="0" fontId="62" fillId="5" borderId="0" xfId="60" applyFont="1" applyFill="1" applyAlignment="1">
      <alignment horizontal="right"/>
    </xf>
    <xf numFmtId="2" fontId="40" fillId="5" borderId="0" xfId="60" applyNumberFormat="1" applyFont="1" applyFill="1"/>
    <xf numFmtId="0" fontId="40" fillId="5" borderId="0" xfId="60" applyFont="1" applyFill="1" applyBorder="1" applyAlignment="1">
      <alignment horizontal="left"/>
    </xf>
    <xf numFmtId="0" fontId="98" fillId="5" borderId="0" xfId="60" applyFont="1" applyFill="1" applyBorder="1" applyAlignment="1"/>
    <xf numFmtId="0" fontId="62" fillId="5" borderId="0" xfId="60" applyFont="1" applyFill="1"/>
    <xf numFmtId="0" fontId="89" fillId="5" borderId="0" xfId="36" applyFont="1" applyFill="1" applyBorder="1" applyAlignment="1">
      <alignment horizontal="left" vertical="center" wrapText="1"/>
    </xf>
    <xf numFmtId="184" fontId="40" fillId="5" borderId="0" xfId="60" applyNumberFormat="1" applyFont="1" applyFill="1" applyBorder="1" applyAlignment="1"/>
    <xf numFmtId="2" fontId="51" fillId="5" borderId="0" xfId="60" applyNumberFormat="1" applyFont="1" applyFill="1" applyBorder="1" applyAlignment="1"/>
    <xf numFmtId="2" fontId="40" fillId="5" borderId="0" xfId="60" applyNumberFormat="1" applyFont="1" applyFill="1" applyBorder="1"/>
    <xf numFmtId="2" fontId="40" fillId="5" borderId="0" xfId="60" applyNumberFormat="1" applyFont="1" applyFill="1" applyBorder="1" applyAlignment="1">
      <alignment horizontal="left"/>
    </xf>
    <xf numFmtId="0" fontId="40" fillId="5" borderId="0" xfId="60" applyFont="1" applyFill="1" applyBorder="1" applyAlignment="1">
      <alignment vertical="center"/>
    </xf>
    <xf numFmtId="165" fontId="40" fillId="5" borderId="0" xfId="60" applyNumberFormat="1" applyFont="1" applyFill="1" applyBorder="1" applyProtection="1">
      <protection locked="0"/>
    </xf>
    <xf numFmtId="0" fontId="62" fillId="5" borderId="0" xfId="60" applyFont="1" applyFill="1" applyBorder="1" applyAlignment="1">
      <alignment vertical="center"/>
    </xf>
    <xf numFmtId="165" fontId="40" fillId="5" borderId="0" xfId="60" applyNumberFormat="1" applyFont="1" applyFill="1" applyBorder="1" applyAlignment="1"/>
    <xf numFmtId="0" fontId="51" fillId="5" borderId="0" xfId="60" applyFont="1" applyFill="1"/>
    <xf numFmtId="0" fontId="100" fillId="5" borderId="0" xfId="60" applyFont="1" applyFill="1" applyBorder="1"/>
    <xf numFmtId="184" fontId="62" fillId="5" borderId="0" xfId="60" applyNumberFormat="1" applyFont="1" applyFill="1" applyBorder="1" applyAlignment="1">
      <alignment horizontal="center"/>
    </xf>
    <xf numFmtId="186" fontId="40" fillId="5" borderId="0" xfId="60" applyNumberFormat="1" applyFont="1" applyFill="1" applyBorder="1" applyAlignment="1">
      <alignment horizontal="center"/>
    </xf>
    <xf numFmtId="0" fontId="40" fillId="5" borderId="0" xfId="60" quotePrefix="1" applyFont="1" applyFill="1" applyBorder="1"/>
    <xf numFmtId="183" fontId="40" fillId="5" borderId="0" xfId="60" applyNumberFormat="1" applyFont="1" applyFill="1" applyBorder="1" applyAlignment="1">
      <alignment horizontal="center" shrinkToFit="1"/>
    </xf>
    <xf numFmtId="0" fontId="101" fillId="5" borderId="0" xfId="60" applyFont="1" applyFill="1" applyAlignment="1">
      <alignment horizontal="right"/>
    </xf>
    <xf numFmtId="0" fontId="101" fillId="5" borderId="0" xfId="60" applyFont="1" applyFill="1"/>
    <xf numFmtId="187" fontId="101" fillId="5" borderId="0" xfId="60" applyNumberFormat="1" applyFont="1" applyFill="1"/>
    <xf numFmtId="188" fontId="101" fillId="5" borderId="0" xfId="60" applyNumberFormat="1" applyFont="1" applyFill="1"/>
    <xf numFmtId="0" fontId="101" fillId="5" borderId="0" xfId="60" quotePrefix="1" applyFont="1" applyFill="1"/>
    <xf numFmtId="0" fontId="40" fillId="5" borderId="0" xfId="60" quotePrefix="1" applyFont="1" applyFill="1" applyAlignment="1">
      <alignment horizontal="center"/>
    </xf>
    <xf numFmtId="165" fontId="101" fillId="5" borderId="0" xfId="60" applyNumberFormat="1" applyFont="1" applyFill="1"/>
    <xf numFmtId="0" fontId="101" fillId="5" borderId="0" xfId="60" quotePrefix="1" applyFont="1" applyFill="1" applyAlignment="1">
      <alignment horizontal="center"/>
    </xf>
    <xf numFmtId="165" fontId="101" fillId="5" borderId="0" xfId="60" applyNumberFormat="1" applyFont="1" applyFill="1" applyAlignment="1">
      <alignment horizontal="center"/>
    </xf>
    <xf numFmtId="0" fontId="82" fillId="5" borderId="0" xfId="60" applyFont="1" applyFill="1" applyBorder="1" applyAlignment="1">
      <alignment vertical="center"/>
    </xf>
    <xf numFmtId="0" fontId="102" fillId="5" borderId="4" xfId="60" applyFont="1" applyFill="1" applyBorder="1" applyAlignment="1">
      <alignment horizontal="center"/>
    </xf>
    <xf numFmtId="0" fontId="102" fillId="5" borderId="4" xfId="60" applyFont="1" applyFill="1" applyBorder="1" applyAlignment="1">
      <alignment horizontal="center" vertical="center"/>
    </xf>
    <xf numFmtId="0" fontId="51" fillId="5" borderId="0" xfId="60" applyFont="1" applyFill="1" applyBorder="1" applyAlignment="1">
      <alignment vertical="center"/>
    </xf>
    <xf numFmtId="0" fontId="61" fillId="5" borderId="0" xfId="60" applyFont="1" applyFill="1" applyBorder="1" applyAlignment="1">
      <alignment horizontal="center" vertical="center"/>
    </xf>
    <xf numFmtId="0" fontId="4" fillId="5" borderId="0" xfId="60" applyFont="1" applyFill="1" applyBorder="1"/>
    <xf numFmtId="0" fontId="40" fillId="5" borderId="4" xfId="60" applyFont="1" applyFill="1" applyBorder="1" applyAlignment="1">
      <alignment horizontal="center"/>
    </xf>
    <xf numFmtId="2" fontId="40" fillId="5" borderId="4" xfId="60" applyNumberFormat="1" applyFont="1" applyFill="1" applyBorder="1" applyAlignment="1">
      <alignment horizontal="center"/>
    </xf>
    <xf numFmtId="1" fontId="51" fillId="5" borderId="4" xfId="36" applyNumberFormat="1" applyFont="1" applyFill="1" applyBorder="1" applyAlignment="1">
      <alignment horizontal="center" vertical="center"/>
    </xf>
    <xf numFmtId="0" fontId="51" fillId="5" borderId="4" xfId="36" applyNumberFormat="1" applyFont="1" applyFill="1" applyBorder="1" applyAlignment="1">
      <alignment horizontal="center" vertical="center"/>
    </xf>
    <xf numFmtId="164" fontId="61" fillId="5" borderId="4" xfId="60" applyNumberFormat="1" applyFont="1" applyFill="1" applyBorder="1" applyAlignment="1" applyProtection="1">
      <alignment horizontal="center"/>
      <protection locked="0"/>
    </xf>
    <xf numFmtId="164" fontId="51" fillId="5" borderId="4" xfId="60" applyNumberFormat="1" applyFont="1" applyFill="1" applyBorder="1" applyAlignment="1" applyProtection="1">
      <alignment horizontal="center"/>
      <protection locked="0"/>
    </xf>
    <xf numFmtId="164" fontId="51" fillId="5" borderId="0" xfId="60" applyNumberFormat="1" applyFont="1" applyFill="1" applyBorder="1" applyAlignment="1"/>
    <xf numFmtId="0" fontId="102" fillId="5" borderId="0" xfId="60" applyFont="1" applyFill="1" applyBorder="1" applyAlignment="1">
      <alignment horizontal="center" vertical="center"/>
    </xf>
    <xf numFmtId="1" fontId="46" fillId="5" borderId="4" xfId="60" applyNumberFormat="1" applyFont="1" applyFill="1" applyBorder="1" applyAlignment="1">
      <alignment horizontal="center" shrinkToFit="1"/>
    </xf>
    <xf numFmtId="165" fontId="40" fillId="5" borderId="4" xfId="60" quotePrefix="1" applyNumberFormat="1" applyFont="1" applyFill="1" applyBorder="1" applyAlignment="1">
      <alignment horizontal="center" vertical="center"/>
    </xf>
    <xf numFmtId="165" fontId="40" fillId="5" borderId="4" xfId="60" quotePrefix="1" applyNumberFormat="1" applyFont="1" applyFill="1" applyBorder="1" applyAlignment="1">
      <alignment horizontal="center"/>
    </xf>
    <xf numFmtId="164" fontId="102" fillId="5" borderId="4" xfId="60" applyNumberFormat="1" applyFont="1" applyFill="1" applyBorder="1" applyAlignment="1">
      <alignment horizontal="center"/>
    </xf>
    <xf numFmtId="0" fontId="40" fillId="5" borderId="4" xfId="60" applyFont="1" applyFill="1" applyBorder="1" applyAlignment="1">
      <alignment horizontal="center" vertical="center"/>
    </xf>
    <xf numFmtId="2" fontId="40" fillId="5" borderId="4" xfId="60" applyNumberFormat="1" applyFont="1" applyFill="1" applyBorder="1" applyAlignment="1">
      <alignment horizontal="center" vertical="center"/>
    </xf>
    <xf numFmtId="164" fontId="102" fillId="5" borderId="0" xfId="60" applyNumberFormat="1" applyFont="1" applyFill="1" applyBorder="1" applyAlignment="1">
      <alignment horizontal="center" vertical="center"/>
    </xf>
    <xf numFmtId="164" fontId="40" fillId="5" borderId="0" xfId="60" applyNumberFormat="1" applyFont="1" applyFill="1" applyAlignment="1"/>
    <xf numFmtId="164" fontId="40" fillId="5" borderId="0" xfId="60" applyNumberFormat="1" applyFont="1" applyFill="1" applyBorder="1" applyAlignment="1"/>
    <xf numFmtId="0" fontId="48" fillId="5" borderId="0" xfId="0" applyFont="1" applyFill="1" applyAlignment="1">
      <alignment horizontal="center"/>
    </xf>
    <xf numFmtId="0" fontId="48" fillId="5" borderId="0" xfId="0" quotePrefix="1" applyFont="1" applyFill="1" applyAlignment="1">
      <alignment horizontal="center"/>
    </xf>
    <xf numFmtId="0" fontId="35" fillId="5" borderId="4" xfId="0" applyFont="1" applyFill="1" applyBorder="1" applyAlignment="1">
      <alignment horizontal="center" vertical="center" wrapText="1"/>
    </xf>
    <xf numFmtId="0" fontId="8" fillId="5" borderId="21" xfId="37" applyFont="1" applyFill="1" applyBorder="1" applyAlignment="1">
      <alignment horizontal="center" vertical="center"/>
    </xf>
    <xf numFmtId="0" fontId="8" fillId="5" borderId="22" xfId="37" applyFont="1" applyFill="1" applyBorder="1" applyAlignment="1">
      <alignment horizontal="center" vertical="center"/>
    </xf>
    <xf numFmtId="0" fontId="8" fillId="5" borderId="23" xfId="37" applyFont="1" applyFill="1" applyBorder="1" applyAlignment="1">
      <alignment horizontal="center" vertical="center"/>
    </xf>
    <xf numFmtId="0" fontId="8" fillId="5" borderId="24" xfId="37" applyFont="1" applyFill="1" applyBorder="1" applyAlignment="1">
      <alignment horizontal="center" vertical="center"/>
    </xf>
    <xf numFmtId="0" fontId="37" fillId="5" borderId="0" xfId="37" applyFont="1" applyFill="1" applyBorder="1" applyAlignment="1">
      <alignment horizontal="center" vertical="center"/>
    </xf>
    <xf numFmtId="0" fontId="8" fillId="5" borderId="17" xfId="37" applyFont="1" applyFill="1" applyBorder="1" applyAlignment="1">
      <alignment horizontal="center" vertical="center"/>
    </xf>
    <xf numFmtId="0" fontId="8" fillId="5" borderId="16" xfId="37" applyFont="1" applyFill="1" applyBorder="1" applyAlignment="1">
      <alignment horizontal="center" vertical="center"/>
    </xf>
    <xf numFmtId="0" fontId="8" fillId="5" borderId="19" xfId="37" applyFont="1" applyFill="1" applyBorder="1" applyAlignment="1">
      <alignment horizontal="center" vertical="center"/>
    </xf>
    <xf numFmtId="0" fontId="8" fillId="5" borderId="20" xfId="37" applyFont="1" applyFill="1" applyBorder="1" applyAlignment="1">
      <alignment horizontal="center" vertical="center"/>
    </xf>
    <xf numFmtId="0" fontId="35" fillId="5" borderId="13" xfId="0" applyFont="1" applyFill="1" applyBorder="1" applyAlignment="1">
      <alignment horizontal="center" vertical="center" wrapText="1"/>
    </xf>
    <xf numFmtId="0" fontId="35" fillId="5" borderId="14" xfId="0" applyFont="1" applyFill="1" applyBorder="1" applyAlignment="1">
      <alignment horizontal="center" vertical="center" wrapText="1"/>
    </xf>
    <xf numFmtId="0" fontId="35" fillId="5" borderId="15" xfId="0" applyFont="1" applyFill="1" applyBorder="1" applyAlignment="1">
      <alignment horizontal="center" vertical="center" wrapText="1"/>
    </xf>
    <xf numFmtId="0" fontId="35" fillId="5" borderId="4" xfId="0" applyFont="1" applyFill="1" applyBorder="1" applyAlignment="1">
      <alignment horizontal="left" vertical="center" wrapText="1"/>
    </xf>
    <xf numFmtId="0" fontId="35" fillId="5" borderId="4" xfId="0" applyFont="1" applyFill="1" applyBorder="1" applyAlignment="1">
      <alignment horizontal="left" vertical="center"/>
    </xf>
    <xf numFmtId="0" fontId="70" fillId="5" borderId="0" xfId="0" applyFont="1" applyFill="1" applyBorder="1" applyAlignment="1">
      <alignment horizontal="center" vertical="center"/>
    </xf>
    <xf numFmtId="0" fontId="42" fillId="5" borderId="4" xfId="37" applyFont="1" applyFill="1" applyBorder="1" applyAlignment="1">
      <alignment horizontal="center" vertical="center"/>
    </xf>
    <xf numFmtId="0" fontId="78" fillId="5" borderId="0" xfId="0" applyFont="1" applyFill="1" applyAlignment="1">
      <alignment horizontal="center"/>
    </xf>
    <xf numFmtId="0" fontId="59" fillId="5" borderId="25" xfId="0" applyFont="1" applyFill="1" applyBorder="1" applyAlignment="1">
      <alignment horizontal="center" vertical="center" textRotation="180"/>
    </xf>
    <xf numFmtId="0" fontId="35" fillId="5" borderId="13" xfId="0" applyFont="1" applyFill="1" applyBorder="1" applyAlignment="1">
      <alignment horizontal="center" vertical="center"/>
    </xf>
    <xf numFmtId="0" fontId="35" fillId="5" borderId="14" xfId="0" applyFont="1" applyFill="1" applyBorder="1" applyAlignment="1">
      <alignment horizontal="center" vertical="center"/>
    </xf>
    <xf numFmtId="0" fontId="35" fillId="5" borderId="15" xfId="0" applyFont="1" applyFill="1" applyBorder="1" applyAlignment="1">
      <alignment horizontal="center" vertical="center"/>
    </xf>
    <xf numFmtId="0" fontId="50" fillId="5" borderId="13" xfId="0" applyFont="1" applyFill="1" applyBorder="1" applyAlignment="1">
      <alignment horizontal="center" vertical="center" wrapText="1"/>
    </xf>
    <xf numFmtId="0" fontId="50" fillId="5" borderId="14" xfId="0" applyFont="1" applyFill="1" applyBorder="1" applyAlignment="1">
      <alignment horizontal="center" vertical="center" wrapText="1"/>
    </xf>
    <xf numFmtId="0" fontId="50" fillId="5" borderId="15" xfId="0" applyFont="1" applyFill="1" applyBorder="1" applyAlignment="1">
      <alignment horizontal="center" vertical="center" wrapText="1"/>
    </xf>
    <xf numFmtId="0" fontId="35" fillId="5" borderId="4" xfId="0" applyFont="1" applyFill="1" applyBorder="1" applyAlignment="1">
      <alignment horizontal="center" vertical="center"/>
    </xf>
    <xf numFmtId="0" fontId="70" fillId="5" borderId="0" xfId="0" applyFont="1" applyFill="1" applyBorder="1" applyAlignment="1">
      <alignment horizontal="left" vertical="center" wrapText="1"/>
    </xf>
    <xf numFmtId="0" fontId="82" fillId="5" borderId="25" xfId="60" applyFont="1" applyFill="1" applyBorder="1" applyAlignment="1">
      <alignment horizontal="center" vertical="center"/>
    </xf>
    <xf numFmtId="0" fontId="82" fillId="5" borderId="0" xfId="60" applyFont="1" applyFill="1" applyBorder="1" applyAlignment="1">
      <alignment horizontal="center" vertical="center"/>
    </xf>
    <xf numFmtId="0" fontId="82" fillId="5" borderId="17" xfId="60" applyFont="1" applyFill="1" applyBorder="1" applyAlignment="1">
      <alignment horizontal="center" vertical="center" wrapText="1"/>
    </xf>
    <xf numFmtId="0" fontId="82" fillId="5" borderId="2" xfId="60" applyFont="1" applyFill="1" applyBorder="1" applyAlignment="1">
      <alignment horizontal="center" vertical="center"/>
    </xf>
    <xf numFmtId="0" fontId="82" fillId="5" borderId="16" xfId="60" applyFont="1" applyFill="1" applyBorder="1" applyAlignment="1">
      <alignment horizontal="center" vertical="center"/>
    </xf>
    <xf numFmtId="0" fontId="87" fillId="5" borderId="25" xfId="60" applyFont="1" applyFill="1" applyBorder="1" applyAlignment="1">
      <alignment horizontal="center" wrapText="1"/>
    </xf>
    <xf numFmtId="0" fontId="87" fillId="5" borderId="0" xfId="60" applyFont="1" applyFill="1" applyAlignment="1">
      <alignment horizontal="center" wrapText="1"/>
    </xf>
    <xf numFmtId="2" fontId="40" fillId="5" borderId="17" xfId="60" applyNumberFormat="1" applyFont="1" applyFill="1" applyBorder="1" applyAlignment="1">
      <alignment horizontal="center"/>
    </xf>
    <xf numFmtId="2" fontId="40" fillId="5" borderId="16" xfId="60" applyNumberFormat="1" applyFont="1" applyFill="1" applyBorder="1" applyAlignment="1">
      <alignment horizontal="center"/>
    </xf>
    <xf numFmtId="0" fontId="40" fillId="5" borderId="26" xfId="60" applyFont="1" applyFill="1" applyBorder="1" applyAlignment="1">
      <alignment horizontal="center" vertical="center" wrapText="1"/>
    </xf>
    <xf numFmtId="0" fontId="40" fillId="5" borderId="29" xfId="60" applyFont="1" applyFill="1" applyBorder="1" applyAlignment="1">
      <alignment horizontal="center" vertical="center"/>
    </xf>
    <xf numFmtId="0" fontId="40" fillId="5" borderId="27" xfId="60" applyFont="1" applyFill="1" applyBorder="1" applyAlignment="1">
      <alignment horizontal="center" vertical="center" wrapText="1"/>
    </xf>
    <xf numFmtId="0" fontId="40" fillId="5" borderId="18" xfId="60" applyFont="1" applyFill="1" applyBorder="1" applyAlignment="1">
      <alignment horizontal="center" vertical="center" wrapText="1"/>
    </xf>
    <xf numFmtId="0" fontId="82" fillId="5" borderId="17" xfId="60" applyFont="1" applyFill="1" applyBorder="1" applyAlignment="1">
      <alignment horizontal="center" vertical="top" wrapText="1"/>
    </xf>
    <xf numFmtId="0" fontId="82" fillId="5" borderId="2" xfId="60" applyFont="1" applyFill="1" applyBorder="1" applyAlignment="1">
      <alignment horizontal="center" vertical="top" wrapText="1"/>
    </xf>
    <xf numFmtId="0" fontId="82" fillId="5" borderId="16" xfId="60" applyFont="1" applyFill="1" applyBorder="1" applyAlignment="1">
      <alignment horizontal="center" vertical="top" wrapText="1"/>
    </xf>
    <xf numFmtId="0" fontId="40" fillId="5" borderId="4" xfId="60" applyFont="1" applyFill="1" applyBorder="1" applyAlignment="1">
      <alignment horizontal="center"/>
    </xf>
    <xf numFmtId="0" fontId="82" fillId="5" borderId="2" xfId="60" applyFont="1" applyFill="1" applyBorder="1" applyAlignment="1">
      <alignment horizontal="center" vertical="center" wrapText="1"/>
    </xf>
    <xf numFmtId="0" fontId="82" fillId="5" borderId="16" xfId="60" applyFont="1" applyFill="1" applyBorder="1" applyAlignment="1">
      <alignment horizontal="center" vertical="center" wrapText="1"/>
    </xf>
    <xf numFmtId="0" fontId="87" fillId="5" borderId="0" xfId="60" applyFont="1" applyFill="1" applyBorder="1" applyAlignment="1" applyProtection="1">
      <alignment horizontal="center" wrapText="1"/>
      <protection locked="0"/>
    </xf>
    <xf numFmtId="2" fontId="40" fillId="5" borderId="4" xfId="60" applyNumberFormat="1" applyFont="1" applyFill="1" applyBorder="1" applyAlignment="1">
      <alignment horizontal="center"/>
    </xf>
    <xf numFmtId="0" fontId="40" fillId="5" borderId="17" xfId="60" applyFont="1" applyFill="1" applyBorder="1" applyAlignment="1">
      <alignment horizontal="center" vertical="center"/>
    </xf>
    <xf numFmtId="0" fontId="40" fillId="5" borderId="2" xfId="60" applyFont="1" applyFill="1" applyBorder="1" applyAlignment="1">
      <alignment horizontal="center" vertical="center"/>
    </xf>
    <xf numFmtId="0" fontId="40" fillId="5" borderId="16" xfId="60" applyFont="1" applyFill="1" applyBorder="1" applyAlignment="1">
      <alignment horizontal="center" vertical="center"/>
    </xf>
    <xf numFmtId="0" fontId="40" fillId="5" borderId="17" xfId="60" applyFont="1" applyFill="1" applyBorder="1" applyAlignment="1">
      <alignment horizontal="center" vertical="center" wrapText="1"/>
    </xf>
    <xf numFmtId="0" fontId="82" fillId="5" borderId="17" xfId="60" applyFont="1" applyFill="1" applyBorder="1" applyAlignment="1">
      <alignment horizontal="center" vertical="center"/>
    </xf>
    <xf numFmtId="0" fontId="40" fillId="5" borderId="17" xfId="60" applyFont="1" applyFill="1" applyBorder="1" applyAlignment="1">
      <alignment horizontal="center"/>
    </xf>
    <xf numFmtId="0" fontId="40" fillId="5" borderId="2" xfId="60" applyFont="1" applyFill="1" applyBorder="1" applyAlignment="1">
      <alignment horizontal="center"/>
    </xf>
    <xf numFmtId="0" fontId="40" fillId="5" borderId="16" xfId="60" applyFont="1" applyFill="1" applyBorder="1" applyAlignment="1">
      <alignment horizontal="center"/>
    </xf>
    <xf numFmtId="2" fontId="100" fillId="5" borderId="0" xfId="60" applyNumberFormat="1" applyFont="1" applyFill="1" applyBorder="1" applyAlignment="1">
      <alignment horizontal="center"/>
    </xf>
    <xf numFmtId="0" fontId="40" fillId="5" borderId="0" xfId="60" applyFont="1" applyFill="1" applyBorder="1" applyAlignment="1">
      <alignment horizontal="center"/>
    </xf>
    <xf numFmtId="165" fontId="40" fillId="5" borderId="0" xfId="60" applyNumberFormat="1" applyFont="1" applyFill="1" applyBorder="1" applyAlignment="1">
      <alignment horizontal="center"/>
    </xf>
    <xf numFmtId="165" fontId="40" fillId="5" borderId="0" xfId="60" applyNumberFormat="1" applyFont="1" applyFill="1" applyBorder="1" applyAlignment="1">
      <alignment horizontal="center" vertical="center"/>
    </xf>
    <xf numFmtId="0" fontId="0" fillId="0" borderId="18" xfId="0" applyBorder="1" applyAlignment="1">
      <alignment horizontal="center"/>
    </xf>
    <xf numFmtId="0" fontId="75" fillId="0" borderId="0" xfId="0" applyFont="1" applyBorder="1" applyAlignment="1">
      <alignment horizontal="center" vertical="center"/>
    </xf>
  </cellXfs>
  <cellStyles count="65">
    <cellStyle name="??" xfId="1"/>
    <cellStyle name="?? [0.00]_PRODUCT DETAIL Q1" xfId="2"/>
    <cellStyle name="?? [0]" xfId="3"/>
    <cellStyle name="???? [0.00]_PRODUCT DETAIL Q1" xfId="4"/>
    <cellStyle name="????_PRODUCT DETAIL Q1" xfId="5"/>
    <cellStyle name="???[0]_Book1" xfId="6"/>
    <cellStyle name="???_95" xfId="7"/>
    <cellStyle name="??_(????)??????" xfId="8"/>
    <cellStyle name="1" xfId="9"/>
    <cellStyle name="2" xfId="10"/>
    <cellStyle name="3" xfId="11"/>
    <cellStyle name="4" xfId="12"/>
    <cellStyle name="ÅëÈ­ [0]_¿ì¹°Åë" xfId="13"/>
    <cellStyle name="AeE­ [0]_INQUIRY ¿µ¾÷AßAø " xfId="14"/>
    <cellStyle name="ÅëÈ­_¿ì¹°Åë" xfId="15"/>
    <cellStyle name="AeE­_INQUIRY ¿µ¾÷AßAø " xfId="16"/>
    <cellStyle name="ÄÞ¸¶ [0]_¿ì¹°Åë" xfId="17"/>
    <cellStyle name="AÞ¸¶ [0]_INQUIRY ¿?¾÷AßAø " xfId="18"/>
    <cellStyle name="ÄÞ¸¶_¿ì¹°Åë" xfId="19"/>
    <cellStyle name="AÞ¸¶_INQUIRY ¿?¾÷AßAø " xfId="20"/>
    <cellStyle name="C?AØ_¿?¾÷CoE² " xfId="21"/>
    <cellStyle name="Ç¥ÁØ_´çÃÊ±¸ÀÔ»ý»ê" xfId="22"/>
    <cellStyle name="C￥AØ_¿μ¾÷CoE² " xfId="23"/>
    <cellStyle name="Comma0" xfId="24"/>
    <cellStyle name="Currency0" xfId="25"/>
    <cellStyle name="Date" xfId="26"/>
    <cellStyle name="Fixed" xfId="27"/>
    <cellStyle name="Header1" xfId="28"/>
    <cellStyle name="Header2" xfId="29"/>
    <cellStyle name="Heading 1" xfId="30" builtinId="16" customBuiltin="1"/>
    <cellStyle name="Heading 2" xfId="31" builtinId="17" customBuiltin="1"/>
    <cellStyle name="Lien hypertexte" xfId="32"/>
    <cellStyle name="Lien hypertexte visité" xfId="33"/>
    <cellStyle name="n" xfId="34"/>
    <cellStyle name="Normal" xfId="0" builtinId="0"/>
    <cellStyle name="Normal - Style1" xfId="35"/>
    <cellStyle name="Normal 13" xfId="63"/>
    <cellStyle name="Normal 2" xfId="60"/>
    <cellStyle name="Normal 3" xfId="61"/>
    <cellStyle name="Normal_Book1" xfId="36"/>
    <cellStyle name="Normal_Cau_kien_chiu_uon_theo_tiet_dien_nghieng" xfId="37"/>
    <cellStyle name="Normal_Cau_kien_chiu_uon_theo_tiet_dien_nghieng 2" xfId="64"/>
    <cellStyle name="Normal_Tinh tai trong" xfId="62"/>
    <cellStyle name="Total" xfId="38" builtinId="25" customBuiltin="1"/>
    <cellStyle name="xuan" xfId="39"/>
    <cellStyle name=" [0.00]_ Att. 1- Cover" xfId="57"/>
    <cellStyle name="_ Att. 1- Cover" xfId="58"/>
    <cellStyle name="?_ Att. 1- Cover" xfId="59"/>
    <cellStyle name="똿뗦먛귟 [0.00]_PRODUCT DETAIL Q1" xfId="40"/>
    <cellStyle name="똿뗦먛귟_PRODUCT DETAIL Q1" xfId="41"/>
    <cellStyle name="믅됞 [0.00]_PRODUCT DETAIL Q1" xfId="42"/>
    <cellStyle name="믅됞_PRODUCT DETAIL Q1" xfId="43"/>
    <cellStyle name="백분율_95" xfId="44"/>
    <cellStyle name="뷭?_BOOKSHIP" xfId="45"/>
    <cellStyle name="콤마 [0]_1202" xfId="49"/>
    <cellStyle name="콤마_1202" xfId="50"/>
    <cellStyle name="통화 [0]_1202" xfId="51"/>
    <cellStyle name="통화_1202" xfId="52"/>
    <cellStyle name="표준_(정보부문)월별인원계획" xfId="53"/>
    <cellStyle name="一般_00Q3902REV.1" xfId="46"/>
    <cellStyle name="千分位[0]_00Q3902REV.1" xfId="47"/>
    <cellStyle name="千分位_00Q3902REV.1" xfId="48"/>
    <cellStyle name="貨幣 [0]_00Q3902REV.1" xfId="54"/>
    <cellStyle name="貨幣[0]_BRE" xfId="55"/>
    <cellStyle name="貨幣_00Q3902REV.1" xfId="56"/>
  </cellStyles>
  <dxfs count="2">
    <dxf>
      <fill>
        <patternFill>
          <bgColor indexed="10"/>
        </patternFill>
      </fill>
    </dxf>
    <dxf>
      <font>
        <condense val="0"/>
        <extend val="0"/>
        <color indexed="15"/>
      </font>
      <fill>
        <patternFill>
          <bgColor indexed="1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5" b="1" i="0" u="none" strike="noStrike" baseline="0">
                <a:solidFill>
                  <a:srgbClr val="000000"/>
                </a:solidFill>
                <a:latin typeface="Arial"/>
                <a:ea typeface="Arial"/>
                <a:cs typeface="Arial"/>
              </a:defRPr>
            </a:pPr>
            <a:r>
              <a:rPr lang="vi-VN"/>
              <a:t>Biểu đồ tương tác</a:t>
            </a:r>
          </a:p>
        </c:rich>
      </c:tx>
      <c:overlay val="0"/>
      <c:spPr>
        <a:noFill/>
        <a:ln w="25400">
          <a:noFill/>
        </a:ln>
      </c:spPr>
    </c:title>
    <c:autoTitleDeleted val="0"/>
    <c:plotArea>
      <c:layout/>
      <c:scatterChart>
        <c:scatterStyle val="smoothMarker"/>
        <c:varyColors val="0"/>
        <c:ser>
          <c:idx val="0"/>
          <c:order val="0"/>
          <c:tx>
            <c:v>Biểu đồ tương tác</c:v>
          </c:tx>
          <c:spPr>
            <a:ln w="12700">
              <a:solidFill>
                <a:srgbClr val="000080"/>
              </a:solidFill>
              <a:prstDash val="solid"/>
            </a:ln>
          </c:spPr>
          <c:marker>
            <c:symbol val="diamond"/>
            <c:size val="5"/>
            <c:spPr>
              <a:solidFill>
                <a:srgbClr val="000080"/>
              </a:solidFill>
              <a:ln>
                <a:solidFill>
                  <a:srgbClr val="000080"/>
                </a:solidFill>
                <a:prstDash val="solid"/>
              </a:ln>
            </c:spPr>
          </c:marker>
          <c:xVal>
            <c:numRef>
              <c:f>'Tinh dai theo bs'!#REF!</c:f>
              <c:numCache>
                <c:formatCode>General</c:formatCode>
                <c:ptCount val="1"/>
                <c:pt idx="0">
                  <c:v>1</c:v>
                </c:pt>
              </c:numCache>
            </c:numRef>
          </c:xVal>
          <c:yVal>
            <c:numRef>
              <c:f>'Tinh dai theo bs'!#REF!</c:f>
              <c:numCache>
                <c:formatCode>General</c:formatCode>
                <c:ptCount val="1"/>
                <c:pt idx="0">
                  <c:v>1</c:v>
                </c:pt>
              </c:numCache>
            </c:numRef>
          </c:yVal>
          <c:smooth val="1"/>
          <c:extLst>
            <c:ext xmlns:c16="http://schemas.microsoft.com/office/drawing/2014/chart" uri="{C3380CC4-5D6E-409C-BE32-E72D297353CC}">
              <c16:uniqueId val="{00000000-8ECD-4015-8E62-FF88E5D9FD48}"/>
            </c:ext>
          </c:extLst>
        </c:ser>
        <c:ser>
          <c:idx val="1"/>
          <c:order val="1"/>
          <c:tx>
            <c:v>force point</c:v>
          </c:tx>
          <c:spPr>
            <a:ln w="12700">
              <a:solidFill>
                <a:srgbClr val="FF00FF"/>
              </a:solidFill>
              <a:prstDash val="solid"/>
            </a:ln>
          </c:spPr>
          <c:marker>
            <c:symbol val="square"/>
            <c:size val="5"/>
            <c:spPr>
              <a:solidFill>
                <a:srgbClr val="FF00FF"/>
              </a:solidFill>
              <a:ln>
                <a:solidFill>
                  <a:srgbClr val="FF00FF"/>
                </a:solidFill>
                <a:prstDash val="solid"/>
              </a:ln>
            </c:spPr>
          </c:marker>
          <c:xVal>
            <c:numRef>
              <c:f>'Tinh dai theo bs'!$D$8</c:f>
              <c:numCache>
                <c:formatCode>0.00</c:formatCode>
                <c:ptCount val="1"/>
                <c:pt idx="0">
                  <c:v>60</c:v>
                </c:pt>
              </c:numCache>
            </c:numRef>
          </c:xVal>
          <c:yVal>
            <c:numRef>
              <c:f>'Tinh dai theo bs'!$D$7</c:f>
              <c:numCache>
                <c:formatCode>General</c:formatCode>
                <c:ptCount val="1"/>
                <c:pt idx="0">
                  <c:v>100</c:v>
                </c:pt>
              </c:numCache>
            </c:numRef>
          </c:yVal>
          <c:smooth val="1"/>
          <c:extLst>
            <c:ext xmlns:c16="http://schemas.microsoft.com/office/drawing/2014/chart" uri="{C3380CC4-5D6E-409C-BE32-E72D297353CC}">
              <c16:uniqueId val="{00000001-8ECD-4015-8E62-FF88E5D9FD48}"/>
            </c:ext>
          </c:extLst>
        </c:ser>
        <c:dLbls>
          <c:showLegendKey val="0"/>
          <c:showVal val="0"/>
          <c:showCatName val="0"/>
          <c:showSerName val="0"/>
          <c:showPercent val="0"/>
          <c:showBubbleSize val="0"/>
        </c:dLbls>
        <c:axId val="62950784"/>
        <c:axId val="63472000"/>
      </c:scatterChart>
      <c:valAx>
        <c:axId val="62950784"/>
        <c:scaling>
          <c:orientation val="minMax"/>
        </c:scaling>
        <c:delete val="0"/>
        <c:axPos val="b"/>
        <c:title>
          <c:tx>
            <c:rich>
              <a:bodyPr/>
              <a:lstStyle/>
              <a:p>
                <a:pPr>
                  <a:defRPr sz="275" b="1" i="0" u="none" strike="noStrike" baseline="0">
                    <a:solidFill>
                      <a:srgbClr val="000000"/>
                    </a:solidFill>
                    <a:latin typeface="Arial"/>
                    <a:ea typeface="Arial"/>
                    <a:cs typeface="Arial"/>
                  </a:defRPr>
                </a:pPr>
                <a:r>
                  <a:rPr lang="en-US"/>
                  <a:t>M(ton.m)</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63472000"/>
        <c:crosses val="autoZero"/>
        <c:crossBetween val="midCat"/>
      </c:valAx>
      <c:valAx>
        <c:axId val="63472000"/>
        <c:scaling>
          <c:orientation val="minMax"/>
        </c:scaling>
        <c:delete val="0"/>
        <c:axPos val="l"/>
        <c:majorGridlines>
          <c:spPr>
            <a:ln w="3175">
              <a:solidFill>
                <a:srgbClr val="000000"/>
              </a:solidFill>
              <a:prstDash val="solid"/>
            </a:ln>
          </c:spPr>
        </c:majorGridlines>
        <c:title>
          <c:tx>
            <c:rich>
              <a:bodyPr/>
              <a:lstStyle/>
              <a:p>
                <a:pPr>
                  <a:defRPr sz="275" b="1" i="0" u="none" strike="noStrike" baseline="0">
                    <a:solidFill>
                      <a:srgbClr val="000000"/>
                    </a:solidFill>
                    <a:latin typeface="Arial"/>
                    <a:ea typeface="Arial"/>
                    <a:cs typeface="Arial"/>
                  </a:defRPr>
                </a:pPr>
                <a:r>
                  <a:rPr lang="en-US"/>
                  <a:t>N(ton)</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62950784"/>
        <c:crosses val="autoZero"/>
        <c:crossBetween val="midCat"/>
      </c:valAx>
      <c:spPr>
        <a:solidFill>
          <a:srgbClr val="C0C0C0"/>
        </a:solidFill>
        <a:ln w="12700">
          <a:solidFill>
            <a:srgbClr val="808080"/>
          </a:solidFill>
          <a:prstDash val="solid"/>
        </a:ln>
      </c:spPr>
    </c:plotArea>
    <c:legend>
      <c:legendPos val="t"/>
      <c:overlay val="0"/>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999" r="0.75000000000000999"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emf"/><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emf"/><Relationship Id="rId13" Type="http://schemas.openxmlformats.org/officeDocument/2006/relationships/image" Target="../media/image21.emf"/><Relationship Id="rId3" Type="http://schemas.openxmlformats.org/officeDocument/2006/relationships/image" Target="../media/image11.emf"/><Relationship Id="rId7" Type="http://schemas.openxmlformats.org/officeDocument/2006/relationships/image" Target="../media/image15.emf"/><Relationship Id="rId12" Type="http://schemas.openxmlformats.org/officeDocument/2006/relationships/image" Target="../media/image20.emf"/><Relationship Id="rId2" Type="http://schemas.openxmlformats.org/officeDocument/2006/relationships/image" Target="../media/image10.emf"/><Relationship Id="rId16" Type="http://schemas.openxmlformats.org/officeDocument/2006/relationships/image" Target="../media/image24.emf"/><Relationship Id="rId1" Type="http://schemas.openxmlformats.org/officeDocument/2006/relationships/chart" Target="../charts/chart1.xml"/><Relationship Id="rId6" Type="http://schemas.openxmlformats.org/officeDocument/2006/relationships/image" Target="../media/image14.emf"/><Relationship Id="rId11" Type="http://schemas.openxmlformats.org/officeDocument/2006/relationships/image" Target="../media/image19.emf"/><Relationship Id="rId5" Type="http://schemas.openxmlformats.org/officeDocument/2006/relationships/image" Target="../media/image13.emf"/><Relationship Id="rId15" Type="http://schemas.openxmlformats.org/officeDocument/2006/relationships/image" Target="../media/image23.emf"/><Relationship Id="rId10" Type="http://schemas.openxmlformats.org/officeDocument/2006/relationships/image" Target="../media/image18.emf"/><Relationship Id="rId4" Type="http://schemas.openxmlformats.org/officeDocument/2006/relationships/image" Target="../media/image12.emf"/><Relationship Id="rId9" Type="http://schemas.openxmlformats.org/officeDocument/2006/relationships/image" Target="../media/image17.emf"/><Relationship Id="rId14" Type="http://schemas.openxmlformats.org/officeDocument/2006/relationships/image" Target="../media/image22.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7</xdr:col>
      <xdr:colOff>225238</xdr:colOff>
      <xdr:row>2</xdr:row>
      <xdr:rowOff>142171</xdr:rowOff>
    </xdr:from>
    <xdr:to>
      <xdr:col>9</xdr:col>
      <xdr:colOff>449356</xdr:colOff>
      <xdr:row>16</xdr:row>
      <xdr:rowOff>170893</xdr:rowOff>
    </xdr:to>
    <xdr:pic>
      <xdr:nvPicPr>
        <xdr:cNvPr id="2" name="Picture 42"/>
        <xdr:cNvPicPr>
          <a:picLocks noChangeAspect="1" noChangeArrowheads="1"/>
        </xdr:cNvPicPr>
      </xdr:nvPicPr>
      <xdr:blipFill>
        <a:blip xmlns:r="http://schemas.openxmlformats.org/officeDocument/2006/relationships" r:embed="rId1" cstate="print"/>
        <a:srcRect/>
        <a:stretch>
          <a:fillRect/>
        </a:stretch>
      </xdr:blipFill>
      <xdr:spPr bwMode="auto">
        <a:xfrm>
          <a:off x="4025713" y="742246"/>
          <a:ext cx="1376643" cy="2829072"/>
        </a:xfrm>
        <a:prstGeom prst="rect">
          <a:avLst/>
        </a:prstGeom>
        <a:noFill/>
        <a:ln w="9525">
          <a:noFill/>
          <a:miter lim="800000"/>
          <a:headEnd/>
          <a:tailEnd/>
        </a:ln>
      </xdr:spPr>
    </xdr:pic>
    <xdr:clientData/>
  </xdr:twoCellAnchor>
  <xdr:twoCellAnchor>
    <xdr:from>
      <xdr:col>6</xdr:col>
      <xdr:colOff>503149</xdr:colOff>
      <xdr:row>113</xdr:row>
      <xdr:rowOff>66675</xdr:rowOff>
    </xdr:from>
    <xdr:to>
      <xdr:col>9</xdr:col>
      <xdr:colOff>582520</xdr:colOff>
      <xdr:row>125</xdr:row>
      <xdr:rowOff>1</xdr:rowOff>
    </xdr:to>
    <xdr:pic>
      <xdr:nvPicPr>
        <xdr:cNvPr id="3" name="Picture 53"/>
        <xdr:cNvPicPr>
          <a:picLocks noChangeAspect="1" noChangeArrowheads="1"/>
        </xdr:cNvPicPr>
      </xdr:nvPicPr>
      <xdr:blipFill>
        <a:blip xmlns:r="http://schemas.openxmlformats.org/officeDocument/2006/relationships" r:embed="rId2" cstate="print"/>
        <a:srcRect/>
        <a:stretch>
          <a:fillRect/>
        </a:stretch>
      </xdr:blipFill>
      <xdr:spPr bwMode="auto">
        <a:xfrm>
          <a:off x="3770224" y="23888700"/>
          <a:ext cx="1765296" cy="2333626"/>
        </a:xfrm>
        <a:prstGeom prst="rect">
          <a:avLst/>
        </a:prstGeom>
        <a:noFill/>
        <a:ln w="9525">
          <a:noFill/>
          <a:miter lim="800000"/>
          <a:headEnd/>
          <a:tailEnd/>
        </a:ln>
      </xdr:spPr>
    </xdr:pic>
    <xdr:clientData/>
  </xdr:twoCellAnchor>
  <xdr:twoCellAnchor editAs="oneCell">
    <xdr:from>
      <xdr:col>6</xdr:col>
      <xdr:colOff>22414</xdr:colOff>
      <xdr:row>226</xdr:row>
      <xdr:rowOff>89646</xdr:rowOff>
    </xdr:from>
    <xdr:to>
      <xdr:col>9</xdr:col>
      <xdr:colOff>590170</xdr:colOff>
      <xdr:row>247</xdr:row>
      <xdr:rowOff>67236</xdr:rowOff>
    </xdr:to>
    <xdr:pic>
      <xdr:nvPicPr>
        <xdr:cNvPr id="27659" name="Picture 11"/>
        <xdr:cNvPicPr>
          <a:picLocks noChangeAspect="1" noChangeArrowheads="1"/>
        </xdr:cNvPicPr>
      </xdr:nvPicPr>
      <xdr:blipFill>
        <a:blip xmlns:r="http://schemas.openxmlformats.org/officeDocument/2006/relationships" r:embed="rId3" cstate="print"/>
        <a:srcRect/>
        <a:stretch>
          <a:fillRect/>
        </a:stretch>
      </xdr:blipFill>
      <xdr:spPr bwMode="auto">
        <a:xfrm>
          <a:off x="3305738" y="51883234"/>
          <a:ext cx="2259844" cy="4213413"/>
        </a:xfrm>
        <a:prstGeom prst="rect">
          <a:avLst/>
        </a:prstGeom>
        <a:noFill/>
        <a:ln w="1">
          <a:noFill/>
          <a:miter lim="800000"/>
          <a:headEnd/>
          <a:tailEnd type="none" w="med" len="med"/>
        </a:ln>
        <a:effectLst/>
      </xdr:spPr>
    </xdr:pic>
    <xdr:clientData/>
  </xdr:twoCellAnchor>
  <xdr:twoCellAnchor editAs="oneCell">
    <xdr:from>
      <xdr:col>6</xdr:col>
      <xdr:colOff>44824</xdr:colOff>
      <xdr:row>270</xdr:row>
      <xdr:rowOff>112059</xdr:rowOff>
    </xdr:from>
    <xdr:to>
      <xdr:col>9</xdr:col>
      <xdr:colOff>573333</xdr:colOff>
      <xdr:row>291</xdr:row>
      <xdr:rowOff>179294</xdr:rowOff>
    </xdr:to>
    <xdr:pic>
      <xdr:nvPicPr>
        <xdr:cNvPr id="27660" name="Picture 12"/>
        <xdr:cNvPicPr>
          <a:picLocks noChangeAspect="1" noChangeArrowheads="1"/>
        </xdr:cNvPicPr>
      </xdr:nvPicPr>
      <xdr:blipFill>
        <a:blip xmlns:r="http://schemas.openxmlformats.org/officeDocument/2006/relationships" r:embed="rId4" cstate="print"/>
        <a:srcRect/>
        <a:stretch>
          <a:fillRect/>
        </a:stretch>
      </xdr:blipFill>
      <xdr:spPr bwMode="auto">
        <a:xfrm>
          <a:off x="3328148" y="56186294"/>
          <a:ext cx="2220597" cy="4303059"/>
        </a:xfrm>
        <a:prstGeom prst="rect">
          <a:avLst/>
        </a:prstGeom>
        <a:noFill/>
        <a:ln w="1">
          <a:noFill/>
          <a:miter lim="800000"/>
          <a:headEnd/>
          <a:tailEnd type="none" w="med" len="med"/>
        </a:ln>
        <a:effectLst/>
      </xdr:spPr>
    </xdr:pic>
    <xdr:clientData/>
  </xdr:twoCellAnchor>
  <xdr:twoCellAnchor editAs="oneCell">
    <xdr:from>
      <xdr:col>0</xdr:col>
      <xdr:colOff>413086</xdr:colOff>
      <xdr:row>179</xdr:row>
      <xdr:rowOff>28014</xdr:rowOff>
    </xdr:from>
    <xdr:to>
      <xdr:col>9</xdr:col>
      <xdr:colOff>278318</xdr:colOff>
      <xdr:row>202</xdr:row>
      <xdr:rowOff>156882</xdr:rowOff>
    </xdr:to>
    <xdr:pic>
      <xdr:nvPicPr>
        <xdr:cNvPr id="27688" name="Picture 40"/>
        <xdr:cNvPicPr>
          <a:picLocks noChangeAspect="1" noChangeArrowheads="1"/>
        </xdr:cNvPicPr>
      </xdr:nvPicPr>
      <xdr:blipFill>
        <a:blip xmlns:r="http://schemas.openxmlformats.org/officeDocument/2006/relationships" r:embed="rId5" cstate="print"/>
        <a:srcRect/>
        <a:stretch>
          <a:fillRect/>
        </a:stretch>
      </xdr:blipFill>
      <xdr:spPr bwMode="auto">
        <a:xfrm>
          <a:off x="413086" y="37343602"/>
          <a:ext cx="4840644" cy="4768104"/>
        </a:xfrm>
        <a:prstGeom prst="rect">
          <a:avLst/>
        </a:prstGeom>
        <a:noFill/>
        <a:ln w="1">
          <a:noFill/>
          <a:miter lim="800000"/>
          <a:headEnd/>
          <a:tailEnd type="none" w="med" len="med"/>
        </a:ln>
        <a:effectLst/>
      </xdr:spPr>
    </xdr:pic>
    <xdr:clientData/>
  </xdr:twoCellAnchor>
  <xdr:twoCellAnchor editAs="oneCell">
    <xdr:from>
      <xdr:col>7</xdr:col>
      <xdr:colOff>124989</xdr:colOff>
      <xdr:row>28</xdr:row>
      <xdr:rowOff>67236</xdr:rowOff>
    </xdr:from>
    <xdr:to>
      <xdr:col>9</xdr:col>
      <xdr:colOff>531418</xdr:colOff>
      <xdr:row>37</xdr:row>
      <xdr:rowOff>78442</xdr:rowOff>
    </xdr:to>
    <xdr:pic>
      <xdr:nvPicPr>
        <xdr:cNvPr id="8" name="Picture 7" descr="tuong chan.bmp"/>
        <xdr:cNvPicPr>
          <a:picLocks noChangeAspect="1"/>
        </xdr:cNvPicPr>
      </xdr:nvPicPr>
      <xdr:blipFill>
        <a:blip xmlns:r="http://schemas.openxmlformats.org/officeDocument/2006/relationships" r:embed="rId6"/>
        <a:stretch>
          <a:fillRect/>
        </a:stretch>
      </xdr:blipFill>
      <xdr:spPr>
        <a:xfrm>
          <a:off x="3946195" y="5916707"/>
          <a:ext cx="1560635" cy="2229970"/>
        </a:xfrm>
        <a:prstGeom prst="rect">
          <a:avLst/>
        </a:prstGeom>
      </xdr:spPr>
    </xdr:pic>
    <xdr:clientData/>
  </xdr:twoCellAnchor>
  <mc:AlternateContent xmlns:mc="http://schemas.openxmlformats.org/markup-compatibility/2006">
    <mc:Choice xmlns:a14="http://schemas.microsoft.com/office/drawing/2010/main" Requires="a14">
      <xdr:twoCellAnchor>
        <xdr:from>
          <xdr:col>15</xdr:col>
          <xdr:colOff>0</xdr:colOff>
          <xdr:row>44</xdr:row>
          <xdr:rowOff>0</xdr:rowOff>
        </xdr:from>
        <xdr:to>
          <xdr:col>15</xdr:col>
          <xdr:colOff>0</xdr:colOff>
          <xdr:row>44</xdr:row>
          <xdr:rowOff>0</xdr:rowOff>
        </xdr:to>
        <xdr:sp macro="" textlink="">
          <xdr:nvSpPr>
            <xdr:cNvPr id="27649" name="Object 1" hidden="1">
              <a:extLst>
                <a:ext uri="{63B3BB69-23CF-44E3-9099-C40C66FF867C}">
                  <a14:compatExt spid="_x0000_s276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0</xdr:colOff>
          <xdr:row>229</xdr:row>
          <xdr:rowOff>0</xdr:rowOff>
        </xdr:from>
        <xdr:to>
          <xdr:col>15</xdr:col>
          <xdr:colOff>0</xdr:colOff>
          <xdr:row>229</xdr:row>
          <xdr:rowOff>0</xdr:rowOff>
        </xdr:to>
        <xdr:sp macro="" textlink="">
          <xdr:nvSpPr>
            <xdr:cNvPr id="27650" name="Object 2" hidden="1">
              <a:extLst>
                <a:ext uri="{63B3BB69-23CF-44E3-9099-C40C66FF867C}">
                  <a14:compatExt spid="_x0000_s276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93</xdr:row>
          <xdr:rowOff>28575</xdr:rowOff>
        </xdr:from>
        <xdr:to>
          <xdr:col>4</xdr:col>
          <xdr:colOff>257175</xdr:colOff>
          <xdr:row>95</xdr:row>
          <xdr:rowOff>95250</xdr:rowOff>
        </xdr:to>
        <xdr:sp macro="" textlink="">
          <xdr:nvSpPr>
            <xdr:cNvPr id="27651" name="Object 3" hidden="1">
              <a:extLst>
                <a:ext uri="{63B3BB69-23CF-44E3-9099-C40C66FF867C}">
                  <a14:compatExt spid="_x0000_s27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590550</xdr:colOff>
          <xdr:row>97</xdr:row>
          <xdr:rowOff>0</xdr:rowOff>
        </xdr:from>
        <xdr:to>
          <xdr:col>4</xdr:col>
          <xdr:colOff>390525</xdr:colOff>
          <xdr:row>103</xdr:row>
          <xdr:rowOff>38100</xdr:rowOff>
        </xdr:to>
        <xdr:sp macro="" textlink="">
          <xdr:nvSpPr>
            <xdr:cNvPr id="27652" name="Object 4" hidden="1">
              <a:extLst>
                <a:ext uri="{63B3BB69-23CF-44E3-9099-C40C66FF867C}">
                  <a14:compatExt spid="_x0000_s27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38100</xdr:colOff>
      <xdr:row>11</xdr:row>
      <xdr:rowOff>0</xdr:rowOff>
    </xdr:from>
    <xdr:to>
      <xdr:col>8</xdr:col>
      <xdr:colOff>485775</xdr:colOff>
      <xdr:row>11</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13</xdr:row>
      <xdr:rowOff>0</xdr:rowOff>
    </xdr:from>
    <xdr:to>
      <xdr:col>3</xdr:col>
      <xdr:colOff>323850</xdr:colOff>
      <xdr:row>16</xdr:row>
      <xdr:rowOff>28575</xdr:rowOff>
    </xdr:to>
    <xdr:pic>
      <xdr:nvPicPr>
        <xdr:cNvPr id="3" name="Picture 14"/>
        <xdr:cNvPicPr>
          <a:picLocks noChangeAspect="1" noChangeArrowheads="1"/>
        </xdr:cNvPicPr>
      </xdr:nvPicPr>
      <xdr:blipFill>
        <a:blip xmlns:r="http://schemas.openxmlformats.org/officeDocument/2006/relationships" r:embed="rId2" cstate="print"/>
        <a:srcRect/>
        <a:stretch>
          <a:fillRect/>
        </a:stretch>
      </xdr:blipFill>
      <xdr:spPr bwMode="auto">
        <a:xfrm>
          <a:off x="47625" y="2276475"/>
          <a:ext cx="2266950" cy="514350"/>
        </a:xfrm>
        <a:prstGeom prst="rect">
          <a:avLst/>
        </a:prstGeom>
        <a:noFill/>
      </xdr:spPr>
    </xdr:pic>
    <xdr:clientData/>
  </xdr:twoCellAnchor>
  <xdr:twoCellAnchor editAs="oneCell">
    <xdr:from>
      <xdr:col>0</xdr:col>
      <xdr:colOff>38100</xdr:colOff>
      <xdr:row>17</xdr:row>
      <xdr:rowOff>152400</xdr:rowOff>
    </xdr:from>
    <xdr:to>
      <xdr:col>3</xdr:col>
      <xdr:colOff>466725</xdr:colOff>
      <xdr:row>20</xdr:row>
      <xdr:rowOff>152400</xdr:rowOff>
    </xdr:to>
    <xdr:pic>
      <xdr:nvPicPr>
        <xdr:cNvPr id="4" name="Picture 15"/>
        <xdr:cNvPicPr>
          <a:picLocks noChangeAspect="1" noChangeArrowheads="1"/>
        </xdr:cNvPicPr>
      </xdr:nvPicPr>
      <xdr:blipFill>
        <a:blip xmlns:r="http://schemas.openxmlformats.org/officeDocument/2006/relationships" r:embed="rId3" cstate="print"/>
        <a:srcRect/>
        <a:stretch>
          <a:fillRect/>
        </a:stretch>
      </xdr:blipFill>
      <xdr:spPr bwMode="auto">
        <a:xfrm>
          <a:off x="38100" y="3076575"/>
          <a:ext cx="2419350" cy="485775"/>
        </a:xfrm>
        <a:prstGeom prst="rect">
          <a:avLst/>
        </a:prstGeom>
        <a:noFill/>
      </xdr:spPr>
    </xdr:pic>
    <xdr:clientData/>
  </xdr:twoCellAnchor>
  <xdr:twoCellAnchor editAs="oneCell">
    <xdr:from>
      <xdr:col>0</xdr:col>
      <xdr:colOff>38100</xdr:colOff>
      <xdr:row>23</xdr:row>
      <xdr:rowOff>38100</xdr:rowOff>
    </xdr:from>
    <xdr:to>
      <xdr:col>0</xdr:col>
      <xdr:colOff>295275</xdr:colOff>
      <xdr:row>23</xdr:row>
      <xdr:rowOff>152400</xdr:rowOff>
    </xdr:to>
    <xdr:pic>
      <xdr:nvPicPr>
        <xdr:cNvPr id="5" name="Picture 16"/>
        <xdr:cNvPicPr>
          <a:picLocks noChangeAspect="1" noChangeArrowheads="1"/>
        </xdr:cNvPicPr>
      </xdr:nvPicPr>
      <xdr:blipFill>
        <a:blip xmlns:r="http://schemas.openxmlformats.org/officeDocument/2006/relationships" r:embed="rId4" cstate="print"/>
        <a:srcRect/>
        <a:stretch>
          <a:fillRect/>
        </a:stretch>
      </xdr:blipFill>
      <xdr:spPr bwMode="auto">
        <a:xfrm>
          <a:off x="38100" y="3971925"/>
          <a:ext cx="257175" cy="114300"/>
        </a:xfrm>
        <a:prstGeom prst="rect">
          <a:avLst/>
        </a:prstGeom>
        <a:noFill/>
      </xdr:spPr>
    </xdr:pic>
    <xdr:clientData/>
  </xdr:twoCellAnchor>
  <xdr:twoCellAnchor editAs="oneCell">
    <xdr:from>
      <xdr:col>0</xdr:col>
      <xdr:colOff>0</xdr:colOff>
      <xdr:row>25</xdr:row>
      <xdr:rowOff>0</xdr:rowOff>
    </xdr:from>
    <xdr:to>
      <xdr:col>1</xdr:col>
      <xdr:colOff>219075</xdr:colOff>
      <xdr:row>28</xdr:row>
      <xdr:rowOff>47625</xdr:rowOff>
    </xdr:to>
    <xdr:pic>
      <xdr:nvPicPr>
        <xdr:cNvPr id="6" name="Picture 17"/>
        <xdr:cNvPicPr>
          <a:picLocks noChangeAspect="1" noChangeArrowheads="1"/>
        </xdr:cNvPicPr>
      </xdr:nvPicPr>
      <xdr:blipFill>
        <a:blip xmlns:r="http://schemas.openxmlformats.org/officeDocument/2006/relationships" r:embed="rId5" cstate="print"/>
        <a:srcRect/>
        <a:stretch>
          <a:fillRect/>
        </a:stretch>
      </xdr:blipFill>
      <xdr:spPr bwMode="auto">
        <a:xfrm>
          <a:off x="0" y="4257675"/>
          <a:ext cx="828675" cy="533400"/>
        </a:xfrm>
        <a:prstGeom prst="rect">
          <a:avLst/>
        </a:prstGeom>
        <a:noFill/>
      </xdr:spPr>
    </xdr:pic>
    <xdr:clientData/>
  </xdr:twoCellAnchor>
  <xdr:twoCellAnchor editAs="oneCell">
    <xdr:from>
      <xdr:col>1</xdr:col>
      <xdr:colOff>133350</xdr:colOff>
      <xdr:row>35</xdr:row>
      <xdr:rowOff>85725</xdr:rowOff>
    </xdr:from>
    <xdr:to>
      <xdr:col>2</xdr:col>
      <xdr:colOff>504825</xdr:colOff>
      <xdr:row>37</xdr:row>
      <xdr:rowOff>142875</xdr:rowOff>
    </xdr:to>
    <xdr:pic>
      <xdr:nvPicPr>
        <xdr:cNvPr id="7" name="Picture 18"/>
        <xdr:cNvPicPr>
          <a:picLocks noChangeAspect="1" noChangeArrowheads="1"/>
        </xdr:cNvPicPr>
      </xdr:nvPicPr>
      <xdr:blipFill>
        <a:blip xmlns:r="http://schemas.openxmlformats.org/officeDocument/2006/relationships" r:embed="rId6" cstate="print"/>
        <a:srcRect/>
        <a:stretch>
          <a:fillRect/>
        </a:stretch>
      </xdr:blipFill>
      <xdr:spPr bwMode="auto">
        <a:xfrm>
          <a:off x="742950" y="5962650"/>
          <a:ext cx="1104900" cy="381000"/>
        </a:xfrm>
        <a:prstGeom prst="rect">
          <a:avLst/>
        </a:prstGeom>
        <a:noFill/>
      </xdr:spPr>
    </xdr:pic>
    <xdr:clientData/>
  </xdr:twoCellAnchor>
  <xdr:twoCellAnchor editAs="oneCell">
    <xdr:from>
      <xdr:col>3</xdr:col>
      <xdr:colOff>466725</xdr:colOff>
      <xdr:row>35</xdr:row>
      <xdr:rowOff>47625</xdr:rowOff>
    </xdr:from>
    <xdr:to>
      <xdr:col>4</xdr:col>
      <xdr:colOff>285750</xdr:colOff>
      <xdr:row>37</xdr:row>
      <xdr:rowOff>95250</xdr:rowOff>
    </xdr:to>
    <xdr:pic>
      <xdr:nvPicPr>
        <xdr:cNvPr id="8" name="Picture 20"/>
        <xdr:cNvPicPr>
          <a:picLocks noChangeAspect="1" noChangeArrowheads="1"/>
        </xdr:cNvPicPr>
      </xdr:nvPicPr>
      <xdr:blipFill>
        <a:blip xmlns:r="http://schemas.openxmlformats.org/officeDocument/2006/relationships" r:embed="rId7" cstate="print"/>
        <a:srcRect/>
        <a:stretch>
          <a:fillRect/>
        </a:stretch>
      </xdr:blipFill>
      <xdr:spPr bwMode="auto">
        <a:xfrm>
          <a:off x="2457450" y="5924550"/>
          <a:ext cx="485775" cy="371475"/>
        </a:xfrm>
        <a:prstGeom prst="rect">
          <a:avLst/>
        </a:prstGeom>
        <a:noFill/>
      </xdr:spPr>
    </xdr:pic>
    <xdr:clientData/>
  </xdr:twoCellAnchor>
  <xdr:twoCellAnchor editAs="oneCell">
    <xdr:from>
      <xdr:col>3</xdr:col>
      <xdr:colOff>447675</xdr:colOff>
      <xdr:row>38</xdr:row>
      <xdr:rowOff>47625</xdr:rowOff>
    </xdr:from>
    <xdr:to>
      <xdr:col>4</xdr:col>
      <xdr:colOff>266700</xdr:colOff>
      <xdr:row>40</xdr:row>
      <xdr:rowOff>57150</xdr:rowOff>
    </xdr:to>
    <xdr:pic>
      <xdr:nvPicPr>
        <xdr:cNvPr id="9" name="Picture 22"/>
        <xdr:cNvPicPr>
          <a:picLocks noChangeAspect="1" noChangeArrowheads="1"/>
        </xdr:cNvPicPr>
      </xdr:nvPicPr>
      <xdr:blipFill>
        <a:blip xmlns:r="http://schemas.openxmlformats.org/officeDocument/2006/relationships" r:embed="rId8" cstate="print"/>
        <a:srcRect/>
        <a:stretch>
          <a:fillRect/>
        </a:stretch>
      </xdr:blipFill>
      <xdr:spPr bwMode="auto">
        <a:xfrm>
          <a:off x="2438400" y="6410325"/>
          <a:ext cx="485775" cy="333375"/>
        </a:xfrm>
        <a:prstGeom prst="rect">
          <a:avLst/>
        </a:prstGeom>
        <a:noFill/>
      </xdr:spPr>
    </xdr:pic>
    <xdr:clientData/>
  </xdr:twoCellAnchor>
  <xdr:twoCellAnchor editAs="oneCell">
    <xdr:from>
      <xdr:col>1</xdr:col>
      <xdr:colOff>0</xdr:colOff>
      <xdr:row>39</xdr:row>
      <xdr:rowOff>114300</xdr:rowOff>
    </xdr:from>
    <xdr:to>
      <xdr:col>3</xdr:col>
      <xdr:colOff>85725</xdr:colOff>
      <xdr:row>44</xdr:row>
      <xdr:rowOff>47625</xdr:rowOff>
    </xdr:to>
    <xdr:pic>
      <xdr:nvPicPr>
        <xdr:cNvPr id="10" name="Picture 23"/>
        <xdr:cNvPicPr>
          <a:picLocks noChangeAspect="1" noChangeArrowheads="1"/>
        </xdr:cNvPicPr>
      </xdr:nvPicPr>
      <xdr:blipFill>
        <a:blip xmlns:r="http://schemas.openxmlformats.org/officeDocument/2006/relationships" r:embed="rId9" cstate="print"/>
        <a:srcRect/>
        <a:stretch>
          <a:fillRect/>
        </a:stretch>
      </xdr:blipFill>
      <xdr:spPr bwMode="auto">
        <a:xfrm>
          <a:off x="609600" y="6638925"/>
          <a:ext cx="1466850" cy="742950"/>
        </a:xfrm>
        <a:prstGeom prst="rect">
          <a:avLst/>
        </a:prstGeom>
        <a:noFill/>
      </xdr:spPr>
    </xdr:pic>
    <xdr:clientData/>
  </xdr:twoCellAnchor>
  <xdr:twoCellAnchor editAs="oneCell">
    <xdr:from>
      <xdr:col>0</xdr:col>
      <xdr:colOff>76200</xdr:colOff>
      <xdr:row>48</xdr:row>
      <xdr:rowOff>19050</xdr:rowOff>
    </xdr:from>
    <xdr:to>
      <xdr:col>1</xdr:col>
      <xdr:colOff>28575</xdr:colOff>
      <xdr:row>50</xdr:row>
      <xdr:rowOff>142875</xdr:rowOff>
    </xdr:to>
    <xdr:pic>
      <xdr:nvPicPr>
        <xdr:cNvPr id="11" name="Picture 26"/>
        <xdr:cNvPicPr>
          <a:picLocks noChangeAspect="1" noChangeArrowheads="1"/>
        </xdr:cNvPicPr>
      </xdr:nvPicPr>
      <xdr:blipFill>
        <a:blip xmlns:r="http://schemas.openxmlformats.org/officeDocument/2006/relationships" r:embed="rId10" cstate="print"/>
        <a:srcRect/>
        <a:stretch>
          <a:fillRect/>
        </a:stretch>
      </xdr:blipFill>
      <xdr:spPr bwMode="auto">
        <a:xfrm>
          <a:off x="76200" y="8001000"/>
          <a:ext cx="561975" cy="447675"/>
        </a:xfrm>
        <a:prstGeom prst="rect">
          <a:avLst/>
        </a:prstGeom>
        <a:noFill/>
      </xdr:spPr>
    </xdr:pic>
    <xdr:clientData/>
  </xdr:twoCellAnchor>
  <xdr:twoCellAnchor editAs="oneCell">
    <xdr:from>
      <xdr:col>0</xdr:col>
      <xdr:colOff>0</xdr:colOff>
      <xdr:row>50</xdr:row>
      <xdr:rowOff>133350</xdr:rowOff>
    </xdr:from>
    <xdr:to>
      <xdr:col>2</xdr:col>
      <xdr:colOff>628650</xdr:colOff>
      <xdr:row>52</xdr:row>
      <xdr:rowOff>47625</xdr:rowOff>
    </xdr:to>
    <xdr:pic>
      <xdr:nvPicPr>
        <xdr:cNvPr id="12" name="Picture 27"/>
        <xdr:cNvPicPr>
          <a:picLocks noChangeAspect="1" noChangeArrowheads="1"/>
        </xdr:cNvPicPr>
      </xdr:nvPicPr>
      <xdr:blipFill>
        <a:blip xmlns:r="http://schemas.openxmlformats.org/officeDocument/2006/relationships" r:embed="rId11" cstate="print"/>
        <a:srcRect/>
        <a:stretch>
          <a:fillRect/>
        </a:stretch>
      </xdr:blipFill>
      <xdr:spPr bwMode="auto">
        <a:xfrm>
          <a:off x="0" y="8439150"/>
          <a:ext cx="1971675" cy="238125"/>
        </a:xfrm>
        <a:prstGeom prst="rect">
          <a:avLst/>
        </a:prstGeom>
        <a:noFill/>
      </xdr:spPr>
    </xdr:pic>
    <xdr:clientData/>
  </xdr:twoCellAnchor>
  <xdr:twoCellAnchor editAs="oneCell">
    <xdr:from>
      <xdr:col>1</xdr:col>
      <xdr:colOff>609600</xdr:colOff>
      <xdr:row>58</xdr:row>
      <xdr:rowOff>114300</xdr:rowOff>
    </xdr:from>
    <xdr:to>
      <xdr:col>4</xdr:col>
      <xdr:colOff>19050</xdr:colOff>
      <xdr:row>61</xdr:row>
      <xdr:rowOff>95250</xdr:rowOff>
    </xdr:to>
    <xdr:pic>
      <xdr:nvPicPr>
        <xdr:cNvPr id="13" name="Picture 29"/>
        <xdr:cNvPicPr>
          <a:picLocks noChangeAspect="1" noChangeArrowheads="1"/>
        </xdr:cNvPicPr>
      </xdr:nvPicPr>
      <xdr:blipFill>
        <a:blip xmlns:r="http://schemas.openxmlformats.org/officeDocument/2006/relationships" r:embed="rId12" cstate="print"/>
        <a:srcRect t="31915" r="53444"/>
        <a:stretch>
          <a:fillRect/>
        </a:stretch>
      </xdr:blipFill>
      <xdr:spPr bwMode="auto">
        <a:xfrm>
          <a:off x="1219200" y="9715500"/>
          <a:ext cx="1457325" cy="466725"/>
        </a:xfrm>
        <a:prstGeom prst="rect">
          <a:avLst/>
        </a:prstGeom>
        <a:noFill/>
      </xdr:spPr>
    </xdr:pic>
    <xdr:clientData/>
  </xdr:twoCellAnchor>
  <xdr:twoCellAnchor editAs="oneCell">
    <xdr:from>
      <xdr:col>2</xdr:col>
      <xdr:colOff>209550</xdr:colOff>
      <xdr:row>63</xdr:row>
      <xdr:rowOff>85725</xdr:rowOff>
    </xdr:from>
    <xdr:to>
      <xdr:col>3</xdr:col>
      <xdr:colOff>638175</xdr:colOff>
      <xdr:row>66</xdr:row>
      <xdr:rowOff>95250</xdr:rowOff>
    </xdr:to>
    <xdr:pic>
      <xdr:nvPicPr>
        <xdr:cNvPr id="14" name="Picture 30"/>
        <xdr:cNvPicPr>
          <a:picLocks noChangeAspect="1" noChangeArrowheads="1"/>
        </xdr:cNvPicPr>
      </xdr:nvPicPr>
      <xdr:blipFill>
        <a:blip xmlns:r="http://schemas.openxmlformats.org/officeDocument/2006/relationships" r:embed="rId13" cstate="print"/>
        <a:srcRect l="13380" t="36191" r="52582"/>
        <a:stretch>
          <a:fillRect/>
        </a:stretch>
      </xdr:blipFill>
      <xdr:spPr bwMode="auto">
        <a:xfrm>
          <a:off x="1552575" y="10496550"/>
          <a:ext cx="1076325" cy="495300"/>
        </a:xfrm>
        <a:prstGeom prst="rect">
          <a:avLst/>
        </a:prstGeom>
        <a:noFill/>
      </xdr:spPr>
    </xdr:pic>
    <xdr:clientData/>
  </xdr:twoCellAnchor>
  <xdr:twoCellAnchor editAs="oneCell">
    <xdr:from>
      <xdr:col>0</xdr:col>
      <xdr:colOff>390525</xdr:colOff>
      <xdr:row>66</xdr:row>
      <xdr:rowOff>95250</xdr:rowOff>
    </xdr:from>
    <xdr:to>
      <xdr:col>1</xdr:col>
      <xdr:colOff>400050</xdr:colOff>
      <xdr:row>68</xdr:row>
      <xdr:rowOff>28575</xdr:rowOff>
    </xdr:to>
    <xdr:pic>
      <xdr:nvPicPr>
        <xdr:cNvPr id="15" name="Picture 31"/>
        <xdr:cNvPicPr>
          <a:picLocks noChangeAspect="1" noChangeArrowheads="1"/>
        </xdr:cNvPicPr>
      </xdr:nvPicPr>
      <xdr:blipFill>
        <a:blip xmlns:r="http://schemas.openxmlformats.org/officeDocument/2006/relationships" r:embed="rId14" cstate="print"/>
        <a:srcRect l="17096" t="-7462" r="56129" b="55223"/>
        <a:stretch>
          <a:fillRect/>
        </a:stretch>
      </xdr:blipFill>
      <xdr:spPr bwMode="auto">
        <a:xfrm>
          <a:off x="390525" y="10991850"/>
          <a:ext cx="619125" cy="257175"/>
        </a:xfrm>
        <a:prstGeom prst="rect">
          <a:avLst/>
        </a:prstGeom>
        <a:noFill/>
      </xdr:spPr>
    </xdr:pic>
    <xdr:clientData/>
  </xdr:twoCellAnchor>
  <xdr:twoCellAnchor editAs="oneCell">
    <xdr:from>
      <xdr:col>0</xdr:col>
      <xdr:colOff>476250</xdr:colOff>
      <xdr:row>68</xdr:row>
      <xdr:rowOff>28575</xdr:rowOff>
    </xdr:from>
    <xdr:to>
      <xdr:col>1</xdr:col>
      <xdr:colOff>200025</xdr:colOff>
      <xdr:row>70</xdr:row>
      <xdr:rowOff>104775</xdr:rowOff>
    </xdr:to>
    <xdr:pic>
      <xdr:nvPicPr>
        <xdr:cNvPr id="16" name="Picture 32"/>
        <xdr:cNvPicPr>
          <a:picLocks noChangeAspect="1" noChangeArrowheads="1"/>
        </xdr:cNvPicPr>
      </xdr:nvPicPr>
      <xdr:blipFill>
        <a:blip xmlns:r="http://schemas.openxmlformats.org/officeDocument/2006/relationships" r:embed="rId15" cstate="print"/>
        <a:srcRect/>
        <a:stretch>
          <a:fillRect/>
        </a:stretch>
      </xdr:blipFill>
      <xdr:spPr bwMode="auto">
        <a:xfrm>
          <a:off x="476250" y="11249025"/>
          <a:ext cx="333375" cy="400050"/>
        </a:xfrm>
        <a:prstGeom prst="rect">
          <a:avLst/>
        </a:prstGeom>
        <a:noFill/>
      </xdr:spPr>
    </xdr:pic>
    <xdr:clientData/>
  </xdr:twoCellAnchor>
  <xdr:twoCellAnchor editAs="oneCell">
    <xdr:from>
      <xdr:col>1</xdr:col>
      <xdr:colOff>333375</xdr:colOff>
      <xdr:row>54</xdr:row>
      <xdr:rowOff>142875</xdr:rowOff>
    </xdr:from>
    <xdr:to>
      <xdr:col>3</xdr:col>
      <xdr:colOff>447675</xdr:colOff>
      <xdr:row>56</xdr:row>
      <xdr:rowOff>28575</xdr:rowOff>
    </xdr:to>
    <xdr:pic>
      <xdr:nvPicPr>
        <xdr:cNvPr id="17" name="Picture 104"/>
        <xdr:cNvPicPr>
          <a:picLocks noChangeAspect="1" noChangeArrowheads="1"/>
        </xdr:cNvPicPr>
      </xdr:nvPicPr>
      <xdr:blipFill>
        <a:blip xmlns:r="http://schemas.openxmlformats.org/officeDocument/2006/relationships" r:embed="rId16" cstate="print"/>
        <a:srcRect l="17667" r="50630" b="61842"/>
        <a:stretch>
          <a:fillRect/>
        </a:stretch>
      </xdr:blipFill>
      <xdr:spPr bwMode="auto">
        <a:xfrm>
          <a:off x="942975" y="9096375"/>
          <a:ext cx="1495425" cy="209550"/>
        </a:xfrm>
        <a:prstGeom prst="rect">
          <a:avLst/>
        </a:prstGeom>
        <a:noFill/>
      </xdr:spPr>
    </xdr:pic>
    <xdr:clientData/>
  </xdr:twoCellAnchor>
  <xdr:twoCellAnchor editAs="oneCell">
    <xdr:from>
      <xdr:col>0</xdr:col>
      <xdr:colOff>390525</xdr:colOff>
      <xdr:row>57</xdr:row>
      <xdr:rowOff>9525</xdr:rowOff>
    </xdr:from>
    <xdr:to>
      <xdr:col>1</xdr:col>
      <xdr:colOff>552450</xdr:colOff>
      <xdr:row>58</xdr:row>
      <xdr:rowOff>38100</xdr:rowOff>
    </xdr:to>
    <xdr:pic>
      <xdr:nvPicPr>
        <xdr:cNvPr id="18" name="Picture 105"/>
        <xdr:cNvPicPr>
          <a:picLocks noChangeAspect="1" noChangeArrowheads="1"/>
        </xdr:cNvPicPr>
      </xdr:nvPicPr>
      <xdr:blipFill>
        <a:blip xmlns:r="http://schemas.openxmlformats.org/officeDocument/2006/relationships" r:embed="rId12" cstate="print"/>
        <a:srcRect l="7600" r="67934" b="72340"/>
        <a:stretch>
          <a:fillRect/>
        </a:stretch>
      </xdr:blipFill>
      <xdr:spPr bwMode="auto">
        <a:xfrm>
          <a:off x="390525" y="9448800"/>
          <a:ext cx="771525" cy="190500"/>
        </a:xfrm>
        <a:prstGeom prst="rect">
          <a:avLst/>
        </a:prstGeom>
        <a:noFill/>
      </xdr:spPr>
    </xdr:pic>
    <xdr:clientData/>
  </xdr:twoCellAnchor>
  <xdr:twoCellAnchor editAs="oneCell">
    <xdr:from>
      <xdr:col>0</xdr:col>
      <xdr:colOff>476250</xdr:colOff>
      <xdr:row>61</xdr:row>
      <xdr:rowOff>76200</xdr:rowOff>
    </xdr:from>
    <xdr:to>
      <xdr:col>2</xdr:col>
      <xdr:colOff>371475</xdr:colOff>
      <xdr:row>63</xdr:row>
      <xdr:rowOff>19050</xdr:rowOff>
    </xdr:to>
    <xdr:pic>
      <xdr:nvPicPr>
        <xdr:cNvPr id="19" name="Picture 106"/>
        <xdr:cNvPicPr>
          <a:picLocks noChangeAspect="1" noChangeArrowheads="1"/>
        </xdr:cNvPicPr>
      </xdr:nvPicPr>
      <xdr:blipFill>
        <a:blip xmlns:r="http://schemas.openxmlformats.org/officeDocument/2006/relationships" r:embed="rId13" cstate="print"/>
        <a:srcRect l="16197" r="44836" b="65714"/>
        <a:stretch>
          <a:fillRect/>
        </a:stretch>
      </xdr:blipFill>
      <xdr:spPr bwMode="auto">
        <a:xfrm>
          <a:off x="476250" y="10163175"/>
          <a:ext cx="1238250" cy="2667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comments" Target="../comments1.xml"/><Relationship Id="rId5" Type="http://schemas.openxmlformats.org/officeDocument/2006/relationships/image" Target="../media/image1.wmf"/><Relationship Id="rId10" Type="http://schemas.openxmlformats.org/officeDocument/2006/relationships/image" Target="../media/image3.emf"/><Relationship Id="rId4" Type="http://schemas.openxmlformats.org/officeDocument/2006/relationships/oleObject" Target="../embeddings/oleObject1.bin"/><Relationship Id="rId9" Type="http://schemas.openxmlformats.org/officeDocument/2006/relationships/oleObject" Target="../embeddings/oleObject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81"/>
  <sheetViews>
    <sheetView showGridLines="0" view="pageBreakPreview" topLeftCell="A6" zoomScaleSheetLayoutView="100" workbookViewId="0">
      <selection activeCell="E23" sqref="E23"/>
    </sheetView>
  </sheetViews>
  <sheetFormatPr defaultColWidth="9.140625" defaultRowHeight="15.75"/>
  <cols>
    <col min="1" max="1" width="6.42578125" style="38" customWidth="1"/>
    <col min="2" max="2" width="39.42578125" style="38" customWidth="1"/>
    <col min="3" max="3" width="9" style="38" customWidth="1"/>
    <col min="4" max="4" width="8.42578125" style="38" customWidth="1"/>
    <col min="5" max="5" width="8.5703125" style="38" customWidth="1"/>
    <col min="6" max="6" width="8.28515625" style="38" customWidth="1"/>
    <col min="7" max="7" width="11.85546875" style="38" customWidth="1"/>
    <col min="8" max="8" width="9.28515625" style="38" customWidth="1"/>
    <col min="9" max="9" width="9.7109375" style="38" customWidth="1"/>
    <col min="10" max="10" width="8.7109375" style="38" customWidth="1"/>
    <col min="11" max="11" width="8.28515625" style="38" customWidth="1"/>
    <col min="12" max="12" width="8.42578125" style="38" customWidth="1"/>
    <col min="13" max="13" width="8.42578125" style="40" customWidth="1"/>
    <col min="14" max="14" width="8.42578125" style="38" customWidth="1"/>
    <col min="15" max="16" width="9.140625" style="111" customWidth="1"/>
    <col min="17" max="17" width="9.42578125" style="111" customWidth="1"/>
    <col min="18" max="18" width="9.140625" style="111" customWidth="1"/>
    <col min="19" max="19" width="9.140625" style="111"/>
    <col min="20" max="20" width="9.140625" style="38" customWidth="1"/>
    <col min="21" max="16384" width="9.140625" style="38"/>
  </cols>
  <sheetData>
    <row r="1" spans="1:20" ht="30" hidden="1" customHeight="1">
      <c r="A1" s="264" t="s">
        <v>99</v>
      </c>
      <c r="B1" s="265"/>
      <c r="C1" s="265"/>
      <c r="D1" s="265"/>
      <c r="E1" s="265"/>
      <c r="F1" s="265"/>
      <c r="G1" s="265"/>
      <c r="H1" s="265"/>
      <c r="I1" s="265"/>
      <c r="J1" s="265"/>
      <c r="K1" s="265"/>
      <c r="L1" s="265"/>
      <c r="M1" s="36"/>
      <c r="N1" s="37"/>
    </row>
    <row r="2" spans="1:20" ht="17.100000000000001" hidden="1" customHeight="1">
      <c r="A2" s="39" t="s">
        <v>80</v>
      </c>
    </row>
    <row r="3" spans="1:20" ht="17.100000000000001" hidden="1" customHeight="1">
      <c r="B3" s="41" t="s">
        <v>96</v>
      </c>
    </row>
    <row r="4" spans="1:20" ht="17.100000000000001" hidden="1" customHeight="1">
      <c r="B4" s="41" t="s">
        <v>97</v>
      </c>
    </row>
    <row r="5" spans="1:20" ht="17.100000000000001" hidden="1" customHeight="1">
      <c r="B5" s="41" t="s">
        <v>98</v>
      </c>
      <c r="D5" s="42">
        <v>3</v>
      </c>
    </row>
    <row r="6" spans="1:20" ht="33" customHeight="1">
      <c r="A6" s="283" t="s">
        <v>294</v>
      </c>
      <c r="B6" s="283"/>
      <c r="C6" s="283"/>
      <c r="D6" s="283"/>
      <c r="E6" s="283"/>
      <c r="F6" s="283"/>
      <c r="G6" s="283"/>
      <c r="H6" s="283"/>
      <c r="I6" s="283"/>
      <c r="J6" s="283"/>
      <c r="K6" s="283"/>
      <c r="L6" s="283"/>
    </row>
    <row r="7" spans="1:20" ht="17.100000000000001" customHeight="1">
      <c r="A7" s="43"/>
      <c r="B7" s="129" t="s">
        <v>318</v>
      </c>
      <c r="C7" s="130"/>
      <c r="D7" s="130"/>
      <c r="E7" s="130"/>
      <c r="F7" s="130"/>
      <c r="G7" s="130"/>
      <c r="H7" s="130"/>
      <c r="I7" s="130"/>
      <c r="J7" s="130"/>
      <c r="K7" s="130"/>
      <c r="L7" s="130"/>
    </row>
    <row r="8" spans="1:20" ht="17.100000000000001" customHeight="1">
      <c r="A8" s="43"/>
      <c r="B8" s="129" t="s">
        <v>312</v>
      </c>
      <c r="C8" s="130"/>
      <c r="D8" s="130"/>
      <c r="E8" s="130"/>
      <c r="F8" s="130"/>
      <c r="G8" s="130"/>
      <c r="H8" s="131"/>
      <c r="I8" s="130"/>
      <c r="J8" s="130"/>
      <c r="K8" s="130"/>
      <c r="L8" s="130"/>
      <c r="O8" s="285" t="s">
        <v>94</v>
      </c>
      <c r="P8" s="285" t="s">
        <v>95</v>
      </c>
      <c r="Q8" s="285"/>
      <c r="R8" s="276" t="s">
        <v>103</v>
      </c>
      <c r="S8" s="266" t="s">
        <v>107</v>
      </c>
      <c r="T8" s="284" t="s">
        <v>106</v>
      </c>
    </row>
    <row r="9" spans="1:20" ht="17.100000000000001" customHeight="1">
      <c r="A9" s="43"/>
      <c r="B9" s="129" t="s">
        <v>101</v>
      </c>
      <c r="C9" s="132">
        <v>4</v>
      </c>
      <c r="D9" s="130"/>
      <c r="E9" s="281"/>
      <c r="F9" s="281"/>
      <c r="G9" s="130"/>
      <c r="H9" s="131"/>
      <c r="I9" s="130"/>
      <c r="J9" s="130"/>
      <c r="K9" s="130"/>
      <c r="L9" s="130"/>
      <c r="O9" s="286"/>
      <c r="P9" s="286"/>
      <c r="Q9" s="286"/>
      <c r="R9" s="277"/>
      <c r="S9" s="291"/>
      <c r="T9" s="284"/>
    </row>
    <row r="10" spans="1:20" ht="21.75" customHeight="1">
      <c r="A10" s="44"/>
      <c r="B10" s="292" t="s">
        <v>321</v>
      </c>
      <c r="C10" s="292"/>
      <c r="D10" s="292"/>
      <c r="E10" s="292"/>
      <c r="F10" s="292"/>
      <c r="G10" s="292"/>
      <c r="H10" s="292"/>
      <c r="I10" s="292"/>
      <c r="J10" s="292"/>
      <c r="K10" s="292"/>
      <c r="L10" s="292"/>
      <c r="O10" s="286"/>
      <c r="P10" s="286"/>
      <c r="Q10" s="286"/>
      <c r="R10" s="277"/>
      <c r="S10" s="291"/>
      <c r="T10" s="284"/>
    </row>
    <row r="11" spans="1:20" ht="17.100000000000001" hidden="1" customHeight="1">
      <c r="A11" s="44"/>
      <c r="B11" s="133"/>
      <c r="C11" s="133"/>
      <c r="D11" s="133"/>
      <c r="E11" s="133"/>
      <c r="F11" s="133"/>
      <c r="G11" s="133"/>
      <c r="H11" s="133"/>
      <c r="I11" s="133"/>
      <c r="J11" s="133"/>
      <c r="K11" s="133"/>
      <c r="L11" s="133"/>
      <c r="O11" s="286"/>
      <c r="P11" s="286"/>
      <c r="Q11" s="286"/>
      <c r="R11" s="277"/>
      <c r="S11" s="291"/>
      <c r="T11" s="284"/>
    </row>
    <row r="12" spans="1:20" ht="16.5" customHeight="1">
      <c r="A12" s="44"/>
      <c r="B12" s="129" t="s">
        <v>102</v>
      </c>
      <c r="C12" s="132" t="s">
        <v>388</v>
      </c>
      <c r="D12" s="130"/>
      <c r="E12" s="133" t="s">
        <v>320</v>
      </c>
      <c r="F12" s="133"/>
      <c r="G12" s="130"/>
      <c r="H12" s="131"/>
      <c r="I12" s="130"/>
      <c r="J12" s="130"/>
      <c r="K12" s="130"/>
      <c r="L12" s="130"/>
      <c r="O12" s="286"/>
      <c r="P12" s="286"/>
      <c r="Q12" s="286"/>
      <c r="R12" s="277"/>
      <c r="S12" s="291"/>
      <c r="T12" s="284"/>
    </row>
    <row r="13" spans="1:20" ht="21.75" customHeight="1">
      <c r="A13" s="44"/>
      <c r="B13" s="129" t="s">
        <v>319</v>
      </c>
      <c r="C13" s="130"/>
      <c r="D13" s="130"/>
      <c r="E13" s="281"/>
      <c r="F13" s="281"/>
      <c r="G13" s="130"/>
      <c r="H13" s="131"/>
      <c r="I13" s="130"/>
      <c r="J13" s="130"/>
      <c r="K13" s="130"/>
      <c r="L13" s="130"/>
      <c r="O13" s="287"/>
      <c r="P13" s="287"/>
      <c r="Q13" s="287"/>
      <c r="R13" s="278"/>
      <c r="S13" s="291"/>
      <c r="T13" s="284"/>
    </row>
    <row r="14" spans="1:20" ht="59.25" customHeight="1">
      <c r="A14" s="279" t="s">
        <v>82</v>
      </c>
      <c r="B14" s="276" t="s">
        <v>81</v>
      </c>
      <c r="C14" s="266" t="s">
        <v>83</v>
      </c>
      <c r="D14" s="266" t="s">
        <v>84</v>
      </c>
      <c r="E14" s="45" t="s">
        <v>85</v>
      </c>
      <c r="F14" s="45" t="s">
        <v>293</v>
      </c>
      <c r="G14" s="45" t="s">
        <v>86</v>
      </c>
      <c r="H14" s="45" t="s">
        <v>87</v>
      </c>
      <c r="I14" s="45" t="s">
        <v>88</v>
      </c>
      <c r="J14" s="45" t="s">
        <v>89</v>
      </c>
      <c r="K14" s="45" t="s">
        <v>90</v>
      </c>
      <c r="L14" s="45" t="s">
        <v>91</v>
      </c>
      <c r="M14" s="46"/>
      <c r="N14" s="46"/>
      <c r="O14" s="276" t="s">
        <v>76</v>
      </c>
      <c r="P14" s="276" t="s">
        <v>77</v>
      </c>
      <c r="Q14" s="288" t="s">
        <v>70</v>
      </c>
      <c r="R14" s="110" t="s">
        <v>78</v>
      </c>
      <c r="S14" s="288" t="s">
        <v>108</v>
      </c>
      <c r="T14" s="284"/>
    </row>
    <row r="15" spans="1:20" ht="20.25" customHeight="1">
      <c r="A15" s="280"/>
      <c r="B15" s="277"/>
      <c r="C15" s="266"/>
      <c r="D15" s="266"/>
      <c r="E15" s="47" t="s">
        <v>100</v>
      </c>
      <c r="F15" s="47" t="s">
        <v>70</v>
      </c>
      <c r="G15" s="48" t="s">
        <v>71</v>
      </c>
      <c r="H15" s="48" t="s">
        <v>3</v>
      </c>
      <c r="I15" s="47" t="s">
        <v>2</v>
      </c>
      <c r="J15" s="47" t="s">
        <v>1</v>
      </c>
      <c r="K15" s="47" t="s">
        <v>74</v>
      </c>
      <c r="L15" s="47" t="s">
        <v>75</v>
      </c>
      <c r="M15" s="49"/>
      <c r="N15" s="49"/>
      <c r="O15" s="277"/>
      <c r="P15" s="277"/>
      <c r="Q15" s="289"/>
      <c r="R15" s="113"/>
      <c r="S15" s="289"/>
      <c r="T15" s="284"/>
    </row>
    <row r="16" spans="1:20" ht="19.5" customHeight="1">
      <c r="A16" s="280"/>
      <c r="B16" s="278"/>
      <c r="C16" s="48" t="s">
        <v>1</v>
      </c>
      <c r="D16" s="48" t="s">
        <v>1</v>
      </c>
      <c r="E16" s="48" t="s">
        <v>72</v>
      </c>
      <c r="F16" s="48" t="s">
        <v>72</v>
      </c>
      <c r="G16" s="48" t="s">
        <v>34</v>
      </c>
      <c r="H16" s="48" t="s">
        <v>73</v>
      </c>
      <c r="I16" s="48" t="s">
        <v>4</v>
      </c>
      <c r="J16" s="48"/>
      <c r="K16" s="48" t="s">
        <v>4</v>
      </c>
      <c r="L16" s="48" t="s">
        <v>4</v>
      </c>
      <c r="M16" s="50"/>
      <c r="O16" s="278"/>
      <c r="P16" s="278"/>
      <c r="Q16" s="290"/>
      <c r="R16" s="114"/>
      <c r="S16" s="290"/>
      <c r="T16" s="284"/>
    </row>
    <row r="17" spans="1:20" ht="35.1" customHeight="1">
      <c r="A17" s="122">
        <v>1</v>
      </c>
      <c r="B17" s="121" t="s">
        <v>313</v>
      </c>
      <c r="C17" s="123">
        <v>-2.7</v>
      </c>
      <c r="D17" s="122">
        <f>-C17</f>
        <v>2.7</v>
      </c>
      <c r="E17" s="124">
        <v>17.5</v>
      </c>
      <c r="F17" s="55">
        <v>18.600000000000001</v>
      </c>
      <c r="G17" s="128">
        <v>0.5</v>
      </c>
      <c r="H17" s="125">
        <v>0</v>
      </c>
      <c r="I17" s="125">
        <v>10</v>
      </c>
      <c r="J17" s="57">
        <f>(1-SIN(I17*PI()/180))/(2-SIN(I17*PI()/180))</f>
        <v>0.45246037057495753</v>
      </c>
      <c r="K17" s="57">
        <f>I17*R17</f>
        <v>7.5</v>
      </c>
      <c r="L17" s="57">
        <f>I17*R17</f>
        <v>7.5</v>
      </c>
      <c r="M17" s="58">
        <v>4</v>
      </c>
      <c r="N17" s="59">
        <f>766*M17/100/10</f>
        <v>3.0640000000000001</v>
      </c>
      <c r="O17" s="126">
        <v>0.90900000000000003</v>
      </c>
      <c r="P17" s="127">
        <v>2.65</v>
      </c>
      <c r="Q17" s="61">
        <f>(P17+O17)*10/(1+O17)</f>
        <v>18.643268727082244</v>
      </c>
      <c r="R17" s="48">
        <f>3/4</f>
        <v>0.75</v>
      </c>
      <c r="S17" s="116">
        <f>(P17-1)/(1+O17)</f>
        <v>0.86432687270822417</v>
      </c>
      <c r="T17" s="284"/>
    </row>
    <row r="18" spans="1:20" ht="35.1" customHeight="1">
      <c r="A18" s="122">
        <v>2</v>
      </c>
      <c r="B18" s="121" t="s">
        <v>314</v>
      </c>
      <c r="C18" s="123">
        <v>-6</v>
      </c>
      <c r="D18" s="122">
        <f t="shared" ref="D18:D21" si="0">-C18+C17</f>
        <v>3.3</v>
      </c>
      <c r="E18" s="123">
        <v>17.5</v>
      </c>
      <c r="F18" s="55">
        <f t="shared" ref="F18:F25" si="1">Q18</f>
        <v>17.07850707850708</v>
      </c>
      <c r="G18" s="128">
        <v>4.3</v>
      </c>
      <c r="H18" s="125">
        <v>17.899999999999999</v>
      </c>
      <c r="I18" s="125">
        <v>13.85</v>
      </c>
      <c r="J18" s="57">
        <f>(1-SIN(I18*PI()/180))/(2-SIN(I18*PI()/180))</f>
        <v>0.43201799492586856</v>
      </c>
      <c r="K18" s="57">
        <f>I18*R18</f>
        <v>10.387499999999999</v>
      </c>
      <c r="L18" s="57">
        <f t="shared" ref="L18:L23" si="2">I18*R18</f>
        <v>10.387499999999999</v>
      </c>
      <c r="M18" s="58">
        <v>5</v>
      </c>
      <c r="N18" s="59">
        <f t="shared" ref="N18:N20" si="3">766*M18/100/10</f>
        <v>3.8299999999999996</v>
      </c>
      <c r="O18" s="126">
        <v>1.331</v>
      </c>
      <c r="P18" s="127">
        <v>2.65</v>
      </c>
      <c r="Q18" s="61">
        <f>(P18+O18)*10/(1+O18)</f>
        <v>17.07850707850708</v>
      </c>
      <c r="R18" s="112">
        <f>3/4</f>
        <v>0.75</v>
      </c>
      <c r="S18" s="116">
        <f>(P18-1)/(1+O18)</f>
        <v>0.70785070785070781</v>
      </c>
      <c r="T18" s="284"/>
    </row>
    <row r="19" spans="1:20" ht="35.1" customHeight="1">
      <c r="A19" s="122">
        <v>3</v>
      </c>
      <c r="B19" s="121" t="s">
        <v>315</v>
      </c>
      <c r="C19" s="123">
        <v>-18.5</v>
      </c>
      <c r="D19" s="122">
        <f t="shared" si="0"/>
        <v>12.5</v>
      </c>
      <c r="E19" s="125">
        <v>16.3</v>
      </c>
      <c r="F19" s="55">
        <f t="shared" si="1"/>
        <v>19.73425765453495</v>
      </c>
      <c r="G19" s="128">
        <v>1.5</v>
      </c>
      <c r="H19" s="125">
        <v>16.399999999999999</v>
      </c>
      <c r="I19" s="125">
        <v>7.02</v>
      </c>
      <c r="J19" s="57">
        <f>(1-SIN(I19*PI()/180))/(2-SIN(I19*PI()/180))</f>
        <v>0.46745744267739148</v>
      </c>
      <c r="K19" s="57">
        <f>I19*R19</f>
        <v>5.2649999999999997</v>
      </c>
      <c r="L19" s="57">
        <f>I19*R19</f>
        <v>5.2649999999999997</v>
      </c>
      <c r="M19" s="58">
        <v>5</v>
      </c>
      <c r="N19" s="59">
        <f t="shared" si="3"/>
        <v>3.8299999999999996</v>
      </c>
      <c r="O19" s="126">
        <v>0.73099999999999998</v>
      </c>
      <c r="P19" s="127">
        <v>2.6850000000000001</v>
      </c>
      <c r="Q19" s="61">
        <f>(P19+O19)*10/(1+O19)</f>
        <v>19.73425765453495</v>
      </c>
      <c r="R19" s="112">
        <f t="shared" ref="R19:R25" si="4">3/4</f>
        <v>0.75</v>
      </c>
      <c r="S19" s="116">
        <f t="shared" ref="S19:S20" si="5">(P19-1)/(1+O19)</f>
        <v>0.97342576545349524</v>
      </c>
      <c r="T19" s="284"/>
    </row>
    <row r="20" spans="1:20" ht="35.1" customHeight="1">
      <c r="A20" s="122">
        <v>4</v>
      </c>
      <c r="B20" s="121" t="s">
        <v>316</v>
      </c>
      <c r="C20" s="123">
        <v>-20</v>
      </c>
      <c r="D20" s="122">
        <f t="shared" si="0"/>
        <v>1.5</v>
      </c>
      <c r="E20" s="123">
        <v>19</v>
      </c>
      <c r="F20" s="55">
        <f t="shared" si="1"/>
        <v>20.02411091018686</v>
      </c>
      <c r="G20" s="128">
        <v>9.5</v>
      </c>
      <c r="H20" s="125">
        <v>30.8</v>
      </c>
      <c r="I20" s="125">
        <v>18.02</v>
      </c>
      <c r="J20" s="57">
        <f t="shared" ref="J20:J21" si="6">(1-SIN(I20*PI()/180))/(2-SIN(I20*PI()/180))</f>
        <v>0.40851188417775813</v>
      </c>
      <c r="K20" s="57">
        <f>I20*R20</f>
        <v>13.515000000000001</v>
      </c>
      <c r="L20" s="57">
        <f t="shared" si="2"/>
        <v>13.515000000000001</v>
      </c>
      <c r="M20" s="58">
        <v>8</v>
      </c>
      <c r="N20" s="59">
        <f t="shared" si="3"/>
        <v>6.1280000000000001</v>
      </c>
      <c r="O20" s="126">
        <v>0.65900000000000003</v>
      </c>
      <c r="P20" s="127">
        <v>2.6629999999999998</v>
      </c>
      <c r="Q20" s="61">
        <f>(P20+O20)*10/(1+O20)</f>
        <v>20.02411091018686</v>
      </c>
      <c r="R20" s="112">
        <f t="shared" si="4"/>
        <v>0.75</v>
      </c>
      <c r="S20" s="116">
        <f t="shared" si="5"/>
        <v>1.0024110910186859</v>
      </c>
      <c r="T20" s="284"/>
    </row>
    <row r="21" spans="1:20" ht="35.1" customHeight="1">
      <c r="A21" s="122">
        <v>5</v>
      </c>
      <c r="B21" s="121" t="s">
        <v>317</v>
      </c>
      <c r="C21" s="123">
        <v>-20.8</v>
      </c>
      <c r="D21" s="122">
        <f t="shared" si="0"/>
        <v>0.80000000000000071</v>
      </c>
      <c r="E21" s="123">
        <v>16.2</v>
      </c>
      <c r="F21" s="55">
        <f t="shared" si="1"/>
        <v>19.945750452079569</v>
      </c>
      <c r="G21" s="128">
        <v>19.2</v>
      </c>
      <c r="H21" s="125">
        <v>0</v>
      </c>
      <c r="I21" s="125">
        <v>30</v>
      </c>
      <c r="J21" s="57">
        <f t="shared" si="6"/>
        <v>0.33333333333333331</v>
      </c>
      <c r="K21" s="57">
        <f t="shared" ref="K21:K23" si="7">I21*R21</f>
        <v>22.5</v>
      </c>
      <c r="L21" s="57">
        <f t="shared" si="2"/>
        <v>22.5</v>
      </c>
      <c r="M21" s="58">
        <v>11</v>
      </c>
      <c r="N21" s="59">
        <f>766*M21/100/10</f>
        <v>8.4260000000000002</v>
      </c>
      <c r="O21" s="126">
        <v>0.65900000000000003</v>
      </c>
      <c r="P21" s="127">
        <v>2.65</v>
      </c>
      <c r="Q21" s="61">
        <f t="shared" ref="Q21:Q25" si="8">(P21+O21)*10/(1+O21)</f>
        <v>19.945750452079569</v>
      </c>
      <c r="R21" s="112">
        <f t="shared" si="4"/>
        <v>0.75</v>
      </c>
      <c r="S21" s="116">
        <f>(P21-1)/(1+O21)</f>
        <v>0.99457504520795648</v>
      </c>
      <c r="T21" s="284"/>
    </row>
    <row r="22" spans="1:20" ht="30" customHeight="1">
      <c r="A22" s="51">
        <v>6</v>
      </c>
      <c r="B22" s="52" t="s">
        <v>309</v>
      </c>
      <c r="C22" s="53">
        <v>-32.5</v>
      </c>
      <c r="D22" s="54">
        <f>-C22+C21</f>
        <v>11.7</v>
      </c>
      <c r="E22" s="53">
        <v>17</v>
      </c>
      <c r="F22" s="55">
        <f>Q22</f>
        <v>20.126582278481013</v>
      </c>
      <c r="G22" s="53">
        <v>17.5</v>
      </c>
      <c r="H22" s="53">
        <v>0</v>
      </c>
      <c r="I22" s="56">
        <v>29.28</v>
      </c>
      <c r="J22" s="57">
        <v>0.25</v>
      </c>
      <c r="K22" s="57">
        <f t="shared" si="7"/>
        <v>21.96</v>
      </c>
      <c r="L22" s="57">
        <f t="shared" si="2"/>
        <v>21.96</v>
      </c>
      <c r="M22" s="58">
        <v>8</v>
      </c>
      <c r="N22" s="59">
        <f t="shared" ref="N22:N23" si="9">766*M22/100/10</f>
        <v>6.1280000000000001</v>
      </c>
      <c r="O22" s="120">
        <v>0.65900000000000003</v>
      </c>
      <c r="P22" s="119">
        <v>2.68</v>
      </c>
      <c r="Q22" s="61">
        <f t="shared" si="8"/>
        <v>20.126582278481013</v>
      </c>
      <c r="R22" s="112">
        <f t="shared" si="4"/>
        <v>0.75</v>
      </c>
      <c r="S22" s="116">
        <f t="shared" ref="S22:S25" si="10">(P22-1)/(1+O22)</f>
        <v>1.0126582278481013</v>
      </c>
      <c r="T22" s="284"/>
    </row>
    <row r="23" spans="1:20" ht="36" customHeight="1">
      <c r="A23" s="51" t="s">
        <v>308</v>
      </c>
      <c r="B23" s="52" t="s">
        <v>310</v>
      </c>
      <c r="C23" s="53">
        <v>-35</v>
      </c>
      <c r="D23" s="54">
        <f>-C23+C22</f>
        <v>2.5</v>
      </c>
      <c r="E23" s="53">
        <v>20</v>
      </c>
      <c r="F23" s="55">
        <f t="shared" si="1"/>
        <v>20.066305003013863</v>
      </c>
      <c r="G23" s="53">
        <v>77</v>
      </c>
      <c r="H23" s="53">
        <v>0</v>
      </c>
      <c r="I23" s="56">
        <v>30</v>
      </c>
      <c r="J23" s="57">
        <v>0.25</v>
      </c>
      <c r="K23" s="57">
        <f t="shared" si="7"/>
        <v>22.5</v>
      </c>
      <c r="L23" s="57">
        <f t="shared" si="2"/>
        <v>22.5</v>
      </c>
      <c r="M23" s="58">
        <v>12</v>
      </c>
      <c r="N23" s="59">
        <f t="shared" si="9"/>
        <v>9.1920000000000002</v>
      </c>
      <c r="O23" s="120">
        <v>0.65900000000000003</v>
      </c>
      <c r="P23" s="119">
        <v>2.67</v>
      </c>
      <c r="Q23" s="61">
        <f t="shared" si="8"/>
        <v>20.066305003013863</v>
      </c>
      <c r="R23" s="112">
        <f t="shared" si="4"/>
        <v>0.75</v>
      </c>
      <c r="S23" s="116">
        <f t="shared" si="10"/>
        <v>1.0066305003013862</v>
      </c>
      <c r="T23" s="284"/>
    </row>
    <row r="24" spans="1:20" ht="36" customHeight="1">
      <c r="A24" s="51">
        <v>7</v>
      </c>
      <c r="B24" s="52" t="s">
        <v>311</v>
      </c>
      <c r="C24" s="53">
        <v>-38.5</v>
      </c>
      <c r="D24" s="54">
        <f>-C24+C23</f>
        <v>3.5</v>
      </c>
      <c r="E24" s="53">
        <v>20</v>
      </c>
      <c r="F24" s="55">
        <f>Q24</f>
        <v>20.066305003013863</v>
      </c>
      <c r="G24" s="53">
        <v>24.2</v>
      </c>
      <c r="H24" s="53">
        <v>0</v>
      </c>
      <c r="I24" s="56">
        <v>30</v>
      </c>
      <c r="J24" s="57">
        <v>0.25</v>
      </c>
      <c r="K24" s="57">
        <f t="shared" ref="K24" si="11">I24*R24</f>
        <v>22.5</v>
      </c>
      <c r="L24" s="57">
        <f t="shared" ref="L24" si="12">I24*R24</f>
        <v>22.5</v>
      </c>
      <c r="M24" s="58"/>
      <c r="N24" s="59"/>
      <c r="O24" s="120">
        <v>0.65900000000000003</v>
      </c>
      <c r="P24" s="119">
        <v>2.67</v>
      </c>
      <c r="Q24" s="61">
        <f t="shared" si="8"/>
        <v>20.066305003013863</v>
      </c>
      <c r="R24" s="117">
        <f t="shared" si="4"/>
        <v>0.75</v>
      </c>
      <c r="S24" s="116">
        <f t="shared" si="10"/>
        <v>1.0066305003013862</v>
      </c>
      <c r="T24" s="118"/>
    </row>
    <row r="25" spans="1:20" ht="34.5" customHeight="1">
      <c r="A25" s="51" t="s">
        <v>307</v>
      </c>
      <c r="B25" s="52" t="s">
        <v>304</v>
      </c>
      <c r="C25" s="53">
        <v>-34.700000000000003</v>
      </c>
      <c r="D25" s="54">
        <f>-C25+C24</f>
        <v>-3.7999999999999972</v>
      </c>
      <c r="E25" s="53">
        <v>19</v>
      </c>
      <c r="F25" s="55">
        <f t="shared" si="1"/>
        <v>20.006027727546712</v>
      </c>
      <c r="G25" s="53">
        <v>100</v>
      </c>
      <c r="H25" s="53">
        <v>0</v>
      </c>
      <c r="I25" s="56">
        <v>47</v>
      </c>
      <c r="J25" s="57">
        <v>0.25</v>
      </c>
      <c r="K25" s="57">
        <f>I25*R25</f>
        <v>35.25</v>
      </c>
      <c r="L25" s="57">
        <f t="shared" ref="L25" si="13">I25*R25</f>
        <v>35.25</v>
      </c>
      <c r="M25" s="58"/>
      <c r="N25" s="59"/>
      <c r="O25" s="120">
        <v>0.65900000000000003</v>
      </c>
      <c r="P25" s="119">
        <v>2.66</v>
      </c>
      <c r="Q25" s="61">
        <f t="shared" si="8"/>
        <v>20.006027727546712</v>
      </c>
      <c r="R25" s="112">
        <f t="shared" si="4"/>
        <v>0.75</v>
      </c>
      <c r="S25" s="116">
        <f t="shared" si="10"/>
        <v>1.0006027727546716</v>
      </c>
    </row>
    <row r="26" spans="1:20" ht="34.5" customHeight="1">
      <c r="A26" s="51"/>
      <c r="B26" s="52"/>
      <c r="C26" s="53"/>
      <c r="D26" s="54"/>
      <c r="E26" s="53"/>
      <c r="F26" s="55"/>
      <c r="G26" s="53"/>
      <c r="H26" s="53"/>
      <c r="I26" s="56"/>
      <c r="J26" s="57"/>
      <c r="K26" s="57"/>
      <c r="L26" s="57"/>
      <c r="M26" s="58"/>
      <c r="N26" s="59"/>
      <c r="O26" s="60"/>
      <c r="P26" s="115"/>
      <c r="Q26" s="61"/>
      <c r="R26" s="48"/>
      <c r="S26" s="116"/>
    </row>
    <row r="27" spans="1:20" ht="42.75" customHeight="1">
      <c r="A27" s="51"/>
      <c r="B27" s="52"/>
      <c r="C27" s="53"/>
      <c r="D27" s="54"/>
      <c r="E27" s="53"/>
      <c r="F27" s="55"/>
      <c r="G27" s="53"/>
      <c r="H27" s="53"/>
      <c r="I27" s="56"/>
      <c r="J27" s="57"/>
      <c r="K27" s="57"/>
      <c r="L27" s="57"/>
      <c r="M27" s="58"/>
      <c r="N27" s="59"/>
      <c r="O27" s="60"/>
      <c r="P27" s="115"/>
      <c r="Q27" s="61"/>
      <c r="R27" s="48"/>
      <c r="S27" s="116"/>
    </row>
    <row r="28" spans="1:20" ht="44.25" customHeight="1">
      <c r="A28" s="51"/>
      <c r="B28" s="52"/>
      <c r="C28" s="53"/>
      <c r="D28" s="54"/>
      <c r="E28" s="53"/>
      <c r="F28" s="55"/>
      <c r="G28" s="53"/>
      <c r="H28" s="53"/>
      <c r="I28" s="56"/>
      <c r="J28" s="57"/>
      <c r="K28" s="57"/>
      <c r="L28" s="57"/>
      <c r="M28" s="58"/>
      <c r="N28" s="59"/>
      <c r="O28" s="60"/>
      <c r="P28" s="115"/>
      <c r="Q28" s="61"/>
      <c r="R28" s="48"/>
      <c r="S28" s="116"/>
    </row>
    <row r="50" spans="1:19" hidden="1"/>
    <row r="51" spans="1:19" hidden="1"/>
    <row r="52" spans="1:19" hidden="1">
      <c r="A52" s="271" t="s">
        <v>51</v>
      </c>
      <c r="B52" s="271"/>
      <c r="C52" s="271"/>
      <c r="D52" s="271"/>
      <c r="E52" s="271"/>
      <c r="F52" s="271"/>
      <c r="G52" s="271"/>
      <c r="H52" s="271"/>
      <c r="I52" s="271"/>
      <c r="J52" s="271"/>
      <c r="K52" s="271"/>
      <c r="L52" s="271"/>
      <c r="M52" s="271"/>
      <c r="N52" s="271"/>
      <c r="O52" s="271"/>
      <c r="P52" s="271"/>
      <c r="Q52" s="271"/>
      <c r="R52" s="271"/>
      <c r="S52" s="271"/>
    </row>
    <row r="53" spans="1:19" hidden="1">
      <c r="A53" s="272" t="s">
        <v>35</v>
      </c>
      <c r="B53" s="273"/>
      <c r="C53" s="62" t="s">
        <v>17</v>
      </c>
      <c r="D53" s="62" t="s">
        <v>18</v>
      </c>
      <c r="E53" s="62" t="s">
        <v>19</v>
      </c>
      <c r="F53" s="62" t="s">
        <v>20</v>
      </c>
      <c r="G53" s="62" t="s">
        <v>20</v>
      </c>
      <c r="H53" s="62" t="s">
        <v>21</v>
      </c>
      <c r="I53" s="62" t="s">
        <v>22</v>
      </c>
      <c r="J53" s="62" t="s">
        <v>23</v>
      </c>
      <c r="K53" s="62" t="s">
        <v>24</v>
      </c>
      <c r="L53" s="62" t="s">
        <v>25</v>
      </c>
      <c r="M53" s="63"/>
      <c r="N53" s="62" t="s">
        <v>26</v>
      </c>
      <c r="O53" s="62" t="s">
        <v>27</v>
      </c>
      <c r="P53" s="62" t="s">
        <v>27</v>
      </c>
      <c r="Q53" s="62" t="s">
        <v>28</v>
      </c>
      <c r="R53" s="62" t="s">
        <v>36</v>
      </c>
      <c r="S53" s="62" t="s">
        <v>27</v>
      </c>
    </row>
    <row r="54" spans="1:19" hidden="1">
      <c r="A54" s="272" t="s">
        <v>29</v>
      </c>
      <c r="B54" s="273"/>
      <c r="C54" s="62" t="s">
        <v>32</v>
      </c>
      <c r="D54" s="62" t="s">
        <v>30</v>
      </c>
      <c r="E54" s="62" t="s">
        <v>33</v>
      </c>
      <c r="F54" s="62" t="s">
        <v>31</v>
      </c>
      <c r="G54" s="62" t="s">
        <v>6</v>
      </c>
      <c r="H54" s="62" t="s">
        <v>7</v>
      </c>
      <c r="I54" s="62" t="s">
        <v>8</v>
      </c>
      <c r="J54" s="62" t="s">
        <v>5</v>
      </c>
      <c r="K54" s="62" t="s">
        <v>9</v>
      </c>
      <c r="L54" s="62" t="s">
        <v>10</v>
      </c>
      <c r="M54" s="63"/>
      <c r="N54" s="62" t="s">
        <v>13</v>
      </c>
      <c r="O54" s="62" t="s">
        <v>14</v>
      </c>
      <c r="P54" s="62" t="s">
        <v>15</v>
      </c>
      <c r="Q54" s="62" t="s">
        <v>16</v>
      </c>
      <c r="R54" s="64" t="s">
        <v>37</v>
      </c>
      <c r="S54" s="62" t="str">
        <f t="shared" ref="S54:S60" si="14">LOOKUP($S$53,$C$53:$Q$53,C54:Q54)</f>
        <v>B55</v>
      </c>
    </row>
    <row r="55" spans="1:19" hidden="1">
      <c r="A55" s="274" t="s">
        <v>52</v>
      </c>
      <c r="B55" s="275"/>
      <c r="C55" s="65">
        <v>2.7</v>
      </c>
      <c r="D55" s="65">
        <v>3.6</v>
      </c>
      <c r="E55" s="65">
        <v>5.5</v>
      </c>
      <c r="F55" s="65">
        <v>7.5</v>
      </c>
      <c r="G55" s="65">
        <v>9.5</v>
      </c>
      <c r="H55" s="65">
        <v>11</v>
      </c>
      <c r="I55" s="65">
        <v>15</v>
      </c>
      <c r="J55" s="66">
        <f t="shared" ref="J55:J60" si="15">(I55+K55)/2</f>
        <v>16.75</v>
      </c>
      <c r="K55" s="65">
        <v>18.5</v>
      </c>
      <c r="L55" s="65">
        <v>22</v>
      </c>
      <c r="M55" s="67"/>
      <c r="N55" s="65">
        <v>32</v>
      </c>
      <c r="O55" s="65">
        <v>36</v>
      </c>
      <c r="P55" s="65">
        <v>39.5</v>
      </c>
      <c r="Q55" s="65">
        <v>43</v>
      </c>
      <c r="R55" s="68" t="s">
        <v>37</v>
      </c>
      <c r="S55" s="66">
        <f t="shared" si="14"/>
        <v>39.5</v>
      </c>
    </row>
    <row r="56" spans="1:19" hidden="1">
      <c r="A56" s="269" t="s">
        <v>53</v>
      </c>
      <c r="B56" s="270"/>
      <c r="C56" s="69">
        <v>0.39</v>
      </c>
      <c r="D56" s="69">
        <v>0.55000000000000004</v>
      </c>
      <c r="E56" s="69">
        <v>0.7</v>
      </c>
      <c r="F56" s="69">
        <v>0.85</v>
      </c>
      <c r="G56" s="69">
        <v>1</v>
      </c>
      <c r="H56" s="69">
        <v>1.1499999999999999</v>
      </c>
      <c r="I56" s="69">
        <v>1.4</v>
      </c>
      <c r="J56" s="69">
        <f t="shared" si="15"/>
        <v>1.5</v>
      </c>
      <c r="K56" s="69">
        <v>1.6</v>
      </c>
      <c r="L56" s="69">
        <v>1.8</v>
      </c>
      <c r="M56" s="70"/>
      <c r="N56" s="69">
        <v>2.2000000000000002</v>
      </c>
      <c r="O56" s="69">
        <v>2.2999999999999998</v>
      </c>
      <c r="P56" s="69">
        <v>2.4</v>
      </c>
      <c r="Q56" s="69">
        <v>2.5</v>
      </c>
      <c r="R56" s="71" t="s">
        <v>37</v>
      </c>
      <c r="S56" s="69">
        <f t="shared" si="14"/>
        <v>2.4</v>
      </c>
    </row>
    <row r="57" spans="1:19" hidden="1">
      <c r="A57" s="269" t="s">
        <v>54</v>
      </c>
      <c r="B57" s="270"/>
      <c r="C57" s="72">
        <v>2.1</v>
      </c>
      <c r="D57" s="72">
        <v>2.8</v>
      </c>
      <c r="E57" s="72">
        <v>4.5</v>
      </c>
      <c r="F57" s="72">
        <v>6</v>
      </c>
      <c r="G57" s="72">
        <v>7.5</v>
      </c>
      <c r="H57" s="72">
        <v>8.5</v>
      </c>
      <c r="I57" s="72">
        <v>11.5</v>
      </c>
      <c r="J57" s="72">
        <f t="shared" si="15"/>
        <v>13</v>
      </c>
      <c r="K57" s="72">
        <v>14.5</v>
      </c>
      <c r="L57" s="72">
        <v>17</v>
      </c>
      <c r="M57" s="67"/>
      <c r="N57" s="72">
        <v>25</v>
      </c>
      <c r="O57" s="72">
        <v>27.5</v>
      </c>
      <c r="P57" s="72">
        <v>30</v>
      </c>
      <c r="Q57" s="72">
        <v>33</v>
      </c>
      <c r="R57" s="71" t="s">
        <v>37</v>
      </c>
      <c r="S57" s="69">
        <f t="shared" si="14"/>
        <v>30</v>
      </c>
    </row>
    <row r="58" spans="1:19" hidden="1">
      <c r="A58" s="269" t="s">
        <v>55</v>
      </c>
      <c r="B58" s="270"/>
      <c r="C58" s="69">
        <v>0.26</v>
      </c>
      <c r="D58" s="69">
        <v>0.37</v>
      </c>
      <c r="E58" s="69">
        <v>0.48</v>
      </c>
      <c r="F58" s="69">
        <v>0.56999999999999995</v>
      </c>
      <c r="G58" s="69">
        <v>0.66</v>
      </c>
      <c r="H58" s="69">
        <v>0.75</v>
      </c>
      <c r="I58" s="69">
        <v>0.9</v>
      </c>
      <c r="J58" s="69">
        <f t="shared" si="15"/>
        <v>0.97500000000000009</v>
      </c>
      <c r="K58" s="69">
        <v>1.05</v>
      </c>
      <c r="L58" s="69">
        <v>1.2</v>
      </c>
      <c r="M58" s="70"/>
      <c r="N58" s="69">
        <v>1.45</v>
      </c>
      <c r="O58" s="69">
        <v>1.55</v>
      </c>
      <c r="P58" s="69">
        <v>1.6</v>
      </c>
      <c r="Q58" s="69">
        <v>1.65</v>
      </c>
      <c r="R58" s="71" t="s">
        <v>37</v>
      </c>
      <c r="S58" s="69">
        <f t="shared" si="14"/>
        <v>1.6</v>
      </c>
    </row>
    <row r="59" spans="1:19" hidden="1">
      <c r="A59" s="269" t="s">
        <v>56</v>
      </c>
      <c r="B59" s="270"/>
      <c r="C59" s="73">
        <v>9500</v>
      </c>
      <c r="D59" s="73">
        <v>13000</v>
      </c>
      <c r="E59" s="73">
        <v>16000</v>
      </c>
      <c r="F59" s="73">
        <v>18000</v>
      </c>
      <c r="G59" s="73">
        <v>21000</v>
      </c>
      <c r="H59" s="73">
        <v>23000</v>
      </c>
      <c r="I59" s="73">
        <v>27000</v>
      </c>
      <c r="J59" s="73">
        <f t="shared" si="15"/>
        <v>28500</v>
      </c>
      <c r="K59" s="73">
        <v>30000</v>
      </c>
      <c r="L59" s="73">
        <v>32500</v>
      </c>
      <c r="M59" s="74"/>
      <c r="N59" s="73">
        <v>37500</v>
      </c>
      <c r="O59" s="73">
        <v>39000</v>
      </c>
      <c r="P59" s="73">
        <v>39500</v>
      </c>
      <c r="Q59" s="73">
        <v>40000</v>
      </c>
      <c r="R59" s="71" t="s">
        <v>37</v>
      </c>
      <c r="S59" s="73">
        <f t="shared" si="14"/>
        <v>39500</v>
      </c>
    </row>
    <row r="60" spans="1:19" hidden="1">
      <c r="A60" s="267" t="s">
        <v>57</v>
      </c>
      <c r="B60" s="268"/>
      <c r="C60" s="75">
        <v>8500</v>
      </c>
      <c r="D60" s="75">
        <v>11500</v>
      </c>
      <c r="E60" s="75">
        <v>14500</v>
      </c>
      <c r="F60" s="75">
        <v>16000</v>
      </c>
      <c r="G60" s="75">
        <v>19000</v>
      </c>
      <c r="H60" s="75">
        <v>20500</v>
      </c>
      <c r="I60" s="75">
        <v>24000</v>
      </c>
      <c r="J60" s="75">
        <f t="shared" si="15"/>
        <v>25500</v>
      </c>
      <c r="K60" s="75">
        <v>27000</v>
      </c>
      <c r="L60" s="75">
        <v>29000</v>
      </c>
      <c r="M60" s="74"/>
      <c r="N60" s="75">
        <v>34000</v>
      </c>
      <c r="O60" s="75">
        <v>35000</v>
      </c>
      <c r="P60" s="75">
        <v>35500</v>
      </c>
      <c r="Q60" s="75">
        <v>36000</v>
      </c>
      <c r="R60" s="76" t="s">
        <v>37</v>
      </c>
      <c r="S60" s="75">
        <f t="shared" si="14"/>
        <v>35500</v>
      </c>
    </row>
    <row r="61" spans="1:19" hidden="1">
      <c r="A61" s="77"/>
      <c r="B61" s="77"/>
      <c r="C61" s="78"/>
      <c r="D61" s="78"/>
      <c r="E61" s="78"/>
      <c r="F61" s="78"/>
      <c r="G61" s="78"/>
      <c r="H61" s="78"/>
      <c r="I61" s="78"/>
      <c r="J61" s="78"/>
      <c r="K61" s="78"/>
      <c r="L61" s="78"/>
      <c r="M61" s="78"/>
      <c r="N61" s="78"/>
      <c r="O61" s="78"/>
      <c r="P61" s="78"/>
      <c r="Q61" s="78"/>
      <c r="R61" s="79"/>
      <c r="S61" s="79"/>
    </row>
    <row r="62" spans="1:19" hidden="1">
      <c r="A62" s="80" t="s">
        <v>58</v>
      </c>
      <c r="B62" s="80"/>
      <c r="C62" s="80"/>
      <c r="D62" s="80"/>
      <c r="E62" s="80"/>
      <c r="F62" s="80"/>
      <c r="G62" s="80"/>
      <c r="H62" s="80"/>
      <c r="I62" s="80"/>
      <c r="J62" s="80"/>
      <c r="K62" s="80"/>
      <c r="L62" s="80"/>
      <c r="M62" s="81"/>
      <c r="N62" s="82"/>
      <c r="O62" s="82"/>
      <c r="P62" s="82"/>
      <c r="Q62" s="82"/>
      <c r="R62" s="82"/>
      <c r="S62" s="82"/>
    </row>
    <row r="63" spans="1:19" ht="36" hidden="1">
      <c r="A63" s="83" t="s">
        <v>38</v>
      </c>
      <c r="B63" s="84"/>
      <c r="C63" s="62" t="s">
        <v>39</v>
      </c>
      <c r="D63" s="62" t="s">
        <v>40</v>
      </c>
      <c r="E63" s="62" t="s">
        <v>41</v>
      </c>
      <c r="F63" s="62" t="s">
        <v>42</v>
      </c>
      <c r="G63" s="62" t="s">
        <v>43</v>
      </c>
      <c r="H63" s="62" t="s">
        <v>44</v>
      </c>
      <c r="I63" s="62" t="s">
        <v>45</v>
      </c>
      <c r="J63" s="62" t="s">
        <v>46</v>
      </c>
      <c r="K63" s="62" t="s">
        <v>36</v>
      </c>
      <c r="L63" s="62" t="s">
        <v>42</v>
      </c>
      <c r="M63" s="77"/>
      <c r="N63" s="77"/>
      <c r="O63" s="77"/>
      <c r="P63" s="77"/>
      <c r="Q63" s="77"/>
      <c r="R63" s="77"/>
      <c r="S63" s="77"/>
    </row>
    <row r="64" spans="1:19" hidden="1">
      <c r="A64" s="85"/>
      <c r="B64" s="86"/>
      <c r="C64" s="62" t="s">
        <v>47</v>
      </c>
      <c r="D64" s="62" t="s">
        <v>48</v>
      </c>
      <c r="E64" s="62" t="s">
        <v>49</v>
      </c>
      <c r="F64" s="62" t="s">
        <v>50</v>
      </c>
      <c r="G64" s="62"/>
      <c r="H64" s="62"/>
      <c r="I64" s="62"/>
      <c r="J64" s="62"/>
      <c r="K64" s="64" t="s">
        <v>37</v>
      </c>
      <c r="L64" s="62" t="str">
        <f>LOOKUP(L63,C63:J63,C64:J64)</f>
        <v>C-IV</v>
      </c>
      <c r="M64" s="77"/>
      <c r="N64" s="77"/>
      <c r="O64" s="77"/>
      <c r="P64" s="77"/>
      <c r="Q64" s="77"/>
      <c r="R64" s="77"/>
      <c r="S64" s="77"/>
    </row>
    <row r="65" spans="1:19" hidden="1">
      <c r="A65" s="282" t="s">
        <v>63</v>
      </c>
      <c r="B65" s="282"/>
      <c r="C65" s="87">
        <v>235</v>
      </c>
      <c r="D65" s="87">
        <v>295</v>
      </c>
      <c r="E65" s="87">
        <v>390</v>
      </c>
      <c r="F65" s="87">
        <v>590</v>
      </c>
      <c r="G65" s="87">
        <v>788</v>
      </c>
      <c r="H65" s="87">
        <v>980</v>
      </c>
      <c r="I65" s="87">
        <v>1175</v>
      </c>
      <c r="J65" s="87">
        <v>540</v>
      </c>
      <c r="K65" s="79"/>
      <c r="L65" s="79"/>
      <c r="M65" s="79"/>
      <c r="N65" s="79"/>
      <c r="O65" s="79"/>
      <c r="P65" s="79"/>
      <c r="Q65" s="79"/>
      <c r="R65" s="79"/>
      <c r="S65" s="79"/>
    </row>
    <row r="66" spans="1:19" hidden="1">
      <c r="A66" s="282" t="s">
        <v>64</v>
      </c>
      <c r="B66" s="282"/>
      <c r="C66" s="88">
        <v>225</v>
      </c>
      <c r="D66" s="88">
        <v>280</v>
      </c>
      <c r="E66" s="88">
        <v>365</v>
      </c>
      <c r="F66" s="88">
        <v>510</v>
      </c>
      <c r="G66" s="88">
        <v>680</v>
      </c>
      <c r="H66" s="88">
        <v>815</v>
      </c>
      <c r="I66" s="88">
        <v>980</v>
      </c>
      <c r="J66" s="88">
        <v>490</v>
      </c>
      <c r="K66" s="79"/>
      <c r="L66" s="79"/>
      <c r="M66" s="79"/>
      <c r="N66" s="79"/>
      <c r="O66" s="79"/>
      <c r="P66" s="79"/>
      <c r="Q66" s="79"/>
      <c r="R66" s="79"/>
      <c r="S66" s="79"/>
    </row>
    <row r="67" spans="1:19" hidden="1">
      <c r="A67" s="282" t="s">
        <v>65</v>
      </c>
      <c r="B67" s="282"/>
      <c r="C67" s="87">
        <v>225</v>
      </c>
      <c r="D67" s="87">
        <v>280</v>
      </c>
      <c r="E67" s="87">
        <v>365</v>
      </c>
      <c r="F67" s="87">
        <v>450</v>
      </c>
      <c r="G67" s="87">
        <v>500</v>
      </c>
      <c r="H67" s="87">
        <v>500</v>
      </c>
      <c r="I67" s="87">
        <v>500</v>
      </c>
      <c r="J67" s="87">
        <v>200</v>
      </c>
      <c r="K67" s="79"/>
      <c r="L67" s="79"/>
      <c r="M67" s="79"/>
      <c r="N67" s="79"/>
      <c r="O67" s="79"/>
      <c r="P67" s="79"/>
      <c r="Q67" s="79"/>
      <c r="R67" s="79"/>
      <c r="S67" s="79"/>
    </row>
    <row r="68" spans="1:19" hidden="1">
      <c r="A68" s="282" t="s">
        <v>66</v>
      </c>
      <c r="B68" s="282"/>
      <c r="C68" s="88">
        <v>175</v>
      </c>
      <c r="D68" s="88">
        <v>225</v>
      </c>
      <c r="E68" s="88">
        <v>290</v>
      </c>
      <c r="F68" s="88">
        <v>405</v>
      </c>
      <c r="G68" s="88">
        <v>545</v>
      </c>
      <c r="H68" s="88">
        <v>650</v>
      </c>
      <c r="I68" s="88">
        <v>785</v>
      </c>
      <c r="J68" s="88">
        <v>390</v>
      </c>
      <c r="K68" s="79"/>
      <c r="L68" s="79"/>
      <c r="M68" s="79"/>
      <c r="N68" s="79"/>
      <c r="O68" s="79"/>
      <c r="P68" s="79"/>
      <c r="Q68" s="79"/>
      <c r="R68" s="79"/>
      <c r="S68" s="79"/>
    </row>
    <row r="69" spans="1:19" hidden="1">
      <c r="A69" s="282" t="s">
        <v>67</v>
      </c>
      <c r="B69" s="282"/>
      <c r="C69" s="87">
        <v>235</v>
      </c>
      <c r="D69" s="87">
        <v>300</v>
      </c>
      <c r="E69" s="87">
        <v>390</v>
      </c>
      <c r="F69" s="87">
        <v>590</v>
      </c>
      <c r="G69" s="87">
        <v>788</v>
      </c>
      <c r="H69" s="87">
        <v>980</v>
      </c>
      <c r="I69" s="87">
        <v>1175</v>
      </c>
      <c r="J69" s="87"/>
      <c r="K69" s="79"/>
      <c r="L69" s="79"/>
      <c r="M69" s="79"/>
      <c r="N69" s="79"/>
      <c r="O69" s="79"/>
      <c r="P69" s="79"/>
      <c r="Q69" s="79"/>
      <c r="R69" s="79"/>
      <c r="S69" s="79"/>
    </row>
    <row r="70" spans="1:19" hidden="1">
      <c r="A70" s="282" t="s">
        <v>68</v>
      </c>
      <c r="B70" s="282"/>
      <c r="C70" s="87">
        <v>380</v>
      </c>
      <c r="D70" s="87">
        <v>500</v>
      </c>
      <c r="E70" s="87">
        <v>600</v>
      </c>
      <c r="F70" s="87">
        <v>900</v>
      </c>
      <c r="G70" s="87">
        <v>1000</v>
      </c>
      <c r="H70" s="87">
        <v>1250</v>
      </c>
      <c r="I70" s="87">
        <v>1400</v>
      </c>
      <c r="J70" s="87"/>
      <c r="K70" s="79"/>
      <c r="L70" s="79"/>
      <c r="M70" s="79"/>
      <c r="N70" s="79"/>
      <c r="O70" s="79"/>
      <c r="P70" s="79"/>
      <c r="Q70" s="79"/>
      <c r="R70" s="79"/>
      <c r="S70" s="79"/>
    </row>
    <row r="71" spans="1:19" hidden="1">
      <c r="A71" s="282" t="s">
        <v>69</v>
      </c>
      <c r="B71" s="282"/>
      <c r="C71" s="88">
        <v>210000</v>
      </c>
      <c r="D71" s="88">
        <v>210000</v>
      </c>
      <c r="E71" s="88">
        <v>200000</v>
      </c>
      <c r="F71" s="88">
        <v>190000</v>
      </c>
      <c r="G71" s="88">
        <v>190000</v>
      </c>
      <c r="H71" s="88">
        <v>190000</v>
      </c>
      <c r="I71" s="88">
        <v>190000</v>
      </c>
      <c r="J71" s="88">
        <v>180000</v>
      </c>
      <c r="K71" s="79"/>
      <c r="L71" s="79"/>
      <c r="M71" s="79"/>
      <c r="N71" s="79"/>
      <c r="O71" s="79"/>
      <c r="P71" s="79"/>
      <c r="Q71" s="79"/>
      <c r="R71" s="79"/>
      <c r="S71" s="79"/>
    </row>
    <row r="72" spans="1:19" hidden="1"/>
    <row r="73" spans="1:19" hidden="1"/>
    <row r="74" spans="1:19" hidden="1"/>
    <row r="75" spans="1:19" hidden="1"/>
    <row r="76" spans="1:19" hidden="1"/>
    <row r="77" spans="1:19" hidden="1"/>
    <row r="78" spans="1:19" hidden="1"/>
    <row r="79" spans="1:19" hidden="1"/>
    <row r="80" spans="1:19" hidden="1"/>
    <row r="81" hidden="1"/>
  </sheetData>
  <dataConsolidate/>
  <mergeCells count="35">
    <mergeCell ref="E13:F13"/>
    <mergeCell ref="A6:L6"/>
    <mergeCell ref="T8:T23"/>
    <mergeCell ref="O8:O13"/>
    <mergeCell ref="Q14:Q16"/>
    <mergeCell ref="P14:P16"/>
    <mergeCell ref="R8:R13"/>
    <mergeCell ref="Q8:Q13"/>
    <mergeCell ref="P8:P13"/>
    <mergeCell ref="S8:S13"/>
    <mergeCell ref="S14:S16"/>
    <mergeCell ref="B10:L10"/>
    <mergeCell ref="A70:B70"/>
    <mergeCell ref="A71:B71"/>
    <mergeCell ref="A65:B65"/>
    <mergeCell ref="A66:B66"/>
    <mergeCell ref="A67:B67"/>
    <mergeCell ref="A68:B68"/>
    <mergeCell ref="A69:B69"/>
    <mergeCell ref="A1:L1"/>
    <mergeCell ref="D14:D15"/>
    <mergeCell ref="A60:B60"/>
    <mergeCell ref="A56:B56"/>
    <mergeCell ref="A57:B57"/>
    <mergeCell ref="A58:B58"/>
    <mergeCell ref="A59:B59"/>
    <mergeCell ref="A52:S52"/>
    <mergeCell ref="A53:B53"/>
    <mergeCell ref="A54:B54"/>
    <mergeCell ref="A55:B55"/>
    <mergeCell ref="O14:O16"/>
    <mergeCell ref="A14:A16"/>
    <mergeCell ref="B14:B16"/>
    <mergeCell ref="C14:C15"/>
    <mergeCell ref="E9:F9"/>
  </mergeCells>
  <phoneticPr fontId="2" type="noConversion"/>
  <dataValidations disablePrompts="1" count="1">
    <dataValidation type="list" allowBlank="1" showInputMessage="1" showErrorMessage="1" sqref="S53 L63:M63">
      <formula1>#REF!</formula1>
    </dataValidation>
  </dataValidations>
  <printOptions horizontalCentered="1" verticalCentered="1" gridLines="1"/>
  <pageMargins left="0.6" right="0.45" top="0.5" bottom="0.5" header="0.25" footer="0.25"/>
  <pageSetup paperSize="9" orientation="landscape" r:id="rId1"/>
  <headerFooter alignWithMargins="0">
    <oddHeader xml:space="preserve">&amp;R&amp;12Bản tính kết cấu. </oddHeader>
    <oddFooter>&amp;C&amp;12Bộ môn kết cấu công trình - Công ty CDC&amp;R&amp;12Trang...</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11"/>
  <sheetViews>
    <sheetView showGridLines="0" showZeros="0" tabSelected="1" view="pageBreakPreview" zoomScaleSheetLayoutView="100" workbookViewId="0">
      <selection activeCell="L203" sqref="L203"/>
    </sheetView>
  </sheetViews>
  <sheetFormatPr defaultRowHeight="18" customHeight="1"/>
  <cols>
    <col min="1" max="1" width="8" style="92" customWidth="1"/>
    <col min="2" max="2" width="10.28515625" style="92" customWidth="1"/>
    <col min="3" max="3" width="7.140625" style="92" customWidth="1"/>
    <col min="4" max="4" width="8.85546875" style="92" customWidth="1"/>
    <col min="5" max="5" width="7.85546875" style="92" customWidth="1"/>
    <col min="6" max="6" width="6.85546875" style="92" customWidth="1"/>
    <col min="7" max="7" width="8" style="92" customWidth="1"/>
    <col min="8" max="8" width="6.140625" style="92" customWidth="1"/>
    <col min="9" max="9" width="11.140625" style="92" customWidth="1"/>
    <col min="10" max="10" width="9.140625" style="92" customWidth="1"/>
    <col min="11" max="11" width="10.28515625" style="92" customWidth="1"/>
    <col min="12" max="12" width="7.42578125" style="92" customWidth="1"/>
    <col min="13" max="13" width="9" style="92" customWidth="1"/>
    <col min="14" max="14" width="7.5703125" style="92" customWidth="1"/>
    <col min="15" max="15" width="6.28515625" style="92" customWidth="1"/>
    <col min="16" max="19" width="9.140625" style="92" customWidth="1"/>
    <col min="20" max="20" width="5.7109375" style="92" customWidth="1"/>
    <col min="21" max="21" width="7.5703125" style="92" customWidth="1"/>
    <col min="22" max="29" width="5.7109375" style="92" customWidth="1"/>
    <col min="30" max="30" width="9.28515625" style="92" customWidth="1"/>
    <col min="31" max="31" width="8" style="92" customWidth="1"/>
    <col min="32" max="34" width="5.7109375" style="92" customWidth="1"/>
    <col min="35" max="35" width="6.7109375" style="92" customWidth="1"/>
    <col min="36" max="37" width="5.7109375" style="92" customWidth="1"/>
    <col min="38" max="256" width="9.140625" style="92"/>
    <col min="257" max="257" width="8" style="92" customWidth="1"/>
    <col min="258" max="258" width="10.28515625" style="92" customWidth="1"/>
    <col min="259" max="259" width="7.140625" style="92" customWidth="1"/>
    <col min="260" max="260" width="8.5703125" style="92" customWidth="1"/>
    <col min="261" max="261" width="7.140625" style="92" customWidth="1"/>
    <col min="262" max="262" width="6.85546875" style="92" customWidth="1"/>
    <col min="263" max="263" width="8" style="92" customWidth="1"/>
    <col min="264" max="264" width="6.140625" style="92" customWidth="1"/>
    <col min="265" max="265" width="10.28515625" style="92" customWidth="1"/>
    <col min="266" max="266" width="9.140625" style="92" customWidth="1"/>
    <col min="267" max="267" width="10.28515625" style="92" customWidth="1"/>
    <col min="268" max="268" width="8.7109375" style="92" customWidth="1"/>
    <col min="269" max="269" width="9" style="92" customWidth="1"/>
    <col min="270" max="270" width="7.5703125" style="92" customWidth="1"/>
    <col min="271" max="271" width="6.28515625" style="92" customWidth="1"/>
    <col min="272" max="275" width="9.140625" style="92" customWidth="1"/>
    <col min="276" max="276" width="5.7109375" style="92" customWidth="1"/>
    <col min="277" max="277" width="7.5703125" style="92" customWidth="1"/>
    <col min="278" max="285" width="5.7109375" style="92" customWidth="1"/>
    <col min="286" max="286" width="9.28515625" style="92" customWidth="1"/>
    <col min="287" max="287" width="8" style="92" customWidth="1"/>
    <col min="288" max="290" width="5.7109375" style="92" customWidth="1"/>
    <col min="291" max="291" width="6.7109375" style="92" customWidth="1"/>
    <col min="292" max="293" width="5.7109375" style="92" customWidth="1"/>
    <col min="294" max="512" width="9.140625" style="92"/>
    <col min="513" max="513" width="8" style="92" customWidth="1"/>
    <col min="514" max="514" width="10.28515625" style="92" customWidth="1"/>
    <col min="515" max="515" width="7.140625" style="92" customWidth="1"/>
    <col min="516" max="516" width="8.5703125" style="92" customWidth="1"/>
    <col min="517" max="517" width="7.140625" style="92" customWidth="1"/>
    <col min="518" max="518" width="6.85546875" style="92" customWidth="1"/>
    <col min="519" max="519" width="8" style="92" customWidth="1"/>
    <col min="520" max="520" width="6.140625" style="92" customWidth="1"/>
    <col min="521" max="521" width="10.28515625" style="92" customWidth="1"/>
    <col min="522" max="522" width="9.140625" style="92" customWidth="1"/>
    <col min="523" max="523" width="10.28515625" style="92" customWidth="1"/>
    <col min="524" max="524" width="8.7109375" style="92" customWidth="1"/>
    <col min="525" max="525" width="9" style="92" customWidth="1"/>
    <col min="526" max="526" width="7.5703125" style="92" customWidth="1"/>
    <col min="527" max="527" width="6.28515625" style="92" customWidth="1"/>
    <col min="528" max="531" width="9.140625" style="92" customWidth="1"/>
    <col min="532" max="532" width="5.7109375" style="92" customWidth="1"/>
    <col min="533" max="533" width="7.5703125" style="92" customWidth="1"/>
    <col min="534" max="541" width="5.7109375" style="92" customWidth="1"/>
    <col min="542" max="542" width="9.28515625" style="92" customWidth="1"/>
    <col min="543" max="543" width="8" style="92" customWidth="1"/>
    <col min="544" max="546" width="5.7109375" style="92" customWidth="1"/>
    <col min="547" max="547" width="6.7109375" style="92" customWidth="1"/>
    <col min="548" max="549" width="5.7109375" style="92" customWidth="1"/>
    <col min="550" max="768" width="9.140625" style="92"/>
    <col min="769" max="769" width="8" style="92" customWidth="1"/>
    <col min="770" max="770" width="10.28515625" style="92" customWidth="1"/>
    <col min="771" max="771" width="7.140625" style="92" customWidth="1"/>
    <col min="772" max="772" width="8.5703125" style="92" customWidth="1"/>
    <col min="773" max="773" width="7.140625" style="92" customWidth="1"/>
    <col min="774" max="774" width="6.85546875" style="92" customWidth="1"/>
    <col min="775" max="775" width="8" style="92" customWidth="1"/>
    <col min="776" max="776" width="6.140625" style="92" customWidth="1"/>
    <col min="777" max="777" width="10.28515625" style="92" customWidth="1"/>
    <col min="778" max="778" width="9.140625" style="92" customWidth="1"/>
    <col min="779" max="779" width="10.28515625" style="92" customWidth="1"/>
    <col min="780" max="780" width="8.7109375" style="92" customWidth="1"/>
    <col min="781" max="781" width="9" style="92" customWidth="1"/>
    <col min="782" max="782" width="7.5703125" style="92" customWidth="1"/>
    <col min="783" max="783" width="6.28515625" style="92" customWidth="1"/>
    <col min="784" max="787" width="9.140625" style="92" customWidth="1"/>
    <col min="788" max="788" width="5.7109375" style="92" customWidth="1"/>
    <col min="789" max="789" width="7.5703125" style="92" customWidth="1"/>
    <col min="790" max="797" width="5.7109375" style="92" customWidth="1"/>
    <col min="798" max="798" width="9.28515625" style="92" customWidth="1"/>
    <col min="799" max="799" width="8" style="92" customWidth="1"/>
    <col min="800" max="802" width="5.7109375" style="92" customWidth="1"/>
    <col min="803" max="803" width="6.7109375" style="92" customWidth="1"/>
    <col min="804" max="805" width="5.7109375" style="92" customWidth="1"/>
    <col min="806" max="1024" width="9.140625" style="92"/>
    <col min="1025" max="1025" width="8" style="92" customWidth="1"/>
    <col min="1026" max="1026" width="10.28515625" style="92" customWidth="1"/>
    <col min="1027" max="1027" width="7.140625" style="92" customWidth="1"/>
    <col min="1028" max="1028" width="8.5703125" style="92" customWidth="1"/>
    <col min="1029" max="1029" width="7.140625" style="92" customWidth="1"/>
    <col min="1030" max="1030" width="6.85546875" style="92" customWidth="1"/>
    <col min="1031" max="1031" width="8" style="92" customWidth="1"/>
    <col min="1032" max="1032" width="6.140625" style="92" customWidth="1"/>
    <col min="1033" max="1033" width="10.28515625" style="92" customWidth="1"/>
    <col min="1034" max="1034" width="9.140625" style="92" customWidth="1"/>
    <col min="1035" max="1035" width="10.28515625" style="92" customWidth="1"/>
    <col min="1036" max="1036" width="8.7109375" style="92" customWidth="1"/>
    <col min="1037" max="1037" width="9" style="92" customWidth="1"/>
    <col min="1038" max="1038" width="7.5703125" style="92" customWidth="1"/>
    <col min="1039" max="1039" width="6.28515625" style="92" customWidth="1"/>
    <col min="1040" max="1043" width="9.140625" style="92" customWidth="1"/>
    <col min="1044" max="1044" width="5.7109375" style="92" customWidth="1"/>
    <col min="1045" max="1045" width="7.5703125" style="92" customWidth="1"/>
    <col min="1046" max="1053" width="5.7109375" style="92" customWidth="1"/>
    <col min="1054" max="1054" width="9.28515625" style="92" customWidth="1"/>
    <col min="1055" max="1055" width="8" style="92" customWidth="1"/>
    <col min="1056" max="1058" width="5.7109375" style="92" customWidth="1"/>
    <col min="1059" max="1059" width="6.7109375" style="92" customWidth="1"/>
    <col min="1060" max="1061" width="5.7109375" style="92" customWidth="1"/>
    <col min="1062" max="1280" width="9.140625" style="92"/>
    <col min="1281" max="1281" width="8" style="92" customWidth="1"/>
    <col min="1282" max="1282" width="10.28515625" style="92" customWidth="1"/>
    <col min="1283" max="1283" width="7.140625" style="92" customWidth="1"/>
    <col min="1284" max="1284" width="8.5703125" style="92" customWidth="1"/>
    <col min="1285" max="1285" width="7.140625" style="92" customWidth="1"/>
    <col min="1286" max="1286" width="6.85546875" style="92" customWidth="1"/>
    <col min="1287" max="1287" width="8" style="92" customWidth="1"/>
    <col min="1288" max="1288" width="6.140625" style="92" customWidth="1"/>
    <col min="1289" max="1289" width="10.28515625" style="92" customWidth="1"/>
    <col min="1290" max="1290" width="9.140625" style="92" customWidth="1"/>
    <col min="1291" max="1291" width="10.28515625" style="92" customWidth="1"/>
    <col min="1292" max="1292" width="8.7109375" style="92" customWidth="1"/>
    <col min="1293" max="1293" width="9" style="92" customWidth="1"/>
    <col min="1294" max="1294" width="7.5703125" style="92" customWidth="1"/>
    <col min="1295" max="1295" width="6.28515625" style="92" customWidth="1"/>
    <col min="1296" max="1299" width="9.140625" style="92" customWidth="1"/>
    <col min="1300" max="1300" width="5.7109375" style="92" customWidth="1"/>
    <col min="1301" max="1301" width="7.5703125" style="92" customWidth="1"/>
    <col min="1302" max="1309" width="5.7109375" style="92" customWidth="1"/>
    <col min="1310" max="1310" width="9.28515625" style="92" customWidth="1"/>
    <col min="1311" max="1311" width="8" style="92" customWidth="1"/>
    <col min="1312" max="1314" width="5.7109375" style="92" customWidth="1"/>
    <col min="1315" max="1315" width="6.7109375" style="92" customWidth="1"/>
    <col min="1316" max="1317" width="5.7109375" style="92" customWidth="1"/>
    <col min="1318" max="1536" width="9.140625" style="92"/>
    <col min="1537" max="1537" width="8" style="92" customWidth="1"/>
    <col min="1538" max="1538" width="10.28515625" style="92" customWidth="1"/>
    <col min="1539" max="1539" width="7.140625" style="92" customWidth="1"/>
    <col min="1540" max="1540" width="8.5703125" style="92" customWidth="1"/>
    <col min="1541" max="1541" width="7.140625" style="92" customWidth="1"/>
    <col min="1542" max="1542" width="6.85546875" style="92" customWidth="1"/>
    <col min="1543" max="1543" width="8" style="92" customWidth="1"/>
    <col min="1544" max="1544" width="6.140625" style="92" customWidth="1"/>
    <col min="1545" max="1545" width="10.28515625" style="92" customWidth="1"/>
    <col min="1546" max="1546" width="9.140625" style="92" customWidth="1"/>
    <col min="1547" max="1547" width="10.28515625" style="92" customWidth="1"/>
    <col min="1548" max="1548" width="8.7109375" style="92" customWidth="1"/>
    <col min="1549" max="1549" width="9" style="92" customWidth="1"/>
    <col min="1550" max="1550" width="7.5703125" style="92" customWidth="1"/>
    <col min="1551" max="1551" width="6.28515625" style="92" customWidth="1"/>
    <col min="1552" max="1555" width="9.140625" style="92" customWidth="1"/>
    <col min="1556" max="1556" width="5.7109375" style="92" customWidth="1"/>
    <col min="1557" max="1557" width="7.5703125" style="92" customWidth="1"/>
    <col min="1558" max="1565" width="5.7109375" style="92" customWidth="1"/>
    <col min="1566" max="1566" width="9.28515625" style="92" customWidth="1"/>
    <col min="1567" max="1567" width="8" style="92" customWidth="1"/>
    <col min="1568" max="1570" width="5.7109375" style="92" customWidth="1"/>
    <col min="1571" max="1571" width="6.7109375" style="92" customWidth="1"/>
    <col min="1572" max="1573" width="5.7109375" style="92" customWidth="1"/>
    <col min="1574" max="1792" width="9.140625" style="92"/>
    <col min="1793" max="1793" width="8" style="92" customWidth="1"/>
    <col min="1794" max="1794" width="10.28515625" style="92" customWidth="1"/>
    <col min="1795" max="1795" width="7.140625" style="92" customWidth="1"/>
    <col min="1796" max="1796" width="8.5703125" style="92" customWidth="1"/>
    <col min="1797" max="1797" width="7.140625" style="92" customWidth="1"/>
    <col min="1798" max="1798" width="6.85546875" style="92" customWidth="1"/>
    <col min="1799" max="1799" width="8" style="92" customWidth="1"/>
    <col min="1800" max="1800" width="6.140625" style="92" customWidth="1"/>
    <col min="1801" max="1801" width="10.28515625" style="92" customWidth="1"/>
    <col min="1802" max="1802" width="9.140625" style="92" customWidth="1"/>
    <col min="1803" max="1803" width="10.28515625" style="92" customWidth="1"/>
    <col min="1804" max="1804" width="8.7109375" style="92" customWidth="1"/>
    <col min="1805" max="1805" width="9" style="92" customWidth="1"/>
    <col min="1806" max="1806" width="7.5703125" style="92" customWidth="1"/>
    <col min="1807" max="1807" width="6.28515625" style="92" customWidth="1"/>
    <col min="1808" max="1811" width="9.140625" style="92" customWidth="1"/>
    <col min="1812" max="1812" width="5.7109375" style="92" customWidth="1"/>
    <col min="1813" max="1813" width="7.5703125" style="92" customWidth="1"/>
    <col min="1814" max="1821" width="5.7109375" style="92" customWidth="1"/>
    <col min="1822" max="1822" width="9.28515625" style="92" customWidth="1"/>
    <col min="1823" max="1823" width="8" style="92" customWidth="1"/>
    <col min="1824" max="1826" width="5.7109375" style="92" customWidth="1"/>
    <col min="1827" max="1827" width="6.7109375" style="92" customWidth="1"/>
    <col min="1828" max="1829" width="5.7109375" style="92" customWidth="1"/>
    <col min="1830" max="2048" width="9.140625" style="92"/>
    <col min="2049" max="2049" width="8" style="92" customWidth="1"/>
    <col min="2050" max="2050" width="10.28515625" style="92" customWidth="1"/>
    <col min="2051" max="2051" width="7.140625" style="92" customWidth="1"/>
    <col min="2052" max="2052" width="8.5703125" style="92" customWidth="1"/>
    <col min="2053" max="2053" width="7.140625" style="92" customWidth="1"/>
    <col min="2054" max="2054" width="6.85546875" style="92" customWidth="1"/>
    <col min="2055" max="2055" width="8" style="92" customWidth="1"/>
    <col min="2056" max="2056" width="6.140625" style="92" customWidth="1"/>
    <col min="2057" max="2057" width="10.28515625" style="92" customWidth="1"/>
    <col min="2058" max="2058" width="9.140625" style="92" customWidth="1"/>
    <col min="2059" max="2059" width="10.28515625" style="92" customWidth="1"/>
    <col min="2060" max="2060" width="8.7109375" style="92" customWidth="1"/>
    <col min="2061" max="2061" width="9" style="92" customWidth="1"/>
    <col min="2062" max="2062" width="7.5703125" style="92" customWidth="1"/>
    <col min="2063" max="2063" width="6.28515625" style="92" customWidth="1"/>
    <col min="2064" max="2067" width="9.140625" style="92" customWidth="1"/>
    <col min="2068" max="2068" width="5.7109375" style="92" customWidth="1"/>
    <col min="2069" max="2069" width="7.5703125" style="92" customWidth="1"/>
    <col min="2070" max="2077" width="5.7109375" style="92" customWidth="1"/>
    <col min="2078" max="2078" width="9.28515625" style="92" customWidth="1"/>
    <col min="2079" max="2079" width="8" style="92" customWidth="1"/>
    <col min="2080" max="2082" width="5.7109375" style="92" customWidth="1"/>
    <col min="2083" max="2083" width="6.7109375" style="92" customWidth="1"/>
    <col min="2084" max="2085" width="5.7109375" style="92" customWidth="1"/>
    <col min="2086" max="2304" width="9.140625" style="92"/>
    <col min="2305" max="2305" width="8" style="92" customWidth="1"/>
    <col min="2306" max="2306" width="10.28515625" style="92" customWidth="1"/>
    <col min="2307" max="2307" width="7.140625" style="92" customWidth="1"/>
    <col min="2308" max="2308" width="8.5703125" style="92" customWidth="1"/>
    <col min="2309" max="2309" width="7.140625" style="92" customWidth="1"/>
    <col min="2310" max="2310" width="6.85546875" style="92" customWidth="1"/>
    <col min="2311" max="2311" width="8" style="92" customWidth="1"/>
    <col min="2312" max="2312" width="6.140625" style="92" customWidth="1"/>
    <col min="2313" max="2313" width="10.28515625" style="92" customWidth="1"/>
    <col min="2314" max="2314" width="9.140625" style="92" customWidth="1"/>
    <col min="2315" max="2315" width="10.28515625" style="92" customWidth="1"/>
    <col min="2316" max="2316" width="8.7109375" style="92" customWidth="1"/>
    <col min="2317" max="2317" width="9" style="92" customWidth="1"/>
    <col min="2318" max="2318" width="7.5703125" style="92" customWidth="1"/>
    <col min="2319" max="2319" width="6.28515625" style="92" customWidth="1"/>
    <col min="2320" max="2323" width="9.140625" style="92" customWidth="1"/>
    <col min="2324" max="2324" width="5.7109375" style="92" customWidth="1"/>
    <col min="2325" max="2325" width="7.5703125" style="92" customWidth="1"/>
    <col min="2326" max="2333" width="5.7109375" style="92" customWidth="1"/>
    <col min="2334" max="2334" width="9.28515625" style="92" customWidth="1"/>
    <col min="2335" max="2335" width="8" style="92" customWidth="1"/>
    <col min="2336" max="2338" width="5.7109375" style="92" customWidth="1"/>
    <col min="2339" max="2339" width="6.7109375" style="92" customWidth="1"/>
    <col min="2340" max="2341" width="5.7109375" style="92" customWidth="1"/>
    <col min="2342" max="2560" width="9.140625" style="92"/>
    <col min="2561" max="2561" width="8" style="92" customWidth="1"/>
    <col min="2562" max="2562" width="10.28515625" style="92" customWidth="1"/>
    <col min="2563" max="2563" width="7.140625" style="92" customWidth="1"/>
    <col min="2564" max="2564" width="8.5703125" style="92" customWidth="1"/>
    <col min="2565" max="2565" width="7.140625" style="92" customWidth="1"/>
    <col min="2566" max="2566" width="6.85546875" style="92" customWidth="1"/>
    <col min="2567" max="2567" width="8" style="92" customWidth="1"/>
    <col min="2568" max="2568" width="6.140625" style="92" customWidth="1"/>
    <col min="2569" max="2569" width="10.28515625" style="92" customWidth="1"/>
    <col min="2570" max="2570" width="9.140625" style="92" customWidth="1"/>
    <col min="2571" max="2571" width="10.28515625" style="92" customWidth="1"/>
    <col min="2572" max="2572" width="8.7109375" style="92" customWidth="1"/>
    <col min="2573" max="2573" width="9" style="92" customWidth="1"/>
    <col min="2574" max="2574" width="7.5703125" style="92" customWidth="1"/>
    <col min="2575" max="2575" width="6.28515625" style="92" customWidth="1"/>
    <col min="2576" max="2579" width="9.140625" style="92" customWidth="1"/>
    <col min="2580" max="2580" width="5.7109375" style="92" customWidth="1"/>
    <col min="2581" max="2581" width="7.5703125" style="92" customWidth="1"/>
    <col min="2582" max="2589" width="5.7109375" style="92" customWidth="1"/>
    <col min="2590" max="2590" width="9.28515625" style="92" customWidth="1"/>
    <col min="2591" max="2591" width="8" style="92" customWidth="1"/>
    <col min="2592" max="2594" width="5.7109375" style="92" customWidth="1"/>
    <col min="2595" max="2595" width="6.7109375" style="92" customWidth="1"/>
    <col min="2596" max="2597" width="5.7109375" style="92" customWidth="1"/>
    <col min="2598" max="2816" width="9.140625" style="92"/>
    <col min="2817" max="2817" width="8" style="92" customWidth="1"/>
    <col min="2818" max="2818" width="10.28515625" style="92" customWidth="1"/>
    <col min="2819" max="2819" width="7.140625" style="92" customWidth="1"/>
    <col min="2820" max="2820" width="8.5703125" style="92" customWidth="1"/>
    <col min="2821" max="2821" width="7.140625" style="92" customWidth="1"/>
    <col min="2822" max="2822" width="6.85546875" style="92" customWidth="1"/>
    <col min="2823" max="2823" width="8" style="92" customWidth="1"/>
    <col min="2824" max="2824" width="6.140625" style="92" customWidth="1"/>
    <col min="2825" max="2825" width="10.28515625" style="92" customWidth="1"/>
    <col min="2826" max="2826" width="9.140625" style="92" customWidth="1"/>
    <col min="2827" max="2827" width="10.28515625" style="92" customWidth="1"/>
    <col min="2828" max="2828" width="8.7109375" style="92" customWidth="1"/>
    <col min="2829" max="2829" width="9" style="92" customWidth="1"/>
    <col min="2830" max="2830" width="7.5703125" style="92" customWidth="1"/>
    <col min="2831" max="2831" width="6.28515625" style="92" customWidth="1"/>
    <col min="2832" max="2835" width="9.140625" style="92" customWidth="1"/>
    <col min="2836" max="2836" width="5.7109375" style="92" customWidth="1"/>
    <col min="2837" max="2837" width="7.5703125" style="92" customWidth="1"/>
    <col min="2838" max="2845" width="5.7109375" style="92" customWidth="1"/>
    <col min="2846" max="2846" width="9.28515625" style="92" customWidth="1"/>
    <col min="2847" max="2847" width="8" style="92" customWidth="1"/>
    <col min="2848" max="2850" width="5.7109375" style="92" customWidth="1"/>
    <col min="2851" max="2851" width="6.7109375" style="92" customWidth="1"/>
    <col min="2852" max="2853" width="5.7109375" style="92" customWidth="1"/>
    <col min="2854" max="3072" width="9.140625" style="92"/>
    <col min="3073" max="3073" width="8" style="92" customWidth="1"/>
    <col min="3074" max="3074" width="10.28515625" style="92" customWidth="1"/>
    <col min="3075" max="3075" width="7.140625" style="92" customWidth="1"/>
    <col min="3076" max="3076" width="8.5703125" style="92" customWidth="1"/>
    <col min="3077" max="3077" width="7.140625" style="92" customWidth="1"/>
    <col min="3078" max="3078" width="6.85546875" style="92" customWidth="1"/>
    <col min="3079" max="3079" width="8" style="92" customWidth="1"/>
    <col min="3080" max="3080" width="6.140625" style="92" customWidth="1"/>
    <col min="3081" max="3081" width="10.28515625" style="92" customWidth="1"/>
    <col min="3082" max="3082" width="9.140625" style="92" customWidth="1"/>
    <col min="3083" max="3083" width="10.28515625" style="92" customWidth="1"/>
    <col min="3084" max="3084" width="8.7109375" style="92" customWidth="1"/>
    <col min="3085" max="3085" width="9" style="92" customWidth="1"/>
    <col min="3086" max="3086" width="7.5703125" style="92" customWidth="1"/>
    <col min="3087" max="3087" width="6.28515625" style="92" customWidth="1"/>
    <col min="3088" max="3091" width="9.140625" style="92" customWidth="1"/>
    <col min="3092" max="3092" width="5.7109375" style="92" customWidth="1"/>
    <col min="3093" max="3093" width="7.5703125" style="92" customWidth="1"/>
    <col min="3094" max="3101" width="5.7109375" style="92" customWidth="1"/>
    <col min="3102" max="3102" width="9.28515625" style="92" customWidth="1"/>
    <col min="3103" max="3103" width="8" style="92" customWidth="1"/>
    <col min="3104" max="3106" width="5.7109375" style="92" customWidth="1"/>
    <col min="3107" max="3107" width="6.7109375" style="92" customWidth="1"/>
    <col min="3108" max="3109" width="5.7109375" style="92" customWidth="1"/>
    <col min="3110" max="3328" width="9.140625" style="92"/>
    <col min="3329" max="3329" width="8" style="92" customWidth="1"/>
    <col min="3330" max="3330" width="10.28515625" style="92" customWidth="1"/>
    <col min="3331" max="3331" width="7.140625" style="92" customWidth="1"/>
    <col min="3332" max="3332" width="8.5703125" style="92" customWidth="1"/>
    <col min="3333" max="3333" width="7.140625" style="92" customWidth="1"/>
    <col min="3334" max="3334" width="6.85546875" style="92" customWidth="1"/>
    <col min="3335" max="3335" width="8" style="92" customWidth="1"/>
    <col min="3336" max="3336" width="6.140625" style="92" customWidth="1"/>
    <col min="3337" max="3337" width="10.28515625" style="92" customWidth="1"/>
    <col min="3338" max="3338" width="9.140625" style="92" customWidth="1"/>
    <col min="3339" max="3339" width="10.28515625" style="92" customWidth="1"/>
    <col min="3340" max="3340" width="8.7109375" style="92" customWidth="1"/>
    <col min="3341" max="3341" width="9" style="92" customWidth="1"/>
    <col min="3342" max="3342" width="7.5703125" style="92" customWidth="1"/>
    <col min="3343" max="3343" width="6.28515625" style="92" customWidth="1"/>
    <col min="3344" max="3347" width="9.140625" style="92" customWidth="1"/>
    <col min="3348" max="3348" width="5.7109375" style="92" customWidth="1"/>
    <col min="3349" max="3349" width="7.5703125" style="92" customWidth="1"/>
    <col min="3350" max="3357" width="5.7109375" style="92" customWidth="1"/>
    <col min="3358" max="3358" width="9.28515625" style="92" customWidth="1"/>
    <col min="3359" max="3359" width="8" style="92" customWidth="1"/>
    <col min="3360" max="3362" width="5.7109375" style="92" customWidth="1"/>
    <col min="3363" max="3363" width="6.7109375" style="92" customWidth="1"/>
    <col min="3364" max="3365" width="5.7109375" style="92" customWidth="1"/>
    <col min="3366" max="3584" width="9.140625" style="92"/>
    <col min="3585" max="3585" width="8" style="92" customWidth="1"/>
    <col min="3586" max="3586" width="10.28515625" style="92" customWidth="1"/>
    <col min="3587" max="3587" width="7.140625" style="92" customWidth="1"/>
    <col min="3588" max="3588" width="8.5703125" style="92" customWidth="1"/>
    <col min="3589" max="3589" width="7.140625" style="92" customWidth="1"/>
    <col min="3590" max="3590" width="6.85546875" style="92" customWidth="1"/>
    <col min="3591" max="3591" width="8" style="92" customWidth="1"/>
    <col min="3592" max="3592" width="6.140625" style="92" customWidth="1"/>
    <col min="3593" max="3593" width="10.28515625" style="92" customWidth="1"/>
    <col min="3594" max="3594" width="9.140625" style="92" customWidth="1"/>
    <col min="3595" max="3595" width="10.28515625" style="92" customWidth="1"/>
    <col min="3596" max="3596" width="8.7109375" style="92" customWidth="1"/>
    <col min="3597" max="3597" width="9" style="92" customWidth="1"/>
    <col min="3598" max="3598" width="7.5703125" style="92" customWidth="1"/>
    <col min="3599" max="3599" width="6.28515625" style="92" customWidth="1"/>
    <col min="3600" max="3603" width="9.140625" style="92" customWidth="1"/>
    <col min="3604" max="3604" width="5.7109375" style="92" customWidth="1"/>
    <col min="3605" max="3605" width="7.5703125" style="92" customWidth="1"/>
    <col min="3606" max="3613" width="5.7109375" style="92" customWidth="1"/>
    <col min="3614" max="3614" width="9.28515625" style="92" customWidth="1"/>
    <col min="3615" max="3615" width="8" style="92" customWidth="1"/>
    <col min="3616" max="3618" width="5.7109375" style="92" customWidth="1"/>
    <col min="3619" max="3619" width="6.7109375" style="92" customWidth="1"/>
    <col min="3620" max="3621" width="5.7109375" style="92" customWidth="1"/>
    <col min="3622" max="3840" width="9.140625" style="92"/>
    <col min="3841" max="3841" width="8" style="92" customWidth="1"/>
    <col min="3842" max="3842" width="10.28515625" style="92" customWidth="1"/>
    <col min="3843" max="3843" width="7.140625" style="92" customWidth="1"/>
    <col min="3844" max="3844" width="8.5703125" style="92" customWidth="1"/>
    <col min="3845" max="3845" width="7.140625" style="92" customWidth="1"/>
    <col min="3846" max="3846" width="6.85546875" style="92" customWidth="1"/>
    <col min="3847" max="3847" width="8" style="92" customWidth="1"/>
    <col min="3848" max="3848" width="6.140625" style="92" customWidth="1"/>
    <col min="3849" max="3849" width="10.28515625" style="92" customWidth="1"/>
    <col min="3850" max="3850" width="9.140625" style="92" customWidth="1"/>
    <col min="3851" max="3851" width="10.28515625" style="92" customWidth="1"/>
    <col min="3852" max="3852" width="8.7109375" style="92" customWidth="1"/>
    <col min="3853" max="3853" width="9" style="92" customWidth="1"/>
    <col min="3854" max="3854" width="7.5703125" style="92" customWidth="1"/>
    <col min="3855" max="3855" width="6.28515625" style="92" customWidth="1"/>
    <col min="3856" max="3859" width="9.140625" style="92" customWidth="1"/>
    <col min="3860" max="3860" width="5.7109375" style="92" customWidth="1"/>
    <col min="3861" max="3861" width="7.5703125" style="92" customWidth="1"/>
    <col min="3862" max="3869" width="5.7109375" style="92" customWidth="1"/>
    <col min="3870" max="3870" width="9.28515625" style="92" customWidth="1"/>
    <col min="3871" max="3871" width="8" style="92" customWidth="1"/>
    <col min="3872" max="3874" width="5.7109375" style="92" customWidth="1"/>
    <col min="3875" max="3875" width="6.7109375" style="92" customWidth="1"/>
    <col min="3876" max="3877" width="5.7109375" style="92" customWidth="1"/>
    <col min="3878" max="4096" width="9.140625" style="92"/>
    <col min="4097" max="4097" width="8" style="92" customWidth="1"/>
    <col min="4098" max="4098" width="10.28515625" style="92" customWidth="1"/>
    <col min="4099" max="4099" width="7.140625" style="92" customWidth="1"/>
    <col min="4100" max="4100" width="8.5703125" style="92" customWidth="1"/>
    <col min="4101" max="4101" width="7.140625" style="92" customWidth="1"/>
    <col min="4102" max="4102" width="6.85546875" style="92" customWidth="1"/>
    <col min="4103" max="4103" width="8" style="92" customWidth="1"/>
    <col min="4104" max="4104" width="6.140625" style="92" customWidth="1"/>
    <col min="4105" max="4105" width="10.28515625" style="92" customWidth="1"/>
    <col min="4106" max="4106" width="9.140625" style="92" customWidth="1"/>
    <col min="4107" max="4107" width="10.28515625" style="92" customWidth="1"/>
    <col min="4108" max="4108" width="8.7109375" style="92" customWidth="1"/>
    <col min="4109" max="4109" width="9" style="92" customWidth="1"/>
    <col min="4110" max="4110" width="7.5703125" style="92" customWidth="1"/>
    <col min="4111" max="4111" width="6.28515625" style="92" customWidth="1"/>
    <col min="4112" max="4115" width="9.140625" style="92" customWidth="1"/>
    <col min="4116" max="4116" width="5.7109375" style="92" customWidth="1"/>
    <col min="4117" max="4117" width="7.5703125" style="92" customWidth="1"/>
    <col min="4118" max="4125" width="5.7109375" style="92" customWidth="1"/>
    <col min="4126" max="4126" width="9.28515625" style="92" customWidth="1"/>
    <col min="4127" max="4127" width="8" style="92" customWidth="1"/>
    <col min="4128" max="4130" width="5.7109375" style="92" customWidth="1"/>
    <col min="4131" max="4131" width="6.7109375" style="92" customWidth="1"/>
    <col min="4132" max="4133" width="5.7109375" style="92" customWidth="1"/>
    <col min="4134" max="4352" width="9.140625" style="92"/>
    <col min="4353" max="4353" width="8" style="92" customWidth="1"/>
    <col min="4354" max="4354" width="10.28515625" style="92" customWidth="1"/>
    <col min="4355" max="4355" width="7.140625" style="92" customWidth="1"/>
    <col min="4356" max="4356" width="8.5703125" style="92" customWidth="1"/>
    <col min="4357" max="4357" width="7.140625" style="92" customWidth="1"/>
    <col min="4358" max="4358" width="6.85546875" style="92" customWidth="1"/>
    <col min="4359" max="4359" width="8" style="92" customWidth="1"/>
    <col min="4360" max="4360" width="6.140625" style="92" customWidth="1"/>
    <col min="4361" max="4361" width="10.28515625" style="92" customWidth="1"/>
    <col min="4362" max="4362" width="9.140625" style="92" customWidth="1"/>
    <col min="4363" max="4363" width="10.28515625" style="92" customWidth="1"/>
    <col min="4364" max="4364" width="8.7109375" style="92" customWidth="1"/>
    <col min="4365" max="4365" width="9" style="92" customWidth="1"/>
    <col min="4366" max="4366" width="7.5703125" style="92" customWidth="1"/>
    <col min="4367" max="4367" width="6.28515625" style="92" customWidth="1"/>
    <col min="4368" max="4371" width="9.140625" style="92" customWidth="1"/>
    <col min="4372" max="4372" width="5.7109375" style="92" customWidth="1"/>
    <col min="4373" max="4373" width="7.5703125" style="92" customWidth="1"/>
    <col min="4374" max="4381" width="5.7109375" style="92" customWidth="1"/>
    <col min="4382" max="4382" width="9.28515625" style="92" customWidth="1"/>
    <col min="4383" max="4383" width="8" style="92" customWidth="1"/>
    <col min="4384" max="4386" width="5.7109375" style="92" customWidth="1"/>
    <col min="4387" max="4387" width="6.7109375" style="92" customWidth="1"/>
    <col min="4388" max="4389" width="5.7109375" style="92" customWidth="1"/>
    <col min="4390" max="4608" width="9.140625" style="92"/>
    <col min="4609" max="4609" width="8" style="92" customWidth="1"/>
    <col min="4610" max="4610" width="10.28515625" style="92" customWidth="1"/>
    <col min="4611" max="4611" width="7.140625" style="92" customWidth="1"/>
    <col min="4612" max="4612" width="8.5703125" style="92" customWidth="1"/>
    <col min="4613" max="4613" width="7.140625" style="92" customWidth="1"/>
    <col min="4614" max="4614" width="6.85546875" style="92" customWidth="1"/>
    <col min="4615" max="4615" width="8" style="92" customWidth="1"/>
    <col min="4616" max="4616" width="6.140625" style="92" customWidth="1"/>
    <col min="4617" max="4617" width="10.28515625" style="92" customWidth="1"/>
    <col min="4618" max="4618" width="9.140625" style="92" customWidth="1"/>
    <col min="4619" max="4619" width="10.28515625" style="92" customWidth="1"/>
    <col min="4620" max="4620" width="8.7109375" style="92" customWidth="1"/>
    <col min="4621" max="4621" width="9" style="92" customWidth="1"/>
    <col min="4622" max="4622" width="7.5703125" style="92" customWidth="1"/>
    <col min="4623" max="4623" width="6.28515625" style="92" customWidth="1"/>
    <col min="4624" max="4627" width="9.140625" style="92" customWidth="1"/>
    <col min="4628" max="4628" width="5.7109375" style="92" customWidth="1"/>
    <col min="4629" max="4629" width="7.5703125" style="92" customWidth="1"/>
    <col min="4630" max="4637" width="5.7109375" style="92" customWidth="1"/>
    <col min="4638" max="4638" width="9.28515625" style="92" customWidth="1"/>
    <col min="4639" max="4639" width="8" style="92" customWidth="1"/>
    <col min="4640" max="4642" width="5.7109375" style="92" customWidth="1"/>
    <col min="4643" max="4643" width="6.7109375" style="92" customWidth="1"/>
    <col min="4644" max="4645" width="5.7109375" style="92" customWidth="1"/>
    <col min="4646" max="4864" width="9.140625" style="92"/>
    <col min="4865" max="4865" width="8" style="92" customWidth="1"/>
    <col min="4866" max="4866" width="10.28515625" style="92" customWidth="1"/>
    <col min="4867" max="4867" width="7.140625" style="92" customWidth="1"/>
    <col min="4868" max="4868" width="8.5703125" style="92" customWidth="1"/>
    <col min="4869" max="4869" width="7.140625" style="92" customWidth="1"/>
    <col min="4870" max="4870" width="6.85546875" style="92" customWidth="1"/>
    <col min="4871" max="4871" width="8" style="92" customWidth="1"/>
    <col min="4872" max="4872" width="6.140625" style="92" customWidth="1"/>
    <col min="4873" max="4873" width="10.28515625" style="92" customWidth="1"/>
    <col min="4874" max="4874" width="9.140625" style="92" customWidth="1"/>
    <col min="4875" max="4875" width="10.28515625" style="92" customWidth="1"/>
    <col min="4876" max="4876" width="8.7109375" style="92" customWidth="1"/>
    <col min="4877" max="4877" width="9" style="92" customWidth="1"/>
    <col min="4878" max="4878" width="7.5703125" style="92" customWidth="1"/>
    <col min="4879" max="4879" width="6.28515625" style="92" customWidth="1"/>
    <col min="4880" max="4883" width="9.140625" style="92" customWidth="1"/>
    <col min="4884" max="4884" width="5.7109375" style="92" customWidth="1"/>
    <col min="4885" max="4885" width="7.5703125" style="92" customWidth="1"/>
    <col min="4886" max="4893" width="5.7109375" style="92" customWidth="1"/>
    <col min="4894" max="4894" width="9.28515625" style="92" customWidth="1"/>
    <col min="4895" max="4895" width="8" style="92" customWidth="1"/>
    <col min="4896" max="4898" width="5.7109375" style="92" customWidth="1"/>
    <col min="4899" max="4899" width="6.7109375" style="92" customWidth="1"/>
    <col min="4900" max="4901" width="5.7109375" style="92" customWidth="1"/>
    <col min="4902" max="5120" width="9.140625" style="92"/>
    <col min="5121" max="5121" width="8" style="92" customWidth="1"/>
    <col min="5122" max="5122" width="10.28515625" style="92" customWidth="1"/>
    <col min="5123" max="5123" width="7.140625" style="92" customWidth="1"/>
    <col min="5124" max="5124" width="8.5703125" style="92" customWidth="1"/>
    <col min="5125" max="5125" width="7.140625" style="92" customWidth="1"/>
    <col min="5126" max="5126" width="6.85546875" style="92" customWidth="1"/>
    <col min="5127" max="5127" width="8" style="92" customWidth="1"/>
    <col min="5128" max="5128" width="6.140625" style="92" customWidth="1"/>
    <col min="5129" max="5129" width="10.28515625" style="92" customWidth="1"/>
    <col min="5130" max="5130" width="9.140625" style="92" customWidth="1"/>
    <col min="5131" max="5131" width="10.28515625" style="92" customWidth="1"/>
    <col min="5132" max="5132" width="8.7109375" style="92" customWidth="1"/>
    <col min="5133" max="5133" width="9" style="92" customWidth="1"/>
    <col min="5134" max="5134" width="7.5703125" style="92" customWidth="1"/>
    <col min="5135" max="5135" width="6.28515625" style="92" customWidth="1"/>
    <col min="5136" max="5139" width="9.140625" style="92" customWidth="1"/>
    <col min="5140" max="5140" width="5.7109375" style="92" customWidth="1"/>
    <col min="5141" max="5141" width="7.5703125" style="92" customWidth="1"/>
    <col min="5142" max="5149" width="5.7109375" style="92" customWidth="1"/>
    <col min="5150" max="5150" width="9.28515625" style="92" customWidth="1"/>
    <col min="5151" max="5151" width="8" style="92" customWidth="1"/>
    <col min="5152" max="5154" width="5.7109375" style="92" customWidth="1"/>
    <col min="5155" max="5155" width="6.7109375" style="92" customWidth="1"/>
    <col min="5156" max="5157" width="5.7109375" style="92" customWidth="1"/>
    <col min="5158" max="5376" width="9.140625" style="92"/>
    <col min="5377" max="5377" width="8" style="92" customWidth="1"/>
    <col min="5378" max="5378" width="10.28515625" style="92" customWidth="1"/>
    <col min="5379" max="5379" width="7.140625" style="92" customWidth="1"/>
    <col min="5380" max="5380" width="8.5703125" style="92" customWidth="1"/>
    <col min="5381" max="5381" width="7.140625" style="92" customWidth="1"/>
    <col min="5382" max="5382" width="6.85546875" style="92" customWidth="1"/>
    <col min="5383" max="5383" width="8" style="92" customWidth="1"/>
    <col min="5384" max="5384" width="6.140625" style="92" customWidth="1"/>
    <col min="5385" max="5385" width="10.28515625" style="92" customWidth="1"/>
    <col min="5386" max="5386" width="9.140625" style="92" customWidth="1"/>
    <col min="5387" max="5387" width="10.28515625" style="92" customWidth="1"/>
    <col min="5388" max="5388" width="8.7109375" style="92" customWidth="1"/>
    <col min="5389" max="5389" width="9" style="92" customWidth="1"/>
    <col min="5390" max="5390" width="7.5703125" style="92" customWidth="1"/>
    <col min="5391" max="5391" width="6.28515625" style="92" customWidth="1"/>
    <col min="5392" max="5395" width="9.140625" style="92" customWidth="1"/>
    <col min="5396" max="5396" width="5.7109375" style="92" customWidth="1"/>
    <col min="5397" max="5397" width="7.5703125" style="92" customWidth="1"/>
    <col min="5398" max="5405" width="5.7109375" style="92" customWidth="1"/>
    <col min="5406" max="5406" width="9.28515625" style="92" customWidth="1"/>
    <col min="5407" max="5407" width="8" style="92" customWidth="1"/>
    <col min="5408" max="5410" width="5.7109375" style="92" customWidth="1"/>
    <col min="5411" max="5411" width="6.7109375" style="92" customWidth="1"/>
    <col min="5412" max="5413" width="5.7109375" style="92" customWidth="1"/>
    <col min="5414" max="5632" width="9.140625" style="92"/>
    <col min="5633" max="5633" width="8" style="92" customWidth="1"/>
    <col min="5634" max="5634" width="10.28515625" style="92" customWidth="1"/>
    <col min="5635" max="5635" width="7.140625" style="92" customWidth="1"/>
    <col min="5636" max="5636" width="8.5703125" style="92" customWidth="1"/>
    <col min="5637" max="5637" width="7.140625" style="92" customWidth="1"/>
    <col min="5638" max="5638" width="6.85546875" style="92" customWidth="1"/>
    <col min="5639" max="5639" width="8" style="92" customWidth="1"/>
    <col min="5640" max="5640" width="6.140625" style="92" customWidth="1"/>
    <col min="5641" max="5641" width="10.28515625" style="92" customWidth="1"/>
    <col min="5642" max="5642" width="9.140625" style="92" customWidth="1"/>
    <col min="5643" max="5643" width="10.28515625" style="92" customWidth="1"/>
    <col min="5644" max="5644" width="8.7109375" style="92" customWidth="1"/>
    <col min="5645" max="5645" width="9" style="92" customWidth="1"/>
    <col min="5646" max="5646" width="7.5703125" style="92" customWidth="1"/>
    <col min="5647" max="5647" width="6.28515625" style="92" customWidth="1"/>
    <col min="5648" max="5651" width="9.140625" style="92" customWidth="1"/>
    <col min="5652" max="5652" width="5.7109375" style="92" customWidth="1"/>
    <col min="5653" max="5653" width="7.5703125" style="92" customWidth="1"/>
    <col min="5654" max="5661" width="5.7109375" style="92" customWidth="1"/>
    <col min="5662" max="5662" width="9.28515625" style="92" customWidth="1"/>
    <col min="5663" max="5663" width="8" style="92" customWidth="1"/>
    <col min="5664" max="5666" width="5.7109375" style="92" customWidth="1"/>
    <col min="5667" max="5667" width="6.7109375" style="92" customWidth="1"/>
    <col min="5668" max="5669" width="5.7109375" style="92" customWidth="1"/>
    <col min="5670" max="5888" width="9.140625" style="92"/>
    <col min="5889" max="5889" width="8" style="92" customWidth="1"/>
    <col min="5890" max="5890" width="10.28515625" style="92" customWidth="1"/>
    <col min="5891" max="5891" width="7.140625" style="92" customWidth="1"/>
    <col min="5892" max="5892" width="8.5703125" style="92" customWidth="1"/>
    <col min="5893" max="5893" width="7.140625" style="92" customWidth="1"/>
    <col min="5894" max="5894" width="6.85546875" style="92" customWidth="1"/>
    <col min="5895" max="5895" width="8" style="92" customWidth="1"/>
    <col min="5896" max="5896" width="6.140625" style="92" customWidth="1"/>
    <col min="5897" max="5897" width="10.28515625" style="92" customWidth="1"/>
    <col min="5898" max="5898" width="9.140625" style="92" customWidth="1"/>
    <col min="5899" max="5899" width="10.28515625" style="92" customWidth="1"/>
    <col min="5900" max="5900" width="8.7109375" style="92" customWidth="1"/>
    <col min="5901" max="5901" width="9" style="92" customWidth="1"/>
    <col min="5902" max="5902" width="7.5703125" style="92" customWidth="1"/>
    <col min="5903" max="5903" width="6.28515625" style="92" customWidth="1"/>
    <col min="5904" max="5907" width="9.140625" style="92" customWidth="1"/>
    <col min="5908" max="5908" width="5.7109375" style="92" customWidth="1"/>
    <col min="5909" max="5909" width="7.5703125" style="92" customWidth="1"/>
    <col min="5910" max="5917" width="5.7109375" style="92" customWidth="1"/>
    <col min="5918" max="5918" width="9.28515625" style="92" customWidth="1"/>
    <col min="5919" max="5919" width="8" style="92" customWidth="1"/>
    <col min="5920" max="5922" width="5.7109375" style="92" customWidth="1"/>
    <col min="5923" max="5923" width="6.7109375" style="92" customWidth="1"/>
    <col min="5924" max="5925" width="5.7109375" style="92" customWidth="1"/>
    <col min="5926" max="6144" width="9.140625" style="92"/>
    <col min="6145" max="6145" width="8" style="92" customWidth="1"/>
    <col min="6146" max="6146" width="10.28515625" style="92" customWidth="1"/>
    <col min="6147" max="6147" width="7.140625" style="92" customWidth="1"/>
    <col min="6148" max="6148" width="8.5703125" style="92" customWidth="1"/>
    <col min="6149" max="6149" width="7.140625" style="92" customWidth="1"/>
    <col min="6150" max="6150" width="6.85546875" style="92" customWidth="1"/>
    <col min="6151" max="6151" width="8" style="92" customWidth="1"/>
    <col min="6152" max="6152" width="6.140625" style="92" customWidth="1"/>
    <col min="6153" max="6153" width="10.28515625" style="92" customWidth="1"/>
    <col min="6154" max="6154" width="9.140625" style="92" customWidth="1"/>
    <col min="6155" max="6155" width="10.28515625" style="92" customWidth="1"/>
    <col min="6156" max="6156" width="8.7109375" style="92" customWidth="1"/>
    <col min="6157" max="6157" width="9" style="92" customWidth="1"/>
    <col min="6158" max="6158" width="7.5703125" style="92" customWidth="1"/>
    <col min="6159" max="6159" width="6.28515625" style="92" customWidth="1"/>
    <col min="6160" max="6163" width="9.140625" style="92" customWidth="1"/>
    <col min="6164" max="6164" width="5.7109375" style="92" customWidth="1"/>
    <col min="6165" max="6165" width="7.5703125" style="92" customWidth="1"/>
    <col min="6166" max="6173" width="5.7109375" style="92" customWidth="1"/>
    <col min="6174" max="6174" width="9.28515625" style="92" customWidth="1"/>
    <col min="6175" max="6175" width="8" style="92" customWidth="1"/>
    <col min="6176" max="6178" width="5.7109375" style="92" customWidth="1"/>
    <col min="6179" max="6179" width="6.7109375" style="92" customWidth="1"/>
    <col min="6180" max="6181" width="5.7109375" style="92" customWidth="1"/>
    <col min="6182" max="6400" width="9.140625" style="92"/>
    <col min="6401" max="6401" width="8" style="92" customWidth="1"/>
    <col min="6402" max="6402" width="10.28515625" style="92" customWidth="1"/>
    <col min="6403" max="6403" width="7.140625" style="92" customWidth="1"/>
    <col min="6404" max="6404" width="8.5703125" style="92" customWidth="1"/>
    <col min="6405" max="6405" width="7.140625" style="92" customWidth="1"/>
    <col min="6406" max="6406" width="6.85546875" style="92" customWidth="1"/>
    <col min="6407" max="6407" width="8" style="92" customWidth="1"/>
    <col min="6408" max="6408" width="6.140625" style="92" customWidth="1"/>
    <col min="6409" max="6409" width="10.28515625" style="92" customWidth="1"/>
    <col min="6410" max="6410" width="9.140625" style="92" customWidth="1"/>
    <col min="6411" max="6411" width="10.28515625" style="92" customWidth="1"/>
    <col min="6412" max="6412" width="8.7109375" style="92" customWidth="1"/>
    <col min="6413" max="6413" width="9" style="92" customWidth="1"/>
    <col min="6414" max="6414" width="7.5703125" style="92" customWidth="1"/>
    <col min="6415" max="6415" width="6.28515625" style="92" customWidth="1"/>
    <col min="6416" max="6419" width="9.140625" style="92" customWidth="1"/>
    <col min="6420" max="6420" width="5.7109375" style="92" customWidth="1"/>
    <col min="6421" max="6421" width="7.5703125" style="92" customWidth="1"/>
    <col min="6422" max="6429" width="5.7109375" style="92" customWidth="1"/>
    <col min="6430" max="6430" width="9.28515625" style="92" customWidth="1"/>
    <col min="6431" max="6431" width="8" style="92" customWidth="1"/>
    <col min="6432" max="6434" width="5.7109375" style="92" customWidth="1"/>
    <col min="6435" max="6435" width="6.7109375" style="92" customWidth="1"/>
    <col min="6436" max="6437" width="5.7109375" style="92" customWidth="1"/>
    <col min="6438" max="6656" width="9.140625" style="92"/>
    <col min="6657" max="6657" width="8" style="92" customWidth="1"/>
    <col min="6658" max="6658" width="10.28515625" style="92" customWidth="1"/>
    <col min="6659" max="6659" width="7.140625" style="92" customWidth="1"/>
    <col min="6660" max="6660" width="8.5703125" style="92" customWidth="1"/>
    <col min="6661" max="6661" width="7.140625" style="92" customWidth="1"/>
    <col min="6662" max="6662" width="6.85546875" style="92" customWidth="1"/>
    <col min="6663" max="6663" width="8" style="92" customWidth="1"/>
    <col min="6664" max="6664" width="6.140625" style="92" customWidth="1"/>
    <col min="6665" max="6665" width="10.28515625" style="92" customWidth="1"/>
    <col min="6666" max="6666" width="9.140625" style="92" customWidth="1"/>
    <col min="6667" max="6667" width="10.28515625" style="92" customWidth="1"/>
    <col min="6668" max="6668" width="8.7109375" style="92" customWidth="1"/>
    <col min="6669" max="6669" width="9" style="92" customWidth="1"/>
    <col min="6670" max="6670" width="7.5703125" style="92" customWidth="1"/>
    <col min="6671" max="6671" width="6.28515625" style="92" customWidth="1"/>
    <col min="6672" max="6675" width="9.140625" style="92" customWidth="1"/>
    <col min="6676" max="6676" width="5.7109375" style="92" customWidth="1"/>
    <col min="6677" max="6677" width="7.5703125" style="92" customWidth="1"/>
    <col min="6678" max="6685" width="5.7109375" style="92" customWidth="1"/>
    <col min="6686" max="6686" width="9.28515625" style="92" customWidth="1"/>
    <col min="6687" max="6687" width="8" style="92" customWidth="1"/>
    <col min="6688" max="6690" width="5.7109375" style="92" customWidth="1"/>
    <col min="6691" max="6691" width="6.7109375" style="92" customWidth="1"/>
    <col min="6692" max="6693" width="5.7109375" style="92" customWidth="1"/>
    <col min="6694" max="6912" width="9.140625" style="92"/>
    <col min="6913" max="6913" width="8" style="92" customWidth="1"/>
    <col min="6914" max="6914" width="10.28515625" style="92" customWidth="1"/>
    <col min="6915" max="6915" width="7.140625" style="92" customWidth="1"/>
    <col min="6916" max="6916" width="8.5703125" style="92" customWidth="1"/>
    <col min="6917" max="6917" width="7.140625" style="92" customWidth="1"/>
    <col min="6918" max="6918" width="6.85546875" style="92" customWidth="1"/>
    <col min="6919" max="6919" width="8" style="92" customWidth="1"/>
    <col min="6920" max="6920" width="6.140625" style="92" customWidth="1"/>
    <col min="6921" max="6921" width="10.28515625" style="92" customWidth="1"/>
    <col min="6922" max="6922" width="9.140625" style="92" customWidth="1"/>
    <col min="6923" max="6923" width="10.28515625" style="92" customWidth="1"/>
    <col min="6924" max="6924" width="8.7109375" style="92" customWidth="1"/>
    <col min="6925" max="6925" width="9" style="92" customWidth="1"/>
    <col min="6926" max="6926" width="7.5703125" style="92" customWidth="1"/>
    <col min="6927" max="6927" width="6.28515625" style="92" customWidth="1"/>
    <col min="6928" max="6931" width="9.140625" style="92" customWidth="1"/>
    <col min="6932" max="6932" width="5.7109375" style="92" customWidth="1"/>
    <col min="6933" max="6933" width="7.5703125" style="92" customWidth="1"/>
    <col min="6934" max="6941" width="5.7109375" style="92" customWidth="1"/>
    <col min="6942" max="6942" width="9.28515625" style="92" customWidth="1"/>
    <col min="6943" max="6943" width="8" style="92" customWidth="1"/>
    <col min="6944" max="6946" width="5.7109375" style="92" customWidth="1"/>
    <col min="6947" max="6947" width="6.7109375" style="92" customWidth="1"/>
    <col min="6948" max="6949" width="5.7109375" style="92" customWidth="1"/>
    <col min="6950" max="7168" width="9.140625" style="92"/>
    <col min="7169" max="7169" width="8" style="92" customWidth="1"/>
    <col min="7170" max="7170" width="10.28515625" style="92" customWidth="1"/>
    <col min="7171" max="7171" width="7.140625" style="92" customWidth="1"/>
    <col min="7172" max="7172" width="8.5703125" style="92" customWidth="1"/>
    <col min="7173" max="7173" width="7.140625" style="92" customWidth="1"/>
    <col min="7174" max="7174" width="6.85546875" style="92" customWidth="1"/>
    <col min="7175" max="7175" width="8" style="92" customWidth="1"/>
    <col min="7176" max="7176" width="6.140625" style="92" customWidth="1"/>
    <col min="7177" max="7177" width="10.28515625" style="92" customWidth="1"/>
    <col min="7178" max="7178" width="9.140625" style="92" customWidth="1"/>
    <col min="7179" max="7179" width="10.28515625" style="92" customWidth="1"/>
    <col min="7180" max="7180" width="8.7109375" style="92" customWidth="1"/>
    <col min="7181" max="7181" width="9" style="92" customWidth="1"/>
    <col min="7182" max="7182" width="7.5703125" style="92" customWidth="1"/>
    <col min="7183" max="7183" width="6.28515625" style="92" customWidth="1"/>
    <col min="7184" max="7187" width="9.140625" style="92" customWidth="1"/>
    <col min="7188" max="7188" width="5.7109375" style="92" customWidth="1"/>
    <col min="7189" max="7189" width="7.5703125" style="92" customWidth="1"/>
    <col min="7190" max="7197" width="5.7109375" style="92" customWidth="1"/>
    <col min="7198" max="7198" width="9.28515625" style="92" customWidth="1"/>
    <col min="7199" max="7199" width="8" style="92" customWidth="1"/>
    <col min="7200" max="7202" width="5.7109375" style="92" customWidth="1"/>
    <col min="7203" max="7203" width="6.7109375" style="92" customWidth="1"/>
    <col min="7204" max="7205" width="5.7109375" style="92" customWidth="1"/>
    <col min="7206" max="7424" width="9.140625" style="92"/>
    <col min="7425" max="7425" width="8" style="92" customWidth="1"/>
    <col min="7426" max="7426" width="10.28515625" style="92" customWidth="1"/>
    <col min="7427" max="7427" width="7.140625" style="92" customWidth="1"/>
    <col min="7428" max="7428" width="8.5703125" style="92" customWidth="1"/>
    <col min="7429" max="7429" width="7.140625" style="92" customWidth="1"/>
    <col min="7430" max="7430" width="6.85546875" style="92" customWidth="1"/>
    <col min="7431" max="7431" width="8" style="92" customWidth="1"/>
    <col min="7432" max="7432" width="6.140625" style="92" customWidth="1"/>
    <col min="7433" max="7433" width="10.28515625" style="92" customWidth="1"/>
    <col min="7434" max="7434" width="9.140625" style="92" customWidth="1"/>
    <col min="7435" max="7435" width="10.28515625" style="92" customWidth="1"/>
    <col min="7436" max="7436" width="8.7109375" style="92" customWidth="1"/>
    <col min="7437" max="7437" width="9" style="92" customWidth="1"/>
    <col min="7438" max="7438" width="7.5703125" style="92" customWidth="1"/>
    <col min="7439" max="7439" width="6.28515625" style="92" customWidth="1"/>
    <col min="7440" max="7443" width="9.140625" style="92" customWidth="1"/>
    <col min="7444" max="7444" width="5.7109375" style="92" customWidth="1"/>
    <col min="7445" max="7445" width="7.5703125" style="92" customWidth="1"/>
    <col min="7446" max="7453" width="5.7109375" style="92" customWidth="1"/>
    <col min="7454" max="7454" width="9.28515625" style="92" customWidth="1"/>
    <col min="7455" max="7455" width="8" style="92" customWidth="1"/>
    <col min="7456" max="7458" width="5.7109375" style="92" customWidth="1"/>
    <col min="7459" max="7459" width="6.7109375" style="92" customWidth="1"/>
    <col min="7460" max="7461" width="5.7109375" style="92" customWidth="1"/>
    <col min="7462" max="7680" width="9.140625" style="92"/>
    <col min="7681" max="7681" width="8" style="92" customWidth="1"/>
    <col min="7682" max="7682" width="10.28515625" style="92" customWidth="1"/>
    <col min="7683" max="7683" width="7.140625" style="92" customWidth="1"/>
    <col min="7684" max="7684" width="8.5703125" style="92" customWidth="1"/>
    <col min="7685" max="7685" width="7.140625" style="92" customWidth="1"/>
    <col min="7686" max="7686" width="6.85546875" style="92" customWidth="1"/>
    <col min="7687" max="7687" width="8" style="92" customWidth="1"/>
    <col min="7688" max="7688" width="6.140625" style="92" customWidth="1"/>
    <col min="7689" max="7689" width="10.28515625" style="92" customWidth="1"/>
    <col min="7690" max="7690" width="9.140625" style="92" customWidth="1"/>
    <col min="7691" max="7691" width="10.28515625" style="92" customWidth="1"/>
    <col min="7692" max="7692" width="8.7109375" style="92" customWidth="1"/>
    <col min="7693" max="7693" width="9" style="92" customWidth="1"/>
    <col min="7694" max="7694" width="7.5703125" style="92" customWidth="1"/>
    <col min="7695" max="7695" width="6.28515625" style="92" customWidth="1"/>
    <col min="7696" max="7699" width="9.140625" style="92" customWidth="1"/>
    <col min="7700" max="7700" width="5.7109375" style="92" customWidth="1"/>
    <col min="7701" max="7701" width="7.5703125" style="92" customWidth="1"/>
    <col min="7702" max="7709" width="5.7109375" style="92" customWidth="1"/>
    <col min="7710" max="7710" width="9.28515625" style="92" customWidth="1"/>
    <col min="7711" max="7711" width="8" style="92" customWidth="1"/>
    <col min="7712" max="7714" width="5.7109375" style="92" customWidth="1"/>
    <col min="7715" max="7715" width="6.7109375" style="92" customWidth="1"/>
    <col min="7716" max="7717" width="5.7109375" style="92" customWidth="1"/>
    <col min="7718" max="7936" width="9.140625" style="92"/>
    <col min="7937" max="7937" width="8" style="92" customWidth="1"/>
    <col min="7938" max="7938" width="10.28515625" style="92" customWidth="1"/>
    <col min="7939" max="7939" width="7.140625" style="92" customWidth="1"/>
    <col min="7940" max="7940" width="8.5703125" style="92" customWidth="1"/>
    <col min="7941" max="7941" width="7.140625" style="92" customWidth="1"/>
    <col min="7942" max="7942" width="6.85546875" style="92" customWidth="1"/>
    <col min="7943" max="7943" width="8" style="92" customWidth="1"/>
    <col min="7944" max="7944" width="6.140625" style="92" customWidth="1"/>
    <col min="7945" max="7945" width="10.28515625" style="92" customWidth="1"/>
    <col min="7946" max="7946" width="9.140625" style="92" customWidth="1"/>
    <col min="7947" max="7947" width="10.28515625" style="92" customWidth="1"/>
    <col min="7948" max="7948" width="8.7109375" style="92" customWidth="1"/>
    <col min="7949" max="7949" width="9" style="92" customWidth="1"/>
    <col min="7950" max="7950" width="7.5703125" style="92" customWidth="1"/>
    <col min="7951" max="7951" width="6.28515625" style="92" customWidth="1"/>
    <col min="7952" max="7955" width="9.140625" style="92" customWidth="1"/>
    <col min="7956" max="7956" width="5.7109375" style="92" customWidth="1"/>
    <col min="7957" max="7957" width="7.5703125" style="92" customWidth="1"/>
    <col min="7958" max="7965" width="5.7109375" style="92" customWidth="1"/>
    <col min="7966" max="7966" width="9.28515625" style="92" customWidth="1"/>
    <col min="7967" max="7967" width="8" style="92" customWidth="1"/>
    <col min="7968" max="7970" width="5.7109375" style="92" customWidth="1"/>
    <col min="7971" max="7971" width="6.7109375" style="92" customWidth="1"/>
    <col min="7972" max="7973" width="5.7109375" style="92" customWidth="1"/>
    <col min="7974" max="8192" width="9.140625" style="92"/>
    <col min="8193" max="8193" width="8" style="92" customWidth="1"/>
    <col min="8194" max="8194" width="10.28515625" style="92" customWidth="1"/>
    <col min="8195" max="8195" width="7.140625" style="92" customWidth="1"/>
    <col min="8196" max="8196" width="8.5703125" style="92" customWidth="1"/>
    <col min="8197" max="8197" width="7.140625" style="92" customWidth="1"/>
    <col min="8198" max="8198" width="6.85546875" style="92" customWidth="1"/>
    <col min="8199" max="8199" width="8" style="92" customWidth="1"/>
    <col min="8200" max="8200" width="6.140625" style="92" customWidth="1"/>
    <col min="8201" max="8201" width="10.28515625" style="92" customWidth="1"/>
    <col min="8202" max="8202" width="9.140625" style="92" customWidth="1"/>
    <col min="8203" max="8203" width="10.28515625" style="92" customWidth="1"/>
    <col min="8204" max="8204" width="8.7109375" style="92" customWidth="1"/>
    <col min="8205" max="8205" width="9" style="92" customWidth="1"/>
    <col min="8206" max="8206" width="7.5703125" style="92" customWidth="1"/>
    <col min="8207" max="8207" width="6.28515625" style="92" customWidth="1"/>
    <col min="8208" max="8211" width="9.140625" style="92" customWidth="1"/>
    <col min="8212" max="8212" width="5.7109375" style="92" customWidth="1"/>
    <col min="8213" max="8213" width="7.5703125" style="92" customWidth="1"/>
    <col min="8214" max="8221" width="5.7109375" style="92" customWidth="1"/>
    <col min="8222" max="8222" width="9.28515625" style="92" customWidth="1"/>
    <col min="8223" max="8223" width="8" style="92" customWidth="1"/>
    <col min="8224" max="8226" width="5.7109375" style="92" customWidth="1"/>
    <col min="8227" max="8227" width="6.7109375" style="92" customWidth="1"/>
    <col min="8228" max="8229" width="5.7109375" style="92" customWidth="1"/>
    <col min="8230" max="8448" width="9.140625" style="92"/>
    <col min="8449" max="8449" width="8" style="92" customWidth="1"/>
    <col min="8450" max="8450" width="10.28515625" style="92" customWidth="1"/>
    <col min="8451" max="8451" width="7.140625" style="92" customWidth="1"/>
    <col min="8452" max="8452" width="8.5703125" style="92" customWidth="1"/>
    <col min="8453" max="8453" width="7.140625" style="92" customWidth="1"/>
    <col min="8454" max="8454" width="6.85546875" style="92" customWidth="1"/>
    <col min="8455" max="8455" width="8" style="92" customWidth="1"/>
    <col min="8456" max="8456" width="6.140625" style="92" customWidth="1"/>
    <col min="8457" max="8457" width="10.28515625" style="92" customWidth="1"/>
    <col min="8458" max="8458" width="9.140625" style="92" customWidth="1"/>
    <col min="8459" max="8459" width="10.28515625" style="92" customWidth="1"/>
    <col min="8460" max="8460" width="8.7109375" style="92" customWidth="1"/>
    <col min="8461" max="8461" width="9" style="92" customWidth="1"/>
    <col min="8462" max="8462" width="7.5703125" style="92" customWidth="1"/>
    <col min="8463" max="8463" width="6.28515625" style="92" customWidth="1"/>
    <col min="8464" max="8467" width="9.140625" style="92" customWidth="1"/>
    <col min="8468" max="8468" width="5.7109375" style="92" customWidth="1"/>
    <col min="8469" max="8469" width="7.5703125" style="92" customWidth="1"/>
    <col min="8470" max="8477" width="5.7109375" style="92" customWidth="1"/>
    <col min="8478" max="8478" width="9.28515625" style="92" customWidth="1"/>
    <col min="8479" max="8479" width="8" style="92" customWidth="1"/>
    <col min="8480" max="8482" width="5.7109375" style="92" customWidth="1"/>
    <col min="8483" max="8483" width="6.7109375" style="92" customWidth="1"/>
    <col min="8484" max="8485" width="5.7109375" style="92" customWidth="1"/>
    <col min="8486" max="8704" width="9.140625" style="92"/>
    <col min="8705" max="8705" width="8" style="92" customWidth="1"/>
    <col min="8706" max="8706" width="10.28515625" style="92" customWidth="1"/>
    <col min="8707" max="8707" width="7.140625" style="92" customWidth="1"/>
    <col min="8708" max="8708" width="8.5703125" style="92" customWidth="1"/>
    <col min="8709" max="8709" width="7.140625" style="92" customWidth="1"/>
    <col min="8710" max="8710" width="6.85546875" style="92" customWidth="1"/>
    <col min="8711" max="8711" width="8" style="92" customWidth="1"/>
    <col min="8712" max="8712" width="6.140625" style="92" customWidth="1"/>
    <col min="8713" max="8713" width="10.28515625" style="92" customWidth="1"/>
    <col min="8714" max="8714" width="9.140625" style="92" customWidth="1"/>
    <col min="8715" max="8715" width="10.28515625" style="92" customWidth="1"/>
    <col min="8716" max="8716" width="8.7109375" style="92" customWidth="1"/>
    <col min="8717" max="8717" width="9" style="92" customWidth="1"/>
    <col min="8718" max="8718" width="7.5703125" style="92" customWidth="1"/>
    <col min="8719" max="8719" width="6.28515625" style="92" customWidth="1"/>
    <col min="8720" max="8723" width="9.140625" style="92" customWidth="1"/>
    <col min="8724" max="8724" width="5.7109375" style="92" customWidth="1"/>
    <col min="8725" max="8725" width="7.5703125" style="92" customWidth="1"/>
    <col min="8726" max="8733" width="5.7109375" style="92" customWidth="1"/>
    <col min="8734" max="8734" width="9.28515625" style="92" customWidth="1"/>
    <col min="8735" max="8735" width="8" style="92" customWidth="1"/>
    <col min="8736" max="8738" width="5.7109375" style="92" customWidth="1"/>
    <col min="8739" max="8739" width="6.7109375" style="92" customWidth="1"/>
    <col min="8740" max="8741" width="5.7109375" style="92" customWidth="1"/>
    <col min="8742" max="8960" width="9.140625" style="92"/>
    <col min="8961" max="8961" width="8" style="92" customWidth="1"/>
    <col min="8962" max="8962" width="10.28515625" style="92" customWidth="1"/>
    <col min="8963" max="8963" width="7.140625" style="92" customWidth="1"/>
    <col min="8964" max="8964" width="8.5703125" style="92" customWidth="1"/>
    <col min="8965" max="8965" width="7.140625" style="92" customWidth="1"/>
    <col min="8966" max="8966" width="6.85546875" style="92" customWidth="1"/>
    <col min="8967" max="8967" width="8" style="92" customWidth="1"/>
    <col min="8968" max="8968" width="6.140625" style="92" customWidth="1"/>
    <col min="8969" max="8969" width="10.28515625" style="92" customWidth="1"/>
    <col min="8970" max="8970" width="9.140625" style="92" customWidth="1"/>
    <col min="8971" max="8971" width="10.28515625" style="92" customWidth="1"/>
    <col min="8972" max="8972" width="8.7109375" style="92" customWidth="1"/>
    <col min="8973" max="8973" width="9" style="92" customWidth="1"/>
    <col min="8974" max="8974" width="7.5703125" style="92" customWidth="1"/>
    <col min="8975" max="8975" width="6.28515625" style="92" customWidth="1"/>
    <col min="8976" max="8979" width="9.140625" style="92" customWidth="1"/>
    <col min="8980" max="8980" width="5.7109375" style="92" customWidth="1"/>
    <col min="8981" max="8981" width="7.5703125" style="92" customWidth="1"/>
    <col min="8982" max="8989" width="5.7109375" style="92" customWidth="1"/>
    <col min="8990" max="8990" width="9.28515625" style="92" customWidth="1"/>
    <col min="8991" max="8991" width="8" style="92" customWidth="1"/>
    <col min="8992" max="8994" width="5.7109375" style="92" customWidth="1"/>
    <col min="8995" max="8995" width="6.7109375" style="92" customWidth="1"/>
    <col min="8996" max="8997" width="5.7109375" style="92" customWidth="1"/>
    <col min="8998" max="9216" width="9.140625" style="92"/>
    <col min="9217" max="9217" width="8" style="92" customWidth="1"/>
    <col min="9218" max="9218" width="10.28515625" style="92" customWidth="1"/>
    <col min="9219" max="9219" width="7.140625" style="92" customWidth="1"/>
    <col min="9220" max="9220" width="8.5703125" style="92" customWidth="1"/>
    <col min="9221" max="9221" width="7.140625" style="92" customWidth="1"/>
    <col min="9222" max="9222" width="6.85546875" style="92" customWidth="1"/>
    <col min="9223" max="9223" width="8" style="92" customWidth="1"/>
    <col min="9224" max="9224" width="6.140625" style="92" customWidth="1"/>
    <col min="9225" max="9225" width="10.28515625" style="92" customWidth="1"/>
    <col min="9226" max="9226" width="9.140625" style="92" customWidth="1"/>
    <col min="9227" max="9227" width="10.28515625" style="92" customWidth="1"/>
    <col min="9228" max="9228" width="8.7109375" style="92" customWidth="1"/>
    <col min="9229" max="9229" width="9" style="92" customWidth="1"/>
    <col min="9230" max="9230" width="7.5703125" style="92" customWidth="1"/>
    <col min="9231" max="9231" width="6.28515625" style="92" customWidth="1"/>
    <col min="9232" max="9235" width="9.140625" style="92" customWidth="1"/>
    <col min="9236" max="9236" width="5.7109375" style="92" customWidth="1"/>
    <col min="9237" max="9237" width="7.5703125" style="92" customWidth="1"/>
    <col min="9238" max="9245" width="5.7109375" style="92" customWidth="1"/>
    <col min="9246" max="9246" width="9.28515625" style="92" customWidth="1"/>
    <col min="9247" max="9247" width="8" style="92" customWidth="1"/>
    <col min="9248" max="9250" width="5.7109375" style="92" customWidth="1"/>
    <col min="9251" max="9251" width="6.7109375" style="92" customWidth="1"/>
    <col min="9252" max="9253" width="5.7109375" style="92" customWidth="1"/>
    <col min="9254" max="9472" width="9.140625" style="92"/>
    <col min="9473" max="9473" width="8" style="92" customWidth="1"/>
    <col min="9474" max="9474" width="10.28515625" style="92" customWidth="1"/>
    <col min="9475" max="9475" width="7.140625" style="92" customWidth="1"/>
    <col min="9476" max="9476" width="8.5703125" style="92" customWidth="1"/>
    <col min="9477" max="9477" width="7.140625" style="92" customWidth="1"/>
    <col min="9478" max="9478" width="6.85546875" style="92" customWidth="1"/>
    <col min="9479" max="9479" width="8" style="92" customWidth="1"/>
    <col min="9480" max="9480" width="6.140625" style="92" customWidth="1"/>
    <col min="9481" max="9481" width="10.28515625" style="92" customWidth="1"/>
    <col min="9482" max="9482" width="9.140625" style="92" customWidth="1"/>
    <col min="9483" max="9483" width="10.28515625" style="92" customWidth="1"/>
    <col min="9484" max="9484" width="8.7109375" style="92" customWidth="1"/>
    <col min="9485" max="9485" width="9" style="92" customWidth="1"/>
    <col min="9486" max="9486" width="7.5703125" style="92" customWidth="1"/>
    <col min="9487" max="9487" width="6.28515625" style="92" customWidth="1"/>
    <col min="9488" max="9491" width="9.140625" style="92" customWidth="1"/>
    <col min="9492" max="9492" width="5.7109375" style="92" customWidth="1"/>
    <col min="9493" max="9493" width="7.5703125" style="92" customWidth="1"/>
    <col min="9494" max="9501" width="5.7109375" style="92" customWidth="1"/>
    <col min="9502" max="9502" width="9.28515625" style="92" customWidth="1"/>
    <col min="9503" max="9503" width="8" style="92" customWidth="1"/>
    <col min="9504" max="9506" width="5.7109375" style="92" customWidth="1"/>
    <col min="9507" max="9507" width="6.7109375" style="92" customWidth="1"/>
    <col min="9508" max="9509" width="5.7109375" style="92" customWidth="1"/>
    <col min="9510" max="9728" width="9.140625" style="92"/>
    <col min="9729" max="9729" width="8" style="92" customWidth="1"/>
    <col min="9730" max="9730" width="10.28515625" style="92" customWidth="1"/>
    <col min="9731" max="9731" width="7.140625" style="92" customWidth="1"/>
    <col min="9732" max="9732" width="8.5703125" style="92" customWidth="1"/>
    <col min="9733" max="9733" width="7.140625" style="92" customWidth="1"/>
    <col min="9734" max="9734" width="6.85546875" style="92" customWidth="1"/>
    <col min="9735" max="9735" width="8" style="92" customWidth="1"/>
    <col min="9736" max="9736" width="6.140625" style="92" customWidth="1"/>
    <col min="9737" max="9737" width="10.28515625" style="92" customWidth="1"/>
    <col min="9738" max="9738" width="9.140625" style="92" customWidth="1"/>
    <col min="9739" max="9739" width="10.28515625" style="92" customWidth="1"/>
    <col min="9740" max="9740" width="8.7109375" style="92" customWidth="1"/>
    <col min="9741" max="9741" width="9" style="92" customWidth="1"/>
    <col min="9742" max="9742" width="7.5703125" style="92" customWidth="1"/>
    <col min="9743" max="9743" width="6.28515625" style="92" customWidth="1"/>
    <col min="9744" max="9747" width="9.140625" style="92" customWidth="1"/>
    <col min="9748" max="9748" width="5.7109375" style="92" customWidth="1"/>
    <col min="9749" max="9749" width="7.5703125" style="92" customWidth="1"/>
    <col min="9750" max="9757" width="5.7109375" style="92" customWidth="1"/>
    <col min="9758" max="9758" width="9.28515625" style="92" customWidth="1"/>
    <col min="9759" max="9759" width="8" style="92" customWidth="1"/>
    <col min="9760" max="9762" width="5.7109375" style="92" customWidth="1"/>
    <col min="9763" max="9763" width="6.7109375" style="92" customWidth="1"/>
    <col min="9764" max="9765" width="5.7109375" style="92" customWidth="1"/>
    <col min="9766" max="9984" width="9.140625" style="92"/>
    <col min="9985" max="9985" width="8" style="92" customWidth="1"/>
    <col min="9986" max="9986" width="10.28515625" style="92" customWidth="1"/>
    <col min="9987" max="9987" width="7.140625" style="92" customWidth="1"/>
    <col min="9988" max="9988" width="8.5703125" style="92" customWidth="1"/>
    <col min="9989" max="9989" width="7.140625" style="92" customWidth="1"/>
    <col min="9990" max="9990" width="6.85546875" style="92" customWidth="1"/>
    <col min="9991" max="9991" width="8" style="92" customWidth="1"/>
    <col min="9992" max="9992" width="6.140625" style="92" customWidth="1"/>
    <col min="9993" max="9993" width="10.28515625" style="92" customWidth="1"/>
    <col min="9994" max="9994" width="9.140625" style="92" customWidth="1"/>
    <col min="9995" max="9995" width="10.28515625" style="92" customWidth="1"/>
    <col min="9996" max="9996" width="8.7109375" style="92" customWidth="1"/>
    <col min="9997" max="9997" width="9" style="92" customWidth="1"/>
    <col min="9998" max="9998" width="7.5703125" style="92" customWidth="1"/>
    <col min="9999" max="9999" width="6.28515625" style="92" customWidth="1"/>
    <col min="10000" max="10003" width="9.140625" style="92" customWidth="1"/>
    <col min="10004" max="10004" width="5.7109375" style="92" customWidth="1"/>
    <col min="10005" max="10005" width="7.5703125" style="92" customWidth="1"/>
    <col min="10006" max="10013" width="5.7109375" style="92" customWidth="1"/>
    <col min="10014" max="10014" width="9.28515625" style="92" customWidth="1"/>
    <col min="10015" max="10015" width="8" style="92" customWidth="1"/>
    <col min="10016" max="10018" width="5.7109375" style="92" customWidth="1"/>
    <col min="10019" max="10019" width="6.7109375" style="92" customWidth="1"/>
    <col min="10020" max="10021" width="5.7109375" style="92" customWidth="1"/>
    <col min="10022" max="10240" width="9.140625" style="92"/>
    <col min="10241" max="10241" width="8" style="92" customWidth="1"/>
    <col min="10242" max="10242" width="10.28515625" style="92" customWidth="1"/>
    <col min="10243" max="10243" width="7.140625" style="92" customWidth="1"/>
    <col min="10244" max="10244" width="8.5703125" style="92" customWidth="1"/>
    <col min="10245" max="10245" width="7.140625" style="92" customWidth="1"/>
    <col min="10246" max="10246" width="6.85546875" style="92" customWidth="1"/>
    <col min="10247" max="10247" width="8" style="92" customWidth="1"/>
    <col min="10248" max="10248" width="6.140625" style="92" customWidth="1"/>
    <col min="10249" max="10249" width="10.28515625" style="92" customWidth="1"/>
    <col min="10250" max="10250" width="9.140625" style="92" customWidth="1"/>
    <col min="10251" max="10251" width="10.28515625" style="92" customWidth="1"/>
    <col min="10252" max="10252" width="8.7109375" style="92" customWidth="1"/>
    <col min="10253" max="10253" width="9" style="92" customWidth="1"/>
    <col min="10254" max="10254" width="7.5703125" style="92" customWidth="1"/>
    <col min="10255" max="10255" width="6.28515625" style="92" customWidth="1"/>
    <col min="10256" max="10259" width="9.140625" style="92" customWidth="1"/>
    <col min="10260" max="10260" width="5.7109375" style="92" customWidth="1"/>
    <col min="10261" max="10261" width="7.5703125" style="92" customWidth="1"/>
    <col min="10262" max="10269" width="5.7109375" style="92" customWidth="1"/>
    <col min="10270" max="10270" width="9.28515625" style="92" customWidth="1"/>
    <col min="10271" max="10271" width="8" style="92" customWidth="1"/>
    <col min="10272" max="10274" width="5.7109375" style="92" customWidth="1"/>
    <col min="10275" max="10275" width="6.7109375" style="92" customWidth="1"/>
    <col min="10276" max="10277" width="5.7109375" style="92" customWidth="1"/>
    <col min="10278" max="10496" width="9.140625" style="92"/>
    <col min="10497" max="10497" width="8" style="92" customWidth="1"/>
    <col min="10498" max="10498" width="10.28515625" style="92" customWidth="1"/>
    <col min="10499" max="10499" width="7.140625" style="92" customWidth="1"/>
    <col min="10500" max="10500" width="8.5703125" style="92" customWidth="1"/>
    <col min="10501" max="10501" width="7.140625" style="92" customWidth="1"/>
    <col min="10502" max="10502" width="6.85546875" style="92" customWidth="1"/>
    <col min="10503" max="10503" width="8" style="92" customWidth="1"/>
    <col min="10504" max="10504" width="6.140625" style="92" customWidth="1"/>
    <col min="10505" max="10505" width="10.28515625" style="92" customWidth="1"/>
    <col min="10506" max="10506" width="9.140625" style="92" customWidth="1"/>
    <col min="10507" max="10507" width="10.28515625" style="92" customWidth="1"/>
    <col min="10508" max="10508" width="8.7109375" style="92" customWidth="1"/>
    <col min="10509" max="10509" width="9" style="92" customWidth="1"/>
    <col min="10510" max="10510" width="7.5703125" style="92" customWidth="1"/>
    <col min="10511" max="10511" width="6.28515625" style="92" customWidth="1"/>
    <col min="10512" max="10515" width="9.140625" style="92" customWidth="1"/>
    <col min="10516" max="10516" width="5.7109375" style="92" customWidth="1"/>
    <col min="10517" max="10517" width="7.5703125" style="92" customWidth="1"/>
    <col min="10518" max="10525" width="5.7109375" style="92" customWidth="1"/>
    <col min="10526" max="10526" width="9.28515625" style="92" customWidth="1"/>
    <col min="10527" max="10527" width="8" style="92" customWidth="1"/>
    <col min="10528" max="10530" width="5.7109375" style="92" customWidth="1"/>
    <col min="10531" max="10531" width="6.7109375" style="92" customWidth="1"/>
    <col min="10532" max="10533" width="5.7109375" style="92" customWidth="1"/>
    <col min="10534" max="10752" width="9.140625" style="92"/>
    <col min="10753" max="10753" width="8" style="92" customWidth="1"/>
    <col min="10754" max="10754" width="10.28515625" style="92" customWidth="1"/>
    <col min="10755" max="10755" width="7.140625" style="92" customWidth="1"/>
    <col min="10756" max="10756" width="8.5703125" style="92" customWidth="1"/>
    <col min="10757" max="10757" width="7.140625" style="92" customWidth="1"/>
    <col min="10758" max="10758" width="6.85546875" style="92" customWidth="1"/>
    <col min="10759" max="10759" width="8" style="92" customWidth="1"/>
    <col min="10760" max="10760" width="6.140625" style="92" customWidth="1"/>
    <col min="10761" max="10761" width="10.28515625" style="92" customWidth="1"/>
    <col min="10762" max="10762" width="9.140625" style="92" customWidth="1"/>
    <col min="10763" max="10763" width="10.28515625" style="92" customWidth="1"/>
    <col min="10764" max="10764" width="8.7109375" style="92" customWidth="1"/>
    <col min="10765" max="10765" width="9" style="92" customWidth="1"/>
    <col min="10766" max="10766" width="7.5703125" style="92" customWidth="1"/>
    <col min="10767" max="10767" width="6.28515625" style="92" customWidth="1"/>
    <col min="10768" max="10771" width="9.140625" style="92" customWidth="1"/>
    <col min="10772" max="10772" width="5.7109375" style="92" customWidth="1"/>
    <col min="10773" max="10773" width="7.5703125" style="92" customWidth="1"/>
    <col min="10774" max="10781" width="5.7109375" style="92" customWidth="1"/>
    <col min="10782" max="10782" width="9.28515625" style="92" customWidth="1"/>
    <col min="10783" max="10783" width="8" style="92" customWidth="1"/>
    <col min="10784" max="10786" width="5.7109375" style="92" customWidth="1"/>
    <col min="10787" max="10787" width="6.7109375" style="92" customWidth="1"/>
    <col min="10788" max="10789" width="5.7109375" style="92" customWidth="1"/>
    <col min="10790" max="11008" width="9.140625" style="92"/>
    <col min="11009" max="11009" width="8" style="92" customWidth="1"/>
    <col min="11010" max="11010" width="10.28515625" style="92" customWidth="1"/>
    <col min="11011" max="11011" width="7.140625" style="92" customWidth="1"/>
    <col min="11012" max="11012" width="8.5703125" style="92" customWidth="1"/>
    <col min="11013" max="11013" width="7.140625" style="92" customWidth="1"/>
    <col min="11014" max="11014" width="6.85546875" style="92" customWidth="1"/>
    <col min="11015" max="11015" width="8" style="92" customWidth="1"/>
    <col min="11016" max="11016" width="6.140625" style="92" customWidth="1"/>
    <col min="11017" max="11017" width="10.28515625" style="92" customWidth="1"/>
    <col min="11018" max="11018" width="9.140625" style="92" customWidth="1"/>
    <col min="11019" max="11019" width="10.28515625" style="92" customWidth="1"/>
    <col min="11020" max="11020" width="8.7109375" style="92" customWidth="1"/>
    <col min="11021" max="11021" width="9" style="92" customWidth="1"/>
    <col min="11022" max="11022" width="7.5703125" style="92" customWidth="1"/>
    <col min="11023" max="11023" width="6.28515625" style="92" customWidth="1"/>
    <col min="11024" max="11027" width="9.140625" style="92" customWidth="1"/>
    <col min="11028" max="11028" width="5.7109375" style="92" customWidth="1"/>
    <col min="11029" max="11029" width="7.5703125" style="92" customWidth="1"/>
    <col min="11030" max="11037" width="5.7109375" style="92" customWidth="1"/>
    <col min="11038" max="11038" width="9.28515625" style="92" customWidth="1"/>
    <col min="11039" max="11039" width="8" style="92" customWidth="1"/>
    <col min="11040" max="11042" width="5.7109375" style="92" customWidth="1"/>
    <col min="11043" max="11043" width="6.7109375" style="92" customWidth="1"/>
    <col min="11044" max="11045" width="5.7109375" style="92" customWidth="1"/>
    <col min="11046" max="11264" width="9.140625" style="92"/>
    <col min="11265" max="11265" width="8" style="92" customWidth="1"/>
    <col min="11266" max="11266" width="10.28515625" style="92" customWidth="1"/>
    <col min="11267" max="11267" width="7.140625" style="92" customWidth="1"/>
    <col min="11268" max="11268" width="8.5703125" style="92" customWidth="1"/>
    <col min="11269" max="11269" width="7.140625" style="92" customWidth="1"/>
    <col min="11270" max="11270" width="6.85546875" style="92" customWidth="1"/>
    <col min="11271" max="11271" width="8" style="92" customWidth="1"/>
    <col min="11272" max="11272" width="6.140625" style="92" customWidth="1"/>
    <col min="11273" max="11273" width="10.28515625" style="92" customWidth="1"/>
    <col min="11274" max="11274" width="9.140625" style="92" customWidth="1"/>
    <col min="11275" max="11275" width="10.28515625" style="92" customWidth="1"/>
    <col min="11276" max="11276" width="8.7109375" style="92" customWidth="1"/>
    <col min="11277" max="11277" width="9" style="92" customWidth="1"/>
    <col min="11278" max="11278" width="7.5703125" style="92" customWidth="1"/>
    <col min="11279" max="11279" width="6.28515625" style="92" customWidth="1"/>
    <col min="11280" max="11283" width="9.140625" style="92" customWidth="1"/>
    <col min="11284" max="11284" width="5.7109375" style="92" customWidth="1"/>
    <col min="11285" max="11285" width="7.5703125" style="92" customWidth="1"/>
    <col min="11286" max="11293" width="5.7109375" style="92" customWidth="1"/>
    <col min="11294" max="11294" width="9.28515625" style="92" customWidth="1"/>
    <col min="11295" max="11295" width="8" style="92" customWidth="1"/>
    <col min="11296" max="11298" width="5.7109375" style="92" customWidth="1"/>
    <col min="11299" max="11299" width="6.7109375" style="92" customWidth="1"/>
    <col min="11300" max="11301" width="5.7109375" style="92" customWidth="1"/>
    <col min="11302" max="11520" width="9.140625" style="92"/>
    <col min="11521" max="11521" width="8" style="92" customWidth="1"/>
    <col min="11522" max="11522" width="10.28515625" style="92" customWidth="1"/>
    <col min="11523" max="11523" width="7.140625" style="92" customWidth="1"/>
    <col min="11524" max="11524" width="8.5703125" style="92" customWidth="1"/>
    <col min="11525" max="11525" width="7.140625" style="92" customWidth="1"/>
    <col min="11526" max="11526" width="6.85546875" style="92" customWidth="1"/>
    <col min="11527" max="11527" width="8" style="92" customWidth="1"/>
    <col min="11528" max="11528" width="6.140625" style="92" customWidth="1"/>
    <col min="11529" max="11529" width="10.28515625" style="92" customWidth="1"/>
    <col min="11530" max="11530" width="9.140625" style="92" customWidth="1"/>
    <col min="11531" max="11531" width="10.28515625" style="92" customWidth="1"/>
    <col min="11532" max="11532" width="8.7109375" style="92" customWidth="1"/>
    <col min="11533" max="11533" width="9" style="92" customWidth="1"/>
    <col min="11534" max="11534" width="7.5703125" style="92" customWidth="1"/>
    <col min="11535" max="11535" width="6.28515625" style="92" customWidth="1"/>
    <col min="11536" max="11539" width="9.140625" style="92" customWidth="1"/>
    <col min="11540" max="11540" width="5.7109375" style="92" customWidth="1"/>
    <col min="11541" max="11541" width="7.5703125" style="92" customWidth="1"/>
    <col min="11542" max="11549" width="5.7109375" style="92" customWidth="1"/>
    <col min="11550" max="11550" width="9.28515625" style="92" customWidth="1"/>
    <col min="11551" max="11551" width="8" style="92" customWidth="1"/>
    <col min="11552" max="11554" width="5.7109375" style="92" customWidth="1"/>
    <col min="11555" max="11555" width="6.7109375" style="92" customWidth="1"/>
    <col min="11556" max="11557" width="5.7109375" style="92" customWidth="1"/>
    <col min="11558" max="11776" width="9.140625" style="92"/>
    <col min="11777" max="11777" width="8" style="92" customWidth="1"/>
    <col min="11778" max="11778" width="10.28515625" style="92" customWidth="1"/>
    <col min="11779" max="11779" width="7.140625" style="92" customWidth="1"/>
    <col min="11780" max="11780" width="8.5703125" style="92" customWidth="1"/>
    <col min="11781" max="11781" width="7.140625" style="92" customWidth="1"/>
    <col min="11782" max="11782" width="6.85546875" style="92" customWidth="1"/>
    <col min="11783" max="11783" width="8" style="92" customWidth="1"/>
    <col min="11784" max="11784" width="6.140625" style="92" customWidth="1"/>
    <col min="11785" max="11785" width="10.28515625" style="92" customWidth="1"/>
    <col min="11786" max="11786" width="9.140625" style="92" customWidth="1"/>
    <col min="11787" max="11787" width="10.28515625" style="92" customWidth="1"/>
    <col min="11788" max="11788" width="8.7109375" style="92" customWidth="1"/>
    <col min="11789" max="11789" width="9" style="92" customWidth="1"/>
    <col min="11790" max="11790" width="7.5703125" style="92" customWidth="1"/>
    <col min="11791" max="11791" width="6.28515625" style="92" customWidth="1"/>
    <col min="11792" max="11795" width="9.140625" style="92" customWidth="1"/>
    <col min="11796" max="11796" width="5.7109375" style="92" customWidth="1"/>
    <col min="11797" max="11797" width="7.5703125" style="92" customWidth="1"/>
    <col min="11798" max="11805" width="5.7109375" style="92" customWidth="1"/>
    <col min="11806" max="11806" width="9.28515625" style="92" customWidth="1"/>
    <col min="11807" max="11807" width="8" style="92" customWidth="1"/>
    <col min="11808" max="11810" width="5.7109375" style="92" customWidth="1"/>
    <col min="11811" max="11811" width="6.7109375" style="92" customWidth="1"/>
    <col min="11812" max="11813" width="5.7109375" style="92" customWidth="1"/>
    <col min="11814" max="12032" width="9.140625" style="92"/>
    <col min="12033" max="12033" width="8" style="92" customWidth="1"/>
    <col min="12034" max="12034" width="10.28515625" style="92" customWidth="1"/>
    <col min="12035" max="12035" width="7.140625" style="92" customWidth="1"/>
    <col min="12036" max="12036" width="8.5703125" style="92" customWidth="1"/>
    <col min="12037" max="12037" width="7.140625" style="92" customWidth="1"/>
    <col min="12038" max="12038" width="6.85546875" style="92" customWidth="1"/>
    <col min="12039" max="12039" width="8" style="92" customWidth="1"/>
    <col min="12040" max="12040" width="6.140625" style="92" customWidth="1"/>
    <col min="12041" max="12041" width="10.28515625" style="92" customWidth="1"/>
    <col min="12042" max="12042" width="9.140625" style="92" customWidth="1"/>
    <col min="12043" max="12043" width="10.28515625" style="92" customWidth="1"/>
    <col min="12044" max="12044" width="8.7109375" style="92" customWidth="1"/>
    <col min="12045" max="12045" width="9" style="92" customWidth="1"/>
    <col min="12046" max="12046" width="7.5703125" style="92" customWidth="1"/>
    <col min="12047" max="12047" width="6.28515625" style="92" customWidth="1"/>
    <col min="12048" max="12051" width="9.140625" style="92" customWidth="1"/>
    <col min="12052" max="12052" width="5.7109375" style="92" customWidth="1"/>
    <col min="12053" max="12053" width="7.5703125" style="92" customWidth="1"/>
    <col min="12054" max="12061" width="5.7109375" style="92" customWidth="1"/>
    <col min="12062" max="12062" width="9.28515625" style="92" customWidth="1"/>
    <col min="12063" max="12063" width="8" style="92" customWidth="1"/>
    <col min="12064" max="12066" width="5.7109375" style="92" customWidth="1"/>
    <col min="12067" max="12067" width="6.7109375" style="92" customWidth="1"/>
    <col min="12068" max="12069" width="5.7109375" style="92" customWidth="1"/>
    <col min="12070" max="12288" width="9.140625" style="92"/>
    <col min="12289" max="12289" width="8" style="92" customWidth="1"/>
    <col min="12290" max="12290" width="10.28515625" style="92" customWidth="1"/>
    <col min="12291" max="12291" width="7.140625" style="92" customWidth="1"/>
    <col min="12292" max="12292" width="8.5703125" style="92" customWidth="1"/>
    <col min="12293" max="12293" width="7.140625" style="92" customWidth="1"/>
    <col min="12294" max="12294" width="6.85546875" style="92" customWidth="1"/>
    <col min="12295" max="12295" width="8" style="92" customWidth="1"/>
    <col min="12296" max="12296" width="6.140625" style="92" customWidth="1"/>
    <col min="12297" max="12297" width="10.28515625" style="92" customWidth="1"/>
    <col min="12298" max="12298" width="9.140625" style="92" customWidth="1"/>
    <col min="12299" max="12299" width="10.28515625" style="92" customWidth="1"/>
    <col min="12300" max="12300" width="8.7109375" style="92" customWidth="1"/>
    <col min="12301" max="12301" width="9" style="92" customWidth="1"/>
    <col min="12302" max="12302" width="7.5703125" style="92" customWidth="1"/>
    <col min="12303" max="12303" width="6.28515625" style="92" customWidth="1"/>
    <col min="12304" max="12307" width="9.140625" style="92" customWidth="1"/>
    <col min="12308" max="12308" width="5.7109375" style="92" customWidth="1"/>
    <col min="12309" max="12309" width="7.5703125" style="92" customWidth="1"/>
    <col min="12310" max="12317" width="5.7109375" style="92" customWidth="1"/>
    <col min="12318" max="12318" width="9.28515625" style="92" customWidth="1"/>
    <col min="12319" max="12319" width="8" style="92" customWidth="1"/>
    <col min="12320" max="12322" width="5.7109375" style="92" customWidth="1"/>
    <col min="12323" max="12323" width="6.7109375" style="92" customWidth="1"/>
    <col min="12324" max="12325" width="5.7109375" style="92" customWidth="1"/>
    <col min="12326" max="12544" width="9.140625" style="92"/>
    <col min="12545" max="12545" width="8" style="92" customWidth="1"/>
    <col min="12546" max="12546" width="10.28515625" style="92" customWidth="1"/>
    <col min="12547" max="12547" width="7.140625" style="92" customWidth="1"/>
    <col min="12548" max="12548" width="8.5703125" style="92" customWidth="1"/>
    <col min="12549" max="12549" width="7.140625" style="92" customWidth="1"/>
    <col min="12550" max="12550" width="6.85546875" style="92" customWidth="1"/>
    <col min="12551" max="12551" width="8" style="92" customWidth="1"/>
    <col min="12552" max="12552" width="6.140625" style="92" customWidth="1"/>
    <col min="12553" max="12553" width="10.28515625" style="92" customWidth="1"/>
    <col min="12554" max="12554" width="9.140625" style="92" customWidth="1"/>
    <col min="12555" max="12555" width="10.28515625" style="92" customWidth="1"/>
    <col min="12556" max="12556" width="8.7109375" style="92" customWidth="1"/>
    <col min="12557" max="12557" width="9" style="92" customWidth="1"/>
    <col min="12558" max="12558" width="7.5703125" style="92" customWidth="1"/>
    <col min="12559" max="12559" width="6.28515625" style="92" customWidth="1"/>
    <col min="12560" max="12563" width="9.140625" style="92" customWidth="1"/>
    <col min="12564" max="12564" width="5.7109375" style="92" customWidth="1"/>
    <col min="12565" max="12565" width="7.5703125" style="92" customWidth="1"/>
    <col min="12566" max="12573" width="5.7109375" style="92" customWidth="1"/>
    <col min="12574" max="12574" width="9.28515625" style="92" customWidth="1"/>
    <col min="12575" max="12575" width="8" style="92" customWidth="1"/>
    <col min="12576" max="12578" width="5.7109375" style="92" customWidth="1"/>
    <col min="12579" max="12579" width="6.7109375" style="92" customWidth="1"/>
    <col min="12580" max="12581" width="5.7109375" style="92" customWidth="1"/>
    <col min="12582" max="12800" width="9.140625" style="92"/>
    <col min="12801" max="12801" width="8" style="92" customWidth="1"/>
    <col min="12802" max="12802" width="10.28515625" style="92" customWidth="1"/>
    <col min="12803" max="12803" width="7.140625" style="92" customWidth="1"/>
    <col min="12804" max="12804" width="8.5703125" style="92" customWidth="1"/>
    <col min="12805" max="12805" width="7.140625" style="92" customWidth="1"/>
    <col min="12806" max="12806" width="6.85546875" style="92" customWidth="1"/>
    <col min="12807" max="12807" width="8" style="92" customWidth="1"/>
    <col min="12808" max="12808" width="6.140625" style="92" customWidth="1"/>
    <col min="12809" max="12809" width="10.28515625" style="92" customWidth="1"/>
    <col min="12810" max="12810" width="9.140625" style="92" customWidth="1"/>
    <col min="12811" max="12811" width="10.28515625" style="92" customWidth="1"/>
    <col min="12812" max="12812" width="8.7109375" style="92" customWidth="1"/>
    <col min="12813" max="12813" width="9" style="92" customWidth="1"/>
    <col min="12814" max="12814" width="7.5703125" style="92" customWidth="1"/>
    <col min="12815" max="12815" width="6.28515625" style="92" customWidth="1"/>
    <col min="12816" max="12819" width="9.140625" style="92" customWidth="1"/>
    <col min="12820" max="12820" width="5.7109375" style="92" customWidth="1"/>
    <col min="12821" max="12821" width="7.5703125" style="92" customWidth="1"/>
    <col min="12822" max="12829" width="5.7109375" style="92" customWidth="1"/>
    <col min="12830" max="12830" width="9.28515625" style="92" customWidth="1"/>
    <col min="12831" max="12831" width="8" style="92" customWidth="1"/>
    <col min="12832" max="12834" width="5.7109375" style="92" customWidth="1"/>
    <col min="12835" max="12835" width="6.7109375" style="92" customWidth="1"/>
    <col min="12836" max="12837" width="5.7109375" style="92" customWidth="1"/>
    <col min="12838" max="13056" width="9.140625" style="92"/>
    <col min="13057" max="13057" width="8" style="92" customWidth="1"/>
    <col min="13058" max="13058" width="10.28515625" style="92" customWidth="1"/>
    <col min="13059" max="13059" width="7.140625" style="92" customWidth="1"/>
    <col min="13060" max="13060" width="8.5703125" style="92" customWidth="1"/>
    <col min="13061" max="13061" width="7.140625" style="92" customWidth="1"/>
    <col min="13062" max="13062" width="6.85546875" style="92" customWidth="1"/>
    <col min="13063" max="13063" width="8" style="92" customWidth="1"/>
    <col min="13064" max="13064" width="6.140625" style="92" customWidth="1"/>
    <col min="13065" max="13065" width="10.28515625" style="92" customWidth="1"/>
    <col min="13066" max="13066" width="9.140625" style="92" customWidth="1"/>
    <col min="13067" max="13067" width="10.28515625" style="92" customWidth="1"/>
    <col min="13068" max="13068" width="8.7109375" style="92" customWidth="1"/>
    <col min="13069" max="13069" width="9" style="92" customWidth="1"/>
    <col min="13070" max="13070" width="7.5703125" style="92" customWidth="1"/>
    <col min="13071" max="13071" width="6.28515625" style="92" customWidth="1"/>
    <col min="13072" max="13075" width="9.140625" style="92" customWidth="1"/>
    <col min="13076" max="13076" width="5.7109375" style="92" customWidth="1"/>
    <col min="13077" max="13077" width="7.5703125" style="92" customWidth="1"/>
    <col min="13078" max="13085" width="5.7109375" style="92" customWidth="1"/>
    <col min="13086" max="13086" width="9.28515625" style="92" customWidth="1"/>
    <col min="13087" max="13087" width="8" style="92" customWidth="1"/>
    <col min="13088" max="13090" width="5.7109375" style="92" customWidth="1"/>
    <col min="13091" max="13091" width="6.7109375" style="92" customWidth="1"/>
    <col min="13092" max="13093" width="5.7109375" style="92" customWidth="1"/>
    <col min="13094" max="13312" width="9.140625" style="92"/>
    <col min="13313" max="13313" width="8" style="92" customWidth="1"/>
    <col min="13314" max="13314" width="10.28515625" style="92" customWidth="1"/>
    <col min="13315" max="13315" width="7.140625" style="92" customWidth="1"/>
    <col min="13316" max="13316" width="8.5703125" style="92" customWidth="1"/>
    <col min="13317" max="13317" width="7.140625" style="92" customWidth="1"/>
    <col min="13318" max="13318" width="6.85546875" style="92" customWidth="1"/>
    <col min="13319" max="13319" width="8" style="92" customWidth="1"/>
    <col min="13320" max="13320" width="6.140625" style="92" customWidth="1"/>
    <col min="13321" max="13321" width="10.28515625" style="92" customWidth="1"/>
    <col min="13322" max="13322" width="9.140625" style="92" customWidth="1"/>
    <col min="13323" max="13323" width="10.28515625" style="92" customWidth="1"/>
    <col min="13324" max="13324" width="8.7109375" style="92" customWidth="1"/>
    <col min="13325" max="13325" width="9" style="92" customWidth="1"/>
    <col min="13326" max="13326" width="7.5703125" style="92" customWidth="1"/>
    <col min="13327" max="13327" width="6.28515625" style="92" customWidth="1"/>
    <col min="13328" max="13331" width="9.140625" style="92" customWidth="1"/>
    <col min="13332" max="13332" width="5.7109375" style="92" customWidth="1"/>
    <col min="13333" max="13333" width="7.5703125" style="92" customWidth="1"/>
    <col min="13334" max="13341" width="5.7109375" style="92" customWidth="1"/>
    <col min="13342" max="13342" width="9.28515625" style="92" customWidth="1"/>
    <col min="13343" max="13343" width="8" style="92" customWidth="1"/>
    <col min="13344" max="13346" width="5.7109375" style="92" customWidth="1"/>
    <col min="13347" max="13347" width="6.7109375" style="92" customWidth="1"/>
    <col min="13348" max="13349" width="5.7109375" style="92" customWidth="1"/>
    <col min="13350" max="13568" width="9.140625" style="92"/>
    <col min="13569" max="13569" width="8" style="92" customWidth="1"/>
    <col min="13570" max="13570" width="10.28515625" style="92" customWidth="1"/>
    <col min="13571" max="13571" width="7.140625" style="92" customWidth="1"/>
    <col min="13572" max="13572" width="8.5703125" style="92" customWidth="1"/>
    <col min="13573" max="13573" width="7.140625" style="92" customWidth="1"/>
    <col min="13574" max="13574" width="6.85546875" style="92" customWidth="1"/>
    <col min="13575" max="13575" width="8" style="92" customWidth="1"/>
    <col min="13576" max="13576" width="6.140625" style="92" customWidth="1"/>
    <col min="13577" max="13577" width="10.28515625" style="92" customWidth="1"/>
    <col min="13578" max="13578" width="9.140625" style="92" customWidth="1"/>
    <col min="13579" max="13579" width="10.28515625" style="92" customWidth="1"/>
    <col min="13580" max="13580" width="8.7109375" style="92" customWidth="1"/>
    <col min="13581" max="13581" width="9" style="92" customWidth="1"/>
    <col min="13582" max="13582" width="7.5703125" style="92" customWidth="1"/>
    <col min="13583" max="13583" width="6.28515625" style="92" customWidth="1"/>
    <col min="13584" max="13587" width="9.140625" style="92" customWidth="1"/>
    <col min="13588" max="13588" width="5.7109375" style="92" customWidth="1"/>
    <col min="13589" max="13589" width="7.5703125" style="92" customWidth="1"/>
    <col min="13590" max="13597" width="5.7109375" style="92" customWidth="1"/>
    <col min="13598" max="13598" width="9.28515625" style="92" customWidth="1"/>
    <col min="13599" max="13599" width="8" style="92" customWidth="1"/>
    <col min="13600" max="13602" width="5.7109375" style="92" customWidth="1"/>
    <col min="13603" max="13603" width="6.7109375" style="92" customWidth="1"/>
    <col min="13604" max="13605" width="5.7109375" style="92" customWidth="1"/>
    <col min="13606" max="13824" width="9.140625" style="92"/>
    <col min="13825" max="13825" width="8" style="92" customWidth="1"/>
    <col min="13826" max="13826" width="10.28515625" style="92" customWidth="1"/>
    <col min="13827" max="13827" width="7.140625" style="92" customWidth="1"/>
    <col min="13828" max="13828" width="8.5703125" style="92" customWidth="1"/>
    <col min="13829" max="13829" width="7.140625" style="92" customWidth="1"/>
    <col min="13830" max="13830" width="6.85546875" style="92" customWidth="1"/>
    <col min="13831" max="13831" width="8" style="92" customWidth="1"/>
    <col min="13832" max="13832" width="6.140625" style="92" customWidth="1"/>
    <col min="13833" max="13833" width="10.28515625" style="92" customWidth="1"/>
    <col min="13834" max="13834" width="9.140625" style="92" customWidth="1"/>
    <col min="13835" max="13835" width="10.28515625" style="92" customWidth="1"/>
    <col min="13836" max="13836" width="8.7109375" style="92" customWidth="1"/>
    <col min="13837" max="13837" width="9" style="92" customWidth="1"/>
    <col min="13838" max="13838" width="7.5703125" style="92" customWidth="1"/>
    <col min="13839" max="13839" width="6.28515625" style="92" customWidth="1"/>
    <col min="13840" max="13843" width="9.140625" style="92" customWidth="1"/>
    <col min="13844" max="13844" width="5.7109375" style="92" customWidth="1"/>
    <col min="13845" max="13845" width="7.5703125" style="92" customWidth="1"/>
    <col min="13846" max="13853" width="5.7109375" style="92" customWidth="1"/>
    <col min="13854" max="13854" width="9.28515625" style="92" customWidth="1"/>
    <col min="13855" max="13855" width="8" style="92" customWidth="1"/>
    <col min="13856" max="13858" width="5.7109375" style="92" customWidth="1"/>
    <col min="13859" max="13859" width="6.7109375" style="92" customWidth="1"/>
    <col min="13860" max="13861" width="5.7109375" style="92" customWidth="1"/>
    <col min="13862" max="14080" width="9.140625" style="92"/>
    <col min="14081" max="14081" width="8" style="92" customWidth="1"/>
    <col min="14082" max="14082" width="10.28515625" style="92" customWidth="1"/>
    <col min="14083" max="14083" width="7.140625" style="92" customWidth="1"/>
    <col min="14084" max="14084" width="8.5703125" style="92" customWidth="1"/>
    <col min="14085" max="14085" width="7.140625" style="92" customWidth="1"/>
    <col min="14086" max="14086" width="6.85546875" style="92" customWidth="1"/>
    <col min="14087" max="14087" width="8" style="92" customWidth="1"/>
    <col min="14088" max="14088" width="6.140625" style="92" customWidth="1"/>
    <col min="14089" max="14089" width="10.28515625" style="92" customWidth="1"/>
    <col min="14090" max="14090" width="9.140625" style="92" customWidth="1"/>
    <col min="14091" max="14091" width="10.28515625" style="92" customWidth="1"/>
    <col min="14092" max="14092" width="8.7109375" style="92" customWidth="1"/>
    <col min="14093" max="14093" width="9" style="92" customWidth="1"/>
    <col min="14094" max="14094" width="7.5703125" style="92" customWidth="1"/>
    <col min="14095" max="14095" width="6.28515625" style="92" customWidth="1"/>
    <col min="14096" max="14099" width="9.140625" style="92" customWidth="1"/>
    <col min="14100" max="14100" width="5.7109375" style="92" customWidth="1"/>
    <col min="14101" max="14101" width="7.5703125" style="92" customWidth="1"/>
    <col min="14102" max="14109" width="5.7109375" style="92" customWidth="1"/>
    <col min="14110" max="14110" width="9.28515625" style="92" customWidth="1"/>
    <col min="14111" max="14111" width="8" style="92" customWidth="1"/>
    <col min="14112" max="14114" width="5.7109375" style="92" customWidth="1"/>
    <col min="14115" max="14115" width="6.7109375" style="92" customWidth="1"/>
    <col min="14116" max="14117" width="5.7109375" style="92" customWidth="1"/>
    <col min="14118" max="14336" width="9.140625" style="92"/>
    <col min="14337" max="14337" width="8" style="92" customWidth="1"/>
    <col min="14338" max="14338" width="10.28515625" style="92" customWidth="1"/>
    <col min="14339" max="14339" width="7.140625" style="92" customWidth="1"/>
    <col min="14340" max="14340" width="8.5703125" style="92" customWidth="1"/>
    <col min="14341" max="14341" width="7.140625" style="92" customWidth="1"/>
    <col min="14342" max="14342" width="6.85546875" style="92" customWidth="1"/>
    <col min="14343" max="14343" width="8" style="92" customWidth="1"/>
    <col min="14344" max="14344" width="6.140625" style="92" customWidth="1"/>
    <col min="14345" max="14345" width="10.28515625" style="92" customWidth="1"/>
    <col min="14346" max="14346" width="9.140625" style="92" customWidth="1"/>
    <col min="14347" max="14347" width="10.28515625" style="92" customWidth="1"/>
    <col min="14348" max="14348" width="8.7109375" style="92" customWidth="1"/>
    <col min="14349" max="14349" width="9" style="92" customWidth="1"/>
    <col min="14350" max="14350" width="7.5703125" style="92" customWidth="1"/>
    <col min="14351" max="14351" width="6.28515625" style="92" customWidth="1"/>
    <col min="14352" max="14355" width="9.140625" style="92" customWidth="1"/>
    <col min="14356" max="14356" width="5.7109375" style="92" customWidth="1"/>
    <col min="14357" max="14357" width="7.5703125" style="92" customWidth="1"/>
    <col min="14358" max="14365" width="5.7109375" style="92" customWidth="1"/>
    <col min="14366" max="14366" width="9.28515625" style="92" customWidth="1"/>
    <col min="14367" max="14367" width="8" style="92" customWidth="1"/>
    <col min="14368" max="14370" width="5.7109375" style="92" customWidth="1"/>
    <col min="14371" max="14371" width="6.7109375" style="92" customWidth="1"/>
    <col min="14372" max="14373" width="5.7109375" style="92" customWidth="1"/>
    <col min="14374" max="14592" width="9.140625" style="92"/>
    <col min="14593" max="14593" width="8" style="92" customWidth="1"/>
    <col min="14594" max="14594" width="10.28515625" style="92" customWidth="1"/>
    <col min="14595" max="14595" width="7.140625" style="92" customWidth="1"/>
    <col min="14596" max="14596" width="8.5703125" style="92" customWidth="1"/>
    <col min="14597" max="14597" width="7.140625" style="92" customWidth="1"/>
    <col min="14598" max="14598" width="6.85546875" style="92" customWidth="1"/>
    <col min="14599" max="14599" width="8" style="92" customWidth="1"/>
    <col min="14600" max="14600" width="6.140625" style="92" customWidth="1"/>
    <col min="14601" max="14601" width="10.28515625" style="92" customWidth="1"/>
    <col min="14602" max="14602" width="9.140625" style="92" customWidth="1"/>
    <col min="14603" max="14603" width="10.28515625" style="92" customWidth="1"/>
    <col min="14604" max="14604" width="8.7109375" style="92" customWidth="1"/>
    <col min="14605" max="14605" width="9" style="92" customWidth="1"/>
    <col min="14606" max="14606" width="7.5703125" style="92" customWidth="1"/>
    <col min="14607" max="14607" width="6.28515625" style="92" customWidth="1"/>
    <col min="14608" max="14611" width="9.140625" style="92" customWidth="1"/>
    <col min="14612" max="14612" width="5.7109375" style="92" customWidth="1"/>
    <col min="14613" max="14613" width="7.5703125" style="92" customWidth="1"/>
    <col min="14614" max="14621" width="5.7109375" style="92" customWidth="1"/>
    <col min="14622" max="14622" width="9.28515625" style="92" customWidth="1"/>
    <col min="14623" max="14623" width="8" style="92" customWidth="1"/>
    <col min="14624" max="14626" width="5.7109375" style="92" customWidth="1"/>
    <col min="14627" max="14627" width="6.7109375" style="92" customWidth="1"/>
    <col min="14628" max="14629" width="5.7109375" style="92" customWidth="1"/>
    <col min="14630" max="14848" width="9.140625" style="92"/>
    <col min="14849" max="14849" width="8" style="92" customWidth="1"/>
    <col min="14850" max="14850" width="10.28515625" style="92" customWidth="1"/>
    <col min="14851" max="14851" width="7.140625" style="92" customWidth="1"/>
    <col min="14852" max="14852" width="8.5703125" style="92" customWidth="1"/>
    <col min="14853" max="14853" width="7.140625" style="92" customWidth="1"/>
    <col min="14854" max="14854" width="6.85546875" style="92" customWidth="1"/>
    <col min="14855" max="14855" width="8" style="92" customWidth="1"/>
    <col min="14856" max="14856" width="6.140625" style="92" customWidth="1"/>
    <col min="14857" max="14857" width="10.28515625" style="92" customWidth="1"/>
    <col min="14858" max="14858" width="9.140625" style="92" customWidth="1"/>
    <col min="14859" max="14859" width="10.28515625" style="92" customWidth="1"/>
    <col min="14860" max="14860" width="8.7109375" style="92" customWidth="1"/>
    <col min="14861" max="14861" width="9" style="92" customWidth="1"/>
    <col min="14862" max="14862" width="7.5703125" style="92" customWidth="1"/>
    <col min="14863" max="14863" width="6.28515625" style="92" customWidth="1"/>
    <col min="14864" max="14867" width="9.140625" style="92" customWidth="1"/>
    <col min="14868" max="14868" width="5.7109375" style="92" customWidth="1"/>
    <col min="14869" max="14869" width="7.5703125" style="92" customWidth="1"/>
    <col min="14870" max="14877" width="5.7109375" style="92" customWidth="1"/>
    <col min="14878" max="14878" width="9.28515625" style="92" customWidth="1"/>
    <col min="14879" max="14879" width="8" style="92" customWidth="1"/>
    <col min="14880" max="14882" width="5.7109375" style="92" customWidth="1"/>
    <col min="14883" max="14883" width="6.7109375" style="92" customWidth="1"/>
    <col min="14884" max="14885" width="5.7109375" style="92" customWidth="1"/>
    <col min="14886" max="15104" width="9.140625" style="92"/>
    <col min="15105" max="15105" width="8" style="92" customWidth="1"/>
    <col min="15106" max="15106" width="10.28515625" style="92" customWidth="1"/>
    <col min="15107" max="15107" width="7.140625" style="92" customWidth="1"/>
    <col min="15108" max="15108" width="8.5703125" style="92" customWidth="1"/>
    <col min="15109" max="15109" width="7.140625" style="92" customWidth="1"/>
    <col min="15110" max="15110" width="6.85546875" style="92" customWidth="1"/>
    <col min="15111" max="15111" width="8" style="92" customWidth="1"/>
    <col min="15112" max="15112" width="6.140625" style="92" customWidth="1"/>
    <col min="15113" max="15113" width="10.28515625" style="92" customWidth="1"/>
    <col min="15114" max="15114" width="9.140625" style="92" customWidth="1"/>
    <col min="15115" max="15115" width="10.28515625" style="92" customWidth="1"/>
    <col min="15116" max="15116" width="8.7109375" style="92" customWidth="1"/>
    <col min="15117" max="15117" width="9" style="92" customWidth="1"/>
    <col min="15118" max="15118" width="7.5703125" style="92" customWidth="1"/>
    <col min="15119" max="15119" width="6.28515625" style="92" customWidth="1"/>
    <col min="15120" max="15123" width="9.140625" style="92" customWidth="1"/>
    <col min="15124" max="15124" width="5.7109375" style="92" customWidth="1"/>
    <col min="15125" max="15125" width="7.5703125" style="92" customWidth="1"/>
    <col min="15126" max="15133" width="5.7109375" style="92" customWidth="1"/>
    <col min="15134" max="15134" width="9.28515625" style="92" customWidth="1"/>
    <col min="15135" max="15135" width="8" style="92" customWidth="1"/>
    <col min="15136" max="15138" width="5.7109375" style="92" customWidth="1"/>
    <col min="15139" max="15139" width="6.7109375" style="92" customWidth="1"/>
    <col min="15140" max="15141" width="5.7109375" style="92" customWidth="1"/>
    <col min="15142" max="15360" width="9.140625" style="92"/>
    <col min="15361" max="15361" width="8" style="92" customWidth="1"/>
    <col min="15362" max="15362" width="10.28515625" style="92" customWidth="1"/>
    <col min="15363" max="15363" width="7.140625" style="92" customWidth="1"/>
    <col min="15364" max="15364" width="8.5703125" style="92" customWidth="1"/>
    <col min="15365" max="15365" width="7.140625" style="92" customWidth="1"/>
    <col min="15366" max="15366" width="6.85546875" style="92" customWidth="1"/>
    <col min="15367" max="15367" width="8" style="92" customWidth="1"/>
    <col min="15368" max="15368" width="6.140625" style="92" customWidth="1"/>
    <col min="15369" max="15369" width="10.28515625" style="92" customWidth="1"/>
    <col min="15370" max="15370" width="9.140625" style="92" customWidth="1"/>
    <col min="15371" max="15371" width="10.28515625" style="92" customWidth="1"/>
    <col min="15372" max="15372" width="8.7109375" style="92" customWidth="1"/>
    <col min="15373" max="15373" width="9" style="92" customWidth="1"/>
    <col min="15374" max="15374" width="7.5703125" style="92" customWidth="1"/>
    <col min="15375" max="15375" width="6.28515625" style="92" customWidth="1"/>
    <col min="15376" max="15379" width="9.140625" style="92" customWidth="1"/>
    <col min="15380" max="15380" width="5.7109375" style="92" customWidth="1"/>
    <col min="15381" max="15381" width="7.5703125" style="92" customWidth="1"/>
    <col min="15382" max="15389" width="5.7109375" style="92" customWidth="1"/>
    <col min="15390" max="15390" width="9.28515625" style="92" customWidth="1"/>
    <col min="15391" max="15391" width="8" style="92" customWidth="1"/>
    <col min="15392" max="15394" width="5.7109375" style="92" customWidth="1"/>
    <col min="15395" max="15395" width="6.7109375" style="92" customWidth="1"/>
    <col min="15396" max="15397" width="5.7109375" style="92" customWidth="1"/>
    <col min="15398" max="15616" width="9.140625" style="92"/>
    <col min="15617" max="15617" width="8" style="92" customWidth="1"/>
    <col min="15618" max="15618" width="10.28515625" style="92" customWidth="1"/>
    <col min="15619" max="15619" width="7.140625" style="92" customWidth="1"/>
    <col min="15620" max="15620" width="8.5703125" style="92" customWidth="1"/>
    <col min="15621" max="15621" width="7.140625" style="92" customWidth="1"/>
    <col min="15622" max="15622" width="6.85546875" style="92" customWidth="1"/>
    <col min="15623" max="15623" width="8" style="92" customWidth="1"/>
    <col min="15624" max="15624" width="6.140625" style="92" customWidth="1"/>
    <col min="15625" max="15625" width="10.28515625" style="92" customWidth="1"/>
    <col min="15626" max="15626" width="9.140625" style="92" customWidth="1"/>
    <col min="15627" max="15627" width="10.28515625" style="92" customWidth="1"/>
    <col min="15628" max="15628" width="8.7109375" style="92" customWidth="1"/>
    <col min="15629" max="15629" width="9" style="92" customWidth="1"/>
    <col min="15630" max="15630" width="7.5703125" style="92" customWidth="1"/>
    <col min="15631" max="15631" width="6.28515625" style="92" customWidth="1"/>
    <col min="15632" max="15635" width="9.140625" style="92" customWidth="1"/>
    <col min="15636" max="15636" width="5.7109375" style="92" customWidth="1"/>
    <col min="15637" max="15637" width="7.5703125" style="92" customWidth="1"/>
    <col min="15638" max="15645" width="5.7109375" style="92" customWidth="1"/>
    <col min="15646" max="15646" width="9.28515625" style="92" customWidth="1"/>
    <col min="15647" max="15647" width="8" style="92" customWidth="1"/>
    <col min="15648" max="15650" width="5.7109375" style="92" customWidth="1"/>
    <col min="15651" max="15651" width="6.7109375" style="92" customWidth="1"/>
    <col min="15652" max="15653" width="5.7109375" style="92" customWidth="1"/>
    <col min="15654" max="15872" width="9.140625" style="92"/>
    <col min="15873" max="15873" width="8" style="92" customWidth="1"/>
    <col min="15874" max="15874" width="10.28515625" style="92" customWidth="1"/>
    <col min="15875" max="15875" width="7.140625" style="92" customWidth="1"/>
    <col min="15876" max="15876" width="8.5703125" style="92" customWidth="1"/>
    <col min="15877" max="15877" width="7.140625" style="92" customWidth="1"/>
    <col min="15878" max="15878" width="6.85546875" style="92" customWidth="1"/>
    <col min="15879" max="15879" width="8" style="92" customWidth="1"/>
    <col min="15880" max="15880" width="6.140625" style="92" customWidth="1"/>
    <col min="15881" max="15881" width="10.28515625" style="92" customWidth="1"/>
    <col min="15882" max="15882" width="9.140625" style="92" customWidth="1"/>
    <col min="15883" max="15883" width="10.28515625" style="92" customWidth="1"/>
    <col min="15884" max="15884" width="8.7109375" style="92" customWidth="1"/>
    <col min="15885" max="15885" width="9" style="92" customWidth="1"/>
    <col min="15886" max="15886" width="7.5703125" style="92" customWidth="1"/>
    <col min="15887" max="15887" width="6.28515625" style="92" customWidth="1"/>
    <col min="15888" max="15891" width="9.140625" style="92" customWidth="1"/>
    <col min="15892" max="15892" width="5.7109375" style="92" customWidth="1"/>
    <col min="15893" max="15893" width="7.5703125" style="92" customWidth="1"/>
    <col min="15894" max="15901" width="5.7109375" style="92" customWidth="1"/>
    <col min="15902" max="15902" width="9.28515625" style="92" customWidth="1"/>
    <col min="15903" max="15903" width="8" style="92" customWidth="1"/>
    <col min="15904" max="15906" width="5.7109375" style="92" customWidth="1"/>
    <col min="15907" max="15907" width="6.7109375" style="92" customWidth="1"/>
    <col min="15908" max="15909" width="5.7109375" style="92" customWidth="1"/>
    <col min="15910" max="16128" width="9.140625" style="92"/>
    <col min="16129" max="16129" width="8" style="92" customWidth="1"/>
    <col min="16130" max="16130" width="10.28515625" style="92" customWidth="1"/>
    <col min="16131" max="16131" width="7.140625" style="92" customWidth="1"/>
    <col min="16132" max="16132" width="8.5703125" style="92" customWidth="1"/>
    <col min="16133" max="16133" width="7.140625" style="92" customWidth="1"/>
    <col min="16134" max="16134" width="6.85546875" style="92" customWidth="1"/>
    <col min="16135" max="16135" width="8" style="92" customWidth="1"/>
    <col min="16136" max="16136" width="6.140625" style="92" customWidth="1"/>
    <col min="16137" max="16137" width="10.28515625" style="92" customWidth="1"/>
    <col min="16138" max="16138" width="9.140625" style="92" customWidth="1"/>
    <col min="16139" max="16139" width="10.28515625" style="92" customWidth="1"/>
    <col min="16140" max="16140" width="8.7109375" style="92" customWidth="1"/>
    <col min="16141" max="16141" width="9" style="92" customWidth="1"/>
    <col min="16142" max="16142" width="7.5703125" style="92" customWidth="1"/>
    <col min="16143" max="16143" width="6.28515625" style="92" customWidth="1"/>
    <col min="16144" max="16147" width="9.140625" style="92" customWidth="1"/>
    <col min="16148" max="16148" width="5.7109375" style="92" customWidth="1"/>
    <col min="16149" max="16149" width="7.5703125" style="92" customWidth="1"/>
    <col min="16150" max="16157" width="5.7109375" style="92" customWidth="1"/>
    <col min="16158" max="16158" width="9.28515625" style="92" customWidth="1"/>
    <col min="16159" max="16159" width="8" style="92" customWidth="1"/>
    <col min="16160" max="16162" width="5.7109375" style="92" customWidth="1"/>
    <col min="16163" max="16163" width="6.7109375" style="92" customWidth="1"/>
    <col min="16164" max="16165" width="5.7109375" style="92" customWidth="1"/>
    <col min="16166" max="16384" width="9.140625" style="92"/>
  </cols>
  <sheetData>
    <row r="1" spans="1:29" ht="32.1" customHeight="1">
      <c r="A1" s="295" t="s">
        <v>382</v>
      </c>
      <c r="B1" s="310"/>
      <c r="C1" s="310"/>
      <c r="D1" s="310"/>
      <c r="E1" s="310"/>
      <c r="F1" s="310"/>
      <c r="G1" s="310"/>
      <c r="H1" s="310"/>
      <c r="I1" s="310"/>
      <c r="J1" s="311"/>
      <c r="K1" s="134"/>
      <c r="L1" s="134"/>
      <c r="M1" s="135"/>
      <c r="N1" s="136"/>
      <c r="O1" s="136"/>
      <c r="AB1" s="92" t="s">
        <v>32</v>
      </c>
      <c r="AC1" s="92" t="s">
        <v>39</v>
      </c>
    </row>
    <row r="2" spans="1:29" ht="15.95" customHeight="1">
      <c r="A2" s="137"/>
      <c r="B2" s="105"/>
      <c r="C2" s="105"/>
      <c r="D2" s="138"/>
      <c r="E2" s="105"/>
      <c r="F2" s="105"/>
      <c r="G2" s="105"/>
      <c r="H2" s="105"/>
      <c r="I2" s="105"/>
      <c r="J2" s="105"/>
      <c r="K2" s="105"/>
      <c r="L2" s="105"/>
      <c r="AB2" s="92" t="s">
        <v>30</v>
      </c>
      <c r="AC2" s="92" t="s">
        <v>40</v>
      </c>
    </row>
    <row r="3" spans="1:29" ht="15.95" customHeight="1">
      <c r="A3" s="105" t="s">
        <v>109</v>
      </c>
      <c r="B3" s="105"/>
      <c r="C3" s="105"/>
      <c r="D3" s="138"/>
      <c r="E3" s="105"/>
      <c r="F3" s="105"/>
      <c r="G3" s="105"/>
      <c r="H3" s="105"/>
      <c r="I3" s="105"/>
      <c r="J3" s="105"/>
      <c r="K3" s="105"/>
      <c r="N3" s="105"/>
    </row>
    <row r="4" spans="1:29" ht="15.95" customHeight="1">
      <c r="A4" s="105"/>
      <c r="B4" s="105"/>
      <c r="C4" s="105"/>
      <c r="D4" s="139"/>
      <c r="E4" s="105"/>
      <c r="F4" s="138"/>
      <c r="G4" s="105"/>
      <c r="H4" s="105"/>
      <c r="I4" s="105"/>
      <c r="J4" s="105"/>
      <c r="K4" s="105"/>
      <c r="AB4" s="92" t="s">
        <v>33</v>
      </c>
      <c r="AC4" s="92" t="s">
        <v>41</v>
      </c>
    </row>
    <row r="5" spans="1:29" ht="15.95" customHeight="1">
      <c r="A5" s="105"/>
      <c r="C5" s="105" t="s">
        <v>322</v>
      </c>
      <c r="D5" s="139"/>
      <c r="E5" s="105"/>
      <c r="F5" s="138"/>
      <c r="G5" s="105"/>
      <c r="H5" s="105"/>
      <c r="I5" s="105"/>
      <c r="J5" s="105"/>
      <c r="K5" s="105"/>
      <c r="AB5" s="92" t="s">
        <v>31</v>
      </c>
      <c r="AC5" s="92" t="s">
        <v>42</v>
      </c>
    </row>
    <row r="6" spans="1:29" ht="15.95" customHeight="1">
      <c r="A6" s="105" t="s">
        <v>93</v>
      </c>
      <c r="B6" s="105"/>
      <c r="C6" s="140"/>
      <c r="D6" s="105"/>
      <c r="E6" s="138"/>
      <c r="F6" s="105"/>
      <c r="G6" s="105"/>
      <c r="H6" s="105"/>
      <c r="I6" s="105"/>
      <c r="J6" s="105"/>
      <c r="K6" s="105"/>
    </row>
    <row r="7" spans="1:29" ht="15.95" customHeight="1">
      <c r="A7" s="137"/>
      <c r="B7" s="105" t="s">
        <v>323</v>
      </c>
      <c r="C7" s="141"/>
      <c r="D7" s="142"/>
      <c r="E7" s="105"/>
      <c r="F7" s="105"/>
      <c r="G7" s="105"/>
      <c r="H7" s="105"/>
      <c r="I7" s="105"/>
      <c r="J7" s="105"/>
      <c r="K7" s="105"/>
      <c r="AB7" s="92" t="s">
        <v>6</v>
      </c>
      <c r="AC7" s="92" t="s">
        <v>43</v>
      </c>
    </row>
    <row r="8" spans="1:29" ht="15.95" customHeight="1">
      <c r="A8" s="137"/>
      <c r="B8" s="105" t="s">
        <v>324</v>
      </c>
      <c r="C8" s="141"/>
      <c r="D8" s="142"/>
      <c r="E8" s="105"/>
      <c r="F8" s="105"/>
      <c r="G8" s="105"/>
      <c r="H8" s="105"/>
      <c r="I8" s="105"/>
      <c r="J8" s="105"/>
      <c r="K8" s="105"/>
    </row>
    <row r="9" spans="1:29" ht="15.95" customHeight="1">
      <c r="A9" s="105"/>
      <c r="B9" s="105" t="s">
        <v>325</v>
      </c>
      <c r="C9" s="105"/>
      <c r="D9" s="143"/>
      <c r="E9" s="105"/>
      <c r="F9" s="105"/>
      <c r="G9" s="105"/>
      <c r="H9" s="105"/>
      <c r="I9" s="105"/>
      <c r="J9" s="105"/>
      <c r="K9" s="105"/>
      <c r="AB9" s="92" t="s">
        <v>7</v>
      </c>
      <c r="AC9" s="92" t="s">
        <v>44</v>
      </c>
    </row>
    <row r="10" spans="1:29" ht="15.95" customHeight="1">
      <c r="A10" s="105"/>
      <c r="B10" s="105" t="s">
        <v>326</v>
      </c>
      <c r="C10" s="105"/>
      <c r="D10" s="105"/>
      <c r="E10" s="105"/>
      <c r="F10" s="105"/>
      <c r="G10" s="105"/>
      <c r="H10" s="105"/>
      <c r="I10" s="105"/>
      <c r="J10" s="105"/>
      <c r="K10" s="105"/>
      <c r="AB10" s="92" t="s">
        <v>8</v>
      </c>
      <c r="AC10" s="92" t="s">
        <v>45</v>
      </c>
    </row>
    <row r="11" spans="1:29" ht="15.95" customHeight="1">
      <c r="A11" s="105"/>
      <c r="B11" s="105" t="s">
        <v>110</v>
      </c>
      <c r="C11" s="105"/>
      <c r="D11" s="144"/>
      <c r="E11" s="145"/>
      <c r="F11" s="145"/>
      <c r="G11" s="138"/>
      <c r="H11" s="146"/>
      <c r="I11" s="105"/>
      <c r="J11" s="105"/>
      <c r="K11" s="105"/>
      <c r="AB11" s="92" t="s">
        <v>5</v>
      </c>
      <c r="AC11" s="92" t="s">
        <v>46</v>
      </c>
    </row>
    <row r="12" spans="1:29" ht="15.95" customHeight="1">
      <c r="A12" s="105"/>
      <c r="B12" s="105" t="s">
        <v>111</v>
      </c>
      <c r="C12" s="105"/>
      <c r="D12" s="144"/>
      <c r="E12" s="145"/>
      <c r="F12" s="145"/>
      <c r="G12" s="138"/>
      <c r="H12" s="146"/>
      <c r="I12" s="105"/>
      <c r="J12" s="105"/>
      <c r="K12" s="105"/>
      <c r="Q12" s="105"/>
      <c r="AB12" s="92" t="s">
        <v>9</v>
      </c>
    </row>
    <row r="13" spans="1:29" ht="15.95" customHeight="1">
      <c r="A13" s="147" t="s">
        <v>327</v>
      </c>
      <c r="B13" s="105"/>
      <c r="C13" s="105"/>
      <c r="D13" s="144"/>
      <c r="E13" s="145"/>
      <c r="F13" s="145"/>
      <c r="G13" s="139"/>
      <c r="H13" s="148"/>
      <c r="I13" s="105"/>
      <c r="J13" s="105"/>
      <c r="K13" s="105"/>
      <c r="AB13" s="92" t="s">
        <v>10</v>
      </c>
    </row>
    <row r="14" spans="1:29" ht="15.95" customHeight="1">
      <c r="A14" s="105"/>
      <c r="B14" s="105"/>
      <c r="C14" s="105"/>
      <c r="D14" s="105"/>
      <c r="E14" s="149"/>
      <c r="F14" s="145"/>
      <c r="G14" s="145"/>
      <c r="H14" s="148"/>
      <c r="I14" s="139"/>
      <c r="J14" s="148"/>
      <c r="K14" s="105"/>
    </row>
    <row r="15" spans="1:29" ht="15.95" customHeight="1">
      <c r="B15" s="150"/>
      <c r="C15" s="140" t="s">
        <v>328</v>
      </c>
      <c r="D15" s="251">
        <f>10*56/1.15</f>
        <v>486.95652173913049</v>
      </c>
      <c r="E15" s="105" t="s">
        <v>172</v>
      </c>
      <c r="F15" s="138"/>
      <c r="G15" s="138"/>
      <c r="H15" s="105"/>
      <c r="I15" s="105"/>
      <c r="J15" s="105"/>
      <c r="K15" s="105"/>
      <c r="AB15" s="92" t="s">
        <v>11</v>
      </c>
    </row>
    <row r="16" spans="1:29" ht="15.95" customHeight="1">
      <c r="B16" s="149"/>
      <c r="C16" s="140" t="s">
        <v>112</v>
      </c>
      <c r="D16" s="151">
        <v>28</v>
      </c>
      <c r="E16" s="105" t="s">
        <v>1</v>
      </c>
      <c r="F16" s="138"/>
      <c r="G16" s="138"/>
      <c r="H16" s="105"/>
      <c r="I16" s="105"/>
      <c r="J16" s="105"/>
      <c r="K16" s="105"/>
      <c r="AB16" s="92" t="s">
        <v>12</v>
      </c>
    </row>
    <row r="17" spans="1:12" ht="15.95" customHeight="1">
      <c r="B17" s="105"/>
      <c r="C17" s="140" t="s">
        <v>113</v>
      </c>
      <c r="D17" s="151">
        <v>1</v>
      </c>
      <c r="E17" s="105" t="s">
        <v>1</v>
      </c>
      <c r="F17" s="145"/>
      <c r="G17" s="138"/>
      <c r="H17" s="146"/>
      <c r="I17" s="105"/>
      <c r="J17" s="105"/>
      <c r="K17" s="105"/>
    </row>
    <row r="18" spans="1:12" ht="15.95" customHeight="1">
      <c r="C18" s="140" t="s">
        <v>114</v>
      </c>
      <c r="D18" s="151">
        <v>1</v>
      </c>
      <c r="E18" s="105" t="s">
        <v>1</v>
      </c>
      <c r="F18" s="145"/>
      <c r="H18" s="312" t="s">
        <v>115</v>
      </c>
      <c r="I18" s="312"/>
      <c r="J18" s="312"/>
      <c r="K18" s="105"/>
    </row>
    <row r="19" spans="1:12" ht="15.95" customHeight="1">
      <c r="A19" s="105"/>
      <c r="B19" s="105"/>
      <c r="C19" s="140" t="s">
        <v>329</v>
      </c>
      <c r="D19" s="152">
        <v>25</v>
      </c>
      <c r="E19" s="105" t="s">
        <v>335</v>
      </c>
      <c r="F19" s="145"/>
      <c r="G19" s="153"/>
      <c r="H19" s="312"/>
      <c r="I19" s="312"/>
      <c r="J19" s="312"/>
      <c r="K19" s="105"/>
    </row>
    <row r="20" spans="1:12" ht="15.95" customHeight="1">
      <c r="B20" s="105"/>
      <c r="C20" s="140" t="s">
        <v>330</v>
      </c>
      <c r="D20" s="152">
        <f>D18*D17*D16*D19</f>
        <v>700</v>
      </c>
      <c r="E20" s="105" t="s">
        <v>389</v>
      </c>
      <c r="F20" s="145"/>
      <c r="G20" s="138"/>
      <c r="H20" s="146"/>
      <c r="I20" s="105"/>
      <c r="J20" s="105"/>
      <c r="K20" s="105"/>
    </row>
    <row r="21" spans="1:12" ht="15.95" customHeight="1">
      <c r="A21" s="105"/>
      <c r="B21" s="105"/>
      <c r="C21" s="105"/>
      <c r="D21" s="105"/>
      <c r="E21" s="149"/>
      <c r="F21" s="144"/>
      <c r="I21" s="138"/>
      <c r="J21" s="146"/>
      <c r="K21" s="105"/>
    </row>
    <row r="22" spans="1:12" ht="15.95" customHeight="1">
      <c r="A22" s="154" t="s">
        <v>116</v>
      </c>
      <c r="B22" s="105"/>
      <c r="C22" s="105"/>
      <c r="D22" s="105"/>
      <c r="E22" s="105"/>
      <c r="F22" s="141"/>
      <c r="G22" s="155"/>
      <c r="H22" s="105"/>
      <c r="I22" s="105"/>
      <c r="J22" s="105"/>
      <c r="K22" s="105"/>
    </row>
    <row r="23" spans="1:12" ht="15.95" customHeight="1">
      <c r="A23" s="105"/>
      <c r="B23" s="105"/>
      <c r="C23" s="105" t="s">
        <v>331</v>
      </c>
      <c r="D23" s="252">
        <f>(D15+D20)/D17/D18</f>
        <v>1186.9565217391305</v>
      </c>
      <c r="E23" s="105" t="s">
        <v>336</v>
      </c>
      <c r="F23" s="140"/>
      <c r="G23" s="138"/>
      <c r="H23" s="148"/>
      <c r="I23" s="156"/>
      <c r="J23" s="157"/>
      <c r="K23" s="105"/>
    </row>
    <row r="24" spans="1:12" ht="15.95" customHeight="1">
      <c r="A24" s="105"/>
      <c r="B24" s="105"/>
      <c r="C24" s="105"/>
      <c r="D24" s="143"/>
      <c r="E24" s="105"/>
      <c r="F24" s="140"/>
      <c r="G24" s="138"/>
      <c r="H24" s="148"/>
      <c r="I24" s="156"/>
      <c r="J24" s="157"/>
      <c r="K24" s="105"/>
    </row>
    <row r="25" spans="1:12" ht="15.95" customHeight="1">
      <c r="A25" s="147" t="s">
        <v>332</v>
      </c>
      <c r="B25" s="105"/>
      <c r="C25" s="105"/>
      <c r="D25" s="105"/>
      <c r="E25" s="105"/>
      <c r="F25" s="140"/>
      <c r="G25" s="138"/>
      <c r="H25" s="148"/>
      <c r="I25" s="158"/>
      <c r="J25" s="159"/>
      <c r="K25" s="105"/>
    </row>
    <row r="26" spans="1:12" ht="15.95" customHeight="1">
      <c r="A26" s="105"/>
      <c r="B26" s="105"/>
      <c r="C26" s="105"/>
      <c r="D26" s="105"/>
      <c r="E26" s="105"/>
      <c r="F26" s="140"/>
      <c r="G26" s="138"/>
      <c r="H26" s="148"/>
      <c r="I26" s="160"/>
      <c r="J26" s="148"/>
      <c r="K26" s="161"/>
      <c r="L26" s="162"/>
    </row>
    <row r="27" spans="1:12" ht="15.95" customHeight="1">
      <c r="A27" s="163" t="s">
        <v>117</v>
      </c>
      <c r="B27" s="105"/>
      <c r="C27" s="105"/>
      <c r="D27" s="105"/>
      <c r="E27" s="105"/>
      <c r="F27" s="140"/>
      <c r="G27" s="138"/>
      <c r="H27" s="148"/>
      <c r="I27" s="160"/>
      <c r="J27" s="148"/>
      <c r="K27" s="161"/>
      <c r="L27" s="162"/>
    </row>
    <row r="28" spans="1:12" ht="15.95" customHeight="1">
      <c r="B28" s="105"/>
      <c r="C28" s="105"/>
      <c r="D28" s="105"/>
      <c r="E28" s="105"/>
      <c r="F28" s="140"/>
      <c r="G28" s="138"/>
      <c r="H28" s="148"/>
      <c r="I28" s="160"/>
      <c r="J28" s="148"/>
      <c r="K28" s="161"/>
      <c r="L28" s="162"/>
    </row>
    <row r="29" spans="1:12" ht="48" customHeight="1">
      <c r="A29" s="164" t="s">
        <v>82</v>
      </c>
      <c r="B29" s="165" t="s">
        <v>83</v>
      </c>
      <c r="C29" s="165" t="s">
        <v>84</v>
      </c>
      <c r="D29" s="165" t="s">
        <v>85</v>
      </c>
      <c r="E29" s="165" t="s">
        <v>85</v>
      </c>
      <c r="F29" s="165" t="s">
        <v>87</v>
      </c>
      <c r="G29" s="166" t="s">
        <v>88</v>
      </c>
      <c r="J29" s="148"/>
      <c r="K29" s="161"/>
      <c r="L29" s="162"/>
    </row>
    <row r="30" spans="1:12" ht="15.95" customHeight="1">
      <c r="A30" s="167"/>
      <c r="B30" s="168"/>
      <c r="C30" s="168"/>
      <c r="D30" s="169" t="s">
        <v>333</v>
      </c>
      <c r="E30" s="169" t="s">
        <v>334</v>
      </c>
      <c r="F30" s="170" t="s">
        <v>3</v>
      </c>
      <c r="G30" s="171" t="s">
        <v>2</v>
      </c>
      <c r="J30" s="148"/>
      <c r="K30" s="161"/>
      <c r="L30" s="162"/>
    </row>
    <row r="31" spans="1:12" ht="15.95" customHeight="1">
      <c r="A31" s="167"/>
      <c r="B31" s="170" t="s">
        <v>1</v>
      </c>
      <c r="C31" s="170" t="s">
        <v>1</v>
      </c>
      <c r="D31" s="170" t="s">
        <v>335</v>
      </c>
      <c r="E31" s="170" t="s">
        <v>335</v>
      </c>
      <c r="F31" s="170" t="s">
        <v>336</v>
      </c>
      <c r="G31" s="172" t="s">
        <v>4</v>
      </c>
      <c r="J31" s="148"/>
      <c r="K31" s="161"/>
      <c r="L31" s="162"/>
    </row>
    <row r="32" spans="1:12" ht="15.95" customHeight="1">
      <c r="A32" s="167">
        <v>1</v>
      </c>
      <c r="B32" s="170">
        <f>'Dia chat'!C17</f>
        <v>-2.7</v>
      </c>
      <c r="C32" s="170">
        <f>'Dia chat'!D17</f>
        <v>2.7</v>
      </c>
      <c r="D32" s="173">
        <f>'Dia chat'!E17</f>
        <v>17.5</v>
      </c>
      <c r="E32" s="173">
        <f>'Dia chat'!F17</f>
        <v>18.600000000000001</v>
      </c>
      <c r="F32" s="170">
        <f>'Dia chat'!H17</f>
        <v>0</v>
      </c>
      <c r="G32" s="174">
        <f>'Dia chat'!I17</f>
        <v>10</v>
      </c>
      <c r="J32" s="148"/>
      <c r="K32" s="161"/>
      <c r="L32" s="162"/>
    </row>
    <row r="33" spans="1:14" ht="15.95" customHeight="1">
      <c r="A33" s="167">
        <v>2</v>
      </c>
      <c r="B33" s="170">
        <f>'Dia chat'!C18</f>
        <v>-6</v>
      </c>
      <c r="C33" s="170">
        <f>'Dia chat'!D18</f>
        <v>3.3</v>
      </c>
      <c r="D33" s="173">
        <f>'Dia chat'!E18</f>
        <v>17.5</v>
      </c>
      <c r="E33" s="173">
        <f>'Dia chat'!F18</f>
        <v>17.07850707850708</v>
      </c>
      <c r="F33" s="170">
        <f>'Dia chat'!H18</f>
        <v>17.899999999999999</v>
      </c>
      <c r="G33" s="174">
        <f>'Dia chat'!I18</f>
        <v>13.85</v>
      </c>
      <c r="J33" s="148"/>
      <c r="K33" s="161"/>
      <c r="L33" s="162"/>
    </row>
    <row r="34" spans="1:14" ht="15.95" customHeight="1">
      <c r="A34" s="167">
        <v>3</v>
      </c>
      <c r="B34" s="170">
        <f>'Dia chat'!C19</f>
        <v>-18.5</v>
      </c>
      <c r="C34" s="170">
        <f>'Dia chat'!D19</f>
        <v>12.5</v>
      </c>
      <c r="D34" s="173">
        <f>'Dia chat'!E19</f>
        <v>16.3</v>
      </c>
      <c r="E34" s="173">
        <f>'Dia chat'!F19</f>
        <v>19.73425765453495</v>
      </c>
      <c r="F34" s="170">
        <f>'Dia chat'!H19</f>
        <v>16.399999999999999</v>
      </c>
      <c r="G34" s="174">
        <f>'Dia chat'!I19</f>
        <v>7.02</v>
      </c>
      <c r="J34" s="148"/>
      <c r="K34" s="161"/>
      <c r="L34" s="162"/>
    </row>
    <row r="35" spans="1:14" ht="15.95" customHeight="1">
      <c r="A35" s="167">
        <v>4</v>
      </c>
      <c r="B35" s="170">
        <f>'Dia chat'!C20</f>
        <v>-20</v>
      </c>
      <c r="C35" s="170">
        <f>'Dia chat'!D20</f>
        <v>1.5</v>
      </c>
      <c r="D35" s="173">
        <f>'Dia chat'!E20</f>
        <v>19</v>
      </c>
      <c r="E35" s="173">
        <f>'Dia chat'!F20</f>
        <v>20.02411091018686</v>
      </c>
      <c r="F35" s="170">
        <f>'Dia chat'!H20</f>
        <v>30.8</v>
      </c>
      <c r="G35" s="174">
        <f>'Dia chat'!I20</f>
        <v>18.02</v>
      </c>
      <c r="J35" s="148"/>
      <c r="K35" s="161"/>
      <c r="L35" s="162"/>
    </row>
    <row r="36" spans="1:14" ht="15.95" customHeight="1">
      <c r="A36" s="167">
        <v>5</v>
      </c>
      <c r="B36" s="170">
        <f>'Dia chat'!C21</f>
        <v>-20.8</v>
      </c>
      <c r="C36" s="170">
        <f>'Dia chat'!D21</f>
        <v>0.80000000000000071</v>
      </c>
      <c r="D36" s="173">
        <f>'Dia chat'!E21</f>
        <v>16.2</v>
      </c>
      <c r="E36" s="173">
        <f>'Dia chat'!F21</f>
        <v>19.945750452079569</v>
      </c>
      <c r="F36" s="170">
        <f>'Dia chat'!H21</f>
        <v>0</v>
      </c>
      <c r="G36" s="174">
        <f>'Dia chat'!I21</f>
        <v>30</v>
      </c>
      <c r="H36" s="298"/>
      <c r="I36" s="299"/>
      <c r="J36" s="299"/>
      <c r="K36" s="161"/>
      <c r="L36" s="162"/>
    </row>
    <row r="37" spans="1:14" ht="15.95" customHeight="1">
      <c r="A37" s="167">
        <v>6</v>
      </c>
      <c r="B37" s="170">
        <f>'Dia chat'!C22</f>
        <v>-32.5</v>
      </c>
      <c r="C37" s="170">
        <f>'Dia chat'!D22</f>
        <v>11.7</v>
      </c>
      <c r="D37" s="173">
        <f>'Dia chat'!E22</f>
        <v>17</v>
      </c>
      <c r="E37" s="173">
        <f>'Dia chat'!F22</f>
        <v>20.126582278481013</v>
      </c>
      <c r="F37" s="170">
        <f>'Dia chat'!H22</f>
        <v>0</v>
      </c>
      <c r="G37" s="174">
        <f>'Dia chat'!I22</f>
        <v>29.28</v>
      </c>
      <c r="H37" s="298"/>
      <c r="I37" s="299"/>
      <c r="J37" s="299"/>
      <c r="K37" s="161"/>
      <c r="L37" s="162"/>
    </row>
    <row r="38" spans="1:14" ht="15.95" customHeight="1">
      <c r="A38" s="167">
        <v>7</v>
      </c>
      <c r="B38" s="170">
        <f>'Dia chat'!C23</f>
        <v>-35</v>
      </c>
      <c r="C38" s="170">
        <f>'Dia chat'!D23</f>
        <v>2.5</v>
      </c>
      <c r="D38" s="173">
        <f>'Dia chat'!E23</f>
        <v>20</v>
      </c>
      <c r="E38" s="173">
        <f>'Dia chat'!F23</f>
        <v>20.066305003013863</v>
      </c>
      <c r="F38" s="170">
        <f>'Dia chat'!H23</f>
        <v>0</v>
      </c>
      <c r="G38" s="174">
        <f>'Dia chat'!I23</f>
        <v>30</v>
      </c>
      <c r="J38" s="148"/>
      <c r="K38" s="161"/>
      <c r="L38" s="162"/>
    </row>
    <row r="39" spans="1:14" ht="15.95" customHeight="1">
      <c r="A39" s="167">
        <v>8</v>
      </c>
      <c r="B39" s="170">
        <f>'Dia chat'!C25</f>
        <v>-34.700000000000003</v>
      </c>
      <c r="C39" s="170">
        <f>'Dia chat'!D25</f>
        <v>-3.7999999999999972</v>
      </c>
      <c r="D39" s="173">
        <f>'Dia chat'!E25</f>
        <v>19</v>
      </c>
      <c r="E39" s="173">
        <f>'Dia chat'!F25</f>
        <v>20.006027727546712</v>
      </c>
      <c r="F39" s="170">
        <f>'Dia chat'!H25</f>
        <v>0</v>
      </c>
      <c r="G39" s="174">
        <f>'Dia chat'!I25</f>
        <v>47</v>
      </c>
      <c r="H39" s="298" t="s">
        <v>295</v>
      </c>
      <c r="I39" s="299"/>
      <c r="J39" s="299"/>
      <c r="K39" s="161"/>
      <c r="L39" s="162"/>
    </row>
    <row r="40" spans="1:14" ht="15.95" customHeight="1">
      <c r="A40" s="167">
        <v>9</v>
      </c>
      <c r="B40" s="170">
        <f>'Dia chat'!C26</f>
        <v>0</v>
      </c>
      <c r="C40" s="170">
        <f>'Dia chat'!D26</f>
        <v>0</v>
      </c>
      <c r="D40" s="173">
        <f>'Dia chat'!E26</f>
        <v>0</v>
      </c>
      <c r="E40" s="173">
        <f>'Dia chat'!F26</f>
        <v>0</v>
      </c>
      <c r="F40" s="170">
        <f>'Dia chat'!H26</f>
        <v>0</v>
      </c>
      <c r="G40" s="174">
        <f>'Dia chat'!I26</f>
        <v>0</v>
      </c>
      <c r="J40" s="148"/>
      <c r="K40" s="161"/>
      <c r="L40" s="162"/>
    </row>
    <row r="41" spans="1:14" ht="15.95" customHeight="1">
      <c r="A41" s="167">
        <v>10</v>
      </c>
      <c r="B41" s="170">
        <f>'Dia chat'!C27</f>
        <v>0</v>
      </c>
      <c r="C41" s="170">
        <f>'Dia chat'!D27</f>
        <v>0</v>
      </c>
      <c r="D41" s="173">
        <f>'Dia chat'!E27</f>
        <v>0</v>
      </c>
      <c r="E41" s="173">
        <f>'Dia chat'!F27</f>
        <v>0</v>
      </c>
      <c r="F41" s="170">
        <f>'Dia chat'!H27</f>
        <v>0</v>
      </c>
      <c r="G41" s="174">
        <f>'Dia chat'!I27</f>
        <v>0</v>
      </c>
      <c r="J41" s="148"/>
      <c r="K41" s="161"/>
      <c r="L41" s="162"/>
    </row>
    <row r="42" spans="1:14" ht="15.95" customHeight="1">
      <c r="F42" s="184" t="s">
        <v>119</v>
      </c>
      <c r="G42" s="176">
        <v>6</v>
      </c>
      <c r="H42" s="177"/>
      <c r="J42" s="148"/>
      <c r="K42" s="161"/>
      <c r="L42" s="162"/>
    </row>
    <row r="43" spans="1:14" ht="15.95" customHeight="1">
      <c r="F43" s="175"/>
      <c r="G43" s="245"/>
      <c r="H43" s="177"/>
      <c r="J43" s="148"/>
      <c r="K43" s="161"/>
      <c r="L43" s="162"/>
    </row>
    <row r="44" spans="1:14" ht="15.95" customHeight="1">
      <c r="A44" s="163" t="s">
        <v>118</v>
      </c>
      <c r="D44" s="178"/>
      <c r="I44" s="158"/>
      <c r="J44" s="148"/>
      <c r="K44" s="105"/>
    </row>
    <row r="45" spans="1:14" ht="15.95" customHeight="1">
      <c r="B45" s="179" t="s">
        <v>337</v>
      </c>
      <c r="C45" s="180">
        <f>VLOOKUP(G42,$A$32:$G$41,7,0)</f>
        <v>29.28</v>
      </c>
      <c r="D45" s="181" t="s">
        <v>120</v>
      </c>
      <c r="F45" s="182" t="s">
        <v>338</v>
      </c>
      <c r="G45" s="180">
        <f>VLOOKUP(G42,$A$32:$G$41,6,0)</f>
        <v>0</v>
      </c>
      <c r="H45" s="92" t="s">
        <v>391</v>
      </c>
      <c r="I45" s="158"/>
      <c r="J45" s="148"/>
      <c r="K45" s="105"/>
    </row>
    <row r="46" spans="1:14" ht="15.95" customHeight="1">
      <c r="B46" s="179" t="s">
        <v>339</v>
      </c>
      <c r="C46" s="183">
        <f>SUMPRODUCT(C32:C37,D32:D37)/SUM(C32:C37)/1</f>
        <v>16.895692307692308</v>
      </c>
      <c r="D46" s="181" t="s">
        <v>390</v>
      </c>
      <c r="F46" s="179" t="s">
        <v>340</v>
      </c>
      <c r="G46" s="180">
        <f>VLOOKUP(G42,$A$32:$G$41,4,0)/1</f>
        <v>17</v>
      </c>
      <c r="H46" s="92" t="s">
        <v>390</v>
      </c>
      <c r="I46" s="158"/>
      <c r="J46" s="148"/>
      <c r="K46" s="105"/>
    </row>
    <row r="47" spans="1:14" ht="15.95" customHeight="1">
      <c r="A47" s="184"/>
      <c r="B47" s="181" t="s">
        <v>93</v>
      </c>
      <c r="C47" s="181"/>
      <c r="D47" s="182"/>
      <c r="E47" s="185"/>
      <c r="I47" s="158"/>
      <c r="J47" s="148"/>
      <c r="K47" s="105"/>
      <c r="N47" s="181"/>
    </row>
    <row r="48" spans="1:14" ht="15.95" customHeight="1">
      <c r="B48" s="186" t="s">
        <v>341</v>
      </c>
      <c r="C48" s="181" t="s">
        <v>121</v>
      </c>
      <c r="D48" s="182"/>
      <c r="E48" s="185"/>
      <c r="I48" s="158"/>
      <c r="J48" s="148"/>
      <c r="K48" s="105"/>
    </row>
    <row r="49" spans="1:14" ht="15.95" customHeight="1">
      <c r="B49" s="187" t="s">
        <v>342</v>
      </c>
      <c r="C49" s="181" t="s">
        <v>122</v>
      </c>
      <c r="D49" s="182"/>
      <c r="E49" s="185"/>
      <c r="I49" s="158"/>
      <c r="J49" s="148"/>
      <c r="K49" s="105"/>
    </row>
    <row r="50" spans="1:14" ht="15.95" customHeight="1">
      <c r="B50" s="186" t="s">
        <v>343</v>
      </c>
      <c r="C50" s="181" t="s">
        <v>123</v>
      </c>
      <c r="D50" s="181"/>
      <c r="E50" s="184"/>
      <c r="F50" s="181"/>
      <c r="I50" s="158"/>
      <c r="J50" s="148"/>
      <c r="K50" s="105"/>
    </row>
    <row r="51" spans="1:14" ht="15.95" customHeight="1">
      <c r="B51" s="185"/>
      <c r="C51" s="181" t="s">
        <v>124</v>
      </c>
      <c r="D51" s="181"/>
      <c r="E51" s="184"/>
      <c r="F51" s="181"/>
      <c r="I51" s="158"/>
      <c r="J51" s="148"/>
      <c r="K51" s="105"/>
    </row>
    <row r="52" spans="1:14" ht="15.95" customHeight="1">
      <c r="B52" s="186" t="s">
        <v>344</v>
      </c>
      <c r="C52" s="181" t="s">
        <v>125</v>
      </c>
      <c r="D52" s="181"/>
      <c r="E52" s="184"/>
      <c r="F52" s="181"/>
      <c r="I52" s="158"/>
      <c r="J52" s="148"/>
      <c r="K52" s="105"/>
    </row>
    <row r="53" spans="1:14" ht="15.95" customHeight="1">
      <c r="B53" s="181"/>
      <c r="C53" s="181"/>
      <c r="D53" s="181"/>
      <c r="E53" s="184"/>
      <c r="F53" s="181"/>
      <c r="I53" s="105"/>
      <c r="J53" s="105"/>
      <c r="K53" s="105"/>
    </row>
    <row r="54" spans="1:14" ht="15.95" customHeight="1">
      <c r="A54" s="188" t="s">
        <v>126</v>
      </c>
      <c r="I54" s="105"/>
      <c r="J54" s="105"/>
      <c r="K54" s="105"/>
    </row>
    <row r="55" spans="1:14" ht="15.95" customHeight="1">
      <c r="B55" s="182" t="s">
        <v>127</v>
      </c>
      <c r="C55" s="256">
        <f>0.25*3.1416/((1/TAN($C$45*3.1416/180))+($C$45*3.1416/180)-3.1416/2)</f>
        <v>1.085307220526093</v>
      </c>
      <c r="D55" s="182" t="s">
        <v>128</v>
      </c>
      <c r="E55" s="257">
        <f>1+3.1416/((1/TAN($C$45*3.1416/180))+($C$45*3.1416/180)-3.1416/2)</f>
        <v>5.3412288821043719</v>
      </c>
      <c r="F55" s="182" t="s">
        <v>129</v>
      </c>
      <c r="G55" s="257">
        <f>3.1416*(1/TAN($C$45*3.1416/180))/((1/TAN($C$45*3.1416/180))+($C$45*3.1416/180)-3.1416/2)</f>
        <v>7.7422885039637741</v>
      </c>
      <c r="I55" s="105"/>
      <c r="J55" s="105"/>
      <c r="K55" s="105"/>
    </row>
    <row r="56" spans="1:14" ht="15.95" customHeight="1">
      <c r="A56" s="188" t="s">
        <v>130</v>
      </c>
      <c r="B56" s="189"/>
      <c r="I56" s="105"/>
      <c r="J56" s="105"/>
      <c r="K56" s="105"/>
    </row>
    <row r="57" spans="1:14" ht="15.95" customHeight="1">
      <c r="B57" s="190"/>
      <c r="C57" s="189"/>
      <c r="D57" s="181"/>
      <c r="E57" s="140" t="s">
        <v>113</v>
      </c>
      <c r="F57" s="152">
        <f>D17</f>
        <v>1</v>
      </c>
      <c r="G57" s="105" t="s">
        <v>1</v>
      </c>
      <c r="H57" s="181"/>
      <c r="I57" s="105"/>
      <c r="J57" s="105"/>
      <c r="K57" s="105"/>
    </row>
    <row r="58" spans="1:14" ht="15.95" customHeight="1">
      <c r="B58" s="190"/>
      <c r="C58" s="189"/>
      <c r="D58" s="181"/>
      <c r="E58" s="140" t="s">
        <v>131</v>
      </c>
      <c r="F58" s="152">
        <f>D16</f>
        <v>28</v>
      </c>
      <c r="G58" s="105" t="s">
        <v>1</v>
      </c>
      <c r="H58" s="181"/>
      <c r="I58" s="105"/>
      <c r="J58" s="105"/>
      <c r="K58" s="105"/>
    </row>
    <row r="59" spans="1:14" ht="15.95" customHeight="1">
      <c r="A59" s="105"/>
      <c r="B59" s="190"/>
      <c r="C59" s="181"/>
      <c r="D59" s="181"/>
      <c r="E59" s="140" t="s">
        <v>132</v>
      </c>
      <c r="F59" s="151">
        <v>14.4</v>
      </c>
      <c r="G59" s="105" t="s">
        <v>1</v>
      </c>
      <c r="H59" s="181"/>
      <c r="I59" s="105"/>
      <c r="J59" s="105"/>
      <c r="K59" s="105"/>
    </row>
    <row r="60" spans="1:14" ht="15.95" customHeight="1">
      <c r="A60" s="105"/>
      <c r="B60" s="190"/>
      <c r="C60" s="181"/>
      <c r="D60" s="181"/>
      <c r="E60" s="181"/>
      <c r="F60" s="191"/>
      <c r="G60" s="181"/>
      <c r="H60" s="181"/>
      <c r="I60" s="105"/>
      <c r="J60" s="105"/>
      <c r="K60" s="105"/>
    </row>
    <row r="61" spans="1:14" ht="15.95" customHeight="1">
      <c r="A61" s="188" t="s">
        <v>133</v>
      </c>
      <c r="B61" s="181"/>
      <c r="C61" s="181"/>
      <c r="D61" s="181"/>
      <c r="E61" s="181"/>
      <c r="F61" s="181"/>
      <c r="G61" s="181"/>
      <c r="H61" s="181"/>
      <c r="I61" s="135"/>
      <c r="J61" s="135"/>
      <c r="K61" s="135"/>
      <c r="L61" s="135"/>
      <c r="M61" s="135"/>
      <c r="N61" s="135"/>
    </row>
    <row r="62" spans="1:14" ht="15.95" customHeight="1">
      <c r="B62" s="182" t="s">
        <v>345</v>
      </c>
      <c r="C62" s="258">
        <v>1</v>
      </c>
      <c r="D62" s="182" t="s">
        <v>346</v>
      </c>
      <c r="E62" s="183">
        <v>1.1000000000000001</v>
      </c>
      <c r="F62" s="182" t="s">
        <v>347</v>
      </c>
      <c r="G62" s="183">
        <v>1</v>
      </c>
      <c r="H62" s="181"/>
      <c r="I62" s="135"/>
      <c r="J62" s="135"/>
      <c r="K62" s="135"/>
      <c r="L62" s="135"/>
      <c r="M62" s="135"/>
      <c r="N62" s="135"/>
    </row>
    <row r="63" spans="1:14" ht="15.95" customHeight="1">
      <c r="A63" s="188" t="s">
        <v>134</v>
      </c>
      <c r="B63" s="181"/>
      <c r="C63" s="181"/>
      <c r="D63" s="192"/>
      <c r="E63" s="184"/>
      <c r="F63" s="193"/>
      <c r="G63" s="181"/>
      <c r="H63" s="181"/>
      <c r="I63" s="135"/>
      <c r="J63" s="135"/>
      <c r="K63" s="135"/>
      <c r="L63" s="135"/>
      <c r="M63" s="135"/>
      <c r="N63" s="135"/>
    </row>
    <row r="64" spans="1:14" ht="15.95" customHeight="1">
      <c r="A64" s="181"/>
      <c r="B64" s="182" t="s">
        <v>348</v>
      </c>
      <c r="C64" s="178" t="s">
        <v>349</v>
      </c>
      <c r="D64" s="192"/>
      <c r="E64" s="181"/>
      <c r="F64" s="192"/>
      <c r="G64" s="181"/>
      <c r="H64" s="181"/>
      <c r="I64" s="135"/>
      <c r="J64" s="135"/>
      <c r="K64" s="135"/>
      <c r="L64" s="135"/>
      <c r="M64" s="135"/>
      <c r="N64" s="135"/>
    </row>
    <row r="65" spans="1:14" ht="15.95" customHeight="1">
      <c r="A65" s="181"/>
      <c r="B65" s="182" t="s">
        <v>348</v>
      </c>
      <c r="C65" s="255">
        <f>(($E$62*$G$62/$C$62)*($C$55*$F$57*$G$46+$E$55*$F$58*$C$46+$G$55*$G$45-$C$46*$F$59))*10</f>
        <v>25321.75278769432</v>
      </c>
      <c r="D65" s="181" t="s">
        <v>391</v>
      </c>
      <c r="E65" s="181"/>
      <c r="F65" s="181"/>
      <c r="G65" s="181"/>
      <c r="H65" s="181"/>
      <c r="I65" s="135"/>
      <c r="J65" s="135"/>
      <c r="K65" s="135"/>
      <c r="L65" s="135"/>
      <c r="M65" s="135"/>
      <c r="N65" s="135"/>
    </row>
    <row r="66" spans="1:14" ht="15.95" customHeight="1">
      <c r="A66" s="105"/>
      <c r="B66" s="105"/>
      <c r="C66" s="105"/>
      <c r="D66" s="194"/>
      <c r="E66" s="195"/>
      <c r="F66" s="105"/>
      <c r="G66" s="105"/>
      <c r="H66" s="105"/>
      <c r="I66" s="105"/>
      <c r="J66" s="105"/>
      <c r="K66" s="135"/>
      <c r="L66" s="135"/>
      <c r="M66" s="135"/>
      <c r="N66" s="135"/>
    </row>
    <row r="67" spans="1:14" ht="15.95" customHeight="1">
      <c r="A67" s="147" t="s">
        <v>135</v>
      </c>
      <c r="B67" s="196"/>
      <c r="C67" s="197" t="str">
        <f>IF(C65&gt;=D23,"Đất dưới chân tường đảm bảo khả năng chịu lực","Đất dưới chân tường không đảm bảo khả năng chịu lực")</f>
        <v>Đất dưới chân tường đảm bảo khả năng chịu lực</v>
      </c>
      <c r="D67" s="198"/>
      <c r="E67" s="199"/>
      <c r="F67" s="200"/>
      <c r="G67" s="200"/>
      <c r="H67" s="200"/>
      <c r="I67" s="135"/>
      <c r="J67" s="135"/>
      <c r="K67" s="135"/>
      <c r="L67" s="135"/>
      <c r="M67" s="135"/>
      <c r="N67" s="135"/>
    </row>
    <row r="68" spans="1:14" ht="15.95" customHeight="1">
      <c r="L68" s="135"/>
      <c r="M68" s="135"/>
      <c r="N68" s="135"/>
    </row>
    <row r="69" spans="1:14" ht="15.95" customHeight="1">
      <c r="A69" s="105"/>
      <c r="B69" s="201"/>
      <c r="C69" s="202"/>
      <c r="D69" s="105"/>
      <c r="E69" s="105"/>
      <c r="F69" s="105"/>
      <c r="G69" s="105"/>
      <c r="H69" s="105"/>
      <c r="I69" s="105"/>
      <c r="J69" s="105"/>
      <c r="K69" s="105"/>
      <c r="L69" s="135"/>
      <c r="M69" s="135"/>
      <c r="N69" s="135"/>
    </row>
    <row r="70" spans="1:14" ht="15.95" customHeight="1">
      <c r="A70" s="105"/>
      <c r="B70" s="201"/>
      <c r="C70" s="202"/>
      <c r="D70" s="105"/>
      <c r="E70" s="105"/>
      <c r="F70" s="105"/>
      <c r="G70" s="105"/>
      <c r="H70" s="105"/>
      <c r="I70" s="105"/>
      <c r="J70" s="105"/>
      <c r="K70" s="105"/>
      <c r="L70" s="135"/>
      <c r="M70" s="135"/>
      <c r="N70" s="135"/>
    </row>
    <row r="71" spans="1:14" ht="15.95" customHeight="1">
      <c r="A71" s="105"/>
      <c r="B71" s="201"/>
      <c r="C71" s="202"/>
      <c r="D71" s="105"/>
      <c r="E71" s="105"/>
      <c r="F71" s="105"/>
      <c r="G71" s="105"/>
      <c r="H71" s="105"/>
      <c r="I71" s="105"/>
      <c r="J71" s="105"/>
      <c r="K71" s="105"/>
      <c r="L71" s="135"/>
      <c r="M71" s="135"/>
      <c r="N71" s="135"/>
    </row>
    <row r="72" spans="1:14" ht="15.95" customHeight="1">
      <c r="A72" s="105"/>
      <c r="B72" s="201"/>
      <c r="C72" s="202"/>
      <c r="D72" s="105"/>
      <c r="E72" s="105"/>
      <c r="F72" s="105"/>
      <c r="G72" s="105"/>
      <c r="H72" s="105"/>
      <c r="I72" s="105"/>
      <c r="J72" s="105"/>
      <c r="K72" s="105"/>
      <c r="L72" s="135"/>
      <c r="M72" s="135"/>
      <c r="N72" s="135"/>
    </row>
    <row r="73" spans="1:14" ht="15.95" customHeight="1">
      <c r="A73" s="105"/>
      <c r="B73" s="201"/>
      <c r="C73" s="202"/>
      <c r="D73" s="105"/>
      <c r="E73" s="105"/>
      <c r="F73" s="105"/>
      <c r="G73" s="105"/>
      <c r="H73" s="105"/>
      <c r="I73" s="105"/>
      <c r="J73" s="105"/>
      <c r="K73" s="105"/>
      <c r="L73" s="135"/>
      <c r="M73" s="135"/>
      <c r="N73" s="135"/>
    </row>
    <row r="74" spans="1:14" ht="15.95" customHeight="1">
      <c r="A74" s="105"/>
      <c r="B74" s="201"/>
      <c r="C74" s="202"/>
      <c r="D74" s="105"/>
      <c r="E74" s="105"/>
      <c r="F74" s="105"/>
      <c r="G74" s="105"/>
      <c r="H74" s="105"/>
      <c r="I74" s="105"/>
      <c r="J74" s="105"/>
      <c r="K74" s="105"/>
      <c r="L74" s="135"/>
      <c r="M74" s="135"/>
      <c r="N74" s="135"/>
    </row>
    <row r="75" spans="1:14" ht="15.95" customHeight="1">
      <c r="A75" s="105"/>
      <c r="B75" s="201"/>
      <c r="C75" s="202"/>
      <c r="D75" s="105"/>
      <c r="E75" s="105"/>
      <c r="F75" s="105"/>
      <c r="G75" s="105"/>
      <c r="H75" s="105"/>
      <c r="I75" s="105"/>
      <c r="J75" s="105"/>
      <c r="K75" s="105"/>
      <c r="L75" s="135"/>
      <c r="M75" s="135"/>
      <c r="N75" s="135"/>
    </row>
    <row r="76" spans="1:14" ht="15.95" customHeight="1">
      <c r="A76" s="105"/>
      <c r="B76" s="201"/>
      <c r="C76" s="202"/>
      <c r="D76" s="105"/>
      <c r="E76" s="105"/>
      <c r="F76" s="105"/>
      <c r="G76" s="105"/>
      <c r="H76" s="105"/>
      <c r="I76" s="105"/>
      <c r="J76" s="105"/>
      <c r="K76" s="105"/>
      <c r="L76" s="135"/>
      <c r="M76" s="135"/>
      <c r="N76" s="135"/>
    </row>
    <row r="77" spans="1:14" ht="15.95" customHeight="1">
      <c r="A77" s="105"/>
      <c r="B77" s="201"/>
      <c r="C77" s="202"/>
      <c r="D77" s="105"/>
      <c r="E77" s="105"/>
      <c r="F77" s="105"/>
      <c r="G77" s="105"/>
      <c r="H77" s="105"/>
      <c r="I77" s="105"/>
      <c r="J77" s="105"/>
      <c r="K77" s="105"/>
      <c r="L77" s="135"/>
      <c r="M77" s="135"/>
      <c r="N77" s="135"/>
    </row>
    <row r="78" spans="1:14" ht="15.95" customHeight="1">
      <c r="A78" s="105"/>
      <c r="B78" s="201"/>
      <c r="C78" s="202"/>
      <c r="D78" s="105"/>
      <c r="E78" s="105"/>
      <c r="F78" s="105"/>
      <c r="G78" s="105"/>
      <c r="H78" s="105"/>
      <c r="I78" s="105"/>
      <c r="J78" s="105"/>
      <c r="K78" s="105"/>
      <c r="L78" s="135"/>
      <c r="M78" s="135"/>
      <c r="N78" s="135"/>
    </row>
    <row r="79" spans="1:14" ht="15.95" customHeight="1">
      <c r="A79" s="105"/>
      <c r="B79" s="201"/>
      <c r="C79" s="202"/>
      <c r="D79" s="105"/>
      <c r="E79" s="105"/>
      <c r="F79" s="105"/>
      <c r="G79" s="105"/>
      <c r="H79" s="105"/>
      <c r="I79" s="105"/>
      <c r="J79" s="105"/>
      <c r="K79" s="105"/>
      <c r="L79" s="135"/>
      <c r="M79" s="135"/>
      <c r="N79" s="135"/>
    </row>
    <row r="80" spans="1:14" ht="15.95" customHeight="1">
      <c r="A80" s="105"/>
      <c r="B80" s="201"/>
      <c r="C80" s="202"/>
      <c r="D80" s="105"/>
      <c r="E80" s="105"/>
      <c r="F80" s="105"/>
      <c r="G80" s="105"/>
      <c r="H80" s="105"/>
      <c r="I80" s="105"/>
      <c r="J80" s="105"/>
      <c r="K80" s="105"/>
      <c r="L80" s="135"/>
      <c r="M80" s="135"/>
      <c r="N80" s="135"/>
    </row>
    <row r="81" spans="1:14" ht="15.95" customHeight="1">
      <c r="A81" s="105"/>
      <c r="B81" s="201"/>
      <c r="C81" s="202"/>
      <c r="D81" s="105"/>
      <c r="E81" s="105"/>
      <c r="F81" s="105"/>
      <c r="G81" s="105"/>
      <c r="H81" s="105"/>
      <c r="I81" s="105"/>
      <c r="J81" s="105"/>
      <c r="K81" s="105"/>
      <c r="L81" s="135"/>
      <c r="M81" s="135"/>
      <c r="N81" s="135"/>
    </row>
    <row r="82" spans="1:14" ht="15.95" customHeight="1">
      <c r="A82" s="105"/>
      <c r="B82" s="201"/>
      <c r="C82" s="202"/>
      <c r="D82" s="105"/>
      <c r="E82" s="105"/>
      <c r="F82" s="105"/>
      <c r="G82" s="105"/>
      <c r="H82" s="105"/>
      <c r="I82" s="105"/>
      <c r="J82" s="105"/>
      <c r="K82" s="105"/>
      <c r="L82" s="135"/>
      <c r="M82" s="135"/>
      <c r="N82" s="135"/>
    </row>
    <row r="83" spans="1:14" ht="15.95" customHeight="1">
      <c r="A83" s="105"/>
      <c r="B83" s="201"/>
      <c r="C83" s="202"/>
      <c r="D83" s="105"/>
      <c r="E83" s="105"/>
      <c r="F83" s="105"/>
      <c r="G83" s="105"/>
      <c r="H83" s="105"/>
      <c r="I83" s="105"/>
      <c r="J83" s="105"/>
      <c r="K83" s="105"/>
      <c r="L83" s="135"/>
      <c r="M83" s="135"/>
      <c r="N83" s="135"/>
    </row>
    <row r="84" spans="1:14" ht="15.95" customHeight="1">
      <c r="A84" s="105"/>
      <c r="B84" s="201"/>
      <c r="C84" s="202"/>
      <c r="D84" s="105"/>
      <c r="E84" s="105"/>
      <c r="F84" s="105"/>
      <c r="G84" s="105"/>
      <c r="H84" s="105"/>
      <c r="I84" s="105"/>
      <c r="J84" s="105"/>
      <c r="K84" s="105"/>
      <c r="L84" s="135"/>
      <c r="M84" s="135"/>
      <c r="N84" s="135"/>
    </row>
    <row r="85" spans="1:14" ht="15.95" customHeight="1">
      <c r="A85" s="105"/>
      <c r="B85" s="201"/>
      <c r="C85" s="202"/>
      <c r="D85" s="105"/>
      <c r="E85" s="105"/>
      <c r="F85" s="105"/>
      <c r="G85" s="105"/>
      <c r="H85" s="105"/>
      <c r="I85" s="105"/>
      <c r="J85" s="105"/>
      <c r="K85" s="105"/>
      <c r="L85" s="135"/>
      <c r="M85" s="135"/>
      <c r="N85" s="135"/>
    </row>
    <row r="86" spans="1:14" ht="15.95" customHeight="1">
      <c r="A86" s="105"/>
      <c r="B86" s="201"/>
      <c r="C86" s="202"/>
      <c r="D86" s="105"/>
      <c r="E86" s="105"/>
      <c r="F86" s="105"/>
      <c r="G86" s="105"/>
      <c r="H86" s="105"/>
      <c r="I86" s="105"/>
      <c r="J86" s="105"/>
      <c r="K86" s="105"/>
      <c r="L86" s="135"/>
      <c r="M86" s="135"/>
      <c r="N86" s="135"/>
    </row>
    <row r="87" spans="1:14" ht="15.95" customHeight="1">
      <c r="A87" s="105"/>
      <c r="B87" s="201"/>
      <c r="C87" s="202"/>
      <c r="D87" s="105"/>
      <c r="E87" s="105"/>
      <c r="F87" s="105"/>
      <c r="G87" s="105"/>
      <c r="H87" s="105"/>
      <c r="I87" s="105"/>
      <c r="J87" s="105"/>
      <c r="K87" s="105"/>
      <c r="L87" s="135"/>
      <c r="M87" s="135"/>
      <c r="N87" s="135"/>
    </row>
    <row r="88" spans="1:14" ht="15.95" customHeight="1">
      <c r="A88" s="105"/>
      <c r="B88" s="201"/>
      <c r="C88" s="202"/>
      <c r="D88" s="105"/>
      <c r="E88" s="105"/>
      <c r="F88" s="105"/>
      <c r="G88" s="105"/>
      <c r="H88" s="105"/>
      <c r="I88" s="105"/>
      <c r="J88" s="105"/>
      <c r="K88" s="105"/>
      <c r="L88" s="135"/>
      <c r="M88" s="135"/>
      <c r="N88" s="135"/>
    </row>
    <row r="89" spans="1:14" ht="15.95" customHeight="1">
      <c r="A89" s="105"/>
      <c r="B89" s="201"/>
      <c r="C89" s="202"/>
      <c r="D89" s="105"/>
      <c r="E89" s="105"/>
      <c r="F89" s="105"/>
      <c r="G89" s="105"/>
      <c r="H89" s="105"/>
      <c r="I89" s="105"/>
      <c r="J89" s="105"/>
      <c r="K89" s="105"/>
      <c r="L89" s="135"/>
      <c r="M89" s="135"/>
      <c r="N89" s="135"/>
    </row>
    <row r="90" spans="1:14" ht="32.1" customHeight="1">
      <c r="A90" s="318" t="s">
        <v>383</v>
      </c>
      <c r="B90" s="296"/>
      <c r="C90" s="296"/>
      <c r="D90" s="296"/>
      <c r="E90" s="296"/>
      <c r="F90" s="296"/>
      <c r="G90" s="296"/>
      <c r="H90" s="296"/>
      <c r="I90" s="296"/>
      <c r="J90" s="297"/>
      <c r="K90" s="241"/>
      <c r="L90" s="241"/>
      <c r="M90" s="135"/>
      <c r="N90" s="135"/>
    </row>
    <row r="91" spans="1:14" ht="15.95" customHeight="1">
      <c r="A91" s="105"/>
      <c r="B91" s="201"/>
      <c r="C91" s="202"/>
      <c r="D91" s="105"/>
      <c r="E91" s="105"/>
      <c r="F91" s="105"/>
      <c r="G91" s="105"/>
      <c r="H91" s="105"/>
      <c r="I91" s="105"/>
      <c r="J91" s="105"/>
      <c r="K91" s="105"/>
      <c r="L91" s="135"/>
      <c r="M91" s="135"/>
      <c r="N91" s="135"/>
    </row>
    <row r="92" spans="1:14" ht="15.95" customHeight="1">
      <c r="A92" s="147" t="s">
        <v>350</v>
      </c>
      <c r="B92" s="201"/>
      <c r="C92" s="202"/>
      <c r="D92" s="105"/>
      <c r="E92" s="105"/>
      <c r="F92" s="105"/>
      <c r="G92" s="105"/>
      <c r="H92" s="105"/>
      <c r="I92" s="105"/>
      <c r="J92" s="105"/>
      <c r="K92" s="105"/>
      <c r="L92" s="135"/>
      <c r="M92" s="135"/>
      <c r="N92" s="135"/>
    </row>
    <row r="93" spans="1:14" ht="15.95" customHeight="1">
      <c r="A93" s="89" t="s">
        <v>136</v>
      </c>
      <c r="B93" s="90"/>
      <c r="C93" s="90"/>
      <c r="D93" s="90"/>
      <c r="E93" s="90"/>
      <c r="F93" s="91"/>
      <c r="G93" s="90"/>
      <c r="H93" s="90"/>
      <c r="I93" s="90"/>
      <c r="L93" s="93"/>
      <c r="M93" s="135"/>
      <c r="N93" s="135"/>
    </row>
    <row r="94" spans="1:14" ht="15.95" customHeight="1">
      <c r="A94" s="90"/>
      <c r="B94" s="90"/>
      <c r="C94" s="90"/>
      <c r="D94" s="90"/>
      <c r="E94" s="90"/>
      <c r="F94" s="91"/>
      <c r="G94" s="90"/>
      <c r="H94" s="90"/>
      <c r="I94" s="90"/>
      <c r="L94" s="93"/>
      <c r="M94" s="135"/>
      <c r="N94" s="135"/>
    </row>
    <row r="95" spans="1:14" ht="15.95" customHeight="1">
      <c r="A95" s="90"/>
      <c r="B95" s="90"/>
      <c r="C95" s="90"/>
      <c r="D95" s="90"/>
      <c r="E95" s="90"/>
      <c r="F95" s="91"/>
      <c r="G95" s="90"/>
      <c r="H95" s="90"/>
      <c r="I95" s="90"/>
      <c r="L95" s="93"/>
      <c r="M95" s="135"/>
      <c r="N95" s="135"/>
    </row>
    <row r="96" spans="1:14" ht="15.95" customHeight="1">
      <c r="A96" s="94" t="s">
        <v>93</v>
      </c>
      <c r="B96" s="91"/>
      <c r="C96" s="91"/>
      <c r="D96" s="90"/>
      <c r="E96" s="91"/>
      <c r="F96" s="91"/>
      <c r="G96" s="90"/>
      <c r="H96" s="90"/>
      <c r="I96" s="90"/>
      <c r="L96" s="246"/>
      <c r="M96" s="135"/>
      <c r="N96" s="135"/>
    </row>
    <row r="97" spans="1:14" ht="15.95" customHeight="1">
      <c r="A97" s="94" t="s">
        <v>137</v>
      </c>
      <c r="B97" s="91"/>
      <c r="C97" s="91"/>
      <c r="D97" s="91"/>
      <c r="E97" s="91"/>
      <c r="F97" s="91"/>
      <c r="G97" s="91"/>
      <c r="H97" s="91"/>
      <c r="I97" s="91"/>
      <c r="L97" s="246"/>
      <c r="M97" s="135"/>
      <c r="N97" s="135"/>
    </row>
    <row r="98" spans="1:14" ht="15.95" customHeight="1">
      <c r="A98" s="95"/>
      <c r="B98" s="95"/>
      <c r="C98" s="95"/>
      <c r="D98" s="91"/>
      <c r="E98" s="95"/>
      <c r="F98" s="91"/>
      <c r="G98" s="91"/>
      <c r="H98" s="91"/>
      <c r="I98" s="91"/>
      <c r="L98" s="93"/>
      <c r="M98" s="135"/>
      <c r="N98" s="135"/>
    </row>
    <row r="99" spans="1:14" ht="15.95" customHeight="1">
      <c r="A99" s="95"/>
      <c r="B99" s="95"/>
      <c r="C99" s="95"/>
      <c r="D99" s="95"/>
      <c r="E99" s="95"/>
      <c r="F99" s="91"/>
      <c r="G99" s="95"/>
      <c r="H99" s="95"/>
      <c r="I99" s="95"/>
      <c r="L99" s="93"/>
      <c r="M99" s="135"/>
      <c r="N99" s="135"/>
    </row>
    <row r="100" spans="1:14" ht="15.95" customHeight="1">
      <c r="A100" s="95"/>
      <c r="B100" s="95"/>
      <c r="C100" s="95"/>
      <c r="D100" s="95"/>
      <c r="E100" s="95"/>
      <c r="F100" s="91"/>
      <c r="G100" s="95"/>
      <c r="H100" s="95"/>
      <c r="I100" s="95"/>
      <c r="L100" s="93"/>
      <c r="M100" s="135"/>
      <c r="N100" s="135"/>
    </row>
    <row r="101" spans="1:14" ht="15.95" customHeight="1">
      <c r="A101" s="95"/>
      <c r="B101" s="95"/>
      <c r="C101" s="95"/>
      <c r="D101" s="95"/>
      <c r="E101" s="95"/>
      <c r="F101" s="91"/>
      <c r="G101" s="95"/>
      <c r="H101" s="95"/>
      <c r="I101" s="95"/>
      <c r="L101" s="93"/>
      <c r="M101" s="135"/>
      <c r="N101" s="135"/>
    </row>
    <row r="102" spans="1:14" ht="15.95" customHeight="1">
      <c r="A102" s="95"/>
      <c r="B102" s="95"/>
      <c r="C102" s="95"/>
      <c r="D102" s="95"/>
      <c r="E102" s="95"/>
      <c r="F102" s="91"/>
      <c r="G102" s="95"/>
      <c r="H102" s="95"/>
      <c r="I102" s="95"/>
      <c r="L102" s="93"/>
      <c r="M102" s="135"/>
      <c r="N102" s="135"/>
    </row>
    <row r="103" spans="1:14" ht="15.95" customHeight="1">
      <c r="A103" s="95"/>
      <c r="B103" s="95"/>
      <c r="C103" s="95"/>
      <c r="D103" s="95"/>
      <c r="E103" s="95"/>
      <c r="F103" s="91"/>
      <c r="G103" s="95"/>
      <c r="H103" s="95"/>
      <c r="I103" s="95"/>
      <c r="L103" s="93"/>
      <c r="M103" s="135"/>
      <c r="N103" s="135"/>
    </row>
    <row r="104" spans="1:14" ht="15.95" customHeight="1">
      <c r="A104" s="163" t="s">
        <v>138</v>
      </c>
      <c r="B104" s="105"/>
      <c r="C104" s="105"/>
      <c r="D104" s="105"/>
      <c r="E104" s="105"/>
      <c r="F104" s="140"/>
      <c r="G104" s="138"/>
      <c r="H104" s="148"/>
      <c r="I104" s="160"/>
      <c r="J104" s="93"/>
      <c r="K104" s="93"/>
      <c r="L104" s="93"/>
      <c r="M104" s="135"/>
      <c r="N104" s="135"/>
    </row>
    <row r="105" spans="1:14" ht="15.95" customHeight="1">
      <c r="B105" s="105"/>
      <c r="C105" s="105"/>
      <c r="D105" s="105"/>
      <c r="E105" s="105"/>
      <c r="F105" s="140"/>
      <c r="G105" s="138"/>
      <c r="H105" s="148"/>
      <c r="I105" s="160"/>
      <c r="J105" s="93"/>
      <c r="K105" s="93"/>
      <c r="L105" s="93"/>
      <c r="M105" s="135"/>
      <c r="N105" s="135"/>
    </row>
    <row r="106" spans="1:14" ht="48" customHeight="1">
      <c r="C106" s="302" t="s">
        <v>82</v>
      </c>
      <c r="D106" s="304" t="s">
        <v>83</v>
      </c>
      <c r="E106" s="165" t="s">
        <v>84</v>
      </c>
      <c r="F106" s="165" t="s">
        <v>85</v>
      </c>
      <c r="G106" s="165"/>
      <c r="H106" s="165" t="s">
        <v>87</v>
      </c>
      <c r="I106" s="166" t="s">
        <v>88</v>
      </c>
      <c r="J106" s="93"/>
      <c r="K106" s="93"/>
      <c r="L106" s="93"/>
      <c r="M106" s="135"/>
      <c r="N106" s="135"/>
    </row>
    <row r="107" spans="1:14" ht="15.95" customHeight="1">
      <c r="C107" s="303"/>
      <c r="D107" s="305"/>
      <c r="E107" s="168"/>
      <c r="F107" s="169" t="s">
        <v>333</v>
      </c>
      <c r="G107" s="169" t="s">
        <v>334</v>
      </c>
      <c r="H107" s="170" t="s">
        <v>3</v>
      </c>
      <c r="I107" s="171" t="s">
        <v>2</v>
      </c>
      <c r="J107" s="93"/>
      <c r="K107" s="93"/>
      <c r="L107" s="93"/>
      <c r="M107" s="135"/>
      <c r="N107" s="135"/>
    </row>
    <row r="108" spans="1:14" ht="15.95" customHeight="1">
      <c r="C108" s="303"/>
      <c r="D108" s="170" t="s">
        <v>1</v>
      </c>
      <c r="E108" s="170" t="s">
        <v>1</v>
      </c>
      <c r="F108" s="170" t="s">
        <v>335</v>
      </c>
      <c r="G108" s="170" t="s">
        <v>335</v>
      </c>
      <c r="H108" s="170" t="s">
        <v>336</v>
      </c>
      <c r="I108" s="172" t="s">
        <v>4</v>
      </c>
      <c r="J108" s="93"/>
      <c r="K108" s="93"/>
      <c r="L108" s="93"/>
      <c r="M108" s="135"/>
      <c r="N108" s="135"/>
    </row>
    <row r="109" spans="1:14" ht="15.95" customHeight="1">
      <c r="C109" s="167">
        <v>4</v>
      </c>
      <c r="D109" s="170">
        <f>VLOOKUP(C109,$A$32:$G$41,2,0)</f>
        <v>-20</v>
      </c>
      <c r="E109" s="170">
        <f>VLOOKUP(C109,$A$32:$G$41,3,0)</f>
        <v>1.5</v>
      </c>
      <c r="F109" s="170">
        <f>VLOOKUP(C109,$A$32:$G$41,4,0)</f>
        <v>19</v>
      </c>
      <c r="G109" s="170">
        <f>VLOOKUP(C109,$A$32:$G$41,5,0)</f>
        <v>20.02411091018686</v>
      </c>
      <c r="H109" s="170">
        <f>VLOOKUP(C109,$A$32:$G$41,6,0)</f>
        <v>30.8</v>
      </c>
      <c r="I109" s="170">
        <f>VLOOKUP(C109,$A$32:$G$41,7,0)</f>
        <v>18.02</v>
      </c>
      <c r="J109" s="93"/>
      <c r="K109" s="93"/>
      <c r="L109" s="93"/>
      <c r="M109" s="135"/>
      <c r="N109" s="135"/>
    </row>
    <row r="110" spans="1:14" ht="15.95" customHeight="1">
      <c r="C110" s="203">
        <v>5</v>
      </c>
      <c r="D110" s="170">
        <f>VLOOKUP(C110,$A$32:$G$41,2,0)</f>
        <v>-20.8</v>
      </c>
      <c r="E110" s="170">
        <f>VLOOKUP(C110,$A$32:$G$41,3,0)</f>
        <v>0.80000000000000071</v>
      </c>
      <c r="F110" s="170">
        <f>VLOOKUP(C110,$A$32:$G$41,4,0)</f>
        <v>16.2</v>
      </c>
      <c r="G110" s="170">
        <f>VLOOKUP(C110,$A$32:$G$41,5,0)</f>
        <v>19.945750452079569</v>
      </c>
      <c r="H110" s="170">
        <f>VLOOKUP(C110,$A$32:$G$41,6,0)</f>
        <v>0</v>
      </c>
      <c r="I110" s="170">
        <f>VLOOKUP(C110,$A$32:$G$41,7,0)</f>
        <v>30</v>
      </c>
      <c r="J110" s="93"/>
      <c r="K110" s="93"/>
      <c r="L110" s="93"/>
      <c r="M110" s="135"/>
      <c r="N110" s="135"/>
    </row>
    <row r="111" spans="1:14" ht="15.95" customHeight="1">
      <c r="C111" s="204">
        <v>6</v>
      </c>
      <c r="D111" s="170">
        <f>VLOOKUP(C111,$A$32:$G$41,2,0)</f>
        <v>-32.5</v>
      </c>
      <c r="E111" s="170">
        <f>VLOOKUP(C111,$A$32:$G$41,3,0)</f>
        <v>11.7</v>
      </c>
      <c r="F111" s="170">
        <f>VLOOKUP(C111,$A$32:$G$41,4,0)</f>
        <v>17</v>
      </c>
      <c r="G111" s="170">
        <f>VLOOKUP(C111,$A$32:$G$41,5,0)</f>
        <v>20.126582278481013</v>
      </c>
      <c r="H111" s="170">
        <f>VLOOKUP(C111,$A$32:$G$41,6,0)</f>
        <v>0</v>
      </c>
      <c r="I111" s="170">
        <f>VLOOKUP(C111,$A$32:$G$41,7,0)</f>
        <v>29.28</v>
      </c>
      <c r="J111" s="93"/>
      <c r="K111" s="93"/>
      <c r="L111" s="93"/>
      <c r="M111" s="135"/>
      <c r="N111" s="135"/>
    </row>
    <row r="112" spans="1:14" ht="15.95" customHeight="1">
      <c r="A112" s="139"/>
      <c r="B112" s="139"/>
      <c r="C112" s="170">
        <v>7</v>
      </c>
      <c r="D112" s="170">
        <f>VLOOKUP(C112,$A$32:$G$41,2,0)</f>
        <v>-35</v>
      </c>
      <c r="E112" s="170">
        <f>VLOOKUP(C112,$A$32:$G$41,3,0)</f>
        <v>2.5</v>
      </c>
      <c r="F112" s="170">
        <f>VLOOKUP(C112,$A$32:$G$41,4,0)</f>
        <v>20</v>
      </c>
      <c r="G112" s="170">
        <f>VLOOKUP(C112,$A$32:$G$41,5,0)</f>
        <v>20.066305003013863</v>
      </c>
      <c r="H112" s="170"/>
      <c r="I112" s="170">
        <f>VLOOKUP(C112,$A$32:$G$41,7,0)</f>
        <v>30</v>
      </c>
      <c r="J112" s="93"/>
      <c r="K112" s="93"/>
      <c r="L112" s="93"/>
      <c r="M112" s="135"/>
      <c r="N112" s="135"/>
    </row>
    <row r="113" spans="1:14" ht="15.95" customHeight="1">
      <c r="A113" s="96"/>
      <c r="B113" s="96"/>
      <c r="C113" s="96"/>
      <c r="D113" s="96"/>
      <c r="E113" s="96"/>
      <c r="F113" s="97"/>
      <c r="G113" s="96"/>
      <c r="H113" s="96"/>
      <c r="I113" s="96"/>
      <c r="J113" s="93"/>
      <c r="K113" s="93"/>
      <c r="L113" s="93"/>
      <c r="M113" s="135"/>
      <c r="N113" s="135"/>
    </row>
    <row r="114" spans="1:14" ht="15.95" customHeight="1">
      <c r="A114" s="96"/>
      <c r="B114" s="96"/>
      <c r="C114" s="96"/>
      <c r="D114" s="96"/>
      <c r="E114" s="96"/>
      <c r="F114" s="97"/>
      <c r="G114" s="96"/>
      <c r="H114" s="96"/>
      <c r="I114" s="96"/>
      <c r="J114" s="93"/>
      <c r="K114" s="93"/>
      <c r="L114" s="93"/>
      <c r="M114" s="135"/>
      <c r="N114" s="135"/>
    </row>
    <row r="115" spans="1:14" ht="15.95" customHeight="1">
      <c r="A115" s="205" t="s">
        <v>139</v>
      </c>
      <c r="B115" s="96"/>
      <c r="C115" s="96"/>
      <c r="D115" s="96"/>
      <c r="E115" s="96"/>
      <c r="F115" s="97"/>
      <c r="G115" s="96"/>
      <c r="H115" s="96"/>
      <c r="I115" s="96"/>
      <c r="J115" s="93"/>
      <c r="K115" s="93"/>
      <c r="L115" s="93"/>
      <c r="M115" s="135"/>
      <c r="N115" s="135"/>
    </row>
    <row r="116" spans="1:14" ht="15.95" customHeight="1">
      <c r="B116" s="135"/>
      <c r="C116" s="206"/>
      <c r="D116" s="207"/>
      <c r="E116" s="208"/>
      <c r="F116" s="206"/>
      <c r="G116" s="207"/>
      <c r="H116" s="135"/>
      <c r="I116" s="135"/>
      <c r="J116" s="135"/>
      <c r="K116" s="138"/>
      <c r="L116" s="135"/>
      <c r="M116" s="135"/>
      <c r="N116" s="135"/>
    </row>
    <row r="117" spans="1:14" ht="15.95" customHeight="1">
      <c r="A117" s="94" t="s">
        <v>140</v>
      </c>
      <c r="B117" s="95"/>
      <c r="C117" s="95"/>
      <c r="D117" s="95"/>
      <c r="E117" s="91" t="s">
        <v>396</v>
      </c>
      <c r="F117" s="98">
        <v>0</v>
      </c>
      <c r="G117" s="91" t="s">
        <v>1</v>
      </c>
      <c r="I117" s="96"/>
      <c r="J117" s="93"/>
      <c r="K117" s="135"/>
      <c r="L117" s="135"/>
      <c r="M117" s="135"/>
      <c r="N117" s="135"/>
    </row>
    <row r="118" spans="1:14" ht="15.95" customHeight="1">
      <c r="A118" s="94" t="s">
        <v>141</v>
      </c>
      <c r="B118" s="91"/>
      <c r="E118" s="91" t="s">
        <v>142</v>
      </c>
      <c r="F118" s="100">
        <v>17.600000000000001</v>
      </c>
      <c r="G118" s="91" t="s">
        <v>1</v>
      </c>
      <c r="I118" s="97"/>
      <c r="J118" s="93"/>
      <c r="K118" s="138"/>
      <c r="L118" s="135"/>
      <c r="M118" s="135"/>
      <c r="N118" s="135"/>
    </row>
    <row r="119" spans="1:14" ht="15.95" customHeight="1">
      <c r="A119" s="94" t="s">
        <v>395</v>
      </c>
      <c r="B119" s="91"/>
      <c r="E119" s="91" t="s">
        <v>143</v>
      </c>
      <c r="F119" s="102">
        <f>D16-F118</f>
        <v>10.399999999999999</v>
      </c>
      <c r="G119" s="91" t="s">
        <v>1</v>
      </c>
      <c r="I119" s="97"/>
      <c r="J119" s="93"/>
      <c r="K119" s="138"/>
      <c r="L119" s="135"/>
      <c r="M119" s="135"/>
      <c r="N119" s="135"/>
    </row>
    <row r="120" spans="1:14" ht="15.95" customHeight="1">
      <c r="A120" s="94" t="s">
        <v>144</v>
      </c>
      <c r="B120" s="91"/>
      <c r="E120" s="101" t="s">
        <v>145</v>
      </c>
      <c r="F120" s="102">
        <f>C46*1</f>
        <v>16.895692307692308</v>
      </c>
      <c r="G120" s="91" t="s">
        <v>335</v>
      </c>
      <c r="I120" s="97"/>
      <c r="J120" s="93"/>
      <c r="K120" s="135"/>
      <c r="L120" s="135"/>
      <c r="M120" s="135"/>
      <c r="N120" s="135"/>
    </row>
    <row r="121" spans="1:14" ht="15.95" customHeight="1">
      <c r="A121" s="94" t="s">
        <v>147</v>
      </c>
      <c r="B121" s="91"/>
      <c r="E121" s="101" t="s">
        <v>148</v>
      </c>
      <c r="F121" s="102">
        <f>SUMPRODUCT(E109:E114,F109:F114)/SUM(E109:E114)</f>
        <v>17.597575757575758</v>
      </c>
      <c r="G121" s="91" t="s">
        <v>335</v>
      </c>
      <c r="I121" s="97"/>
      <c r="J121" s="93"/>
      <c r="K121" s="105"/>
      <c r="L121" s="135"/>
      <c r="M121" s="135"/>
      <c r="N121" s="135"/>
    </row>
    <row r="122" spans="1:14" ht="15.95" customHeight="1">
      <c r="A122" s="94" t="s">
        <v>149</v>
      </c>
      <c r="B122" s="91"/>
      <c r="E122" s="91" t="s">
        <v>150</v>
      </c>
      <c r="F122" s="102">
        <f>SUMPRODUCT(E109:E114,H109:H114)/SUM(E109:E114)</f>
        <v>2.8000000000000003</v>
      </c>
      <c r="G122" s="91" t="s">
        <v>336</v>
      </c>
      <c r="I122" s="97"/>
      <c r="J122" s="93"/>
      <c r="K122" s="105"/>
      <c r="L122" s="135"/>
      <c r="M122" s="135"/>
      <c r="N122" s="135"/>
    </row>
    <row r="123" spans="1:14" ht="15.95" customHeight="1">
      <c r="A123" s="94" t="s">
        <v>152</v>
      </c>
      <c r="B123" s="91"/>
      <c r="E123" s="101" t="s">
        <v>153</v>
      </c>
      <c r="F123" s="102">
        <f>SUMPRODUCT(E109:E114,I109:I114)/SUM(E109:E114)</f>
        <v>28.400363636363636</v>
      </c>
      <c r="G123" s="91" t="s">
        <v>92</v>
      </c>
      <c r="I123" s="97"/>
      <c r="J123" s="93"/>
      <c r="K123" s="105"/>
      <c r="L123" s="135"/>
      <c r="M123" s="135"/>
      <c r="N123" s="135"/>
    </row>
    <row r="124" spans="1:14" ht="15.95" customHeight="1">
      <c r="A124" s="94" t="s">
        <v>154</v>
      </c>
      <c r="B124" s="91"/>
      <c r="E124" s="91" t="s">
        <v>155</v>
      </c>
      <c r="F124" s="103">
        <v>20</v>
      </c>
      <c r="G124" s="91" t="s">
        <v>336</v>
      </c>
      <c r="I124" s="97"/>
      <c r="J124" s="93"/>
      <c r="K124" s="105"/>
      <c r="L124" s="135"/>
      <c r="M124" s="135"/>
      <c r="N124" s="135"/>
    </row>
    <row r="125" spans="1:14" ht="15.95" customHeight="1">
      <c r="A125" s="94" t="s">
        <v>156</v>
      </c>
      <c r="B125" s="91"/>
      <c r="E125" s="91" t="s">
        <v>157</v>
      </c>
      <c r="F125" s="102">
        <f>1/2*((EXP(PI()*3/4-F123*PI()/360)*TAN(F123*PI()/180))/(COS(PI()/4+F123*PI()/360)))^2</f>
        <v>37.807518279080561</v>
      </c>
      <c r="G125" s="91"/>
      <c r="I125" s="97"/>
      <c r="J125" s="93"/>
      <c r="K125" s="105"/>
      <c r="L125" s="135"/>
      <c r="M125" s="135"/>
      <c r="N125" s="135"/>
    </row>
    <row r="126" spans="1:14" ht="15.95" customHeight="1">
      <c r="A126" s="91"/>
      <c r="B126" s="91"/>
      <c r="E126" s="91" t="s">
        <v>158</v>
      </c>
      <c r="F126" s="102">
        <f>(F125-1)*1/(TAN(F123*PI()/180))</f>
        <v>68.073048343128519</v>
      </c>
      <c r="G126" s="91"/>
      <c r="I126" s="91" t="s">
        <v>162</v>
      </c>
      <c r="J126" s="93"/>
      <c r="K126" s="105"/>
      <c r="L126" s="135"/>
      <c r="M126" s="135"/>
      <c r="N126" s="135"/>
    </row>
    <row r="127" spans="1:14" ht="15.95" customHeight="1">
      <c r="A127" s="94" t="s">
        <v>159</v>
      </c>
      <c r="B127" s="91"/>
      <c r="E127" s="91" t="s">
        <v>160</v>
      </c>
      <c r="F127" s="106">
        <f>(F121*F119*F125+F122*F126)/(F120*(F119+F118)+F124)</f>
        <v>14.419462048643606</v>
      </c>
      <c r="G127" s="102" t="str">
        <f>IF(F127&gt;H127,"&gt;","&lt;")</f>
        <v>&gt;</v>
      </c>
      <c r="H127" s="103">
        <v>2</v>
      </c>
      <c r="J127" s="93"/>
      <c r="K127" s="105"/>
      <c r="L127" s="135"/>
      <c r="M127" s="135"/>
      <c r="N127" s="135"/>
    </row>
    <row r="128" spans="1:14" ht="15.95" customHeight="1">
      <c r="A128" s="147" t="s">
        <v>161</v>
      </c>
      <c r="B128" s="196"/>
      <c r="C128" s="197" t="str">
        <f>IF(F127&gt;=H127,"Hố đào không bị đẩy trồi","Hố đào bị đẩy trồi")</f>
        <v>Hố đào không bị đẩy trồi</v>
      </c>
      <c r="D128" s="198"/>
      <c r="E128" s="199"/>
      <c r="F128" s="200"/>
      <c r="G128" s="200"/>
      <c r="H128" s="200"/>
      <c r="J128" s="209"/>
      <c r="K128" s="135"/>
      <c r="L128" s="135"/>
      <c r="M128" s="135"/>
      <c r="N128" s="135"/>
    </row>
    <row r="129" spans="1:14" ht="15.95" customHeight="1">
      <c r="A129" s="105"/>
      <c r="B129" s="201"/>
      <c r="C129" s="202"/>
      <c r="D129" s="105"/>
      <c r="E129" s="105"/>
      <c r="F129" s="105"/>
      <c r="G129" s="105"/>
      <c r="H129" s="105"/>
      <c r="I129" s="105"/>
      <c r="J129" s="105"/>
      <c r="K129" s="105"/>
      <c r="L129" s="135"/>
      <c r="M129" s="135"/>
      <c r="N129" s="135"/>
    </row>
    <row r="130" spans="1:14" ht="15.95" customHeight="1">
      <c r="A130" s="105"/>
      <c r="B130" s="201"/>
      <c r="C130" s="202"/>
      <c r="D130" s="105"/>
      <c r="E130" s="105"/>
      <c r="F130" s="105"/>
      <c r="G130" s="105"/>
      <c r="H130" s="105"/>
      <c r="I130" s="105"/>
      <c r="J130" s="105"/>
      <c r="K130" s="105"/>
      <c r="L130" s="135"/>
      <c r="M130" s="135"/>
      <c r="N130" s="135"/>
    </row>
    <row r="131" spans="1:14" ht="15.95" customHeight="1">
      <c r="A131" s="105"/>
      <c r="B131" s="201"/>
      <c r="C131" s="202"/>
      <c r="D131" s="105"/>
      <c r="E131" s="105"/>
      <c r="F131" s="105"/>
      <c r="G131" s="105"/>
      <c r="H131" s="105"/>
      <c r="I131" s="105"/>
      <c r="J131" s="105"/>
      <c r="K131" s="105"/>
      <c r="L131" s="135"/>
      <c r="M131" s="135"/>
      <c r="N131" s="135"/>
    </row>
    <row r="132" spans="1:14" ht="15.95" customHeight="1">
      <c r="A132" s="105"/>
      <c r="B132" s="201"/>
      <c r="C132" s="202"/>
      <c r="D132" s="105"/>
      <c r="E132" s="105"/>
      <c r="F132" s="105"/>
      <c r="G132" s="105"/>
      <c r="H132" s="105"/>
      <c r="I132" s="105"/>
      <c r="J132" s="105"/>
      <c r="K132" s="105"/>
      <c r="L132" s="135"/>
      <c r="M132" s="135"/>
      <c r="N132" s="135"/>
    </row>
    <row r="133" spans="1:14" ht="15.95" customHeight="1">
      <c r="A133" s="147" t="s">
        <v>174</v>
      </c>
      <c r="B133" s="201"/>
      <c r="C133" s="202"/>
      <c r="D133" s="105"/>
      <c r="E133" s="105"/>
      <c r="F133" s="105"/>
      <c r="G133" s="105"/>
      <c r="H133" s="105"/>
      <c r="I133" s="105"/>
      <c r="J133" s="105"/>
      <c r="K133" s="105"/>
      <c r="L133" s="135"/>
      <c r="M133" s="135"/>
      <c r="N133" s="135"/>
    </row>
    <row r="134" spans="1:14" ht="15.95" customHeight="1">
      <c r="A134" s="147" t="s">
        <v>175</v>
      </c>
      <c r="B134" s="201"/>
      <c r="C134" s="202"/>
      <c r="D134" s="105"/>
      <c r="E134" s="105"/>
      <c r="F134" s="105"/>
      <c r="G134" s="105"/>
      <c r="H134" s="105"/>
      <c r="I134" s="105"/>
      <c r="J134" s="105"/>
      <c r="K134" s="105"/>
      <c r="L134" s="135"/>
      <c r="M134" s="135"/>
      <c r="N134" s="135"/>
    </row>
    <row r="135" spans="1:14" ht="15.95" customHeight="1">
      <c r="A135" s="105"/>
      <c r="B135" s="201"/>
      <c r="C135" s="202"/>
      <c r="D135" s="105"/>
      <c r="E135" s="105"/>
      <c r="F135" s="105"/>
      <c r="G135" s="105"/>
      <c r="H135" s="105"/>
      <c r="I135" s="105"/>
      <c r="J135" s="105"/>
      <c r="K135" s="105"/>
      <c r="L135" s="135"/>
      <c r="M135" s="135"/>
      <c r="N135" s="135"/>
    </row>
    <row r="136" spans="1:14" ht="15.95" customHeight="1">
      <c r="A136" s="105" t="s">
        <v>351</v>
      </c>
      <c r="B136" s="201"/>
      <c r="C136" s="202"/>
      <c r="D136" s="105"/>
      <c r="E136" s="105"/>
      <c r="F136" s="105"/>
      <c r="G136" s="105"/>
      <c r="H136" s="105"/>
      <c r="I136" s="105"/>
      <c r="J136" s="105"/>
      <c r="K136" s="105"/>
      <c r="L136" s="135"/>
      <c r="M136" s="135"/>
      <c r="N136" s="135"/>
    </row>
    <row r="137" spans="1:14" ht="15.95" customHeight="1">
      <c r="A137" s="105"/>
      <c r="B137" s="201"/>
      <c r="C137" s="202"/>
      <c r="D137" s="105"/>
      <c r="E137" s="105"/>
      <c r="F137" s="105"/>
      <c r="G137" s="105"/>
      <c r="H137" s="105"/>
      <c r="I137" s="105"/>
      <c r="J137" s="105"/>
      <c r="K137" s="105"/>
      <c r="L137" s="135"/>
      <c r="M137" s="135"/>
      <c r="N137" s="135"/>
    </row>
    <row r="138" spans="1:14" ht="15.95" customHeight="1">
      <c r="A138" s="105" t="s">
        <v>352</v>
      </c>
      <c r="B138" s="201"/>
      <c r="C138" s="202"/>
      <c r="D138" s="105"/>
      <c r="E138" s="105"/>
      <c r="F138" s="105"/>
      <c r="G138" s="105"/>
      <c r="H138" s="105"/>
      <c r="I138" s="105"/>
      <c r="J138" s="105"/>
      <c r="K138" s="105"/>
      <c r="L138" s="135"/>
      <c r="M138" s="135"/>
      <c r="N138" s="135"/>
    </row>
    <row r="139" spans="1:14" ht="15.95" customHeight="1">
      <c r="B139" s="201"/>
      <c r="C139" s="202"/>
      <c r="D139" s="105"/>
      <c r="E139" s="105"/>
      <c r="F139" s="105"/>
      <c r="G139" s="105"/>
      <c r="H139" s="105"/>
      <c r="I139" s="105"/>
      <c r="J139" s="105"/>
      <c r="K139" s="105"/>
      <c r="L139" s="135"/>
      <c r="M139" s="135"/>
      <c r="N139" s="135"/>
    </row>
    <row r="140" spans="1:14" ht="15.95" customHeight="1">
      <c r="A140" s="105" t="s">
        <v>353</v>
      </c>
      <c r="B140" s="201"/>
      <c r="C140" s="202"/>
      <c r="D140" s="105"/>
      <c r="E140" s="105"/>
      <c r="F140" s="105"/>
      <c r="G140" s="105"/>
      <c r="H140" s="105"/>
      <c r="I140" s="105"/>
      <c r="J140" s="105"/>
      <c r="K140" s="105"/>
      <c r="L140" s="135"/>
      <c r="M140" s="135"/>
      <c r="N140" s="135"/>
    </row>
    <row r="141" spans="1:14" ht="15.95" customHeight="1">
      <c r="B141" s="201"/>
      <c r="C141" s="202"/>
      <c r="D141" s="105"/>
      <c r="E141" s="105"/>
      <c r="F141" s="105"/>
      <c r="G141" s="105"/>
      <c r="H141" s="105"/>
      <c r="I141" s="105"/>
      <c r="J141" s="105"/>
      <c r="K141" s="105"/>
      <c r="L141" s="135"/>
      <c r="M141" s="135"/>
      <c r="N141" s="135"/>
    </row>
    <row r="142" spans="1:14" ht="15.95" customHeight="1">
      <c r="A142" s="105" t="s">
        <v>354</v>
      </c>
      <c r="B142" s="201"/>
      <c r="C142" s="202"/>
      <c r="D142" s="105"/>
      <c r="E142" s="105"/>
      <c r="F142" s="105"/>
      <c r="G142" s="105"/>
      <c r="H142" s="105"/>
      <c r="I142" s="105"/>
      <c r="J142" s="105"/>
      <c r="K142" s="105"/>
      <c r="L142" s="135"/>
      <c r="M142" s="135"/>
      <c r="N142" s="135"/>
    </row>
    <row r="143" spans="1:14" ht="15.95" customHeight="1">
      <c r="A143" s="105" t="s">
        <v>93</v>
      </c>
      <c r="B143" s="201"/>
      <c r="C143" s="202"/>
      <c r="D143" s="105"/>
      <c r="E143" s="105"/>
      <c r="F143" s="105"/>
      <c r="G143" s="105"/>
      <c r="H143" s="105"/>
      <c r="I143" s="105"/>
      <c r="J143" s="105"/>
      <c r="K143" s="105"/>
      <c r="L143" s="135"/>
      <c r="M143" s="135"/>
      <c r="N143" s="135"/>
    </row>
    <row r="144" spans="1:14" ht="15.95" customHeight="1">
      <c r="A144" s="105" t="s">
        <v>185</v>
      </c>
      <c r="B144" s="201"/>
      <c r="C144" s="202"/>
      <c r="D144" s="105"/>
      <c r="E144" s="105"/>
      <c r="F144" s="105"/>
      <c r="G144" s="105"/>
      <c r="H144" s="105" t="s">
        <v>397</v>
      </c>
      <c r="I144" s="259">
        <f>D16</f>
        <v>28</v>
      </c>
      <c r="J144" s="138" t="s">
        <v>1</v>
      </c>
      <c r="K144" s="105"/>
      <c r="L144" s="135"/>
      <c r="M144" s="135"/>
      <c r="N144" s="135"/>
    </row>
    <row r="145" spans="1:14" ht="15.95" customHeight="1">
      <c r="A145" s="105" t="s">
        <v>355</v>
      </c>
      <c r="B145" s="201"/>
      <c r="C145" s="202"/>
      <c r="D145" s="105"/>
      <c r="E145" s="105"/>
      <c r="F145" s="105"/>
      <c r="G145" s="105"/>
      <c r="H145" s="105" t="s">
        <v>356</v>
      </c>
      <c r="I145" s="260">
        <f>F120</f>
        <v>16.895692307692308</v>
      </c>
      <c r="J145" s="99" t="s">
        <v>146</v>
      </c>
      <c r="K145" s="105"/>
      <c r="L145" s="135"/>
      <c r="M145" s="135"/>
      <c r="N145" s="135"/>
    </row>
    <row r="146" spans="1:14" ht="15.95" customHeight="1">
      <c r="A146" s="105" t="s">
        <v>176</v>
      </c>
      <c r="B146" s="201"/>
      <c r="C146" s="202"/>
      <c r="D146" s="105"/>
      <c r="E146" s="105"/>
      <c r="F146" s="105"/>
      <c r="G146" s="105"/>
      <c r="H146" s="105" t="s">
        <v>165</v>
      </c>
      <c r="I146" s="260">
        <f>F119</f>
        <v>10.399999999999999</v>
      </c>
      <c r="J146" s="138" t="s">
        <v>1</v>
      </c>
      <c r="K146" s="105"/>
      <c r="L146" s="135"/>
      <c r="M146" s="135"/>
      <c r="N146" s="135"/>
    </row>
    <row r="147" spans="1:14" ht="15.95" customHeight="1">
      <c r="A147" s="105" t="s">
        <v>178</v>
      </c>
      <c r="B147" s="201"/>
      <c r="C147" s="202"/>
      <c r="D147" s="105"/>
      <c r="E147" s="105"/>
      <c r="F147" s="105"/>
      <c r="G147" s="105"/>
      <c r="H147" s="105" t="s">
        <v>177</v>
      </c>
      <c r="I147" s="260">
        <f>F122</f>
        <v>2.8000000000000003</v>
      </c>
      <c r="J147" s="99" t="s">
        <v>151</v>
      </c>
      <c r="K147" s="105"/>
      <c r="L147" s="135"/>
      <c r="M147" s="135"/>
      <c r="N147" s="135"/>
    </row>
    <row r="148" spans="1:14" ht="15.95" customHeight="1">
      <c r="A148" s="105" t="s">
        <v>357</v>
      </c>
      <c r="B148" s="201"/>
      <c r="C148" s="202"/>
      <c r="D148" s="105"/>
      <c r="E148" s="105"/>
      <c r="F148" s="105"/>
      <c r="G148" s="105"/>
      <c r="H148" s="105" t="s">
        <v>358</v>
      </c>
      <c r="I148" s="260">
        <f>F123</f>
        <v>28.400363636363636</v>
      </c>
      <c r="J148" s="138" t="s">
        <v>92</v>
      </c>
      <c r="K148" s="105"/>
      <c r="L148" s="135"/>
      <c r="M148" s="135"/>
      <c r="N148" s="135"/>
    </row>
    <row r="149" spans="1:14" ht="15.95" customHeight="1">
      <c r="A149" s="105" t="s">
        <v>359</v>
      </c>
      <c r="B149" s="201"/>
      <c r="C149" s="202"/>
      <c r="D149" s="105"/>
      <c r="E149" s="105"/>
      <c r="F149" s="105"/>
      <c r="G149" s="105"/>
      <c r="H149" s="140" t="s">
        <v>360</v>
      </c>
      <c r="I149" s="260">
        <f>TAN(RADIANS(45-I148/2))^2</f>
        <v>0.35535349787606735</v>
      </c>
      <c r="J149" s="105"/>
      <c r="K149" s="105"/>
      <c r="L149" s="135"/>
      <c r="M149" s="135"/>
      <c r="N149" s="135"/>
    </row>
    <row r="150" spans="1:14" ht="15.95" customHeight="1">
      <c r="A150" s="105" t="s">
        <v>361</v>
      </c>
      <c r="B150" s="201"/>
      <c r="C150" s="202"/>
      <c r="D150" s="105"/>
      <c r="E150" s="105"/>
      <c r="F150" s="105"/>
      <c r="G150" s="105"/>
      <c r="H150" s="105" t="s">
        <v>167</v>
      </c>
      <c r="I150" s="260">
        <f>F118</f>
        <v>17.600000000000001</v>
      </c>
      <c r="J150" s="138" t="s">
        <v>1</v>
      </c>
      <c r="K150" s="105"/>
      <c r="L150" s="135"/>
      <c r="M150" s="135"/>
      <c r="N150" s="135"/>
    </row>
    <row r="151" spans="1:14" ht="15.95" customHeight="1">
      <c r="A151" s="105" t="s">
        <v>179</v>
      </c>
      <c r="B151" s="201"/>
      <c r="C151" s="202"/>
      <c r="D151" s="105"/>
      <c r="E151" s="105"/>
      <c r="F151" s="105"/>
      <c r="G151" s="105"/>
      <c r="H151" s="105" t="s">
        <v>180</v>
      </c>
      <c r="I151" s="259">
        <v>10.6</v>
      </c>
      <c r="J151" s="138" t="s">
        <v>1</v>
      </c>
      <c r="K151" s="105"/>
      <c r="L151" s="135"/>
      <c r="M151" s="135"/>
      <c r="N151" s="135"/>
    </row>
    <row r="152" spans="1:14" ht="15.95" customHeight="1">
      <c r="A152" s="105" t="s">
        <v>362</v>
      </c>
      <c r="B152" s="201"/>
      <c r="C152" s="202"/>
      <c r="D152" s="105"/>
      <c r="E152" s="105"/>
      <c r="F152" s="105"/>
      <c r="G152" s="105"/>
      <c r="H152" s="105"/>
      <c r="I152" s="105"/>
      <c r="J152" s="105"/>
      <c r="K152" s="105"/>
      <c r="L152" s="135"/>
      <c r="M152" s="135"/>
      <c r="N152" s="135"/>
    </row>
    <row r="153" spans="1:14" ht="15.95" customHeight="1">
      <c r="A153" s="105"/>
      <c r="B153" s="105" t="s">
        <v>363</v>
      </c>
      <c r="C153" s="202"/>
      <c r="D153" s="105"/>
      <c r="E153" s="105"/>
      <c r="F153" s="105"/>
      <c r="G153" s="105">
        <f>(I150-I151)/(I144-I151)</f>
        <v>0.40229885057471276</v>
      </c>
      <c r="H153" s="105"/>
      <c r="I153" s="105"/>
      <c r="J153" s="105"/>
      <c r="K153" s="105"/>
      <c r="L153" s="135"/>
      <c r="M153" s="135"/>
      <c r="N153" s="135"/>
    </row>
    <row r="154" spans="1:14" ht="15.95" customHeight="1">
      <c r="A154" s="105"/>
      <c r="B154" s="210" t="s">
        <v>181</v>
      </c>
      <c r="C154" s="202">
        <f>DEGREES(ACOS(SQRT(1-G153^2)))</f>
        <v>23.721969607035309</v>
      </c>
      <c r="D154" s="105" t="s">
        <v>120</v>
      </c>
      <c r="E154" s="92" t="s">
        <v>0</v>
      </c>
      <c r="F154" s="105">
        <f>RADIANS(C154)</f>
        <v>0.41402647470079157</v>
      </c>
      <c r="G154" s="105" t="s">
        <v>182</v>
      </c>
      <c r="H154" s="105"/>
      <c r="I154" s="105"/>
      <c r="J154" s="105"/>
      <c r="K154" s="105"/>
      <c r="L154" s="135"/>
      <c r="M154" s="135"/>
      <c r="N154" s="135"/>
    </row>
    <row r="155" spans="1:14" ht="15.95" customHeight="1">
      <c r="A155" s="105"/>
      <c r="B155" s="210" t="s">
        <v>364</v>
      </c>
      <c r="C155" s="202"/>
      <c r="D155" s="105"/>
      <c r="E155" s="105">
        <f>2*(90-C154)</f>
        <v>132.55606078592939</v>
      </c>
      <c r="F155" s="105" t="s">
        <v>120</v>
      </c>
      <c r="G155" s="105" t="s">
        <v>0</v>
      </c>
      <c r="H155" s="105">
        <f>RADIANS(E155)</f>
        <v>2.3135397041882104</v>
      </c>
      <c r="I155" s="105" t="s">
        <v>182</v>
      </c>
      <c r="J155" s="105"/>
      <c r="K155" s="105"/>
      <c r="L155" s="135"/>
      <c r="M155" s="135"/>
      <c r="N155" s="135"/>
    </row>
    <row r="156" spans="1:14" ht="15.95" customHeight="1">
      <c r="A156" s="105" t="s">
        <v>183</v>
      </c>
      <c r="B156" s="201"/>
      <c r="C156" s="202"/>
      <c r="D156" s="105"/>
      <c r="E156" s="105"/>
      <c r="G156" s="105" t="s">
        <v>168</v>
      </c>
      <c r="H156" s="211">
        <f>F124</f>
        <v>20</v>
      </c>
      <c r="I156" s="105" t="s">
        <v>391</v>
      </c>
      <c r="J156" s="105"/>
      <c r="K156" s="105"/>
      <c r="L156" s="135"/>
      <c r="M156" s="135"/>
      <c r="N156" s="135"/>
    </row>
    <row r="157" spans="1:14" ht="15.95" customHeight="1">
      <c r="A157" s="105" t="s">
        <v>365</v>
      </c>
      <c r="B157" s="201"/>
      <c r="C157" s="202"/>
      <c r="D157" s="105"/>
      <c r="E157" s="105"/>
      <c r="F157" s="105"/>
      <c r="G157" s="105"/>
      <c r="H157" s="211">
        <f>I145*I151+H156</f>
        <v>199.09433846153846</v>
      </c>
      <c r="I157" s="105" t="s">
        <v>391</v>
      </c>
      <c r="J157" s="105"/>
      <c r="K157" s="105"/>
      <c r="L157" s="135"/>
      <c r="M157" s="135"/>
      <c r="N157" s="135"/>
    </row>
    <row r="158" spans="1:14" ht="15.95" customHeight="1">
      <c r="A158" s="105" t="s">
        <v>184</v>
      </c>
      <c r="B158" s="201"/>
      <c r="C158" s="202"/>
      <c r="D158" s="105"/>
      <c r="E158" s="105"/>
      <c r="F158" s="105"/>
      <c r="G158" s="105"/>
      <c r="H158" s="105"/>
      <c r="I158" s="105"/>
      <c r="J158" s="105"/>
      <c r="K158" s="105"/>
      <c r="L158" s="135"/>
      <c r="M158" s="135"/>
      <c r="N158" s="135"/>
    </row>
    <row r="159" spans="1:14" ht="15.95" customHeight="1">
      <c r="A159" s="105"/>
      <c r="B159" s="201"/>
      <c r="C159" s="202"/>
      <c r="D159" s="105"/>
      <c r="G159" s="184" t="s">
        <v>366</v>
      </c>
      <c r="H159" s="300">
        <f>I146*(I145*I150^2/2+H156*I150)+I146^2*H157*(H155-F154+SIN(H155)*COS(H155)-SIN(F154)*COS(F154))/2-I145*I146^3*(COS(H155)^3-COS(F154)^3)/3</f>
        <v>48819.060947637103</v>
      </c>
      <c r="I159" s="301"/>
      <c r="J159" s="105"/>
      <c r="K159" s="105"/>
      <c r="L159" s="135"/>
      <c r="M159" s="135"/>
      <c r="N159" s="135"/>
    </row>
    <row r="160" spans="1:14" ht="15.95" customHeight="1">
      <c r="A160" s="105"/>
      <c r="B160" s="201"/>
      <c r="C160" s="202"/>
      <c r="D160" s="105"/>
      <c r="G160" s="184" t="s">
        <v>367</v>
      </c>
      <c r="H160" s="300">
        <f>I146^2*H157/2+(H155-F154-(SIN(2*H155)-SIN(2*F154)))-I145*I146^3*(SIN(H155)^2*COS(H155)-SIN(F154)^2*COS(F154)+2*(COS(H155)-COS(F154)))/3</f>
        <v>34202.85057160553</v>
      </c>
      <c r="I160" s="301"/>
      <c r="J160" s="105"/>
      <c r="K160" s="105"/>
      <c r="L160" s="135"/>
      <c r="M160" s="135"/>
      <c r="N160" s="135"/>
    </row>
    <row r="161" spans="1:14" ht="15.95" customHeight="1">
      <c r="A161" s="105"/>
      <c r="B161" s="201"/>
      <c r="C161" s="202"/>
      <c r="D161" s="105"/>
      <c r="G161" s="184" t="s">
        <v>368</v>
      </c>
      <c r="H161" s="300">
        <f>I150*I146+(H155-F154)*I146^2</f>
        <v>388.49135090135917</v>
      </c>
      <c r="I161" s="301"/>
      <c r="J161" s="105"/>
      <c r="K161" s="105"/>
      <c r="L161" s="135"/>
      <c r="M161" s="135"/>
      <c r="N161" s="135"/>
    </row>
    <row r="162" spans="1:14" ht="15.95" customHeight="1">
      <c r="A162" s="105"/>
      <c r="B162" s="201"/>
      <c r="C162" s="202"/>
      <c r="D162" s="105"/>
      <c r="G162" s="184" t="s">
        <v>369</v>
      </c>
      <c r="H162" s="300">
        <f>H159*I149*TAN(RADIANS(I148))+H160*TAN(RADIANS(I148))+H161*I147</f>
        <v>28961.652549984308</v>
      </c>
      <c r="I162" s="301"/>
      <c r="J162" s="105"/>
      <c r="K162" s="105"/>
      <c r="L162" s="135"/>
      <c r="M162" s="135"/>
      <c r="N162" s="135"/>
    </row>
    <row r="163" spans="1:14" ht="15.95" customHeight="1">
      <c r="A163" s="105" t="s">
        <v>186</v>
      </c>
      <c r="B163" s="201"/>
      <c r="C163" s="202"/>
      <c r="D163" s="105"/>
      <c r="F163" s="105"/>
      <c r="G163" s="140" t="s">
        <v>370</v>
      </c>
      <c r="H163" s="313">
        <f>(I151*I145+H156)*I146^2/2</f>
        <v>10767.021823999996</v>
      </c>
      <c r="I163" s="313"/>
      <c r="J163" s="105"/>
      <c r="K163" s="105"/>
      <c r="L163" s="135"/>
      <c r="M163" s="135"/>
      <c r="N163" s="135"/>
    </row>
    <row r="164" spans="1:14" ht="15.95" customHeight="1">
      <c r="A164" s="105"/>
      <c r="B164" s="201"/>
      <c r="C164" s="202"/>
      <c r="D164" s="105"/>
      <c r="E164" s="105"/>
      <c r="F164" s="105"/>
      <c r="G164" s="105"/>
      <c r="H164" s="105"/>
      <c r="I164" s="105"/>
      <c r="J164" s="105"/>
      <c r="K164" s="105"/>
      <c r="L164" s="135"/>
      <c r="M164" s="135"/>
      <c r="N164" s="135"/>
    </row>
    <row r="165" spans="1:14" ht="15.95" customHeight="1">
      <c r="A165" s="105" t="s">
        <v>187</v>
      </c>
      <c r="B165" s="201"/>
      <c r="C165" s="202"/>
      <c r="D165" s="105"/>
      <c r="E165" s="214" t="s">
        <v>371</v>
      </c>
      <c r="F165" s="105"/>
      <c r="H165" s="248">
        <f>H162/H163</f>
        <v>2.689848040005637</v>
      </c>
      <c r="I165" s="247" t="str">
        <f>IF(H165&gt;=J165,"&gt;","&lt;")</f>
        <v>&gt;</v>
      </c>
      <c r="J165" s="243">
        <v>1.5</v>
      </c>
      <c r="K165" s="105"/>
      <c r="L165" s="135"/>
      <c r="M165" s="135"/>
      <c r="N165" s="135"/>
    </row>
    <row r="166" spans="1:14" ht="15.95" customHeight="1">
      <c r="A166" s="105"/>
      <c r="B166" s="201"/>
      <c r="C166" s="202"/>
      <c r="D166" s="105"/>
      <c r="F166" s="105"/>
      <c r="G166" s="105"/>
      <c r="H166" s="149" t="str">
        <f>IF(H165&gt;=J165,"Đảm bảo khả năng chống trồi","NA")</f>
        <v>Đảm bảo khả năng chống trồi</v>
      </c>
      <c r="I166" s="105"/>
      <c r="J166" s="105"/>
      <c r="K166" s="105"/>
      <c r="L166" s="135"/>
      <c r="M166" s="135"/>
      <c r="N166" s="135"/>
    </row>
    <row r="167" spans="1:14" ht="15.95" customHeight="1">
      <c r="A167" s="105"/>
      <c r="B167" s="201"/>
      <c r="C167" s="202"/>
      <c r="D167" s="105"/>
      <c r="E167" s="105"/>
      <c r="F167" s="105"/>
      <c r="G167" s="105"/>
      <c r="H167" s="105"/>
      <c r="I167" s="105"/>
      <c r="J167" s="105"/>
      <c r="K167" s="105"/>
      <c r="L167" s="135"/>
      <c r="M167" s="135"/>
      <c r="N167" s="135"/>
    </row>
    <row r="168" spans="1:14" ht="15.95" customHeight="1">
      <c r="A168" s="105"/>
      <c r="B168" s="201"/>
      <c r="C168" s="202"/>
      <c r="D168" s="105"/>
      <c r="E168" s="105"/>
      <c r="F168" s="105"/>
      <c r="G168" s="105"/>
      <c r="H168" s="105"/>
      <c r="I168" s="105"/>
      <c r="J168" s="105"/>
      <c r="K168" s="105"/>
      <c r="L168" s="135"/>
      <c r="M168" s="135"/>
      <c r="N168" s="135"/>
    </row>
    <row r="169" spans="1:14" ht="15.95" customHeight="1">
      <c r="A169" s="105"/>
      <c r="B169" s="201"/>
      <c r="C169" s="202"/>
      <c r="D169" s="105"/>
      <c r="E169" s="105"/>
      <c r="F169" s="105"/>
      <c r="G169" s="105"/>
      <c r="H169" s="105"/>
      <c r="I169" s="105"/>
      <c r="J169" s="105"/>
      <c r="K169" s="105"/>
      <c r="L169" s="135"/>
      <c r="M169" s="135"/>
      <c r="N169" s="135"/>
    </row>
    <row r="170" spans="1:14" ht="15.95" customHeight="1">
      <c r="A170" s="105"/>
      <c r="B170" s="201"/>
      <c r="C170" s="202"/>
      <c r="D170" s="105"/>
      <c r="E170" s="105"/>
      <c r="F170" s="105"/>
      <c r="G170" s="105"/>
      <c r="H170" s="105"/>
      <c r="I170" s="105"/>
      <c r="J170" s="105"/>
      <c r="K170" s="105"/>
      <c r="L170" s="135"/>
      <c r="M170" s="135"/>
      <c r="N170" s="135"/>
    </row>
    <row r="171" spans="1:14" ht="15.95" customHeight="1">
      <c r="A171" s="105"/>
      <c r="B171" s="201"/>
      <c r="C171" s="202"/>
      <c r="D171" s="105"/>
      <c r="E171" s="105"/>
      <c r="F171" s="105"/>
      <c r="G171" s="105"/>
      <c r="H171" s="105"/>
      <c r="I171" s="105"/>
      <c r="J171" s="105"/>
      <c r="K171" s="105"/>
      <c r="L171" s="135"/>
      <c r="M171" s="135"/>
      <c r="N171" s="135"/>
    </row>
    <row r="172" spans="1:14" ht="15.95" customHeight="1">
      <c r="A172" s="105"/>
      <c r="B172" s="201"/>
      <c r="C172" s="202"/>
      <c r="D172" s="105"/>
      <c r="E172" s="105"/>
      <c r="F172" s="105"/>
      <c r="G172" s="105"/>
      <c r="H172" s="105"/>
      <c r="I172" s="105"/>
      <c r="J172" s="105"/>
      <c r="K172" s="105"/>
      <c r="L172" s="135"/>
      <c r="M172" s="135"/>
      <c r="N172" s="135"/>
    </row>
    <row r="173" spans="1:14" ht="15.95" customHeight="1">
      <c r="A173" s="105"/>
      <c r="B173" s="201"/>
      <c r="C173" s="202"/>
      <c r="D173" s="105"/>
      <c r="E173" s="105"/>
      <c r="F173" s="105"/>
      <c r="G173" s="105"/>
      <c r="H173" s="105"/>
      <c r="I173" s="105"/>
      <c r="J173" s="105"/>
      <c r="K173" s="105"/>
      <c r="L173" s="135"/>
      <c r="M173" s="135"/>
      <c r="N173" s="135"/>
    </row>
    <row r="174" spans="1:14" ht="15.95" customHeight="1">
      <c r="A174" s="105"/>
      <c r="B174" s="201"/>
      <c r="C174" s="202"/>
      <c r="D174" s="105"/>
      <c r="E174" s="105"/>
      <c r="F174" s="105"/>
      <c r="G174" s="105"/>
      <c r="H174" s="105"/>
      <c r="I174" s="105"/>
      <c r="J174" s="105"/>
      <c r="K174" s="105"/>
      <c r="L174" s="135"/>
      <c r="M174" s="135"/>
      <c r="N174" s="135"/>
    </row>
    <row r="175" spans="1:14" ht="15.95" customHeight="1">
      <c r="A175" s="105"/>
      <c r="B175" s="201"/>
      <c r="C175" s="202"/>
      <c r="D175" s="105"/>
      <c r="E175" s="105"/>
      <c r="F175" s="105"/>
      <c r="G175" s="105"/>
      <c r="H175" s="105"/>
      <c r="I175" s="105"/>
      <c r="J175" s="105"/>
      <c r="K175" s="105"/>
      <c r="L175" s="135"/>
      <c r="M175" s="135"/>
      <c r="N175" s="135"/>
    </row>
    <row r="176" spans="1:14" ht="15.95" customHeight="1">
      <c r="A176" s="105"/>
      <c r="B176" s="201"/>
      <c r="C176" s="202"/>
      <c r="D176" s="105"/>
      <c r="E176" s="105"/>
      <c r="F176" s="105"/>
      <c r="G176" s="105"/>
      <c r="H176" s="105"/>
      <c r="I176" s="105"/>
      <c r="J176" s="105"/>
      <c r="K176" s="105"/>
      <c r="L176" s="135"/>
      <c r="M176" s="135"/>
      <c r="N176" s="135"/>
    </row>
    <row r="177" spans="1:14" ht="15.95" customHeight="1">
      <c r="A177" s="105"/>
      <c r="B177" s="201"/>
      <c r="C177" s="202"/>
      <c r="D177" s="105"/>
      <c r="E177" s="105"/>
      <c r="F177" s="105"/>
      <c r="G177" s="105"/>
      <c r="H177" s="105"/>
      <c r="I177" s="105"/>
      <c r="J177" s="105"/>
      <c r="K177" s="105"/>
      <c r="L177" s="135"/>
      <c r="M177" s="135"/>
      <c r="N177" s="135"/>
    </row>
    <row r="178" spans="1:14" ht="15.95" customHeight="1">
      <c r="A178" s="105"/>
      <c r="B178" s="201"/>
      <c r="C178" s="202"/>
      <c r="D178" s="105"/>
      <c r="E178" s="105"/>
      <c r="F178" s="105"/>
      <c r="G178" s="105"/>
      <c r="H178" s="105"/>
      <c r="I178" s="105"/>
      <c r="J178" s="105"/>
      <c r="K178" s="105"/>
      <c r="L178" s="135"/>
      <c r="M178" s="135"/>
      <c r="N178" s="135"/>
    </row>
    <row r="179" spans="1:14" ht="15.95" customHeight="1">
      <c r="A179" s="147" t="s">
        <v>296</v>
      </c>
      <c r="B179" s="201"/>
      <c r="C179" s="202"/>
      <c r="D179" s="105"/>
      <c r="E179" s="105"/>
      <c r="F179" s="105"/>
      <c r="G179" s="105"/>
      <c r="H179" s="105"/>
      <c r="I179" s="105"/>
      <c r="J179" s="105"/>
      <c r="K179" s="105"/>
      <c r="L179" s="135"/>
      <c r="M179" s="135"/>
      <c r="N179" s="135"/>
    </row>
    <row r="180" spans="1:14" ht="15.95" customHeight="1">
      <c r="A180" s="105"/>
      <c r="B180" s="201"/>
      <c r="C180" s="202"/>
      <c r="D180" s="105"/>
      <c r="E180" s="105"/>
      <c r="F180" s="105"/>
      <c r="G180" s="105"/>
      <c r="H180" s="105"/>
      <c r="I180" s="105"/>
      <c r="J180" s="105"/>
      <c r="K180" s="105"/>
      <c r="L180" s="135"/>
      <c r="M180" s="135"/>
      <c r="N180" s="135"/>
    </row>
    <row r="181" spans="1:14" ht="15.95" customHeight="1">
      <c r="A181" s="105"/>
      <c r="B181" s="201"/>
      <c r="C181" s="202"/>
      <c r="D181" s="105"/>
      <c r="E181" s="105"/>
      <c r="F181" s="105"/>
      <c r="G181" s="105"/>
      <c r="H181" s="105"/>
      <c r="I181" s="105"/>
      <c r="J181" s="105"/>
      <c r="K181" s="105"/>
      <c r="L181" s="135"/>
      <c r="M181" s="135"/>
      <c r="N181" s="135"/>
    </row>
    <row r="182" spans="1:14" ht="15.95" customHeight="1">
      <c r="A182" s="105"/>
      <c r="B182" s="201"/>
      <c r="C182" s="202"/>
      <c r="D182" s="105"/>
      <c r="E182" s="105"/>
      <c r="F182" s="105"/>
      <c r="G182" s="105"/>
      <c r="H182" s="105"/>
      <c r="I182" s="105"/>
      <c r="J182" s="105"/>
      <c r="K182" s="105"/>
      <c r="L182" s="135"/>
      <c r="M182" s="135"/>
      <c r="N182" s="135"/>
    </row>
    <row r="183" spans="1:14" ht="15.95" customHeight="1">
      <c r="A183" s="105"/>
      <c r="B183" s="201"/>
      <c r="C183" s="202"/>
      <c r="D183" s="105"/>
      <c r="E183" s="105"/>
      <c r="F183" s="105"/>
      <c r="G183" s="105"/>
      <c r="H183" s="105"/>
      <c r="I183" s="105"/>
      <c r="J183" s="105"/>
      <c r="K183" s="105"/>
      <c r="L183" s="135"/>
      <c r="M183" s="135"/>
      <c r="N183" s="135"/>
    </row>
    <row r="184" spans="1:14" ht="15.95" customHeight="1">
      <c r="A184" s="105"/>
      <c r="B184" s="201"/>
      <c r="C184" s="202"/>
      <c r="D184" s="105"/>
      <c r="E184" s="105"/>
      <c r="F184" s="105"/>
      <c r="G184" s="105"/>
      <c r="H184" s="105"/>
      <c r="I184" s="105"/>
      <c r="J184" s="105"/>
      <c r="K184" s="105"/>
      <c r="L184" s="135"/>
      <c r="M184" s="135"/>
      <c r="N184" s="135"/>
    </row>
    <row r="185" spans="1:14" ht="15.95" customHeight="1">
      <c r="A185" s="105"/>
      <c r="B185" s="201"/>
      <c r="C185" s="202"/>
      <c r="D185" s="105"/>
      <c r="E185" s="105"/>
      <c r="F185" s="105"/>
      <c r="G185" s="105"/>
      <c r="H185" s="105"/>
      <c r="I185" s="105"/>
      <c r="J185" s="105"/>
      <c r="K185" s="105"/>
      <c r="L185" s="135"/>
      <c r="M185" s="135"/>
      <c r="N185" s="135"/>
    </row>
    <row r="186" spans="1:14" ht="15.95" customHeight="1">
      <c r="A186" s="105"/>
      <c r="B186" s="201"/>
      <c r="C186" s="202"/>
      <c r="D186" s="105"/>
      <c r="E186" s="105"/>
      <c r="F186" s="105"/>
      <c r="G186" s="105"/>
      <c r="H186" s="105"/>
      <c r="I186" s="105"/>
      <c r="J186" s="105"/>
      <c r="K186" s="105"/>
      <c r="L186" s="135"/>
      <c r="M186" s="135"/>
      <c r="N186" s="135"/>
    </row>
    <row r="187" spans="1:14" ht="15.95" customHeight="1">
      <c r="A187" s="105"/>
      <c r="B187" s="201"/>
      <c r="C187" s="202"/>
      <c r="D187" s="105"/>
      <c r="E187" s="105"/>
      <c r="F187" s="105"/>
      <c r="G187" s="105"/>
      <c r="H187" s="105"/>
      <c r="I187" s="105"/>
      <c r="J187" s="105"/>
      <c r="K187" s="105"/>
      <c r="L187" s="135"/>
      <c r="M187" s="135"/>
      <c r="N187" s="135"/>
    </row>
    <row r="188" spans="1:14" ht="15.95" customHeight="1">
      <c r="A188" s="105"/>
      <c r="B188" s="201"/>
      <c r="C188" s="202"/>
      <c r="D188" s="105"/>
      <c r="E188" s="105"/>
      <c r="F188" s="105"/>
      <c r="G188" s="105"/>
      <c r="H188" s="105"/>
      <c r="I188" s="105"/>
      <c r="J188" s="105"/>
      <c r="K188" s="105"/>
      <c r="L188" s="135"/>
      <c r="M188" s="135"/>
      <c r="N188" s="135"/>
    </row>
    <row r="189" spans="1:14" ht="15.95" customHeight="1">
      <c r="A189" s="105"/>
      <c r="B189" s="201"/>
      <c r="C189" s="202"/>
      <c r="D189" s="105"/>
      <c r="E189" s="105"/>
      <c r="F189" s="105"/>
      <c r="G189" s="105"/>
      <c r="H189" s="105"/>
      <c r="I189" s="105"/>
      <c r="J189" s="105"/>
      <c r="K189" s="105"/>
      <c r="L189" s="135"/>
      <c r="M189" s="135"/>
      <c r="N189" s="135"/>
    </row>
    <row r="190" spans="1:14" ht="15.95" customHeight="1">
      <c r="A190" s="105"/>
      <c r="B190" s="201"/>
      <c r="C190" s="202"/>
      <c r="D190" s="105"/>
      <c r="E190" s="105"/>
      <c r="F190" s="105"/>
      <c r="G190" s="105"/>
      <c r="H190" s="105"/>
      <c r="I190" s="105"/>
      <c r="J190" s="105"/>
      <c r="K190" s="105"/>
      <c r="L190" s="135"/>
      <c r="M190" s="135"/>
      <c r="N190" s="135"/>
    </row>
    <row r="191" spans="1:14" ht="15.95" customHeight="1">
      <c r="A191" s="105"/>
      <c r="B191" s="201"/>
      <c r="C191" s="202"/>
      <c r="D191" s="105"/>
      <c r="E191" s="105"/>
      <c r="F191" s="105"/>
      <c r="G191" s="105"/>
      <c r="H191" s="105"/>
      <c r="I191" s="105"/>
      <c r="J191" s="105"/>
      <c r="K191" s="105"/>
      <c r="L191" s="135"/>
      <c r="M191" s="135"/>
      <c r="N191" s="135"/>
    </row>
    <row r="192" spans="1:14" ht="15.95" customHeight="1">
      <c r="A192" s="105"/>
      <c r="B192" s="201"/>
      <c r="C192" s="202"/>
      <c r="D192" s="105"/>
      <c r="E192" s="105"/>
      <c r="F192" s="105"/>
      <c r="G192" s="105"/>
      <c r="H192" s="105"/>
      <c r="I192" s="105"/>
      <c r="J192" s="105"/>
      <c r="K192" s="105"/>
      <c r="L192" s="135"/>
      <c r="M192" s="135"/>
      <c r="N192" s="135"/>
    </row>
    <row r="193" spans="1:14" ht="15.95" customHeight="1">
      <c r="A193" s="105"/>
      <c r="B193" s="201"/>
      <c r="C193" s="202"/>
      <c r="D193" s="105"/>
      <c r="E193" s="105"/>
      <c r="F193" s="105"/>
      <c r="G193" s="105"/>
      <c r="H193" s="105"/>
      <c r="I193" s="105"/>
      <c r="J193" s="105"/>
      <c r="K193" s="105"/>
      <c r="L193" s="135"/>
      <c r="M193" s="135"/>
      <c r="N193" s="135"/>
    </row>
    <row r="194" spans="1:14" ht="15.95" customHeight="1">
      <c r="A194" s="105"/>
      <c r="B194" s="201"/>
      <c r="C194" s="202"/>
      <c r="D194" s="105"/>
      <c r="E194" s="105"/>
      <c r="F194" s="105"/>
      <c r="G194" s="105"/>
      <c r="H194" s="105"/>
      <c r="I194" s="105"/>
      <c r="J194" s="105"/>
      <c r="K194" s="105"/>
      <c r="L194" s="135"/>
      <c r="M194" s="135"/>
      <c r="N194" s="135"/>
    </row>
    <row r="195" spans="1:14" ht="15.95" customHeight="1">
      <c r="A195" s="105"/>
      <c r="B195" s="201"/>
      <c r="C195" s="202"/>
      <c r="D195" s="105"/>
      <c r="E195" s="105"/>
      <c r="F195" s="105"/>
      <c r="G195" s="105"/>
      <c r="H195" s="105"/>
      <c r="I195" s="105"/>
      <c r="J195" s="105"/>
      <c r="K195" s="105"/>
      <c r="L195" s="135"/>
      <c r="M195" s="135"/>
      <c r="N195" s="135"/>
    </row>
    <row r="196" spans="1:14" ht="15.95" customHeight="1">
      <c r="A196" s="105"/>
      <c r="B196" s="201"/>
      <c r="C196" s="202"/>
      <c r="D196" s="105"/>
      <c r="E196" s="105"/>
      <c r="F196" s="105"/>
      <c r="G196" s="105"/>
      <c r="H196" s="105"/>
      <c r="I196" s="105"/>
      <c r="J196" s="105"/>
      <c r="K196" s="105"/>
      <c r="L196" s="135"/>
      <c r="M196" s="135"/>
      <c r="N196" s="135"/>
    </row>
    <row r="197" spans="1:14" ht="15.95" customHeight="1">
      <c r="A197" s="105"/>
      <c r="B197" s="201"/>
      <c r="C197" s="202"/>
      <c r="D197" s="105"/>
      <c r="E197" s="105"/>
      <c r="F197" s="105"/>
      <c r="G197" s="105"/>
      <c r="H197" s="105"/>
      <c r="I197" s="105"/>
      <c r="J197" s="105"/>
      <c r="K197" s="105"/>
      <c r="L197" s="135"/>
      <c r="M197" s="135"/>
      <c r="N197" s="135"/>
    </row>
    <row r="198" spans="1:14" ht="15.95" customHeight="1">
      <c r="A198" s="105"/>
      <c r="B198" s="201"/>
      <c r="C198" s="202"/>
      <c r="D198" s="105"/>
      <c r="E198" s="105"/>
      <c r="F198" s="105"/>
      <c r="G198" s="105"/>
      <c r="H198" s="105"/>
      <c r="I198" s="105"/>
      <c r="J198" s="105"/>
      <c r="K198" s="105"/>
      <c r="L198" s="135"/>
      <c r="M198" s="135"/>
      <c r="N198" s="135"/>
    </row>
    <row r="199" spans="1:14" ht="15.95" customHeight="1">
      <c r="A199" s="105"/>
      <c r="B199" s="201"/>
      <c r="C199" s="202"/>
      <c r="D199" s="105"/>
      <c r="E199" s="105"/>
      <c r="F199" s="105"/>
      <c r="G199" s="105"/>
      <c r="H199" s="105"/>
      <c r="I199" s="105"/>
      <c r="J199" s="105"/>
      <c r="K199" s="105"/>
      <c r="L199" s="135"/>
      <c r="M199" s="135"/>
      <c r="N199" s="135"/>
    </row>
    <row r="200" spans="1:14" ht="15.95" customHeight="1">
      <c r="A200" s="105"/>
      <c r="B200" s="201"/>
      <c r="C200" s="202"/>
      <c r="D200" s="105"/>
      <c r="E200" s="105"/>
      <c r="F200" s="105"/>
      <c r="G200" s="105"/>
      <c r="H200" s="105"/>
      <c r="I200" s="105"/>
      <c r="J200" s="105"/>
      <c r="K200" s="105"/>
      <c r="L200" s="135"/>
      <c r="M200" s="135"/>
      <c r="N200" s="135"/>
    </row>
    <row r="201" spans="1:14" ht="15.95" customHeight="1">
      <c r="A201" s="105"/>
      <c r="B201" s="201"/>
      <c r="C201" s="202"/>
      <c r="D201" s="105"/>
      <c r="E201" s="105"/>
      <c r="F201" s="105"/>
      <c r="G201" s="105"/>
      <c r="H201" s="105"/>
      <c r="I201" s="105"/>
      <c r="J201" s="105"/>
      <c r="K201" s="105"/>
      <c r="L201" s="135"/>
      <c r="M201" s="135"/>
      <c r="N201" s="135"/>
    </row>
    <row r="202" spans="1:14" ht="15.95" customHeight="1">
      <c r="A202" s="105"/>
      <c r="B202" s="201"/>
      <c r="C202" s="202"/>
      <c r="D202" s="105"/>
      <c r="E202" s="105"/>
      <c r="F202" s="105"/>
      <c r="G202" s="105"/>
      <c r="H202" s="105"/>
      <c r="I202" s="105"/>
      <c r="J202" s="105"/>
      <c r="K202" s="105"/>
      <c r="L202" s="135"/>
      <c r="M202" s="135"/>
      <c r="N202" s="135"/>
    </row>
    <row r="203" spans="1:14" ht="15.95" customHeight="1">
      <c r="B203" s="201"/>
      <c r="C203" s="202"/>
      <c r="D203" s="105"/>
      <c r="E203" s="105"/>
      <c r="F203" s="105"/>
      <c r="G203" s="105"/>
      <c r="H203" s="105"/>
      <c r="I203" s="105"/>
      <c r="J203" s="105"/>
      <c r="K203" s="105"/>
      <c r="L203" s="135"/>
      <c r="M203" s="135"/>
      <c r="N203" s="135"/>
    </row>
    <row r="204" spans="1:14" ht="15.95" customHeight="1">
      <c r="A204" s="105" t="s">
        <v>381</v>
      </c>
      <c r="C204" s="140" t="s">
        <v>297</v>
      </c>
      <c r="D204" s="150">
        <v>0</v>
      </c>
      <c r="E204" s="105" t="s">
        <v>1</v>
      </c>
      <c r="H204" s="105"/>
      <c r="I204" s="105"/>
      <c r="J204" s="105"/>
      <c r="K204" s="105"/>
      <c r="L204" s="135"/>
      <c r="M204" s="135"/>
      <c r="N204" s="135"/>
    </row>
    <row r="205" spans="1:14" ht="15.95" customHeight="1">
      <c r="A205" s="105"/>
      <c r="C205" s="140" t="s">
        <v>165</v>
      </c>
      <c r="D205" s="263">
        <f>I146</f>
        <v>10.399999999999999</v>
      </c>
      <c r="E205" s="105" t="s">
        <v>1</v>
      </c>
      <c r="H205" s="105"/>
      <c r="I205" s="105"/>
      <c r="J205" s="105"/>
      <c r="K205" s="105"/>
      <c r="L205" s="135"/>
      <c r="M205" s="135"/>
      <c r="N205" s="135"/>
    </row>
    <row r="206" spans="1:14" ht="15.95" customHeight="1">
      <c r="A206" s="105"/>
      <c r="C206" s="140" t="s">
        <v>298</v>
      </c>
      <c r="D206" s="263">
        <f>I150</f>
        <v>17.600000000000001</v>
      </c>
      <c r="E206" s="105"/>
      <c r="H206" s="105"/>
      <c r="I206" s="105"/>
      <c r="J206" s="105"/>
      <c r="K206" s="105"/>
      <c r="L206" s="135"/>
      <c r="M206" s="135"/>
      <c r="N206" s="135"/>
    </row>
    <row r="207" spans="1:14" ht="15.95" customHeight="1">
      <c r="A207" s="105"/>
      <c r="C207" s="140" t="s">
        <v>168</v>
      </c>
      <c r="D207" s="263">
        <v>20</v>
      </c>
      <c r="E207" s="105" t="s">
        <v>172</v>
      </c>
      <c r="H207" s="105"/>
      <c r="I207" s="105"/>
      <c r="J207" s="105"/>
      <c r="K207" s="105"/>
      <c r="L207" s="135"/>
      <c r="M207" s="135"/>
      <c r="N207" s="135"/>
    </row>
    <row r="208" spans="1:14" ht="15.95" customHeight="1">
      <c r="C208" s="212" t="s">
        <v>301</v>
      </c>
      <c r="D208" s="262">
        <f>F120/1</f>
        <v>16.895692307692308</v>
      </c>
      <c r="E208" s="92" t="s">
        <v>392</v>
      </c>
      <c r="H208" s="105"/>
      <c r="I208" s="105"/>
      <c r="J208" s="105"/>
      <c r="K208" s="105"/>
      <c r="L208" s="135"/>
      <c r="M208" s="135"/>
      <c r="N208" s="135"/>
    </row>
    <row r="209" spans="1:14" ht="15.95" customHeight="1">
      <c r="A209" s="105"/>
      <c r="C209" s="140" t="s">
        <v>393</v>
      </c>
      <c r="D209" s="263">
        <f>D208*D206*D210</f>
        <v>3092.58752</v>
      </c>
      <c r="E209" s="105" t="s">
        <v>389</v>
      </c>
      <c r="H209" s="105"/>
      <c r="I209" s="105"/>
      <c r="J209" s="105"/>
      <c r="K209" s="105"/>
      <c r="L209" s="135"/>
      <c r="M209" s="135"/>
      <c r="N209" s="135"/>
    </row>
    <row r="210" spans="1:14" ht="15.95" customHeight="1">
      <c r="A210" s="105"/>
      <c r="C210" s="140" t="s">
        <v>300</v>
      </c>
      <c r="D210" s="263">
        <f>D204+D205</f>
        <v>10.399999999999999</v>
      </c>
      <c r="E210" s="105" t="s">
        <v>1</v>
      </c>
      <c r="H210" s="105"/>
      <c r="I210" s="105"/>
      <c r="J210" s="105"/>
      <c r="K210" s="105"/>
      <c r="L210" s="135"/>
      <c r="M210" s="135"/>
      <c r="N210" s="135"/>
    </row>
    <row r="211" spans="1:14" ht="15.95" customHeight="1">
      <c r="A211" s="105"/>
      <c r="C211" s="140" t="s">
        <v>394</v>
      </c>
      <c r="D211" s="263">
        <f>D207*D210</f>
        <v>207.99999999999997</v>
      </c>
      <c r="E211" s="105" t="s">
        <v>389</v>
      </c>
      <c r="H211" s="105"/>
      <c r="I211" s="105"/>
      <c r="J211" s="105"/>
      <c r="K211" s="105"/>
      <c r="L211" s="135"/>
      <c r="M211" s="135"/>
      <c r="N211" s="135"/>
    </row>
    <row r="212" spans="1:14" ht="15.95" customHeight="1">
      <c r="C212" s="140" t="s">
        <v>398</v>
      </c>
      <c r="D212" s="263">
        <f>PI()*D205-2*D204</f>
        <v>32.672563597333841</v>
      </c>
      <c r="E212" s="105" t="s">
        <v>1</v>
      </c>
      <c r="H212" s="105"/>
      <c r="I212" s="105"/>
      <c r="J212" s="105"/>
      <c r="K212" s="105"/>
      <c r="L212" s="135"/>
      <c r="M212" s="135"/>
      <c r="N212" s="135"/>
    </row>
    <row r="213" spans="1:14" ht="15.95" customHeight="1">
      <c r="A213" s="92" t="s">
        <v>305</v>
      </c>
      <c r="C213" s="214"/>
      <c r="D213" s="263">
        <f>D208*D206*TAN(RADIANS(I148))+I147</f>
        <v>163.58665385460887</v>
      </c>
      <c r="E213" s="105" t="s">
        <v>172</v>
      </c>
      <c r="H213" s="105"/>
      <c r="I213" s="105"/>
      <c r="J213" s="105"/>
      <c r="K213" s="105"/>
      <c r="L213" s="135"/>
      <c r="M213" s="135"/>
      <c r="N213" s="135"/>
    </row>
    <row r="214" spans="1:14" ht="15.95" customHeight="1">
      <c r="A214" s="105" t="s">
        <v>299</v>
      </c>
      <c r="B214" s="105"/>
      <c r="C214" s="105"/>
      <c r="D214" s="105"/>
      <c r="E214" s="105"/>
      <c r="F214" s="105"/>
      <c r="G214" s="105"/>
      <c r="H214" s="105"/>
      <c r="I214" s="105"/>
      <c r="J214" s="105"/>
      <c r="K214" s="105"/>
      <c r="L214" s="135"/>
      <c r="M214" s="135"/>
      <c r="N214" s="135"/>
    </row>
    <row r="215" spans="1:14" ht="15.95" customHeight="1">
      <c r="A215" s="105"/>
      <c r="J215" s="105"/>
      <c r="K215" s="105"/>
      <c r="L215" s="135"/>
      <c r="M215" s="135"/>
      <c r="N215" s="135"/>
    </row>
    <row r="216" spans="1:14" ht="15.95" customHeight="1">
      <c r="A216" s="105" t="s">
        <v>302</v>
      </c>
      <c r="B216" s="105"/>
      <c r="C216" s="105"/>
      <c r="E216" s="105"/>
      <c r="G216" s="140" t="s">
        <v>372</v>
      </c>
      <c r="H216" s="183">
        <f>D213*D212*D210/(D209+D211)/(D210/2)</f>
        <v>3.2386933049663509</v>
      </c>
      <c r="I216" s="180" t="str">
        <f>IF(H216&gt;=J216,"&gt;","&lt;")</f>
        <v>&gt;</v>
      </c>
      <c r="J216" s="242">
        <v>1.2</v>
      </c>
      <c r="M216" s="135"/>
      <c r="N216" s="135"/>
    </row>
    <row r="217" spans="1:14" ht="15.95" customHeight="1">
      <c r="A217" s="105"/>
      <c r="B217" s="105"/>
      <c r="C217" s="105"/>
      <c r="D217" s="105"/>
      <c r="E217" s="105"/>
      <c r="F217" s="105"/>
      <c r="H217" s="149" t="str">
        <f>IF(H216&gt;=J216,"Đảm bảo khả năng chống trồi","NA")</f>
        <v>Đảm bảo khả năng chống trồi</v>
      </c>
      <c r="I217" s="135"/>
      <c r="M217" s="135"/>
      <c r="N217" s="135"/>
    </row>
    <row r="218" spans="1:14" ht="15.95" customHeight="1">
      <c r="A218" s="105"/>
      <c r="B218" s="105"/>
      <c r="C218" s="105"/>
      <c r="D218" s="105"/>
      <c r="E218" s="105"/>
      <c r="F218" s="105"/>
      <c r="G218" s="105"/>
      <c r="H218" s="105"/>
      <c r="I218" s="105"/>
      <c r="J218" s="105"/>
      <c r="K218" s="105"/>
      <c r="L218" s="135"/>
      <c r="M218" s="135"/>
      <c r="N218" s="135"/>
    </row>
    <row r="219" spans="1:14" ht="15.95" customHeight="1">
      <c r="A219" s="105"/>
      <c r="B219" s="105"/>
      <c r="C219" s="105"/>
      <c r="D219" s="105"/>
      <c r="E219" s="105"/>
      <c r="F219" s="105"/>
      <c r="G219" s="105"/>
      <c r="H219" s="105"/>
      <c r="I219" s="105"/>
      <c r="J219" s="105"/>
      <c r="K219" s="105"/>
      <c r="L219" s="135"/>
      <c r="M219" s="135"/>
      <c r="N219" s="135"/>
    </row>
    <row r="220" spans="1:14" ht="15.95" customHeight="1">
      <c r="A220" s="105"/>
      <c r="B220" s="105"/>
      <c r="C220" s="105"/>
      <c r="D220" s="105"/>
      <c r="E220" s="105"/>
      <c r="F220" s="105"/>
      <c r="G220" s="105"/>
      <c r="H220" s="105"/>
      <c r="I220" s="105"/>
      <c r="J220" s="105"/>
      <c r="K220" s="105"/>
      <c r="L220" s="135"/>
      <c r="M220" s="135"/>
      <c r="N220" s="135"/>
    </row>
    <row r="221" spans="1:14" ht="15.95" customHeight="1">
      <c r="A221" s="105"/>
      <c r="B221" s="105"/>
      <c r="C221" s="105"/>
      <c r="D221" s="105"/>
      <c r="E221" s="105"/>
      <c r="F221" s="105"/>
      <c r="G221" s="105"/>
      <c r="H221" s="105"/>
      <c r="I221" s="105"/>
      <c r="J221" s="105"/>
      <c r="K221" s="105"/>
      <c r="L221" s="135"/>
      <c r="M221" s="135"/>
      <c r="N221" s="135"/>
    </row>
    <row r="222" spans="1:14" ht="15.95" customHeight="1">
      <c r="A222" s="105"/>
      <c r="B222" s="105"/>
      <c r="C222" s="105"/>
      <c r="D222" s="105"/>
      <c r="E222" s="105"/>
      <c r="F222" s="105"/>
      <c r="G222" s="105"/>
      <c r="H222" s="105"/>
      <c r="I222" s="105"/>
      <c r="J222" s="105"/>
      <c r="K222" s="105"/>
      <c r="L222" s="135"/>
      <c r="M222" s="135"/>
      <c r="N222" s="135"/>
    </row>
    <row r="223" spans="1:14" ht="15.95" customHeight="1">
      <c r="A223" s="105"/>
      <c r="B223" s="105"/>
      <c r="C223" s="105"/>
      <c r="D223" s="105"/>
      <c r="E223" s="105"/>
      <c r="F223" s="105"/>
      <c r="G223" s="105"/>
      <c r="H223" s="105"/>
      <c r="I223" s="105"/>
      <c r="J223" s="105"/>
      <c r="K223" s="105"/>
      <c r="L223" s="135"/>
      <c r="M223" s="135"/>
      <c r="N223" s="135"/>
    </row>
    <row r="224" spans="1:14" ht="15.95" customHeight="1">
      <c r="A224" s="105"/>
      <c r="B224" s="105"/>
      <c r="C224" s="105"/>
      <c r="D224" s="105"/>
      <c r="E224" s="105"/>
      <c r="F224" s="105"/>
      <c r="G224" s="105"/>
      <c r="H224" s="105"/>
      <c r="I224" s="105"/>
      <c r="J224" s="105"/>
      <c r="K224" s="105"/>
      <c r="L224" s="135"/>
      <c r="M224" s="135"/>
      <c r="N224" s="135"/>
    </row>
    <row r="225" spans="1:15" ht="32.1" customHeight="1">
      <c r="A225" s="295" t="s">
        <v>384</v>
      </c>
      <c r="B225" s="310"/>
      <c r="C225" s="310"/>
      <c r="D225" s="310"/>
      <c r="E225" s="310"/>
      <c r="F225" s="310"/>
      <c r="G225" s="310"/>
      <c r="H225" s="310"/>
      <c r="I225" s="310"/>
      <c r="J225" s="311"/>
      <c r="K225" s="293"/>
      <c r="L225" s="294"/>
      <c r="M225" s="135"/>
      <c r="N225" s="135"/>
    </row>
    <row r="226" spans="1:15" ht="15.95" customHeight="1">
      <c r="A226" s="105"/>
      <c r="B226" s="201"/>
      <c r="C226" s="202"/>
      <c r="D226" s="105"/>
      <c r="E226" s="105"/>
      <c r="F226" s="105"/>
      <c r="G226" s="105"/>
      <c r="H226" s="105"/>
      <c r="I226" s="105"/>
      <c r="J226" s="105"/>
      <c r="K226" s="105"/>
      <c r="L226" s="135"/>
      <c r="M226" s="135"/>
      <c r="N226" s="135"/>
    </row>
    <row r="227" spans="1:15" ht="15.95" customHeight="1">
      <c r="A227" s="205" t="s">
        <v>139</v>
      </c>
      <c r="B227" s="201"/>
      <c r="C227" s="202"/>
      <c r="D227" s="105"/>
      <c r="E227" s="105"/>
      <c r="F227" s="105"/>
      <c r="G227" s="105"/>
      <c r="H227" s="105"/>
      <c r="I227" s="105"/>
      <c r="J227" s="105"/>
      <c r="K227" s="105"/>
      <c r="L227" s="135"/>
      <c r="M227" s="135"/>
      <c r="N227" s="135"/>
    </row>
    <row r="228" spans="1:15" ht="15.95" customHeight="1">
      <c r="A228" s="92" t="s">
        <v>163</v>
      </c>
      <c r="B228" s="201"/>
      <c r="C228" s="202"/>
      <c r="D228" s="105" t="s">
        <v>191</v>
      </c>
      <c r="E228" s="104">
        <v>4</v>
      </c>
      <c r="F228" s="105" t="s">
        <v>1</v>
      </c>
      <c r="G228" s="105"/>
      <c r="H228" s="105"/>
      <c r="I228" s="105"/>
      <c r="J228" s="105"/>
      <c r="K228" s="105"/>
      <c r="L228" s="135"/>
      <c r="M228" s="135"/>
      <c r="N228" s="135"/>
      <c r="O228" s="215"/>
    </row>
    <row r="229" spans="1:15" ht="15.95" customHeight="1">
      <c r="A229" s="105" t="s">
        <v>164</v>
      </c>
      <c r="B229" s="201"/>
      <c r="C229" s="214"/>
      <c r="D229" s="105" t="s">
        <v>189</v>
      </c>
      <c r="E229" s="102">
        <f>F119</f>
        <v>10.399999999999999</v>
      </c>
      <c r="F229" s="105" t="s">
        <v>1</v>
      </c>
      <c r="G229" s="105"/>
      <c r="H229" s="105"/>
      <c r="I229" s="105"/>
      <c r="J229" s="105"/>
      <c r="K229" s="105"/>
      <c r="M229" s="135"/>
      <c r="N229" s="135"/>
    </row>
    <row r="230" spans="1:15" ht="15.95" customHeight="1">
      <c r="A230" s="105" t="s">
        <v>166</v>
      </c>
      <c r="B230" s="135"/>
      <c r="C230" s="135"/>
      <c r="D230" s="135" t="s">
        <v>190</v>
      </c>
      <c r="E230" s="102">
        <f>E229/2</f>
        <v>5.1999999999999993</v>
      </c>
      <c r="F230" s="135" t="s">
        <v>1</v>
      </c>
      <c r="G230" s="135"/>
      <c r="H230" s="135"/>
      <c r="I230" s="135"/>
      <c r="J230" s="135"/>
      <c r="K230" s="135"/>
    </row>
    <row r="231" spans="1:15" ht="15.95" customHeight="1">
      <c r="A231" s="135"/>
      <c r="B231" s="135"/>
      <c r="C231" s="135"/>
      <c r="D231" s="140"/>
      <c r="E231" s="135"/>
      <c r="F231" s="105"/>
      <c r="G231" s="135"/>
      <c r="H231" s="135"/>
      <c r="I231" s="135"/>
      <c r="J231" s="135"/>
      <c r="K231" s="135"/>
    </row>
    <row r="232" spans="1:15" ht="15.95" customHeight="1">
      <c r="A232" s="135" t="s">
        <v>240</v>
      </c>
      <c r="B232" s="135"/>
      <c r="C232" s="135"/>
      <c r="D232" s="135" t="s">
        <v>373</v>
      </c>
      <c r="E232" s="102">
        <v>10</v>
      </c>
      <c r="F232" s="105" t="s">
        <v>335</v>
      </c>
      <c r="G232" s="135"/>
      <c r="H232" s="135"/>
      <c r="I232" s="135"/>
      <c r="J232" s="135"/>
      <c r="K232" s="135"/>
    </row>
    <row r="233" spans="1:15" ht="15.95" customHeight="1">
      <c r="A233" s="135"/>
      <c r="B233" s="135"/>
      <c r="C233" s="135"/>
      <c r="D233" s="135"/>
      <c r="E233" s="135"/>
      <c r="F233" s="135"/>
      <c r="G233" s="135"/>
      <c r="H233" s="135"/>
      <c r="I233" s="135"/>
      <c r="J233" s="135"/>
      <c r="K233" s="135"/>
    </row>
    <row r="234" spans="1:15" ht="15.95" customHeight="1">
      <c r="A234" s="92" t="s">
        <v>169</v>
      </c>
      <c r="F234" s="105"/>
      <c r="G234" s="105"/>
      <c r="H234" s="105"/>
      <c r="I234" s="105"/>
      <c r="J234" s="105"/>
      <c r="K234" s="135"/>
    </row>
    <row r="235" spans="1:15" ht="15.95" customHeight="1">
      <c r="A235" s="92" t="s">
        <v>170</v>
      </c>
      <c r="B235" s="249">
        <f>$G$42</f>
        <v>6</v>
      </c>
      <c r="D235" s="216" t="s">
        <v>374</v>
      </c>
      <c r="E235" s="102">
        <f>G109</f>
        <v>20.02411091018686</v>
      </c>
      <c r="F235" s="135" t="s">
        <v>335</v>
      </c>
      <c r="G235" s="135"/>
      <c r="H235" s="135"/>
      <c r="I235" s="135"/>
      <c r="J235" s="135"/>
      <c r="K235" s="135"/>
    </row>
    <row r="236" spans="1:15" ht="15.95" customHeight="1">
      <c r="H236" s="135"/>
      <c r="I236" s="135"/>
      <c r="J236" s="135"/>
      <c r="K236" s="135"/>
    </row>
    <row r="237" spans="1:15" ht="15.95" customHeight="1">
      <c r="A237" s="105" t="s">
        <v>171</v>
      </c>
      <c r="B237" s="105"/>
      <c r="C237" s="105"/>
      <c r="D237" s="217"/>
      <c r="E237" s="195"/>
      <c r="F237" s="135"/>
      <c r="G237" s="135"/>
      <c r="H237" s="135"/>
      <c r="I237" s="135"/>
      <c r="J237" s="135"/>
      <c r="K237" s="135"/>
    </row>
    <row r="238" spans="1:15" ht="15.95" customHeight="1">
      <c r="A238" s="135"/>
      <c r="B238" s="135" t="s">
        <v>375</v>
      </c>
      <c r="C238" s="135"/>
      <c r="D238" s="135"/>
      <c r="E238" s="106">
        <f>(E235-10)*E229*E229/2</f>
        <v>542.10391802290519</v>
      </c>
      <c r="F238" s="92" t="s">
        <v>172</v>
      </c>
      <c r="G238" s="135"/>
      <c r="H238" s="135"/>
      <c r="I238" s="135"/>
      <c r="J238" s="135"/>
      <c r="K238" s="135"/>
    </row>
    <row r="239" spans="1:15" ht="15.95" customHeight="1">
      <c r="G239" s="135"/>
      <c r="I239" s="139"/>
      <c r="J239" s="135"/>
      <c r="K239" s="135"/>
    </row>
    <row r="240" spans="1:15" ht="15.95" customHeight="1">
      <c r="A240" s="135" t="s">
        <v>173</v>
      </c>
      <c r="B240" s="135"/>
      <c r="C240" s="135"/>
      <c r="D240" s="135"/>
      <c r="E240" s="135"/>
      <c r="F240" s="135"/>
      <c r="H240" s="209"/>
      <c r="I240" s="139"/>
      <c r="J240" s="135"/>
      <c r="K240" s="135"/>
    </row>
    <row r="241" spans="1:11" ht="15.95" customHeight="1">
      <c r="A241" s="105"/>
      <c r="B241" s="135"/>
      <c r="C241" s="135" t="s">
        <v>376</v>
      </c>
      <c r="D241" s="207"/>
      <c r="E241" s="106">
        <f>E232*E228*E230</f>
        <v>207.99999999999997</v>
      </c>
      <c r="F241" s="92" t="s">
        <v>172</v>
      </c>
      <c r="G241" s="209"/>
      <c r="J241" s="135"/>
      <c r="K241" s="135"/>
    </row>
    <row r="242" spans="1:11" ht="15.95" customHeight="1">
      <c r="A242" s="105"/>
      <c r="B242" s="135"/>
      <c r="C242" s="135"/>
      <c r="D242" s="207"/>
      <c r="E242" s="107"/>
      <c r="I242" s="139"/>
      <c r="J242" s="135"/>
      <c r="K242" s="135"/>
    </row>
    <row r="243" spans="1:11" ht="15.95" customHeight="1">
      <c r="A243" s="105" t="s">
        <v>188</v>
      </c>
      <c r="B243" s="135"/>
      <c r="C243" s="218"/>
      <c r="G243" s="209"/>
      <c r="H243" s="200"/>
      <c r="J243" s="209"/>
      <c r="K243" s="135"/>
    </row>
    <row r="244" spans="1:11" ht="15.95" customHeight="1">
      <c r="A244" s="105"/>
      <c r="B244" s="135"/>
      <c r="C244" s="218"/>
      <c r="D244" s="207"/>
      <c r="E244" s="208"/>
      <c r="F244" s="218"/>
      <c r="G244" s="200"/>
    </row>
    <row r="245" spans="1:11" ht="15.95" customHeight="1">
      <c r="A245" s="207"/>
      <c r="B245" s="138" t="s">
        <v>192</v>
      </c>
      <c r="C245" s="218"/>
      <c r="D245" s="253">
        <f>E238/E241</f>
        <v>2.6062688366485829</v>
      </c>
      <c r="E245" s="185" t="str">
        <f>IF(D245&gt;=F245,"&gt;","&lt;")</f>
        <v>&gt;</v>
      </c>
      <c r="F245" s="254">
        <v>1.2</v>
      </c>
      <c r="H245" s="135"/>
      <c r="I245" s="135"/>
      <c r="J245" s="135"/>
      <c r="K245" s="138"/>
    </row>
    <row r="246" spans="1:11" ht="15.95" customHeight="1">
      <c r="A246" s="147" t="s">
        <v>161</v>
      </c>
      <c r="B246" s="196"/>
      <c r="C246" s="197" t="str">
        <f>IF(E238&gt;=E241,"Hố đào không bị thổi bùng","Hố đào bị thổi bùng")</f>
        <v>Hố đào không bị thổi bùng</v>
      </c>
      <c r="D246" s="198"/>
      <c r="E246" s="199"/>
      <c r="F246" s="200"/>
      <c r="G246" s="207"/>
      <c r="H246" s="135"/>
      <c r="I246" s="135"/>
      <c r="J246" s="135"/>
      <c r="K246" s="138"/>
    </row>
    <row r="247" spans="1:11" ht="15.95" customHeight="1">
      <c r="A247" s="135"/>
      <c r="B247" s="135"/>
      <c r="C247" s="206"/>
      <c r="D247" s="207"/>
      <c r="E247" s="208"/>
      <c r="F247" s="206"/>
      <c r="G247" s="207"/>
      <c r="H247" s="135"/>
      <c r="I247" s="135"/>
      <c r="J247" s="135"/>
      <c r="K247" s="138"/>
    </row>
    <row r="248" spans="1:11" ht="15.95" customHeight="1">
      <c r="A248" s="105"/>
      <c r="B248" s="105"/>
      <c r="C248" s="105"/>
      <c r="D248" s="105"/>
      <c r="E248" s="105"/>
      <c r="F248" s="105"/>
      <c r="G248" s="105"/>
      <c r="H248" s="105"/>
      <c r="I248" s="105"/>
      <c r="J248" s="105"/>
      <c r="K248" s="105"/>
    </row>
    <row r="249" spans="1:11" ht="15.95" customHeight="1">
      <c r="A249" s="202"/>
      <c r="B249" s="105"/>
      <c r="C249" s="105"/>
      <c r="D249" s="220"/>
      <c r="E249" s="138"/>
      <c r="F249" s="221"/>
      <c r="G249" s="214"/>
      <c r="H249" s="148"/>
      <c r="I249" s="158"/>
      <c r="J249" s="148"/>
      <c r="K249" s="105"/>
    </row>
    <row r="250" spans="1:11" ht="15.95" customHeight="1">
      <c r="A250" s="105"/>
      <c r="B250" s="222"/>
      <c r="C250" s="105"/>
      <c r="D250" s="140"/>
      <c r="E250" s="105"/>
      <c r="F250" s="140"/>
      <c r="G250" s="138"/>
      <c r="H250" s="148"/>
      <c r="I250" s="158"/>
      <c r="J250" s="148"/>
      <c r="K250" s="105"/>
    </row>
    <row r="251" spans="1:11" ht="15.95" customHeight="1">
      <c r="A251" s="105"/>
      <c r="B251" s="222"/>
      <c r="C251" s="105"/>
      <c r="D251" s="140"/>
      <c r="E251" s="138"/>
      <c r="F251" s="140"/>
      <c r="G251" s="138"/>
      <c r="H251" s="148"/>
      <c r="I251" s="158"/>
      <c r="J251" s="148"/>
      <c r="K251" s="105"/>
    </row>
    <row r="252" spans="1:11" ht="15.95" customHeight="1">
      <c r="A252" s="105"/>
      <c r="B252" s="105"/>
      <c r="C252" s="105"/>
      <c r="D252" s="140"/>
      <c r="E252" s="105"/>
      <c r="F252" s="140"/>
      <c r="G252" s="138"/>
      <c r="H252" s="148"/>
      <c r="I252" s="158"/>
      <c r="J252" s="148"/>
      <c r="K252" s="105"/>
    </row>
    <row r="253" spans="1:11" ht="15.95" customHeight="1">
      <c r="A253" s="105"/>
      <c r="B253" s="105"/>
      <c r="C253" s="105"/>
      <c r="D253" s="140"/>
      <c r="E253" s="105"/>
      <c r="F253" s="140"/>
      <c r="G253" s="138"/>
      <c r="H253" s="148"/>
      <c r="I253" s="158"/>
      <c r="J253" s="148"/>
      <c r="K253" s="105"/>
    </row>
    <row r="254" spans="1:11" ht="15.95" customHeight="1">
      <c r="A254" s="105"/>
      <c r="B254" s="105"/>
      <c r="C254" s="105"/>
      <c r="D254" s="140"/>
      <c r="E254" s="105"/>
      <c r="F254" s="140"/>
      <c r="G254" s="208"/>
      <c r="H254" s="223"/>
      <c r="I254" s="158"/>
      <c r="J254" s="148"/>
      <c r="K254" s="105"/>
    </row>
    <row r="255" spans="1:11" ht="15.95" customHeight="1">
      <c r="A255" s="105"/>
      <c r="B255" s="105"/>
      <c r="C255" s="105"/>
      <c r="D255" s="105"/>
      <c r="E255" s="105"/>
      <c r="F255" s="105"/>
      <c r="G255" s="105"/>
      <c r="H255" s="105"/>
      <c r="I255" s="105"/>
      <c r="J255" s="105"/>
      <c r="K255" s="105"/>
    </row>
    <row r="256" spans="1:11" ht="15.95" customHeight="1">
      <c r="A256" s="105"/>
      <c r="B256" s="105"/>
      <c r="C256" s="105"/>
      <c r="D256" s="105"/>
      <c r="E256" s="105"/>
      <c r="F256" s="105"/>
      <c r="G256" s="105"/>
      <c r="H256" s="105"/>
      <c r="I256" s="105"/>
      <c r="J256" s="105"/>
      <c r="K256" s="105"/>
    </row>
    <row r="257" spans="1:12" ht="15.95" customHeight="1">
      <c r="A257" s="105"/>
      <c r="B257" s="105"/>
      <c r="C257" s="105"/>
      <c r="D257" s="105"/>
      <c r="E257" s="105"/>
      <c r="F257" s="105"/>
      <c r="G257" s="105"/>
      <c r="H257" s="105"/>
      <c r="I257" s="105"/>
      <c r="J257" s="105"/>
      <c r="K257" s="105"/>
    </row>
    <row r="258" spans="1:12" ht="15.95" customHeight="1">
      <c r="A258" s="105"/>
      <c r="B258" s="224"/>
      <c r="C258" s="202"/>
      <c r="D258" s="105"/>
      <c r="E258" s="105"/>
      <c r="F258" s="105"/>
      <c r="G258" s="105"/>
      <c r="H258" s="105"/>
      <c r="I258" s="105"/>
      <c r="J258" s="105"/>
      <c r="K258" s="105"/>
    </row>
    <row r="259" spans="1:12" ht="15.95" customHeight="1">
      <c r="A259" s="105"/>
      <c r="B259" s="201"/>
      <c r="C259" s="202"/>
      <c r="D259" s="105"/>
      <c r="E259" s="105"/>
      <c r="F259" s="105"/>
      <c r="G259" s="105"/>
      <c r="H259" s="105"/>
      <c r="I259" s="105"/>
      <c r="J259" s="105"/>
      <c r="K259" s="105"/>
    </row>
    <row r="260" spans="1:12" ht="15.95" customHeight="1">
      <c r="A260" s="105"/>
      <c r="B260" s="201"/>
      <c r="C260" s="202"/>
      <c r="D260" s="105"/>
      <c r="E260" s="105"/>
      <c r="F260" s="105"/>
      <c r="G260" s="105"/>
      <c r="H260" s="105"/>
      <c r="I260" s="105"/>
      <c r="J260" s="105"/>
      <c r="K260" s="105"/>
    </row>
    <row r="261" spans="1:12" ht="15.95" customHeight="1">
      <c r="A261" s="105"/>
      <c r="B261" s="201"/>
      <c r="C261" s="202"/>
      <c r="D261" s="105"/>
      <c r="E261" s="105"/>
      <c r="F261" s="105"/>
      <c r="G261" s="105"/>
      <c r="H261" s="105"/>
      <c r="I261" s="105"/>
      <c r="J261" s="105"/>
      <c r="K261" s="105"/>
    </row>
    <row r="262" spans="1:12" ht="15.95" customHeight="1">
      <c r="A262" s="105"/>
      <c r="B262" s="201"/>
      <c r="C262" s="202"/>
      <c r="D262" s="105"/>
      <c r="E262" s="105"/>
      <c r="F262" s="105"/>
      <c r="G262" s="105"/>
      <c r="H262" s="105"/>
      <c r="I262" s="105"/>
      <c r="J262" s="105"/>
      <c r="K262" s="105"/>
    </row>
    <row r="263" spans="1:12" ht="15.95" customHeight="1">
      <c r="A263" s="105"/>
      <c r="B263" s="201"/>
      <c r="C263" s="202"/>
      <c r="D263" s="105"/>
      <c r="E263" s="105"/>
      <c r="F263" s="105"/>
      <c r="G263" s="105"/>
      <c r="H263" s="105"/>
      <c r="I263" s="105"/>
      <c r="J263" s="105"/>
      <c r="K263" s="105"/>
    </row>
    <row r="264" spans="1:12" ht="15.95" customHeight="1">
      <c r="A264" s="105"/>
      <c r="B264" s="201"/>
      <c r="C264" s="214"/>
      <c r="D264" s="105"/>
      <c r="E264" s="105"/>
      <c r="F264" s="105"/>
      <c r="G264" s="105"/>
      <c r="H264" s="105"/>
      <c r="I264" s="105"/>
      <c r="J264" s="105"/>
      <c r="K264" s="105"/>
    </row>
    <row r="265" spans="1:12" ht="15.95" customHeight="1">
      <c r="A265" s="135"/>
      <c r="B265" s="135"/>
      <c r="C265" s="135"/>
      <c r="D265" s="135"/>
      <c r="E265" s="135"/>
      <c r="F265" s="135"/>
      <c r="G265" s="135"/>
      <c r="H265" s="135"/>
      <c r="I265" s="135"/>
      <c r="J265" s="135"/>
      <c r="K265" s="135"/>
    </row>
    <row r="266" spans="1:12" ht="15.95" customHeight="1">
      <c r="A266" s="135"/>
      <c r="B266" s="135"/>
      <c r="C266" s="135"/>
      <c r="D266" s="135"/>
      <c r="E266" s="135"/>
      <c r="F266" s="135"/>
      <c r="G266" s="225"/>
      <c r="H266" s="135"/>
      <c r="I266" s="135"/>
      <c r="J266" s="135"/>
      <c r="K266" s="135"/>
    </row>
    <row r="267" spans="1:12" ht="15.95" customHeight="1">
      <c r="A267" s="135"/>
      <c r="B267" s="135"/>
      <c r="C267" s="135"/>
      <c r="D267" s="135"/>
      <c r="E267" s="135"/>
      <c r="F267" s="135"/>
      <c r="G267" s="135"/>
      <c r="H267" s="135"/>
      <c r="I267" s="135"/>
      <c r="J267" s="135"/>
      <c r="K267" s="135"/>
    </row>
    <row r="268" spans="1:12" ht="15.95" customHeight="1">
      <c r="A268" s="135"/>
      <c r="B268" s="135"/>
      <c r="C268" s="135"/>
      <c r="D268" s="135"/>
      <c r="E268" s="135"/>
      <c r="F268" s="135"/>
      <c r="G268" s="135"/>
      <c r="H268" s="135"/>
      <c r="I268" s="135"/>
      <c r="J268" s="135"/>
      <c r="K268" s="135"/>
    </row>
    <row r="269" spans="1:12" ht="15.95" customHeight="1">
      <c r="A269" s="135"/>
      <c r="B269" s="135"/>
      <c r="C269" s="135"/>
      <c r="D269" s="135"/>
      <c r="E269" s="135"/>
      <c r="F269" s="135"/>
      <c r="G269" s="135"/>
      <c r="H269" s="135"/>
      <c r="I269" s="135"/>
      <c r="J269" s="135"/>
      <c r="K269" s="135"/>
    </row>
    <row r="270" spans="1:12" ht="32.1" customHeight="1">
      <c r="A270" s="295" t="s">
        <v>385</v>
      </c>
      <c r="B270" s="296"/>
      <c r="C270" s="296"/>
      <c r="D270" s="296"/>
      <c r="E270" s="296"/>
      <c r="F270" s="296"/>
      <c r="G270" s="296"/>
      <c r="H270" s="296"/>
      <c r="I270" s="296"/>
      <c r="J270" s="297"/>
      <c r="K270" s="244"/>
      <c r="L270" s="244"/>
    </row>
    <row r="271" spans="1:12" ht="15.95" customHeight="1">
      <c r="A271" s="149"/>
      <c r="B271" s="201"/>
      <c r="C271" s="202"/>
      <c r="D271" s="105"/>
      <c r="E271" s="105"/>
      <c r="F271" s="105"/>
      <c r="G271" s="105"/>
      <c r="H271" s="105"/>
      <c r="I271" s="105"/>
      <c r="J271" s="105"/>
      <c r="K271" s="105"/>
    </row>
    <row r="272" spans="1:12" ht="15.95" customHeight="1">
      <c r="A272" s="205" t="s">
        <v>139</v>
      </c>
      <c r="B272" s="201"/>
      <c r="C272" s="202"/>
      <c r="D272" s="105"/>
      <c r="E272" s="105"/>
      <c r="F272" s="105"/>
      <c r="G272" s="105"/>
      <c r="H272" s="105"/>
      <c r="I272" s="105"/>
      <c r="J272" s="105"/>
      <c r="K272" s="105"/>
    </row>
    <row r="273" spans="1:11" ht="15.95" customHeight="1">
      <c r="A273" s="92" t="s">
        <v>163</v>
      </c>
      <c r="B273" s="201"/>
      <c r="C273" s="202"/>
      <c r="D273" s="105" t="s">
        <v>191</v>
      </c>
      <c r="E273" s="250">
        <f>E228</f>
        <v>4</v>
      </c>
      <c r="F273" s="105" t="s">
        <v>1</v>
      </c>
      <c r="G273" s="105"/>
      <c r="H273" s="105"/>
      <c r="I273" s="105"/>
      <c r="J273" s="105"/>
      <c r="K273" s="105"/>
    </row>
    <row r="274" spans="1:11" ht="15.95" customHeight="1">
      <c r="A274" s="105" t="s">
        <v>164</v>
      </c>
      <c r="B274" s="201"/>
      <c r="C274" s="214"/>
      <c r="D274" s="105" t="s">
        <v>189</v>
      </c>
      <c r="E274" s="102">
        <f>E229</f>
        <v>10.399999999999999</v>
      </c>
      <c r="F274" s="105" t="s">
        <v>1</v>
      </c>
      <c r="G274" s="105"/>
      <c r="H274" s="105"/>
      <c r="I274" s="105"/>
      <c r="J274" s="105"/>
      <c r="K274" s="105"/>
    </row>
    <row r="275" spans="1:11" ht="15.95" customHeight="1">
      <c r="A275" s="105" t="s">
        <v>193</v>
      </c>
      <c r="B275" s="135"/>
      <c r="C275" s="135"/>
      <c r="D275" s="135" t="s">
        <v>104</v>
      </c>
      <c r="E275" s="102">
        <f>E273+2*E274</f>
        <v>24.799999999999997</v>
      </c>
      <c r="F275" s="135" t="s">
        <v>1</v>
      </c>
      <c r="G275" s="135"/>
      <c r="H275" s="135"/>
      <c r="I275" s="135"/>
      <c r="J275" s="135"/>
      <c r="K275" s="135"/>
    </row>
    <row r="276" spans="1:11" ht="15.95" customHeight="1">
      <c r="A276" s="135" t="s">
        <v>195</v>
      </c>
      <c r="B276" s="135"/>
      <c r="C276" s="135"/>
      <c r="D276" s="135"/>
      <c r="E276" s="135"/>
      <c r="F276" s="135"/>
      <c r="G276" s="225"/>
      <c r="H276" s="135"/>
      <c r="I276" s="135"/>
      <c r="J276" s="135"/>
      <c r="K276" s="135"/>
    </row>
    <row r="277" spans="1:11" ht="15.95" customHeight="1">
      <c r="A277" s="135"/>
      <c r="B277" s="135" t="s">
        <v>377</v>
      </c>
      <c r="C277" s="135"/>
      <c r="D277" s="140"/>
      <c r="E277" s="108"/>
      <c r="F277" s="105"/>
      <c r="G277" s="135"/>
      <c r="H277" s="135"/>
      <c r="I277" s="135"/>
      <c r="J277" s="135"/>
      <c r="K277" s="135"/>
    </row>
    <row r="278" spans="1:11" ht="15.95" customHeight="1">
      <c r="A278" s="135"/>
      <c r="B278" s="135" t="s">
        <v>196</v>
      </c>
      <c r="C278" s="135"/>
      <c r="D278" s="135"/>
      <c r="E278" s="109"/>
      <c r="F278" s="105"/>
      <c r="G278" s="135"/>
      <c r="H278" s="135"/>
      <c r="I278" s="135"/>
      <c r="J278" s="135"/>
      <c r="K278" s="135"/>
    </row>
    <row r="279" spans="1:11" ht="15.95" customHeight="1">
      <c r="A279" s="135"/>
      <c r="B279" s="135" t="s">
        <v>197</v>
      </c>
      <c r="C279" s="135"/>
      <c r="D279" s="135"/>
      <c r="E279" s="135"/>
      <c r="F279" s="135"/>
      <c r="G279" s="135"/>
      <c r="H279" s="135"/>
      <c r="I279" s="135"/>
      <c r="J279" s="135"/>
      <c r="K279" s="135"/>
    </row>
    <row r="280" spans="1:11" ht="15.95" customHeight="1">
      <c r="G280" s="105"/>
      <c r="H280" s="105"/>
      <c r="I280" s="105"/>
      <c r="J280" s="105"/>
      <c r="K280" s="135"/>
    </row>
    <row r="281" spans="1:11" ht="15.95" customHeight="1">
      <c r="A281" s="92" t="s">
        <v>194</v>
      </c>
      <c r="F281" s="105"/>
      <c r="G281" s="135"/>
      <c r="H281" s="135"/>
      <c r="I281" s="135"/>
      <c r="J281" s="135"/>
      <c r="K281" s="135"/>
    </row>
    <row r="282" spans="1:11" ht="15.95" customHeight="1">
      <c r="A282" s="92" t="s">
        <v>170</v>
      </c>
      <c r="B282" s="249">
        <f>G42</f>
        <v>6</v>
      </c>
      <c r="D282" s="216" t="s">
        <v>378</v>
      </c>
      <c r="E282" s="102">
        <f>E235-10</f>
        <v>10.02411091018686</v>
      </c>
      <c r="F282" s="135" t="s">
        <v>335</v>
      </c>
      <c r="G282" s="135"/>
      <c r="H282" s="135"/>
      <c r="I282" s="135"/>
      <c r="J282" s="135"/>
      <c r="K282" s="135"/>
    </row>
    <row r="283" spans="1:11" ht="15.95" customHeight="1">
      <c r="G283" s="135"/>
      <c r="H283" s="135"/>
      <c r="I283" s="135"/>
      <c r="J283" s="135"/>
      <c r="K283" s="135"/>
    </row>
    <row r="284" spans="1:11" ht="15.95" customHeight="1">
      <c r="A284" s="105" t="s">
        <v>171</v>
      </c>
      <c r="B284" s="105"/>
      <c r="C284" s="105"/>
      <c r="D284" s="217"/>
      <c r="E284" s="195"/>
      <c r="F284" s="135"/>
      <c r="G284" s="135"/>
      <c r="H284" s="135"/>
      <c r="I284" s="135"/>
      <c r="J284" s="135"/>
      <c r="K284" s="135"/>
    </row>
    <row r="285" spans="1:11" ht="15.95" customHeight="1">
      <c r="A285" s="135"/>
      <c r="B285" s="135"/>
      <c r="C285" s="135"/>
      <c r="D285" s="135"/>
      <c r="E285" s="109"/>
      <c r="F285" s="105"/>
      <c r="G285" s="207"/>
      <c r="H285" s="135"/>
      <c r="I285" s="139"/>
      <c r="J285" s="135"/>
      <c r="K285" s="135"/>
    </row>
    <row r="286" spans="1:11" ht="15.95" customHeight="1">
      <c r="A286" s="105" t="s">
        <v>198</v>
      </c>
      <c r="B286" s="135"/>
      <c r="C286" s="135"/>
      <c r="D286" s="135"/>
      <c r="E286" s="135"/>
      <c r="F286" s="135"/>
      <c r="G286" s="209"/>
      <c r="I286" s="139"/>
      <c r="J286" s="135"/>
      <c r="K286" s="135"/>
    </row>
    <row r="287" spans="1:11" ht="15.95" customHeight="1">
      <c r="A287" s="105"/>
      <c r="B287" s="105"/>
      <c r="C287" s="135"/>
      <c r="D287" s="207"/>
      <c r="E287" s="109"/>
      <c r="F287" s="105"/>
      <c r="J287" s="135"/>
      <c r="K287" s="135"/>
    </row>
    <row r="288" spans="1:11" ht="15.95" customHeight="1">
      <c r="A288" s="138" t="s">
        <v>199</v>
      </c>
      <c r="B288" s="218"/>
      <c r="C288" s="253">
        <f>E282/10*E275/E273</f>
        <v>6.2149487643158512</v>
      </c>
      <c r="D288" s="185" t="str">
        <f>IF(C288&gt;=E288,"&gt;","&lt;")</f>
        <v>&gt;</v>
      </c>
      <c r="E288" s="261">
        <v>2</v>
      </c>
      <c r="F288" s="218"/>
      <c r="G288" s="209"/>
      <c r="I288" s="139"/>
      <c r="J288" s="135"/>
      <c r="K288" s="135"/>
    </row>
    <row r="289" spans="1:11" ht="15.95" customHeight="1">
      <c r="B289" s="135"/>
      <c r="C289" s="218"/>
      <c r="D289" s="207"/>
      <c r="G289" s="200"/>
      <c r="H289" s="200"/>
      <c r="J289" s="209"/>
      <c r="K289" s="135"/>
    </row>
    <row r="290" spans="1:11" ht="15.95" customHeight="1">
      <c r="A290" s="147" t="s">
        <v>161</v>
      </c>
      <c r="B290" s="196"/>
      <c r="C290" s="197" t="str">
        <f>IF(C288&gt;=E288,"Hố đào không bị chảy thấm","Hố đào bị chảy thấm")</f>
        <v>Hố đào không bị chảy thấm</v>
      </c>
      <c r="D290" s="198"/>
      <c r="E290" s="199"/>
      <c r="F290" s="200"/>
      <c r="G290" s="200"/>
      <c r="H290" s="200"/>
      <c r="J290" s="209"/>
      <c r="K290" s="135"/>
    </row>
    <row r="291" spans="1:11" ht="15.95" customHeight="1">
      <c r="G291" s="200"/>
      <c r="H291" s="200"/>
      <c r="J291" s="209"/>
      <c r="K291" s="135"/>
    </row>
    <row r="292" spans="1:11" ht="15.95" customHeight="1">
      <c r="G292" s="200"/>
      <c r="H292" s="200"/>
      <c r="J292" s="209"/>
      <c r="K292" s="135"/>
    </row>
    <row r="293" spans="1:11" ht="15.95" customHeight="1">
      <c r="A293" s="226"/>
      <c r="G293" s="200"/>
      <c r="H293" s="200"/>
      <c r="J293" s="209"/>
      <c r="K293" s="135"/>
    </row>
    <row r="294" spans="1:11" ht="15.95" customHeight="1">
      <c r="G294" s="200"/>
      <c r="H294" s="200"/>
      <c r="J294" s="209"/>
      <c r="K294" s="135"/>
    </row>
    <row r="295" spans="1:11" ht="15.95" customHeight="1">
      <c r="A295" s="226"/>
      <c r="G295" s="200"/>
      <c r="H295" s="200"/>
      <c r="J295" s="209"/>
      <c r="K295" s="135"/>
    </row>
    <row r="296" spans="1:11" ht="15.95" customHeight="1">
      <c r="A296" s="181"/>
      <c r="G296" s="200"/>
      <c r="H296" s="200"/>
      <c r="J296" s="209"/>
      <c r="K296" s="135"/>
    </row>
    <row r="297" spans="1:11" ht="15.95" customHeight="1">
      <c r="A297" s="181"/>
      <c r="G297" s="200"/>
      <c r="H297" s="200"/>
      <c r="J297" s="209"/>
      <c r="K297" s="135"/>
    </row>
    <row r="298" spans="1:11" ht="15.95" customHeight="1">
      <c r="A298" s="181"/>
      <c r="G298" s="200"/>
      <c r="H298" s="200"/>
      <c r="J298" s="209"/>
      <c r="K298" s="135"/>
    </row>
    <row r="299" spans="1:11" ht="15.95" customHeight="1">
      <c r="A299" s="181"/>
      <c r="G299" s="200"/>
      <c r="H299" s="200"/>
      <c r="J299" s="209"/>
      <c r="K299" s="135"/>
    </row>
    <row r="300" spans="1:11" ht="15.95" customHeight="1">
      <c r="A300" s="181"/>
      <c r="G300" s="200"/>
      <c r="H300" s="200"/>
      <c r="J300" s="209"/>
      <c r="K300" s="135"/>
    </row>
    <row r="301" spans="1:11" ht="15.95" customHeight="1">
      <c r="A301" s="181"/>
      <c r="G301" s="200"/>
      <c r="H301" s="200"/>
      <c r="J301" s="209"/>
      <c r="K301" s="135"/>
    </row>
    <row r="302" spans="1:11" ht="15.95" customHeight="1">
      <c r="G302" s="200"/>
      <c r="H302" s="200"/>
      <c r="J302" s="209"/>
      <c r="K302" s="135"/>
    </row>
    <row r="303" spans="1:11" ht="15.95" customHeight="1">
      <c r="A303" s="105"/>
      <c r="G303" s="200"/>
      <c r="H303" s="200"/>
      <c r="J303" s="209"/>
      <c r="K303" s="135"/>
    </row>
    <row r="304" spans="1:11" ht="15.95" customHeight="1">
      <c r="G304" s="200"/>
      <c r="H304" s="200"/>
      <c r="J304" s="209"/>
      <c r="K304" s="135"/>
    </row>
    <row r="305" spans="1:12" ht="15.95" customHeight="1">
      <c r="D305" s="185"/>
      <c r="G305" s="200"/>
      <c r="H305" s="200"/>
      <c r="J305" s="209"/>
      <c r="K305" s="135"/>
    </row>
    <row r="306" spans="1:12" ht="15.95" customHeight="1">
      <c r="G306" s="200"/>
      <c r="H306" s="200"/>
      <c r="J306" s="209"/>
      <c r="K306" s="135"/>
    </row>
    <row r="307" spans="1:12" ht="15.95" customHeight="1">
      <c r="G307" s="200"/>
      <c r="H307" s="200"/>
      <c r="J307" s="209"/>
      <c r="K307" s="135"/>
    </row>
    <row r="308" spans="1:12" ht="15.95" customHeight="1">
      <c r="A308" s="197"/>
      <c r="G308" s="200"/>
      <c r="H308" s="200"/>
      <c r="J308" s="209"/>
      <c r="K308" s="135"/>
    </row>
    <row r="309" spans="1:12" ht="15.95" customHeight="1">
      <c r="G309" s="200"/>
      <c r="H309" s="200"/>
      <c r="J309" s="209"/>
      <c r="K309" s="135"/>
    </row>
    <row r="310" spans="1:12" ht="15.95" customHeight="1">
      <c r="G310" s="200"/>
      <c r="H310" s="200"/>
      <c r="J310" s="209"/>
      <c r="K310" s="135"/>
    </row>
    <row r="311" spans="1:12" ht="15.95" customHeight="1">
      <c r="G311" s="200"/>
      <c r="H311" s="200"/>
      <c r="J311" s="209"/>
      <c r="K311" s="135"/>
    </row>
    <row r="312" spans="1:12" ht="15.95" customHeight="1">
      <c r="G312" s="200"/>
      <c r="H312" s="200"/>
      <c r="J312" s="209"/>
      <c r="K312" s="135"/>
    </row>
    <row r="313" spans="1:12" ht="15.95" customHeight="1">
      <c r="G313" s="200"/>
      <c r="H313" s="200"/>
      <c r="J313" s="209"/>
      <c r="K313" s="135"/>
    </row>
    <row r="314" spans="1:12" ht="15.95" customHeight="1">
      <c r="G314" s="200"/>
      <c r="H314" s="200"/>
      <c r="J314" s="209"/>
      <c r="K314" s="135"/>
    </row>
    <row r="315" spans="1:12" ht="32.1" customHeight="1">
      <c r="A315" s="295" t="s">
        <v>386</v>
      </c>
      <c r="B315" s="310"/>
      <c r="C315" s="310"/>
      <c r="D315" s="310"/>
      <c r="E315" s="310"/>
      <c r="F315" s="310"/>
      <c r="G315" s="310"/>
      <c r="H315" s="310"/>
      <c r="I315" s="310"/>
      <c r="J315" s="311"/>
      <c r="K315" s="244"/>
      <c r="L315" s="244"/>
    </row>
    <row r="316" spans="1:12" ht="15.95" customHeight="1">
      <c r="A316" s="105"/>
      <c r="B316" s="201"/>
      <c r="C316" s="202"/>
      <c r="D316" s="105"/>
      <c r="E316" s="105"/>
      <c r="F316" s="105"/>
      <c r="G316" s="105"/>
      <c r="H316" s="105"/>
      <c r="I316" s="105"/>
      <c r="J316" s="105"/>
      <c r="K316" s="105"/>
    </row>
    <row r="317" spans="1:12" ht="15.95" customHeight="1">
      <c r="A317" s="105" t="s">
        <v>200</v>
      </c>
      <c r="C317" s="202"/>
      <c r="D317" s="105"/>
      <c r="E317" s="105"/>
      <c r="F317" s="105"/>
      <c r="G317" s="105"/>
      <c r="H317" s="105"/>
      <c r="I317" s="105"/>
      <c r="J317" s="105"/>
      <c r="K317" s="105"/>
    </row>
    <row r="318" spans="1:12" ht="15.95" customHeight="1">
      <c r="A318" s="105" t="s">
        <v>201</v>
      </c>
      <c r="C318" s="202"/>
      <c r="D318" s="105"/>
      <c r="E318" s="105"/>
      <c r="F318" s="105"/>
      <c r="G318" s="105"/>
      <c r="H318" s="105"/>
      <c r="I318" s="105"/>
      <c r="J318" s="105"/>
      <c r="K318" s="105"/>
    </row>
    <row r="319" spans="1:12" ht="15.95" customHeight="1">
      <c r="A319" s="105"/>
      <c r="B319" s="201"/>
      <c r="C319" s="202"/>
      <c r="D319" s="105"/>
      <c r="E319" s="105"/>
      <c r="F319" s="105" t="s">
        <v>379</v>
      </c>
      <c r="G319" s="105"/>
      <c r="H319" s="105"/>
      <c r="I319" s="105"/>
      <c r="J319" s="105"/>
      <c r="K319" s="105"/>
    </row>
    <row r="320" spans="1:12" ht="15.95" customHeight="1">
      <c r="A320" s="105" t="s">
        <v>139</v>
      </c>
      <c r="B320" s="105"/>
      <c r="C320" s="105"/>
      <c r="D320" s="105"/>
      <c r="E320" s="105"/>
      <c r="F320" s="105"/>
      <c r="G320" s="105"/>
      <c r="H320" s="105"/>
      <c r="I320" s="105"/>
      <c r="J320" s="105"/>
      <c r="K320" s="105"/>
      <c r="L320" s="105"/>
    </row>
    <row r="321" spans="1:12" ht="15.95" customHeight="1">
      <c r="A321" s="105"/>
      <c r="B321" s="105"/>
      <c r="C321" s="105"/>
      <c r="D321" s="105" t="s">
        <v>380</v>
      </c>
      <c r="E321" s="220">
        <f>E273/E275</f>
        <v>0.16129032258064518</v>
      </c>
      <c r="F321" s="105"/>
      <c r="G321" s="105"/>
      <c r="H321" s="105"/>
      <c r="I321" s="105"/>
      <c r="J321" s="105"/>
      <c r="K321" s="105"/>
      <c r="L321" s="105"/>
    </row>
    <row r="322" spans="1:12" ht="15.95" customHeight="1">
      <c r="A322" s="105" t="s">
        <v>202</v>
      </c>
      <c r="B322" s="105"/>
      <c r="C322" s="105"/>
      <c r="D322" s="105"/>
      <c r="E322" s="105"/>
      <c r="F322" s="105"/>
      <c r="G322" s="105"/>
      <c r="H322" s="105"/>
      <c r="I322" s="105"/>
      <c r="J322" s="105"/>
      <c r="K322" s="105"/>
      <c r="L322" s="105"/>
    </row>
    <row r="323" spans="1:12" ht="15.95" customHeight="1">
      <c r="A323" s="105"/>
      <c r="B323" s="105"/>
      <c r="C323" s="105"/>
      <c r="D323" s="105"/>
      <c r="E323" s="105"/>
      <c r="F323" s="105"/>
      <c r="G323" s="105"/>
      <c r="H323" s="105"/>
      <c r="I323" s="105"/>
      <c r="J323" s="105"/>
      <c r="K323" s="105"/>
      <c r="L323" s="105"/>
    </row>
    <row r="324" spans="1:12" ht="15.95" customHeight="1">
      <c r="A324" s="105"/>
      <c r="B324" s="314" t="s">
        <v>203</v>
      </c>
      <c r="C324" s="315"/>
      <c r="D324" s="316"/>
      <c r="E324" s="317" t="s">
        <v>306</v>
      </c>
      <c r="F324" s="315"/>
      <c r="G324" s="315"/>
      <c r="H324" s="315"/>
      <c r="I324" s="316"/>
      <c r="J324" s="105"/>
      <c r="K324" s="105"/>
      <c r="L324" s="105"/>
    </row>
    <row r="325" spans="1:12" ht="15.95" customHeight="1">
      <c r="A325" s="105"/>
      <c r="B325" s="309" t="s">
        <v>204</v>
      </c>
      <c r="C325" s="309"/>
      <c r="D325" s="309"/>
      <c r="E325" s="309">
        <v>1.2</v>
      </c>
      <c r="F325" s="309"/>
      <c r="G325" s="309"/>
      <c r="H325" s="309"/>
      <c r="I325" s="309"/>
      <c r="J325" s="105"/>
      <c r="K325" s="105"/>
      <c r="L325" s="105"/>
    </row>
    <row r="326" spans="1:12" ht="15.95" customHeight="1">
      <c r="A326" s="105"/>
      <c r="B326" s="309" t="s">
        <v>205</v>
      </c>
      <c r="C326" s="309"/>
      <c r="D326" s="309"/>
      <c r="E326" s="309">
        <v>0.65</v>
      </c>
      <c r="F326" s="309"/>
      <c r="G326" s="309"/>
      <c r="H326" s="309"/>
      <c r="I326" s="309"/>
      <c r="J326" s="105"/>
      <c r="K326" s="105"/>
      <c r="L326" s="105"/>
    </row>
    <row r="327" spans="1:12" ht="15.95" customHeight="1">
      <c r="A327" s="105"/>
      <c r="B327" s="309" t="s">
        <v>206</v>
      </c>
      <c r="C327" s="309"/>
      <c r="D327" s="309"/>
      <c r="E327" s="309">
        <v>0.45</v>
      </c>
      <c r="F327" s="309"/>
      <c r="G327" s="309"/>
      <c r="H327" s="309"/>
      <c r="I327" s="309"/>
      <c r="J327" s="105"/>
      <c r="K327" s="105"/>
      <c r="L327" s="105"/>
    </row>
    <row r="328" spans="1:12" ht="15.95" customHeight="1">
      <c r="A328" s="135"/>
      <c r="B328" s="309" t="s">
        <v>207</v>
      </c>
      <c r="C328" s="309"/>
      <c r="D328" s="309"/>
      <c r="E328" s="309">
        <v>0.38</v>
      </c>
      <c r="F328" s="309"/>
      <c r="G328" s="309"/>
      <c r="H328" s="309"/>
      <c r="I328" s="309"/>
      <c r="J328" s="135"/>
      <c r="K328" s="135"/>
    </row>
    <row r="329" spans="1:12" ht="15.95" customHeight="1">
      <c r="A329" s="135"/>
      <c r="B329" s="309" t="s">
        <v>208</v>
      </c>
      <c r="C329" s="309"/>
      <c r="D329" s="309"/>
      <c r="E329" s="309">
        <v>0.28999999999999998</v>
      </c>
      <c r="F329" s="309"/>
      <c r="G329" s="309"/>
      <c r="H329" s="309"/>
      <c r="I329" s="309"/>
      <c r="J329" s="135"/>
      <c r="K329" s="135"/>
    </row>
    <row r="330" spans="1:12" ht="15.95" customHeight="1">
      <c r="A330" s="135"/>
      <c r="B330" s="135"/>
      <c r="C330" s="135"/>
      <c r="D330" s="135"/>
      <c r="E330" s="135"/>
      <c r="F330" s="135"/>
      <c r="G330" s="135"/>
      <c r="H330" s="135"/>
      <c r="I330" s="135"/>
      <c r="J330" s="135"/>
      <c r="K330" s="135"/>
    </row>
    <row r="331" spans="1:12" ht="15.95" customHeight="1">
      <c r="A331" s="105" t="s">
        <v>209</v>
      </c>
      <c r="B331" s="135"/>
      <c r="C331" s="218"/>
      <c r="D331" s="207"/>
      <c r="E331" s="208"/>
      <c r="F331" s="218"/>
      <c r="G331" s="207"/>
      <c r="H331" s="135"/>
      <c r="I331" s="139"/>
      <c r="J331" s="135"/>
      <c r="K331" s="135"/>
    </row>
    <row r="332" spans="1:12" ht="15.95" customHeight="1">
      <c r="A332" s="105"/>
      <c r="B332" s="135"/>
      <c r="C332" s="218"/>
      <c r="D332" s="207" t="s">
        <v>210</v>
      </c>
      <c r="E332" s="208">
        <f>0.29</f>
        <v>0.28999999999999998</v>
      </c>
      <c r="F332" s="218"/>
      <c r="G332" s="207"/>
      <c r="H332" s="135"/>
      <c r="I332" s="139"/>
      <c r="J332" s="135"/>
      <c r="K332" s="135"/>
    </row>
    <row r="333" spans="1:12" ht="15.95" customHeight="1">
      <c r="A333" s="149"/>
      <c r="B333" s="135"/>
      <c r="C333" s="135"/>
      <c r="D333" s="135"/>
      <c r="E333" s="135"/>
      <c r="F333" s="135"/>
      <c r="G333" s="135"/>
      <c r="H333" s="135"/>
      <c r="I333" s="135"/>
      <c r="J333" s="135"/>
      <c r="K333" s="135"/>
    </row>
    <row r="334" spans="1:12" ht="15.95" customHeight="1">
      <c r="A334" s="105" t="s">
        <v>211</v>
      </c>
      <c r="B334" s="135"/>
      <c r="C334" s="135"/>
      <c r="D334" s="135"/>
      <c r="E334" s="135"/>
      <c r="F334" s="135"/>
      <c r="G334" s="207"/>
      <c r="H334" s="135"/>
      <c r="I334" s="135"/>
      <c r="J334" s="135"/>
      <c r="K334" s="138"/>
    </row>
    <row r="335" spans="1:12" ht="15.95" customHeight="1">
      <c r="A335" s="105"/>
      <c r="B335" s="105"/>
      <c r="C335" s="135"/>
      <c r="D335" s="207"/>
      <c r="E335" s="109"/>
      <c r="F335" s="105"/>
      <c r="G335" s="207"/>
      <c r="H335" s="135"/>
      <c r="I335" s="135"/>
      <c r="J335" s="135"/>
      <c r="K335" s="138"/>
    </row>
    <row r="336" spans="1:12" ht="15.95" customHeight="1">
      <c r="A336" s="214" t="s">
        <v>212</v>
      </c>
      <c r="B336" s="218"/>
      <c r="C336" s="219">
        <f>E332/E321</f>
        <v>1.7979999999999996</v>
      </c>
      <c r="D336" s="185" t="str">
        <f>IF(C336&gt;=E336,"&gt;","&lt;")</f>
        <v>&gt;</v>
      </c>
      <c r="E336" s="261">
        <v>1</v>
      </c>
      <c r="F336" s="218"/>
      <c r="G336" s="207"/>
      <c r="H336" s="135"/>
      <c r="I336" s="135"/>
      <c r="J336" s="135"/>
      <c r="K336" s="138"/>
    </row>
    <row r="337" spans="1:11" ht="15.95" customHeight="1">
      <c r="B337" s="135"/>
      <c r="C337" s="218"/>
      <c r="D337" s="207"/>
      <c r="G337" s="207"/>
      <c r="H337" s="135"/>
      <c r="I337" s="135"/>
      <c r="J337" s="135"/>
      <c r="K337" s="138"/>
    </row>
    <row r="338" spans="1:11" ht="15.95" customHeight="1">
      <c r="A338" s="147" t="s">
        <v>161</v>
      </c>
      <c r="B338" s="196"/>
      <c r="C338" s="197" t="str">
        <f>IF(C336&gt;=E336,"Hố đào không bị xói ngầm","Hố đào bị xói ngầm")</f>
        <v>Hố đào không bị xói ngầm</v>
      </c>
      <c r="D338" s="198"/>
      <c r="E338" s="199"/>
      <c r="F338" s="200"/>
      <c r="G338" s="105"/>
      <c r="H338" s="105"/>
      <c r="I338" s="105"/>
      <c r="J338" s="105"/>
      <c r="K338" s="105"/>
    </row>
    <row r="339" spans="1:11" ht="15.95" customHeight="1">
      <c r="A339" s="202"/>
      <c r="B339" s="105"/>
      <c r="C339" s="105"/>
      <c r="D339" s="220"/>
      <c r="E339" s="138"/>
      <c r="F339" s="221"/>
      <c r="G339" s="214"/>
      <c r="H339" s="148"/>
      <c r="I339" s="158"/>
      <c r="J339" s="148"/>
      <c r="K339" s="105"/>
    </row>
    <row r="340" spans="1:11" ht="15.95" customHeight="1">
      <c r="A340" s="105"/>
      <c r="B340" s="222"/>
      <c r="C340" s="105"/>
      <c r="D340" s="140"/>
      <c r="E340" s="105"/>
      <c r="F340" s="140"/>
      <c r="G340" s="138"/>
      <c r="H340" s="148"/>
      <c r="I340" s="158"/>
      <c r="J340" s="148"/>
      <c r="K340" s="105"/>
    </row>
    <row r="341" spans="1:11" ht="15.95" customHeight="1">
      <c r="A341" s="105"/>
      <c r="B341" s="222"/>
      <c r="C341" s="105"/>
      <c r="D341" s="140"/>
      <c r="E341" s="138"/>
      <c r="F341" s="140"/>
      <c r="G341" s="138"/>
      <c r="H341" s="148"/>
      <c r="I341" s="158"/>
      <c r="J341" s="148"/>
      <c r="K341" s="105"/>
    </row>
    <row r="342" spans="1:11" ht="15.95" customHeight="1">
      <c r="A342" s="105"/>
      <c r="B342" s="105"/>
      <c r="C342" s="105"/>
      <c r="D342" s="140"/>
      <c r="E342" s="105"/>
      <c r="F342" s="140"/>
      <c r="G342" s="138"/>
      <c r="H342" s="148"/>
      <c r="I342" s="158"/>
      <c r="J342" s="148"/>
      <c r="K342" s="105"/>
    </row>
    <row r="343" spans="1:11" ht="15.95" customHeight="1">
      <c r="A343" s="105"/>
      <c r="B343" s="105"/>
      <c r="C343" s="105"/>
      <c r="D343" s="140"/>
      <c r="E343" s="105"/>
      <c r="F343" s="140"/>
      <c r="G343" s="138"/>
      <c r="H343" s="148"/>
      <c r="I343" s="158"/>
      <c r="J343" s="148"/>
      <c r="K343" s="105"/>
    </row>
    <row r="344" spans="1:11" ht="15.95" customHeight="1">
      <c r="A344" s="105"/>
      <c r="B344" s="105"/>
      <c r="C344" s="105"/>
      <c r="D344" s="140"/>
      <c r="E344" s="105"/>
      <c r="F344" s="140"/>
      <c r="G344" s="138"/>
      <c r="H344" s="148"/>
      <c r="I344" s="158"/>
      <c r="J344" s="148"/>
      <c r="K344" s="105"/>
    </row>
    <row r="345" spans="1:11" ht="15.95" customHeight="1">
      <c r="A345" s="105"/>
      <c r="B345" s="105"/>
      <c r="C345" s="105"/>
      <c r="D345" s="140"/>
      <c r="E345" s="105"/>
      <c r="F345" s="140"/>
      <c r="G345" s="138"/>
      <c r="H345" s="148"/>
      <c r="I345" s="158"/>
      <c r="J345" s="148"/>
      <c r="K345" s="105"/>
    </row>
    <row r="346" spans="1:11" ht="15.95" customHeight="1">
      <c r="A346" s="105"/>
      <c r="B346" s="105"/>
      <c r="C346" s="105"/>
      <c r="D346" s="140"/>
      <c r="E346" s="105"/>
      <c r="F346" s="140"/>
      <c r="G346" s="138"/>
      <c r="H346" s="148"/>
      <c r="I346" s="158"/>
      <c r="J346" s="148"/>
      <c r="K346" s="105"/>
    </row>
    <row r="347" spans="1:11" ht="15.95" customHeight="1">
      <c r="A347" s="105"/>
      <c r="B347" s="105"/>
      <c r="C347" s="105"/>
      <c r="D347" s="140"/>
      <c r="E347" s="105"/>
      <c r="F347" s="140"/>
      <c r="G347" s="138"/>
      <c r="H347" s="148"/>
      <c r="I347" s="158"/>
      <c r="J347" s="148"/>
      <c r="K347" s="105"/>
    </row>
    <row r="348" spans="1:11" ht="15.95" customHeight="1">
      <c r="A348" s="105"/>
      <c r="B348" s="105"/>
      <c r="C348" s="105"/>
      <c r="D348" s="140"/>
      <c r="E348" s="105"/>
      <c r="F348" s="140"/>
      <c r="G348" s="138"/>
      <c r="H348" s="148"/>
      <c r="I348" s="158"/>
      <c r="J348" s="148"/>
      <c r="K348" s="105"/>
    </row>
    <row r="349" spans="1:11" ht="15.95" customHeight="1">
      <c r="A349" s="105"/>
      <c r="B349" s="105"/>
      <c r="C349" s="105"/>
      <c r="D349" s="140"/>
      <c r="E349" s="105"/>
      <c r="F349" s="140"/>
      <c r="G349" s="138"/>
      <c r="H349" s="148"/>
      <c r="I349" s="158"/>
      <c r="J349" s="148"/>
      <c r="K349" s="105"/>
    </row>
    <row r="350" spans="1:11" ht="15.95" customHeight="1">
      <c r="A350" s="105"/>
      <c r="B350" s="105"/>
      <c r="C350" s="105"/>
      <c r="D350" s="140"/>
      <c r="E350" s="105"/>
      <c r="F350" s="140"/>
      <c r="G350" s="138"/>
      <c r="H350" s="148"/>
      <c r="I350" s="158"/>
      <c r="J350" s="148"/>
      <c r="K350" s="105"/>
    </row>
    <row r="351" spans="1:11" ht="15.95" customHeight="1">
      <c r="A351" s="105"/>
      <c r="B351" s="105"/>
      <c r="C351" s="105"/>
      <c r="D351" s="140"/>
      <c r="E351" s="105"/>
      <c r="F351" s="140"/>
      <c r="G351" s="138"/>
      <c r="H351" s="148"/>
      <c r="I351" s="158"/>
      <c r="J351" s="148"/>
      <c r="K351" s="105"/>
    </row>
    <row r="352" spans="1:11" ht="15.95" customHeight="1">
      <c r="A352" s="105"/>
      <c r="B352" s="105"/>
      <c r="C352" s="105"/>
      <c r="D352" s="140"/>
      <c r="E352" s="105"/>
      <c r="F352" s="140"/>
      <c r="G352" s="138"/>
      <c r="H352" s="148"/>
      <c r="I352" s="158"/>
      <c r="J352" s="148"/>
      <c r="K352" s="105"/>
    </row>
    <row r="353" spans="1:12" ht="15.95" customHeight="1">
      <c r="A353" s="105"/>
      <c r="B353" s="105"/>
      <c r="C353" s="105"/>
      <c r="D353" s="140"/>
      <c r="E353" s="105"/>
      <c r="F353" s="140"/>
      <c r="G353" s="138"/>
      <c r="H353" s="148"/>
      <c r="I353" s="158"/>
      <c r="J353" s="148"/>
      <c r="K353" s="105"/>
    </row>
    <row r="354" spans="1:12" ht="15.95" customHeight="1">
      <c r="A354" s="105"/>
      <c r="B354" s="105"/>
      <c r="C354" s="105"/>
      <c r="D354" s="140"/>
      <c r="E354" s="105"/>
      <c r="F354" s="140"/>
      <c r="G354" s="138"/>
      <c r="H354" s="148"/>
      <c r="I354" s="158"/>
      <c r="J354" s="148"/>
      <c r="K354" s="105"/>
    </row>
    <row r="355" spans="1:12" ht="15.95" customHeight="1">
      <c r="A355" s="105"/>
      <c r="B355" s="105"/>
      <c r="C355" s="105"/>
      <c r="D355" s="140"/>
      <c r="E355" s="105"/>
      <c r="F355" s="140"/>
      <c r="G355" s="138"/>
      <c r="H355" s="148"/>
      <c r="I355" s="158"/>
      <c r="J355" s="148"/>
      <c r="K355" s="105"/>
    </row>
    <row r="356" spans="1:12" ht="15.95" customHeight="1">
      <c r="A356" s="105"/>
      <c r="B356" s="105"/>
      <c r="C356" s="105"/>
      <c r="D356" s="140"/>
      <c r="E356" s="105"/>
      <c r="F356" s="140"/>
      <c r="G356" s="138"/>
      <c r="H356" s="148"/>
      <c r="I356" s="158"/>
      <c r="J356" s="148"/>
      <c r="K356" s="105"/>
    </row>
    <row r="357" spans="1:12" ht="15.95" customHeight="1">
      <c r="A357" s="105"/>
      <c r="B357" s="105"/>
      <c r="C357" s="105"/>
      <c r="D357" s="140"/>
      <c r="E357" s="105"/>
      <c r="F357" s="140"/>
      <c r="G357" s="138"/>
      <c r="H357" s="148"/>
      <c r="I357" s="158"/>
      <c r="J357" s="148"/>
      <c r="K357" s="105"/>
    </row>
    <row r="358" spans="1:12" ht="15.95" customHeight="1">
      <c r="A358" s="105"/>
      <c r="B358" s="105"/>
      <c r="C358" s="105"/>
      <c r="D358" s="140"/>
      <c r="E358" s="105"/>
      <c r="F358" s="140"/>
      <c r="G358" s="138"/>
      <c r="H358" s="148"/>
      <c r="I358" s="158"/>
      <c r="J358" s="148"/>
      <c r="K358" s="105"/>
    </row>
    <row r="359" spans="1:12" ht="15.95" customHeight="1">
      <c r="A359" s="105"/>
      <c r="B359" s="105"/>
      <c r="C359" s="105"/>
      <c r="D359" s="140"/>
      <c r="E359" s="105"/>
      <c r="F359" s="140"/>
      <c r="G359" s="138"/>
      <c r="H359" s="148"/>
      <c r="I359" s="158"/>
      <c r="J359" s="148"/>
      <c r="K359" s="105"/>
    </row>
    <row r="360" spans="1:12" ht="32.1" customHeight="1">
      <c r="A360" s="306" t="s">
        <v>387</v>
      </c>
      <c r="B360" s="307"/>
      <c r="C360" s="307"/>
      <c r="D360" s="307"/>
      <c r="E360" s="307"/>
      <c r="F360" s="307"/>
      <c r="G360" s="307"/>
      <c r="H360" s="307"/>
      <c r="I360" s="307"/>
      <c r="J360" s="308"/>
      <c r="K360" s="244"/>
      <c r="L360" s="244"/>
    </row>
    <row r="361" spans="1:12" ht="15.95" customHeight="1">
      <c r="A361" s="227" t="s">
        <v>303</v>
      </c>
      <c r="B361" s="105"/>
      <c r="C361" s="105"/>
      <c r="D361" s="105"/>
      <c r="E361" s="105"/>
      <c r="F361" s="105"/>
      <c r="G361" s="105"/>
      <c r="H361" s="105"/>
      <c r="I361" s="105"/>
      <c r="J361" s="105"/>
      <c r="K361" s="105"/>
    </row>
    <row r="362" spans="1:12" ht="15.95" customHeight="1">
      <c r="A362" s="105" t="s">
        <v>213</v>
      </c>
      <c r="B362" s="105"/>
      <c r="C362" s="105"/>
      <c r="D362" s="105"/>
      <c r="E362" s="105"/>
      <c r="F362" s="105"/>
      <c r="G362" s="105"/>
      <c r="H362" s="105"/>
      <c r="I362" s="105"/>
      <c r="J362" s="105"/>
      <c r="K362" s="105"/>
    </row>
    <row r="363" spans="1:12" ht="15.95" customHeight="1">
      <c r="A363" s="105" t="s">
        <v>214</v>
      </c>
      <c r="B363" s="105"/>
      <c r="C363" s="105"/>
      <c r="D363" s="105"/>
      <c r="E363" s="105"/>
      <c r="F363" s="105"/>
      <c r="G363" s="105"/>
      <c r="H363" s="105"/>
      <c r="I363" s="105"/>
      <c r="J363" s="105"/>
      <c r="K363" s="105"/>
    </row>
    <row r="364" spans="1:12" ht="15.95" customHeight="1">
      <c r="A364" s="105" t="s">
        <v>215</v>
      </c>
      <c r="B364" s="224"/>
      <c r="C364" s="202"/>
      <c r="D364" s="105"/>
      <c r="E364" s="105"/>
      <c r="F364" s="105"/>
      <c r="G364" s="105"/>
      <c r="H364" s="105"/>
      <c r="I364" s="105"/>
      <c r="J364" s="105"/>
      <c r="K364" s="105"/>
    </row>
    <row r="365" spans="1:12" ht="15.95" customHeight="1">
      <c r="A365" s="105"/>
      <c r="B365" s="201"/>
      <c r="C365" s="202"/>
      <c r="D365" s="105"/>
      <c r="E365" s="105"/>
      <c r="F365" s="105"/>
      <c r="G365" s="105"/>
      <c r="H365" s="105"/>
      <c r="I365" s="105"/>
      <c r="J365" s="105"/>
      <c r="K365" s="105"/>
    </row>
    <row r="366" spans="1:12" ht="15.95" customHeight="1">
      <c r="A366" s="105"/>
      <c r="B366" s="309" t="s">
        <v>203</v>
      </c>
      <c r="C366" s="309"/>
      <c r="D366" s="309"/>
      <c r="E366" s="309"/>
      <c r="F366" s="319" t="s">
        <v>221</v>
      </c>
      <c r="G366" s="320"/>
      <c r="H366" s="320"/>
      <c r="I366" s="321"/>
      <c r="J366" s="105"/>
      <c r="K366" s="105"/>
    </row>
    <row r="367" spans="1:12" ht="15.95" customHeight="1">
      <c r="A367" s="105"/>
      <c r="B367" s="309" t="s">
        <v>216</v>
      </c>
      <c r="C367" s="309"/>
      <c r="D367" s="309"/>
      <c r="E367" s="309"/>
      <c r="F367" s="319" t="s">
        <v>222</v>
      </c>
      <c r="G367" s="320"/>
      <c r="H367" s="320"/>
      <c r="I367" s="321"/>
      <c r="J367" s="105"/>
      <c r="K367" s="105"/>
    </row>
    <row r="368" spans="1:12" ht="15.95" customHeight="1">
      <c r="A368" s="105"/>
      <c r="B368" s="309" t="s">
        <v>217</v>
      </c>
      <c r="C368" s="309"/>
      <c r="D368" s="309"/>
      <c r="E368" s="309"/>
      <c r="F368" s="319" t="s">
        <v>223</v>
      </c>
      <c r="G368" s="320"/>
      <c r="H368" s="320"/>
      <c r="I368" s="321"/>
      <c r="J368" s="105"/>
      <c r="K368" s="105"/>
    </row>
    <row r="369" spans="1:11" ht="15.95" customHeight="1">
      <c r="A369" s="105"/>
      <c r="B369" s="309" t="s">
        <v>218</v>
      </c>
      <c r="C369" s="309"/>
      <c r="D369" s="309"/>
      <c r="E369" s="309"/>
      <c r="F369" s="319" t="s">
        <v>224</v>
      </c>
      <c r="G369" s="320"/>
      <c r="H369" s="320"/>
      <c r="I369" s="321"/>
      <c r="J369" s="105"/>
      <c r="K369" s="105"/>
    </row>
    <row r="370" spans="1:11" ht="15.95" customHeight="1">
      <c r="A370" s="105"/>
      <c r="B370" s="309" t="s">
        <v>219</v>
      </c>
      <c r="C370" s="309"/>
      <c r="D370" s="309"/>
      <c r="E370" s="309"/>
      <c r="F370" s="319" t="s">
        <v>225</v>
      </c>
      <c r="G370" s="320"/>
      <c r="H370" s="320"/>
      <c r="I370" s="321"/>
      <c r="J370" s="105"/>
      <c r="K370" s="105"/>
    </row>
    <row r="371" spans="1:11" ht="15.95" customHeight="1">
      <c r="A371" s="135"/>
      <c r="B371" s="309" t="s">
        <v>220</v>
      </c>
      <c r="C371" s="309"/>
      <c r="D371" s="309"/>
      <c r="E371" s="309"/>
      <c r="F371" s="319" t="s">
        <v>226</v>
      </c>
      <c r="G371" s="320"/>
      <c r="H371" s="320"/>
      <c r="I371" s="321"/>
      <c r="J371" s="135"/>
      <c r="K371" s="135"/>
    </row>
    <row r="372" spans="1:11" ht="15.95" customHeight="1">
      <c r="A372" s="135"/>
      <c r="B372" s="135"/>
      <c r="C372" s="135"/>
      <c r="D372" s="135"/>
      <c r="E372" s="135"/>
      <c r="F372" s="135"/>
      <c r="G372" s="225"/>
      <c r="H372" s="135"/>
      <c r="I372" s="135"/>
      <c r="J372" s="135"/>
      <c r="K372" s="135"/>
    </row>
    <row r="373" spans="1:11" ht="15.95" customHeight="1">
      <c r="A373" s="135" t="s">
        <v>227</v>
      </c>
      <c r="B373" s="135"/>
      <c r="C373" s="135"/>
      <c r="D373" s="135"/>
      <c r="E373" s="135"/>
      <c r="F373" s="135"/>
      <c r="G373" s="140" t="s">
        <v>228</v>
      </c>
      <c r="H373" s="323">
        <f>10^-2</f>
        <v>0.01</v>
      </c>
      <c r="I373" s="323"/>
      <c r="J373" s="135" t="s">
        <v>229</v>
      </c>
      <c r="K373" s="135"/>
    </row>
    <row r="374" spans="1:11" ht="15.95" customHeight="1">
      <c r="A374" s="135"/>
      <c r="B374" s="135"/>
      <c r="C374" s="135"/>
      <c r="D374" s="135"/>
      <c r="E374" s="135"/>
      <c r="F374" s="135"/>
      <c r="G374" s="140" t="s">
        <v>228</v>
      </c>
      <c r="H374" s="324">
        <f>H373*3600*24/100</f>
        <v>8.64</v>
      </c>
      <c r="I374" s="324"/>
      <c r="J374" s="135" t="s">
        <v>230</v>
      </c>
      <c r="K374" s="135"/>
    </row>
    <row r="375" spans="1:11" ht="15.95" customHeight="1">
      <c r="A375" s="135"/>
      <c r="B375" s="135"/>
      <c r="C375" s="135"/>
      <c r="D375" s="135"/>
      <c r="E375" s="135"/>
      <c r="F375" s="135"/>
      <c r="G375" s="140" t="s">
        <v>231</v>
      </c>
      <c r="H375" s="325">
        <f>E321</f>
        <v>0.16129032258064518</v>
      </c>
      <c r="I375" s="325"/>
      <c r="J375" s="135"/>
      <c r="K375" s="135"/>
    </row>
    <row r="376" spans="1:11" ht="15.95" customHeight="1">
      <c r="A376" s="105" t="s">
        <v>232</v>
      </c>
      <c r="B376" s="105"/>
      <c r="C376" s="105"/>
      <c r="D376" s="217"/>
      <c r="E376" s="195"/>
      <c r="F376" s="105"/>
      <c r="G376" s="140" t="s">
        <v>233</v>
      </c>
      <c r="H376" s="324">
        <f>H374*H375</f>
        <v>1.3935483870967744</v>
      </c>
      <c r="I376" s="324"/>
      <c r="J376" s="105" t="s">
        <v>230</v>
      </c>
      <c r="K376" s="135"/>
    </row>
    <row r="377" spans="1:11" ht="15.95" customHeight="1">
      <c r="K377" s="135"/>
    </row>
    <row r="378" spans="1:11" ht="15.95" customHeight="1">
      <c r="A378" s="135" t="s">
        <v>238</v>
      </c>
      <c r="B378" s="135"/>
      <c r="C378" s="135"/>
      <c r="D378" s="135"/>
      <c r="E378" s="135"/>
      <c r="F378" s="135"/>
      <c r="G378" s="140" t="s">
        <v>105</v>
      </c>
      <c r="H378" s="323">
        <v>2360</v>
      </c>
      <c r="I378" s="323"/>
      <c r="J378" s="135" t="s">
        <v>235</v>
      </c>
      <c r="K378" s="135"/>
    </row>
    <row r="379" spans="1:11" ht="15.95" customHeight="1">
      <c r="A379" s="135" t="s">
        <v>234</v>
      </c>
      <c r="B379" s="135"/>
      <c r="C379" s="135"/>
      <c r="D379" s="135"/>
      <c r="E379" s="135"/>
      <c r="F379" s="135"/>
      <c r="G379" s="140" t="s">
        <v>236</v>
      </c>
      <c r="H379" s="322">
        <f>H376*H378</f>
        <v>3288.7741935483878</v>
      </c>
      <c r="I379" s="322"/>
      <c r="J379" s="135" t="s">
        <v>237</v>
      </c>
      <c r="K379" s="135"/>
    </row>
    <row r="380" spans="1:11" ht="15.95" customHeight="1">
      <c r="A380" s="135"/>
      <c r="B380" s="135"/>
      <c r="C380" s="135"/>
      <c r="D380" s="135"/>
      <c r="E380" s="135"/>
      <c r="F380" s="135"/>
      <c r="G380" s="135"/>
      <c r="H380" s="135"/>
      <c r="I380" s="135"/>
      <c r="J380" s="135"/>
      <c r="K380" s="135"/>
    </row>
    <row r="381" spans="1:11" ht="15.95" customHeight="1">
      <c r="A381" s="105"/>
      <c r="B381" s="135"/>
      <c r="C381" s="218"/>
      <c r="D381" s="207"/>
      <c r="E381" s="208"/>
      <c r="F381" s="218"/>
      <c r="G381" s="207"/>
      <c r="H381" s="135"/>
      <c r="I381" s="139"/>
      <c r="J381" s="135"/>
      <c r="K381" s="135"/>
    </row>
    <row r="382" spans="1:11" ht="15.95" customHeight="1">
      <c r="A382" s="105"/>
      <c r="B382" s="135"/>
      <c r="C382" s="218"/>
      <c r="D382" s="207"/>
      <c r="E382" s="208"/>
      <c r="F382" s="218"/>
      <c r="G382" s="207"/>
      <c r="H382" s="135"/>
      <c r="I382" s="139"/>
      <c r="J382" s="135"/>
      <c r="K382" s="135"/>
    </row>
    <row r="383" spans="1:11" ht="15.95" customHeight="1">
      <c r="A383" s="149"/>
      <c r="B383" s="135"/>
      <c r="C383" s="135"/>
      <c r="D383" s="135"/>
      <c r="E383" s="135"/>
      <c r="F383" s="135"/>
      <c r="G383" s="135"/>
      <c r="H383" s="135"/>
      <c r="I383" s="135"/>
      <c r="J383" s="135"/>
      <c r="K383" s="135"/>
    </row>
    <row r="384" spans="1:11" ht="15.95" customHeight="1">
      <c r="A384" s="135"/>
      <c r="B384" s="135"/>
      <c r="C384" s="206"/>
      <c r="D384" s="207"/>
      <c r="E384" s="208"/>
      <c r="F384" s="206"/>
      <c r="G384" s="207"/>
      <c r="H384" s="135"/>
      <c r="I384" s="135"/>
      <c r="J384" s="135"/>
      <c r="K384" s="138"/>
    </row>
    <row r="385" spans="1:11" ht="15.95" customHeight="1">
      <c r="A385" s="135"/>
      <c r="B385" s="135"/>
      <c r="C385" s="206"/>
      <c r="D385" s="207"/>
      <c r="E385" s="208"/>
      <c r="F385" s="206"/>
      <c r="G385" s="207"/>
      <c r="H385" s="135"/>
      <c r="I385" s="135"/>
      <c r="J385" s="135"/>
      <c r="K385" s="138"/>
    </row>
    <row r="386" spans="1:11" ht="15.95" customHeight="1">
      <c r="A386" s="149"/>
      <c r="B386" s="105"/>
      <c r="C386" s="105"/>
      <c r="D386" s="105"/>
      <c r="E386" s="105"/>
      <c r="F386" s="105"/>
      <c r="G386" s="105"/>
      <c r="H386" s="105"/>
      <c r="I386" s="105"/>
      <c r="J386" s="105"/>
      <c r="K386" s="105"/>
    </row>
    <row r="387" spans="1:11" ht="15.95" customHeight="1">
      <c r="A387" s="135"/>
      <c r="B387" s="135"/>
      <c r="C387" s="206"/>
      <c r="D387" s="207"/>
      <c r="E387" s="208"/>
      <c r="F387" s="206"/>
      <c r="G387" s="207"/>
      <c r="H387" s="135"/>
      <c r="I387" s="135"/>
      <c r="J387" s="135"/>
      <c r="K387" s="138"/>
    </row>
    <row r="388" spans="1:11" ht="15.95" customHeight="1">
      <c r="A388" s="105"/>
      <c r="B388" s="105"/>
      <c r="C388" s="105"/>
      <c r="D388" s="105"/>
      <c r="E388" s="105"/>
      <c r="F388" s="105"/>
      <c r="G388" s="105"/>
      <c r="H388" s="105"/>
      <c r="I388" s="105"/>
      <c r="J388" s="105"/>
      <c r="K388" s="105"/>
    </row>
    <row r="389" spans="1:11" ht="15.95" customHeight="1">
      <c r="A389" s="202"/>
      <c r="B389" s="105"/>
      <c r="C389" s="105"/>
      <c r="D389" s="220"/>
      <c r="E389" s="138"/>
      <c r="F389" s="221"/>
      <c r="G389" s="214"/>
      <c r="H389" s="148"/>
      <c r="I389" s="158"/>
      <c r="J389" s="148"/>
      <c r="K389" s="105"/>
    </row>
    <row r="390" spans="1:11" ht="15.95" customHeight="1">
      <c r="A390" s="105"/>
      <c r="B390" s="222"/>
      <c r="C390" s="105"/>
      <c r="D390" s="140"/>
      <c r="E390" s="105"/>
      <c r="F390" s="140"/>
      <c r="G390" s="138"/>
      <c r="H390" s="148"/>
      <c r="I390" s="158"/>
      <c r="J390" s="148"/>
      <c r="K390" s="105"/>
    </row>
    <row r="391" spans="1:11" ht="15.95" customHeight="1">
      <c r="A391" s="105"/>
      <c r="B391" s="222"/>
      <c r="C391" s="105"/>
      <c r="D391" s="140"/>
      <c r="E391" s="138"/>
      <c r="F391" s="140"/>
      <c r="G391" s="138"/>
      <c r="H391" s="148"/>
      <c r="I391" s="158"/>
      <c r="J391" s="148"/>
      <c r="K391" s="105"/>
    </row>
    <row r="392" spans="1:11" ht="15.95" customHeight="1">
      <c r="A392" s="105"/>
      <c r="B392" s="105"/>
      <c r="C392" s="105"/>
      <c r="D392" s="140"/>
      <c r="E392" s="105"/>
      <c r="F392" s="140"/>
      <c r="G392" s="138"/>
      <c r="H392" s="148"/>
      <c r="I392" s="158"/>
      <c r="J392" s="148"/>
      <c r="K392" s="105"/>
    </row>
    <row r="393" spans="1:11" ht="15.95" customHeight="1">
      <c r="A393" s="105"/>
      <c r="B393" s="105"/>
      <c r="C393" s="105"/>
      <c r="D393" s="140"/>
      <c r="E393" s="105"/>
      <c r="F393" s="140"/>
      <c r="G393" s="138"/>
      <c r="H393" s="148"/>
      <c r="I393" s="158"/>
      <c r="J393" s="148"/>
      <c r="K393" s="105"/>
    </row>
    <row r="394" spans="1:11" ht="15.95" customHeight="1">
      <c r="A394" s="105"/>
      <c r="B394" s="105"/>
      <c r="C394" s="105"/>
      <c r="D394" s="140"/>
      <c r="E394" s="105"/>
      <c r="F394" s="140"/>
      <c r="G394" s="208"/>
      <c r="H394" s="223"/>
      <c r="I394" s="158"/>
      <c r="J394" s="148"/>
      <c r="K394" s="105"/>
    </row>
    <row r="395" spans="1:11" ht="15.95" customHeight="1">
      <c r="A395" s="105"/>
      <c r="B395" s="105"/>
      <c r="C395" s="105"/>
      <c r="D395" s="105"/>
      <c r="E395" s="105"/>
      <c r="F395" s="105"/>
      <c r="G395" s="105"/>
      <c r="H395" s="105"/>
      <c r="I395" s="105"/>
      <c r="J395" s="105"/>
      <c r="K395" s="105"/>
    </row>
    <row r="396" spans="1:11" ht="15.95" customHeight="1">
      <c r="A396" s="105"/>
      <c r="B396" s="105"/>
      <c r="C396" s="105"/>
      <c r="D396" s="105"/>
      <c r="E396" s="105"/>
      <c r="F396" s="105"/>
      <c r="G396" s="105"/>
      <c r="H396" s="105"/>
      <c r="I396" s="105"/>
      <c r="J396" s="105"/>
      <c r="K396" s="105"/>
    </row>
    <row r="397" spans="1:11" ht="15.95" customHeight="1">
      <c r="A397" s="105"/>
      <c r="B397" s="105"/>
      <c r="C397" s="105"/>
      <c r="D397" s="105"/>
      <c r="E397" s="105"/>
      <c r="F397" s="105"/>
      <c r="G397" s="105"/>
      <c r="H397" s="105"/>
      <c r="I397" s="105"/>
      <c r="J397" s="105"/>
      <c r="K397" s="105"/>
    </row>
    <row r="398" spans="1:11" ht="15.95" customHeight="1">
      <c r="A398" s="105"/>
      <c r="B398" s="224"/>
      <c r="C398" s="202"/>
      <c r="D398" s="105"/>
      <c r="E398" s="105"/>
      <c r="F398" s="105"/>
      <c r="G398" s="105"/>
      <c r="H398" s="105"/>
      <c r="I398" s="105"/>
      <c r="J398" s="105"/>
      <c r="K398" s="105"/>
    </row>
    <row r="399" spans="1:11" ht="15.95" customHeight="1">
      <c r="A399" s="105"/>
      <c r="B399" s="201"/>
      <c r="C399" s="202"/>
      <c r="D399" s="105"/>
      <c r="E399" s="105"/>
      <c r="F399" s="105"/>
      <c r="G399" s="105"/>
      <c r="H399" s="105"/>
      <c r="I399" s="105"/>
      <c r="J399" s="105"/>
      <c r="K399" s="105"/>
    </row>
    <row r="400" spans="1:11" ht="15.95" customHeight="1">
      <c r="A400" s="105"/>
      <c r="B400" s="201"/>
      <c r="C400" s="202"/>
      <c r="D400" s="105"/>
      <c r="E400" s="105"/>
      <c r="F400" s="105"/>
      <c r="G400" s="105"/>
      <c r="H400" s="105"/>
      <c r="I400" s="105"/>
      <c r="J400" s="105"/>
      <c r="K400" s="105"/>
    </row>
    <row r="401" spans="1:11" ht="15.95" customHeight="1">
      <c r="A401" s="105"/>
      <c r="B401" s="201"/>
      <c r="C401" s="202"/>
      <c r="D401" s="105"/>
      <c r="E401" s="105"/>
      <c r="F401" s="105"/>
      <c r="G401" s="105"/>
      <c r="H401" s="105"/>
      <c r="I401" s="105"/>
      <c r="J401" s="105"/>
      <c r="K401" s="105"/>
    </row>
    <row r="402" spans="1:11" ht="15.95" customHeight="1">
      <c r="A402" s="105"/>
      <c r="B402" s="201"/>
      <c r="C402" s="202"/>
      <c r="D402" s="105"/>
      <c r="E402" s="105"/>
      <c r="F402" s="105"/>
      <c r="G402" s="105"/>
      <c r="H402" s="105"/>
      <c r="I402" s="105"/>
      <c r="J402" s="105"/>
      <c r="K402" s="105"/>
    </row>
    <row r="403" spans="1:11" ht="15.95" customHeight="1">
      <c r="A403" s="105"/>
      <c r="B403" s="201"/>
      <c r="C403" s="214"/>
      <c r="D403" s="105"/>
      <c r="E403" s="105"/>
      <c r="F403" s="105"/>
      <c r="G403" s="105"/>
      <c r="H403" s="105"/>
      <c r="I403" s="105"/>
      <c r="J403" s="105"/>
      <c r="K403" s="105"/>
    </row>
    <row r="404" spans="1:11" ht="15.95" customHeight="1">
      <c r="A404" s="135"/>
      <c r="B404" s="135"/>
      <c r="C404" s="135"/>
      <c r="D404" s="135"/>
      <c r="E404" s="135"/>
      <c r="F404" s="135"/>
      <c r="G404" s="135"/>
      <c r="H404" s="135"/>
      <c r="I404" s="135"/>
      <c r="J404" s="135"/>
      <c r="K404" s="135"/>
    </row>
    <row r="405" spans="1:11" ht="15.95" customHeight="1">
      <c r="A405" s="135"/>
      <c r="B405" s="135"/>
      <c r="C405" s="135"/>
      <c r="D405" s="135"/>
      <c r="E405" s="135"/>
      <c r="F405" s="135"/>
      <c r="G405" s="225"/>
      <c r="H405" s="135"/>
      <c r="I405" s="135"/>
      <c r="J405" s="135"/>
      <c r="K405" s="135"/>
    </row>
    <row r="406" spans="1:11" ht="15.95" customHeight="1">
      <c r="A406" s="135"/>
      <c r="B406" s="135"/>
      <c r="C406" s="135"/>
      <c r="D406" s="135"/>
      <c r="E406" s="135"/>
      <c r="F406" s="135"/>
      <c r="G406" s="135"/>
      <c r="H406" s="135"/>
      <c r="I406" s="135"/>
      <c r="J406" s="135"/>
      <c r="K406" s="135"/>
    </row>
    <row r="407" spans="1:11" ht="15.95" customHeight="1">
      <c r="A407" s="135"/>
      <c r="B407" s="135"/>
      <c r="C407" s="135"/>
      <c r="D407" s="135"/>
      <c r="E407" s="135"/>
      <c r="F407" s="135"/>
      <c r="G407" s="135"/>
      <c r="H407" s="135"/>
      <c r="I407" s="135"/>
      <c r="J407" s="135"/>
      <c r="K407" s="135"/>
    </row>
    <row r="408" spans="1:11" ht="15.95" customHeight="1">
      <c r="A408" s="135"/>
      <c r="B408" s="135"/>
      <c r="C408" s="135"/>
      <c r="D408" s="135"/>
      <c r="E408" s="135"/>
      <c r="F408" s="135"/>
      <c r="G408" s="135"/>
      <c r="H408" s="135"/>
      <c r="I408" s="135"/>
      <c r="J408" s="135"/>
      <c r="K408" s="135"/>
    </row>
    <row r="409" spans="1:11" ht="15.95" customHeight="1">
      <c r="A409" s="105"/>
      <c r="B409" s="105"/>
      <c r="C409" s="105"/>
      <c r="D409" s="217"/>
      <c r="E409" s="195"/>
      <c r="F409" s="105"/>
      <c r="G409" s="105"/>
      <c r="H409" s="105"/>
      <c r="I409" s="105"/>
      <c r="J409" s="105"/>
      <c r="K409" s="135"/>
    </row>
    <row r="410" spans="1:11" ht="15.95" customHeight="1">
      <c r="A410" s="135"/>
      <c r="B410" s="135"/>
      <c r="C410" s="135"/>
      <c r="D410" s="135"/>
      <c r="E410" s="135"/>
      <c r="F410" s="135"/>
      <c r="G410" s="135"/>
      <c r="H410" s="135"/>
      <c r="I410" s="135"/>
      <c r="J410" s="135"/>
      <c r="K410" s="135"/>
    </row>
    <row r="411" spans="1:11" ht="15.95" customHeight="1">
      <c r="A411" s="135"/>
      <c r="B411" s="135"/>
      <c r="C411" s="135"/>
      <c r="D411" s="135"/>
      <c r="E411" s="135"/>
      <c r="F411" s="135"/>
      <c r="G411" s="135"/>
      <c r="H411" s="135"/>
      <c r="I411" s="135"/>
      <c r="J411" s="135"/>
      <c r="K411" s="135"/>
    </row>
    <row r="412" spans="1:11" ht="15.95" customHeight="1">
      <c r="A412" s="135"/>
      <c r="B412" s="135"/>
      <c r="C412" s="135"/>
      <c r="D412" s="135"/>
      <c r="E412" s="135"/>
      <c r="F412" s="135"/>
      <c r="G412" s="135"/>
      <c r="H412" s="135"/>
      <c r="I412" s="135"/>
      <c r="J412" s="135"/>
      <c r="K412" s="135"/>
    </row>
    <row r="413" spans="1:11" ht="15.95" customHeight="1">
      <c r="A413" s="135"/>
      <c r="B413" s="135"/>
      <c r="C413" s="135"/>
      <c r="D413" s="135"/>
      <c r="E413" s="135"/>
      <c r="F413" s="135"/>
      <c r="G413" s="135"/>
      <c r="H413" s="135"/>
      <c r="I413" s="135"/>
      <c r="J413" s="135"/>
      <c r="K413" s="135"/>
    </row>
    <row r="414" spans="1:11" ht="15.95" customHeight="1">
      <c r="A414" s="105"/>
      <c r="B414" s="135"/>
      <c r="C414" s="218"/>
      <c r="D414" s="207"/>
      <c r="E414" s="208"/>
      <c r="F414" s="218"/>
      <c r="G414" s="207"/>
      <c r="H414" s="135"/>
      <c r="I414" s="139"/>
      <c r="J414" s="135"/>
      <c r="K414" s="135"/>
    </row>
    <row r="415" spans="1:11" ht="15.95" customHeight="1">
      <c r="A415" s="105"/>
      <c r="B415" s="135"/>
      <c r="C415" s="218"/>
      <c r="D415" s="207"/>
      <c r="E415" s="208"/>
      <c r="F415" s="218"/>
      <c r="G415" s="207"/>
      <c r="H415" s="135"/>
      <c r="I415" s="139"/>
      <c r="J415" s="135"/>
      <c r="K415" s="135"/>
    </row>
    <row r="416" spans="1:11" ht="15.95" customHeight="1">
      <c r="A416" s="149"/>
      <c r="B416" s="135"/>
      <c r="C416" s="135"/>
      <c r="D416" s="135"/>
      <c r="E416" s="135"/>
      <c r="F416" s="135"/>
      <c r="G416" s="135"/>
      <c r="H416" s="135"/>
      <c r="I416" s="135"/>
      <c r="J416" s="135"/>
      <c r="K416" s="135"/>
    </row>
    <row r="417" spans="1:11" ht="15.95" customHeight="1">
      <c r="A417" s="135"/>
      <c r="B417" s="135"/>
      <c r="C417" s="206"/>
      <c r="D417" s="207"/>
      <c r="E417" s="208"/>
      <c r="F417" s="206"/>
      <c r="G417" s="207"/>
      <c r="H417" s="135"/>
      <c r="I417" s="135"/>
      <c r="J417" s="135"/>
      <c r="K417" s="138"/>
    </row>
    <row r="418" spans="1:11" ht="15.95" customHeight="1">
      <c r="A418" s="135"/>
      <c r="B418" s="135"/>
      <c r="C418" s="206"/>
      <c r="D418" s="207"/>
      <c r="E418" s="208"/>
      <c r="F418" s="206"/>
      <c r="G418" s="207"/>
      <c r="H418" s="135"/>
      <c r="I418" s="135"/>
      <c r="J418" s="135"/>
      <c r="K418" s="138"/>
    </row>
    <row r="419" spans="1:11" ht="15.95" customHeight="1">
      <c r="A419" s="149"/>
      <c r="B419" s="135"/>
      <c r="C419" s="206"/>
      <c r="D419" s="207"/>
      <c r="E419" s="208"/>
      <c r="F419" s="206"/>
      <c r="G419" s="207"/>
      <c r="H419" s="135"/>
      <c r="I419" s="135"/>
      <c r="J419" s="135"/>
      <c r="K419" s="138"/>
    </row>
    <row r="420" spans="1:11" ht="15.95" customHeight="1">
      <c r="A420" s="135"/>
      <c r="B420" s="135"/>
      <c r="C420" s="206"/>
      <c r="D420" s="207"/>
      <c r="E420" s="208"/>
      <c r="F420" s="206"/>
      <c r="G420" s="207"/>
      <c r="H420" s="135"/>
      <c r="I420" s="135"/>
      <c r="J420" s="135"/>
      <c r="K420" s="138"/>
    </row>
    <row r="421" spans="1:11" ht="15.95" customHeight="1">
      <c r="A421" s="135"/>
      <c r="B421" s="135"/>
      <c r="C421" s="206"/>
      <c r="D421" s="207"/>
      <c r="E421" s="208"/>
      <c r="F421" s="206"/>
      <c r="G421" s="207"/>
      <c r="H421" s="135"/>
      <c r="I421" s="135"/>
      <c r="J421" s="135"/>
      <c r="K421" s="138"/>
    </row>
    <row r="422" spans="1:11" ht="15.95" customHeight="1">
      <c r="A422" s="202"/>
      <c r="B422" s="105"/>
      <c r="C422" s="105"/>
      <c r="D422" s="220"/>
      <c r="E422" s="138"/>
      <c r="F422" s="221"/>
      <c r="G422" s="214"/>
      <c r="H422" s="148"/>
      <c r="I422" s="158"/>
      <c r="J422" s="148"/>
      <c r="K422" s="105"/>
    </row>
    <row r="423" spans="1:11" ht="15.95" customHeight="1">
      <c r="A423" s="105"/>
      <c r="B423" s="222"/>
      <c r="C423" s="105"/>
      <c r="D423" s="140"/>
      <c r="E423" s="105"/>
      <c r="F423" s="140"/>
      <c r="G423" s="138"/>
      <c r="H423" s="148"/>
      <c r="I423" s="158"/>
      <c r="J423" s="148"/>
      <c r="K423" s="105"/>
    </row>
    <row r="424" spans="1:11" ht="15.95" customHeight="1">
      <c r="A424" s="105"/>
      <c r="B424" s="222"/>
      <c r="C424" s="105"/>
      <c r="D424" s="140"/>
      <c r="E424" s="138"/>
      <c r="F424" s="140"/>
      <c r="G424" s="138"/>
      <c r="H424" s="148"/>
      <c r="I424" s="158"/>
      <c r="J424" s="148"/>
      <c r="K424" s="105"/>
    </row>
    <row r="425" spans="1:11" ht="15.95" customHeight="1">
      <c r="A425" s="105"/>
      <c r="B425" s="105"/>
      <c r="C425" s="105"/>
      <c r="D425" s="140"/>
      <c r="E425" s="105"/>
      <c r="F425" s="140"/>
      <c r="G425" s="138"/>
      <c r="H425" s="148"/>
      <c r="I425" s="158"/>
      <c r="J425" s="148"/>
      <c r="K425" s="105"/>
    </row>
    <row r="426" spans="1:11" ht="15.95" customHeight="1">
      <c r="A426" s="105"/>
      <c r="B426" s="105"/>
      <c r="C426" s="105"/>
      <c r="D426" s="140"/>
      <c r="E426" s="105"/>
      <c r="F426" s="140"/>
      <c r="G426" s="138"/>
      <c r="H426" s="148"/>
      <c r="I426" s="158"/>
      <c r="J426" s="148"/>
      <c r="K426" s="105"/>
    </row>
    <row r="427" spans="1:11" ht="15.95" customHeight="1">
      <c r="A427" s="105"/>
      <c r="B427" s="105"/>
      <c r="C427" s="105"/>
      <c r="D427" s="140"/>
      <c r="E427" s="105"/>
      <c r="F427" s="140"/>
      <c r="G427" s="208"/>
      <c r="H427" s="223"/>
      <c r="I427" s="158"/>
      <c r="J427" s="148"/>
      <c r="K427" s="105"/>
    </row>
    <row r="428" spans="1:11" ht="15.95" customHeight="1">
      <c r="A428" s="105"/>
      <c r="B428" s="105"/>
      <c r="C428" s="105"/>
      <c r="D428" s="105"/>
      <c r="E428" s="105"/>
      <c r="F428" s="105"/>
      <c r="G428" s="105"/>
      <c r="H428" s="105"/>
      <c r="I428" s="105"/>
      <c r="J428" s="105"/>
      <c r="K428" s="105"/>
    </row>
    <row r="429" spans="1:11" ht="15.95" customHeight="1">
      <c r="A429" s="105"/>
      <c r="B429" s="105"/>
      <c r="C429" s="105"/>
      <c r="D429" s="105"/>
      <c r="E429" s="105"/>
      <c r="F429" s="105"/>
      <c r="G429" s="105"/>
      <c r="H429" s="105"/>
      <c r="I429" s="105"/>
      <c r="J429" s="105"/>
      <c r="K429" s="105"/>
    </row>
    <row r="430" spans="1:11" ht="15.95" customHeight="1">
      <c r="A430" s="105"/>
      <c r="B430" s="105"/>
      <c r="C430" s="105"/>
      <c r="D430" s="105"/>
      <c r="E430" s="105"/>
      <c r="F430" s="105"/>
      <c r="G430" s="105"/>
      <c r="H430" s="105"/>
      <c r="I430" s="105"/>
      <c r="J430" s="105"/>
      <c r="K430" s="105"/>
    </row>
    <row r="431" spans="1:11" ht="15.95" customHeight="1">
      <c r="A431" s="105"/>
      <c r="B431" s="224"/>
      <c r="C431" s="202"/>
      <c r="D431" s="105"/>
      <c r="E431" s="105"/>
      <c r="F431" s="105"/>
      <c r="G431" s="105"/>
      <c r="H431" s="105"/>
      <c r="I431" s="105"/>
      <c r="J431" s="105"/>
      <c r="K431" s="105"/>
    </row>
    <row r="432" spans="1:11" ht="15.95" customHeight="1">
      <c r="A432" s="105"/>
      <c r="B432" s="201"/>
      <c r="C432" s="202"/>
      <c r="D432" s="105"/>
      <c r="E432" s="105"/>
      <c r="F432" s="105"/>
      <c r="G432" s="105"/>
      <c r="H432" s="105"/>
      <c r="I432" s="105"/>
      <c r="J432" s="105"/>
      <c r="K432" s="105"/>
    </row>
    <row r="433" spans="1:11" ht="15.95" customHeight="1">
      <c r="A433" s="105"/>
      <c r="B433" s="201"/>
      <c r="C433" s="202"/>
      <c r="D433" s="105"/>
      <c r="E433" s="105"/>
      <c r="F433" s="105"/>
      <c r="G433" s="105"/>
      <c r="H433" s="105"/>
      <c r="I433" s="105"/>
      <c r="J433" s="105"/>
      <c r="K433" s="105"/>
    </row>
    <row r="434" spans="1:11" ht="15.95" customHeight="1">
      <c r="A434" s="105"/>
      <c r="B434" s="201"/>
      <c r="C434" s="202"/>
      <c r="D434" s="105"/>
      <c r="E434" s="105"/>
      <c r="F434" s="105"/>
      <c r="G434" s="105"/>
      <c r="H434" s="105"/>
      <c r="I434" s="105"/>
      <c r="J434" s="105"/>
      <c r="K434" s="105"/>
    </row>
    <row r="435" spans="1:11" ht="15.95" customHeight="1">
      <c r="A435" s="105"/>
      <c r="B435" s="201"/>
      <c r="C435" s="202"/>
      <c r="D435" s="105"/>
      <c r="E435" s="105"/>
      <c r="F435" s="105"/>
      <c r="G435" s="105"/>
      <c r="H435" s="105"/>
      <c r="I435" s="105"/>
      <c r="J435" s="105"/>
      <c r="K435" s="105"/>
    </row>
    <row r="436" spans="1:11" ht="15.95" customHeight="1">
      <c r="A436" s="105"/>
      <c r="B436" s="201"/>
      <c r="C436" s="202"/>
      <c r="D436" s="105"/>
      <c r="E436" s="105"/>
      <c r="F436" s="105"/>
      <c r="G436" s="105"/>
      <c r="H436" s="105"/>
      <c r="I436" s="105"/>
      <c r="J436" s="105"/>
      <c r="K436" s="105"/>
    </row>
    <row r="437" spans="1:11" ht="15.95" customHeight="1">
      <c r="A437" s="105"/>
      <c r="B437" s="201"/>
      <c r="C437" s="214"/>
      <c r="D437" s="105"/>
      <c r="E437" s="105"/>
      <c r="F437" s="105"/>
      <c r="G437" s="105"/>
      <c r="H437" s="105"/>
      <c r="I437" s="105"/>
      <c r="J437" s="105"/>
      <c r="K437" s="105"/>
    </row>
    <row r="438" spans="1:11" ht="15.95" customHeight="1">
      <c r="A438" s="135"/>
      <c r="B438" s="135"/>
      <c r="C438" s="135"/>
      <c r="D438" s="135"/>
      <c r="E438" s="135"/>
      <c r="F438" s="135"/>
      <c r="G438" s="135"/>
      <c r="H438" s="135"/>
      <c r="I438" s="135"/>
      <c r="J438" s="135"/>
      <c r="K438" s="135"/>
    </row>
    <row r="439" spans="1:11" ht="15.95" customHeight="1">
      <c r="A439" s="135"/>
      <c r="B439" s="135"/>
      <c r="C439" s="135"/>
      <c r="D439" s="135"/>
      <c r="E439" s="135"/>
      <c r="F439" s="135"/>
      <c r="G439" s="225"/>
      <c r="H439" s="135"/>
      <c r="I439" s="135"/>
      <c r="J439" s="135"/>
      <c r="K439" s="135"/>
    </row>
    <row r="440" spans="1:11" ht="15.95" customHeight="1">
      <c r="A440" s="135"/>
      <c r="B440" s="135"/>
      <c r="C440" s="135"/>
      <c r="D440" s="135"/>
      <c r="E440" s="135"/>
      <c r="F440" s="135"/>
      <c r="G440" s="135"/>
      <c r="H440" s="135"/>
      <c r="I440" s="135"/>
      <c r="J440" s="135"/>
      <c r="K440" s="135"/>
    </row>
    <row r="441" spans="1:11" ht="15.95" customHeight="1">
      <c r="A441" s="135"/>
      <c r="B441" s="135"/>
      <c r="C441" s="135"/>
      <c r="D441" s="135"/>
      <c r="E441" s="135"/>
      <c r="F441" s="135"/>
      <c r="G441" s="135"/>
      <c r="H441" s="135"/>
      <c r="I441" s="135"/>
      <c r="J441" s="135"/>
      <c r="K441" s="135"/>
    </row>
    <row r="442" spans="1:11" ht="15.95" customHeight="1">
      <c r="A442" s="135"/>
      <c r="B442" s="135"/>
      <c r="C442" s="135"/>
      <c r="D442" s="135"/>
      <c r="E442" s="135"/>
      <c r="F442" s="135"/>
      <c r="G442" s="135"/>
      <c r="H442" s="135"/>
      <c r="I442" s="135"/>
      <c r="J442" s="135"/>
      <c r="K442" s="135"/>
    </row>
    <row r="443" spans="1:11" ht="15.95" customHeight="1">
      <c r="A443" s="105"/>
      <c r="B443" s="105"/>
      <c r="C443" s="105"/>
      <c r="D443" s="217"/>
      <c r="E443" s="195"/>
      <c r="F443" s="105"/>
      <c r="G443" s="105"/>
      <c r="H443" s="105"/>
      <c r="I443" s="105"/>
      <c r="J443" s="105"/>
      <c r="K443" s="135"/>
    </row>
    <row r="444" spans="1:11" ht="15.95" customHeight="1">
      <c r="A444" s="135"/>
      <c r="B444" s="135"/>
      <c r="C444" s="135"/>
      <c r="D444" s="135"/>
      <c r="E444" s="135"/>
      <c r="F444" s="135"/>
      <c r="G444" s="135"/>
      <c r="H444" s="135"/>
      <c r="I444" s="135"/>
      <c r="J444" s="135"/>
      <c r="K444" s="135"/>
    </row>
    <row r="445" spans="1:11" ht="15.95" customHeight="1">
      <c r="A445" s="135"/>
      <c r="B445" s="135"/>
      <c r="C445" s="135"/>
      <c r="D445" s="135"/>
      <c r="E445" s="135"/>
      <c r="F445" s="135"/>
      <c r="G445" s="135"/>
      <c r="H445" s="135"/>
      <c r="I445" s="135"/>
      <c r="J445" s="135"/>
      <c r="K445" s="135"/>
    </row>
    <row r="446" spans="1:11" ht="15.95" customHeight="1">
      <c r="A446" s="135"/>
      <c r="B446" s="135"/>
      <c r="C446" s="135"/>
      <c r="D446" s="135"/>
      <c r="E446" s="135"/>
      <c r="F446" s="135"/>
      <c r="G446" s="135"/>
      <c r="H446" s="135"/>
      <c r="I446" s="135"/>
      <c r="J446" s="135"/>
      <c r="K446" s="135"/>
    </row>
    <row r="447" spans="1:11" ht="15.95" customHeight="1">
      <c r="A447" s="135"/>
      <c r="B447" s="135"/>
      <c r="C447" s="135"/>
      <c r="D447" s="135"/>
      <c r="E447" s="135"/>
      <c r="F447" s="135"/>
      <c r="G447" s="135"/>
      <c r="H447" s="135"/>
      <c r="I447" s="135"/>
      <c r="J447" s="135"/>
      <c r="K447" s="135"/>
    </row>
    <row r="448" spans="1:11" ht="15.95" customHeight="1">
      <c r="A448" s="105"/>
      <c r="B448" s="135"/>
      <c r="C448" s="218"/>
      <c r="D448" s="207"/>
      <c r="E448" s="208"/>
      <c r="F448" s="218"/>
      <c r="G448" s="207"/>
      <c r="H448" s="135"/>
      <c r="I448" s="139"/>
      <c r="J448" s="135"/>
      <c r="K448" s="135"/>
    </row>
    <row r="449" spans="1:11" ht="15.95" customHeight="1">
      <c r="A449" s="105"/>
      <c r="B449" s="135"/>
      <c r="C449" s="218"/>
      <c r="D449" s="207"/>
      <c r="E449" s="208"/>
      <c r="F449" s="218"/>
      <c r="G449" s="207"/>
      <c r="H449" s="135"/>
      <c r="I449" s="139"/>
      <c r="J449" s="135"/>
      <c r="K449" s="135"/>
    </row>
    <row r="450" spans="1:11" ht="15.95" customHeight="1">
      <c r="A450" s="149"/>
      <c r="B450" s="135"/>
      <c r="C450" s="135"/>
      <c r="D450" s="135"/>
      <c r="E450" s="135"/>
      <c r="F450" s="135"/>
      <c r="G450" s="135"/>
      <c r="H450" s="135"/>
      <c r="I450" s="135"/>
      <c r="J450" s="135"/>
      <c r="K450" s="135"/>
    </row>
    <row r="451" spans="1:11" ht="15.95" customHeight="1">
      <c r="A451" s="135"/>
      <c r="B451" s="135"/>
      <c r="C451" s="206"/>
      <c r="D451" s="207"/>
      <c r="E451" s="208"/>
      <c r="F451" s="206"/>
      <c r="G451" s="207"/>
      <c r="H451" s="135"/>
      <c r="I451" s="135"/>
      <c r="J451" s="135"/>
      <c r="K451" s="138"/>
    </row>
    <row r="452" spans="1:11" ht="15.95" customHeight="1">
      <c r="A452" s="135"/>
      <c r="B452" s="105"/>
      <c r="C452" s="105"/>
      <c r="D452" s="105"/>
      <c r="E452" s="105"/>
      <c r="F452" s="105"/>
      <c r="G452" s="105"/>
      <c r="H452" s="105"/>
      <c r="I452" s="105"/>
      <c r="J452" s="105"/>
      <c r="K452" s="105"/>
    </row>
    <row r="453" spans="1:11" ht="15.95" customHeight="1">
      <c r="A453" s="149"/>
      <c r="B453" s="105"/>
      <c r="C453" s="105"/>
      <c r="D453" s="105"/>
      <c r="E453" s="105"/>
      <c r="F453" s="105"/>
      <c r="G453" s="105"/>
      <c r="H453" s="105"/>
      <c r="I453" s="105"/>
      <c r="J453" s="105"/>
      <c r="K453" s="105"/>
    </row>
    <row r="454" spans="1:11" ht="15.95" customHeight="1">
      <c r="A454" s="135"/>
      <c r="B454" s="135"/>
      <c r="C454" s="206"/>
      <c r="D454" s="207"/>
      <c r="E454" s="208"/>
      <c r="F454" s="206"/>
      <c r="G454" s="207"/>
      <c r="H454" s="135"/>
      <c r="I454" s="135"/>
      <c r="J454" s="135"/>
      <c r="K454" s="138"/>
    </row>
    <row r="455" spans="1:11" ht="15.95" customHeight="1">
      <c r="A455" s="105"/>
      <c r="B455" s="105"/>
      <c r="C455" s="105"/>
      <c r="D455" s="105"/>
      <c r="E455" s="105"/>
      <c r="F455" s="105"/>
      <c r="G455" s="105"/>
      <c r="H455" s="105"/>
      <c r="I455" s="105"/>
      <c r="J455" s="105"/>
      <c r="K455" s="105"/>
    </row>
    <row r="456" spans="1:11" ht="15.95" customHeight="1">
      <c r="A456" s="137"/>
      <c r="B456" s="105"/>
      <c r="C456" s="105"/>
      <c r="D456" s="105"/>
      <c r="E456" s="105"/>
      <c r="F456" s="105"/>
      <c r="G456" s="105"/>
      <c r="H456" s="105"/>
      <c r="I456" s="105"/>
      <c r="J456" s="105"/>
      <c r="K456" s="105"/>
    </row>
    <row r="457" spans="1:11" ht="15.95" customHeight="1">
      <c r="A457" s="137"/>
      <c r="B457" s="105"/>
      <c r="C457" s="105"/>
      <c r="D457" s="105"/>
      <c r="E457" s="105"/>
      <c r="F457" s="105"/>
      <c r="G457" s="105"/>
      <c r="H457" s="105"/>
      <c r="I457" s="105"/>
      <c r="J457" s="105"/>
      <c r="K457" s="105"/>
    </row>
    <row r="458" spans="1:11" ht="15.95" customHeight="1">
      <c r="A458" s="149"/>
      <c r="B458" s="105"/>
      <c r="C458" s="105"/>
      <c r="D458" s="105"/>
      <c r="E458" s="105"/>
      <c r="F458" s="105"/>
      <c r="G458" s="105"/>
      <c r="H458" s="105"/>
      <c r="I458" s="105"/>
      <c r="J458" s="105"/>
      <c r="K458" s="105"/>
    </row>
    <row r="459" spans="1:11" ht="15.95" customHeight="1">
      <c r="A459" s="105"/>
      <c r="B459" s="222"/>
      <c r="C459" s="105"/>
      <c r="D459" s="140"/>
      <c r="E459" s="105"/>
      <c r="F459" s="138"/>
      <c r="G459" s="140"/>
      <c r="H459" s="105"/>
      <c r="I459" s="105"/>
      <c r="J459" s="105"/>
      <c r="K459" s="105"/>
    </row>
    <row r="460" spans="1:11" ht="15.95" customHeight="1">
      <c r="A460" s="105"/>
      <c r="B460" s="105"/>
      <c r="C460" s="105"/>
      <c r="D460" s="105"/>
      <c r="E460" s="105"/>
      <c r="F460" s="105"/>
      <c r="G460" s="105"/>
      <c r="H460" s="105"/>
      <c r="I460" s="105"/>
      <c r="J460" s="105"/>
      <c r="K460" s="105"/>
    </row>
    <row r="461" spans="1:11" ht="15.95" customHeight="1">
      <c r="A461" s="105"/>
      <c r="B461" s="105"/>
      <c r="C461" s="105"/>
      <c r="D461" s="105"/>
      <c r="E461" s="105"/>
      <c r="F461" s="105"/>
      <c r="G461" s="138"/>
      <c r="H461" s="105"/>
      <c r="I461" s="105"/>
      <c r="J461" s="105"/>
      <c r="K461" s="105"/>
    </row>
    <row r="462" spans="1:11" ht="15.95" customHeight="1">
      <c r="A462" s="105"/>
      <c r="B462" s="105"/>
      <c r="C462" s="105"/>
      <c r="D462" s="105"/>
      <c r="E462" s="105"/>
      <c r="F462" s="105"/>
      <c r="G462" s="105"/>
      <c r="H462" s="105"/>
      <c r="I462" s="105"/>
      <c r="J462" s="105"/>
      <c r="K462" s="105"/>
    </row>
    <row r="463" spans="1:11" ht="15.95" customHeight="1">
      <c r="A463" s="105"/>
      <c r="B463" s="201"/>
      <c r="C463" s="105"/>
      <c r="D463" s="105"/>
      <c r="E463" s="105"/>
      <c r="F463" s="138"/>
      <c r="G463" s="105"/>
      <c r="H463" s="105"/>
      <c r="I463" s="105"/>
      <c r="J463" s="105"/>
      <c r="K463" s="105"/>
    </row>
    <row r="464" spans="1:11" ht="15.95" customHeight="1">
      <c r="A464" s="105"/>
      <c r="B464" s="105"/>
      <c r="C464" s="105"/>
      <c r="D464" s="105"/>
      <c r="E464" s="105"/>
      <c r="F464" s="105"/>
      <c r="G464" s="105"/>
      <c r="H464" s="105"/>
      <c r="I464" s="105"/>
      <c r="J464" s="105"/>
      <c r="K464" s="105"/>
    </row>
    <row r="465" spans="1:19" ht="15.95" customHeight="1">
      <c r="A465" s="105"/>
      <c r="B465" s="105"/>
      <c r="C465" s="105"/>
      <c r="D465" s="138"/>
      <c r="E465" s="138"/>
      <c r="F465" s="208"/>
      <c r="G465" s="220"/>
      <c r="H465" s="138"/>
      <c r="I465" s="138"/>
      <c r="J465" s="138"/>
      <c r="K465" s="138"/>
    </row>
    <row r="466" spans="1:19" ht="15.95" customHeight="1">
      <c r="A466" s="105"/>
      <c r="B466" s="105"/>
      <c r="C466" s="105"/>
      <c r="D466" s="105"/>
      <c r="E466" s="105"/>
      <c r="F466" s="105"/>
      <c r="G466" s="105"/>
      <c r="H466" s="105"/>
      <c r="I466" s="105"/>
      <c r="J466" s="105"/>
      <c r="K466" s="105"/>
    </row>
    <row r="467" spans="1:19" ht="15.95" customHeight="1">
      <c r="A467" s="105"/>
      <c r="B467" s="105"/>
      <c r="C467" s="105"/>
      <c r="D467" s="105"/>
      <c r="E467" s="105"/>
      <c r="F467" s="105"/>
      <c r="G467" s="105"/>
      <c r="H467" s="105"/>
      <c r="I467" s="105"/>
      <c r="J467" s="105"/>
      <c r="K467" s="105"/>
    </row>
    <row r="468" spans="1:19" ht="15.95" customHeight="1">
      <c r="A468" s="105"/>
      <c r="B468" s="214"/>
      <c r="C468" s="105"/>
      <c r="D468" s="105"/>
      <c r="E468" s="105"/>
      <c r="F468" s="105"/>
      <c r="G468" s="105"/>
      <c r="H468" s="105"/>
      <c r="I468" s="105"/>
      <c r="J468" s="105"/>
      <c r="K468" s="105"/>
    </row>
    <row r="469" spans="1:19" ht="15.95" customHeight="1">
      <c r="A469" s="105"/>
      <c r="B469" s="105"/>
      <c r="C469" s="228"/>
      <c r="D469" s="229"/>
      <c r="E469" s="105"/>
      <c r="F469" s="105"/>
      <c r="G469" s="105"/>
      <c r="H469" s="105"/>
      <c r="I469" s="105"/>
      <c r="J469" s="105"/>
      <c r="K469" s="105"/>
    </row>
    <row r="470" spans="1:19" ht="15.95" customHeight="1">
      <c r="A470" s="105"/>
      <c r="B470" s="201"/>
      <c r="C470" s="105"/>
      <c r="D470" s="142"/>
      <c r="E470" s="105"/>
      <c r="F470" s="105"/>
      <c r="G470" s="105"/>
      <c r="H470" s="105"/>
      <c r="I470" s="105"/>
      <c r="J470" s="105"/>
      <c r="K470" s="105"/>
    </row>
    <row r="471" spans="1:19" ht="15.95" customHeight="1">
      <c r="A471" s="105"/>
      <c r="B471" s="105"/>
      <c r="C471" s="105"/>
      <c r="D471" s="105"/>
      <c r="E471" s="105"/>
      <c r="F471" s="105"/>
      <c r="G471" s="105"/>
      <c r="H471" s="105"/>
      <c r="I471" s="105"/>
      <c r="J471" s="105"/>
      <c r="K471" s="105"/>
    </row>
    <row r="472" spans="1:19" ht="15.95" customHeight="1">
      <c r="A472" s="105"/>
      <c r="B472" s="105"/>
      <c r="C472" s="105"/>
      <c r="D472" s="105"/>
      <c r="E472" s="105"/>
      <c r="F472" s="105"/>
      <c r="G472" s="105"/>
      <c r="H472" s="105"/>
      <c r="I472" s="105"/>
      <c r="J472" s="105"/>
      <c r="K472" s="105"/>
    </row>
    <row r="473" spans="1:19" ht="15.95" customHeight="1">
      <c r="A473" s="105"/>
      <c r="B473" s="105"/>
      <c r="C473" s="105"/>
      <c r="D473" s="105"/>
      <c r="E473" s="105"/>
      <c r="F473" s="105"/>
      <c r="G473" s="105"/>
      <c r="H473" s="105"/>
      <c r="I473" s="105"/>
      <c r="J473" s="105"/>
      <c r="K473" s="105"/>
    </row>
    <row r="474" spans="1:19" ht="15.95" customHeight="1">
      <c r="A474" s="105"/>
      <c r="B474" s="105"/>
      <c r="C474" s="105"/>
      <c r="D474" s="138"/>
      <c r="E474" s="138"/>
      <c r="F474" s="105"/>
      <c r="G474" s="138"/>
      <c r="H474" s="105"/>
      <c r="I474" s="138"/>
      <c r="J474" s="105"/>
      <c r="K474" s="105"/>
    </row>
    <row r="475" spans="1:19" ht="15.95" customHeight="1">
      <c r="A475" s="105"/>
      <c r="B475" s="105"/>
      <c r="C475" s="105"/>
      <c r="D475" s="105"/>
      <c r="E475" s="105"/>
      <c r="F475" s="105"/>
      <c r="G475" s="105"/>
      <c r="H475" s="105"/>
      <c r="I475" s="105"/>
      <c r="J475" s="105"/>
      <c r="K475" s="105"/>
    </row>
    <row r="476" spans="1:19" ht="15.95" customHeight="1">
      <c r="A476" s="149"/>
      <c r="B476" s="105"/>
      <c r="C476" s="105"/>
      <c r="D476" s="105"/>
      <c r="E476" s="105"/>
      <c r="F476" s="105"/>
      <c r="G476" s="105"/>
      <c r="H476" s="105"/>
      <c r="I476" s="105"/>
      <c r="J476" s="105"/>
      <c r="K476" s="105"/>
      <c r="M476" s="105"/>
      <c r="N476" s="105"/>
      <c r="O476" s="105"/>
      <c r="P476" s="105"/>
      <c r="Q476" s="105"/>
      <c r="R476" s="105"/>
      <c r="S476" s="105"/>
    </row>
    <row r="477" spans="1:19" ht="15.95" customHeight="1">
      <c r="A477" s="149"/>
      <c r="B477" s="105"/>
      <c r="C477" s="105"/>
      <c r="D477" s="105"/>
      <c r="E477" s="105"/>
      <c r="F477" s="105"/>
      <c r="G477" s="105"/>
      <c r="H477" s="105"/>
      <c r="I477" s="105"/>
      <c r="J477" s="105"/>
      <c r="K477" s="105"/>
      <c r="M477" s="105"/>
      <c r="N477" s="105"/>
      <c r="O477" s="105"/>
      <c r="P477" s="105"/>
      <c r="Q477" s="105"/>
      <c r="R477" s="105"/>
      <c r="S477" s="105"/>
    </row>
    <row r="478" spans="1:19" ht="15.95" customHeight="1">
      <c r="A478" s="105"/>
      <c r="B478" s="105"/>
      <c r="C478" s="105"/>
      <c r="D478" s="105"/>
      <c r="E478" s="105"/>
      <c r="F478" s="105"/>
      <c r="G478" s="105"/>
      <c r="H478" s="105"/>
      <c r="I478" s="105"/>
      <c r="J478" s="105"/>
      <c r="K478" s="105"/>
      <c r="M478" s="105"/>
      <c r="N478" s="105"/>
      <c r="O478" s="105"/>
      <c r="P478" s="105"/>
      <c r="Q478" s="105"/>
      <c r="R478" s="105"/>
      <c r="S478" s="105"/>
    </row>
    <row r="479" spans="1:19" ht="15.95" customHeight="1">
      <c r="A479" s="105"/>
      <c r="B479" s="222"/>
      <c r="C479" s="105"/>
      <c r="D479" s="140"/>
      <c r="E479" s="105"/>
      <c r="F479" s="138"/>
      <c r="G479" s="140"/>
      <c r="H479" s="105"/>
      <c r="I479" s="105"/>
      <c r="J479" s="105"/>
      <c r="K479" s="105"/>
      <c r="M479" s="105"/>
      <c r="N479" s="105"/>
      <c r="O479" s="105"/>
      <c r="P479" s="105"/>
      <c r="Q479" s="105"/>
      <c r="R479" s="105"/>
      <c r="S479" s="105"/>
    </row>
    <row r="480" spans="1:19" ht="15.95" customHeight="1">
      <c r="A480" s="105"/>
      <c r="B480" s="105"/>
      <c r="C480" s="105"/>
      <c r="D480" s="105"/>
      <c r="E480" s="105"/>
      <c r="F480" s="105"/>
      <c r="G480" s="105"/>
      <c r="H480" s="105"/>
      <c r="I480" s="105"/>
      <c r="J480" s="105"/>
      <c r="K480" s="105"/>
      <c r="M480" s="105"/>
      <c r="N480" s="138"/>
      <c r="O480" s="105"/>
      <c r="P480" s="105"/>
      <c r="Q480" s="105"/>
      <c r="R480" s="105"/>
      <c r="S480" s="105"/>
    </row>
    <row r="481" spans="1:19" ht="15.95" customHeight="1">
      <c r="A481" s="105"/>
      <c r="B481" s="105"/>
      <c r="C481" s="105"/>
      <c r="D481" s="105"/>
      <c r="E481" s="105"/>
      <c r="F481" s="105"/>
      <c r="G481" s="105"/>
      <c r="H481" s="105"/>
      <c r="I481" s="105"/>
      <c r="J481" s="105"/>
      <c r="K481" s="105"/>
      <c r="M481" s="105"/>
      <c r="N481" s="138"/>
      <c r="O481" s="105"/>
      <c r="P481" s="105"/>
      <c r="Q481" s="105"/>
      <c r="R481" s="105"/>
      <c r="S481" s="105"/>
    </row>
    <row r="482" spans="1:19" ht="15.95" customHeight="1">
      <c r="A482" s="105"/>
      <c r="B482" s="105"/>
      <c r="C482" s="105"/>
      <c r="D482" s="105"/>
      <c r="E482" s="105"/>
      <c r="F482" s="105"/>
      <c r="G482" s="138"/>
      <c r="H482" s="230"/>
      <c r="I482" s="138"/>
      <c r="J482" s="105"/>
      <c r="K482" s="105"/>
      <c r="M482" s="105"/>
      <c r="N482" s="138"/>
      <c r="O482" s="105"/>
      <c r="P482" s="105"/>
      <c r="Q482" s="105"/>
      <c r="R482" s="105"/>
      <c r="S482" s="105"/>
    </row>
    <row r="483" spans="1:19" ht="15.95" customHeight="1">
      <c r="A483" s="105"/>
      <c r="B483" s="105"/>
      <c r="C483" s="105"/>
      <c r="D483" s="105"/>
      <c r="E483" s="105"/>
      <c r="F483" s="105"/>
      <c r="G483" s="105"/>
      <c r="H483" s="105"/>
      <c r="I483" s="105"/>
      <c r="J483" s="105"/>
      <c r="K483" s="105"/>
      <c r="M483" s="105"/>
      <c r="N483" s="138"/>
      <c r="O483" s="105"/>
      <c r="P483" s="105"/>
      <c r="Q483" s="105"/>
      <c r="R483" s="105"/>
      <c r="S483" s="105"/>
    </row>
    <row r="484" spans="1:19" ht="15.95" customHeight="1">
      <c r="A484" s="105"/>
      <c r="B484" s="105"/>
      <c r="C484" s="105"/>
      <c r="D484" s="105"/>
      <c r="E484" s="105"/>
      <c r="F484" s="105"/>
      <c r="G484" s="105"/>
      <c r="H484" s="105"/>
      <c r="I484" s="105"/>
      <c r="J484" s="105"/>
      <c r="K484" s="105"/>
      <c r="M484" s="105"/>
      <c r="N484" s="138"/>
      <c r="O484" s="105"/>
      <c r="P484" s="105"/>
      <c r="Q484" s="105"/>
      <c r="R484" s="105"/>
      <c r="S484" s="105"/>
    </row>
    <row r="485" spans="1:19" ht="15.95" customHeight="1">
      <c r="A485" s="105"/>
      <c r="B485" s="105"/>
      <c r="C485" s="105"/>
      <c r="D485" s="140"/>
      <c r="E485" s="105"/>
      <c r="F485" s="105"/>
      <c r="G485" s="105"/>
      <c r="H485" s="105"/>
      <c r="I485" s="105"/>
      <c r="J485" s="105"/>
      <c r="K485" s="105"/>
      <c r="M485" s="105"/>
      <c r="N485" s="138"/>
      <c r="O485" s="105"/>
      <c r="P485" s="105"/>
      <c r="Q485" s="105"/>
      <c r="R485" s="105"/>
      <c r="S485" s="105"/>
    </row>
    <row r="486" spans="1:19" ht="15.95" customHeight="1">
      <c r="A486" s="105"/>
      <c r="B486" s="105"/>
      <c r="C486" s="105"/>
      <c r="D486" s="105"/>
      <c r="E486" s="105"/>
      <c r="F486" s="105"/>
      <c r="G486" s="105"/>
      <c r="H486" s="105"/>
      <c r="I486" s="105"/>
      <c r="J486" s="105"/>
      <c r="K486" s="105"/>
      <c r="M486" s="105"/>
      <c r="N486" s="138"/>
      <c r="O486" s="105"/>
      <c r="P486" s="105"/>
      <c r="Q486" s="105"/>
      <c r="R486" s="105"/>
      <c r="S486" s="105"/>
    </row>
    <row r="487" spans="1:19" ht="15.95" customHeight="1">
      <c r="A487" s="105"/>
      <c r="B487" s="105"/>
      <c r="C487" s="138"/>
      <c r="D487" s="105"/>
      <c r="E487" s="105"/>
      <c r="F487" s="105"/>
      <c r="G487" s="138"/>
      <c r="H487" s="105"/>
      <c r="I487" s="105"/>
      <c r="J487" s="105"/>
      <c r="K487" s="105"/>
      <c r="M487" s="105"/>
      <c r="N487" s="138"/>
      <c r="O487" s="105"/>
      <c r="P487" s="105"/>
      <c r="Q487" s="105"/>
      <c r="R487" s="105"/>
      <c r="S487" s="105"/>
    </row>
    <row r="488" spans="1:19" ht="15.95" customHeight="1">
      <c r="A488" s="105"/>
      <c r="B488" s="105"/>
      <c r="C488" s="105"/>
      <c r="D488" s="105"/>
      <c r="E488" s="105"/>
      <c r="F488" s="105"/>
      <c r="G488" s="138"/>
      <c r="H488" s="105"/>
      <c r="I488" s="105"/>
      <c r="J488" s="105"/>
      <c r="K488" s="105"/>
      <c r="M488" s="105"/>
      <c r="N488" s="138"/>
      <c r="O488" s="105"/>
      <c r="P488" s="105"/>
      <c r="Q488" s="105"/>
      <c r="R488" s="105"/>
      <c r="S488" s="105"/>
    </row>
    <row r="489" spans="1:19" ht="15.95" customHeight="1">
      <c r="A489" s="105"/>
      <c r="B489" s="105"/>
      <c r="C489" s="105"/>
      <c r="D489" s="105"/>
      <c r="E489" s="105"/>
      <c r="F489" s="105"/>
      <c r="G489" s="231"/>
      <c r="H489" s="105"/>
      <c r="I489" s="105"/>
      <c r="J489" s="105"/>
      <c r="K489" s="105"/>
      <c r="M489" s="105"/>
      <c r="N489" s="105"/>
      <c r="O489" s="105"/>
      <c r="P489" s="105"/>
      <c r="Q489" s="105"/>
      <c r="R489" s="105"/>
      <c r="S489" s="105"/>
    </row>
    <row r="490" spans="1:19" ht="15.95" customHeight="1">
      <c r="A490" s="105"/>
      <c r="B490" s="105"/>
      <c r="C490" s="105"/>
      <c r="D490" s="105"/>
      <c r="E490" s="105"/>
      <c r="F490" s="105"/>
      <c r="G490" s="105"/>
      <c r="H490" s="105"/>
      <c r="I490" s="105"/>
      <c r="J490" s="105"/>
      <c r="K490" s="105"/>
    </row>
    <row r="491" spans="1:19" ht="15.95" customHeight="1">
      <c r="A491" s="105"/>
      <c r="B491" s="105"/>
      <c r="C491" s="231"/>
      <c r="D491" s="105"/>
      <c r="E491" s="105"/>
      <c r="F491" s="105"/>
      <c r="G491" s="105"/>
      <c r="H491" s="105"/>
      <c r="I491" s="105"/>
      <c r="J491" s="105"/>
      <c r="K491" s="105"/>
    </row>
    <row r="492" spans="1:19" ht="15.95" customHeight="1">
      <c r="A492" s="105"/>
      <c r="B492" s="105"/>
      <c r="C492" s="231"/>
      <c r="D492" s="105"/>
      <c r="E492" s="105"/>
      <c r="F492" s="105"/>
      <c r="G492" s="142"/>
      <c r="H492" s="105"/>
      <c r="I492" s="105"/>
      <c r="J492" s="105"/>
      <c r="K492" s="105"/>
    </row>
    <row r="493" spans="1:19" ht="15.95" customHeight="1">
      <c r="A493" s="105"/>
      <c r="B493" s="105"/>
      <c r="C493" s="208"/>
      <c r="D493" s="221"/>
      <c r="E493" s="105"/>
      <c r="F493" s="105"/>
      <c r="G493" s="105"/>
      <c r="H493" s="105"/>
      <c r="I493" s="105"/>
      <c r="J493" s="105"/>
      <c r="K493" s="105"/>
    </row>
    <row r="494" spans="1:19" ht="15.95" customHeight="1">
      <c r="A494" s="105"/>
      <c r="B494" s="105"/>
      <c r="C494" s="228"/>
      <c r="D494" s="229"/>
      <c r="E494" s="105"/>
      <c r="F494" s="105"/>
      <c r="G494" s="105"/>
      <c r="H494" s="105"/>
      <c r="I494" s="105"/>
      <c r="J494" s="105"/>
      <c r="K494" s="105"/>
    </row>
    <row r="495" spans="1:19" ht="15.95" customHeight="1">
      <c r="A495" s="105"/>
      <c r="B495" s="105"/>
      <c r="C495" s="105"/>
      <c r="D495" s="105"/>
      <c r="E495" s="105"/>
      <c r="F495" s="105"/>
      <c r="G495" s="142"/>
      <c r="H495" s="105"/>
      <c r="I495" s="105"/>
      <c r="J495" s="105"/>
      <c r="K495" s="105"/>
    </row>
    <row r="496" spans="1:19" ht="15.95" customHeight="1">
      <c r="A496" s="105"/>
      <c r="B496" s="105"/>
      <c r="C496" s="105"/>
      <c r="D496" s="138"/>
      <c r="E496" s="105"/>
      <c r="F496" s="138"/>
      <c r="G496" s="138"/>
      <c r="H496" s="105"/>
      <c r="I496" s="138"/>
      <c r="J496" s="138"/>
      <c r="K496" s="105"/>
    </row>
    <row r="497" spans="1:11" ht="15.95" customHeight="1">
      <c r="A497" s="105"/>
      <c r="B497" s="105"/>
      <c r="C497" s="105"/>
      <c r="D497" s="105"/>
      <c r="E497" s="105"/>
      <c r="F497" s="105"/>
      <c r="G497" s="138"/>
      <c r="H497" s="105"/>
      <c r="I497" s="105"/>
      <c r="J497" s="105"/>
      <c r="K497" s="105"/>
    </row>
    <row r="498" spans="1:11" ht="15.95" customHeight="1">
      <c r="C498" s="232"/>
      <c r="E498" s="233"/>
    </row>
    <row r="499" spans="1:11" ht="15.95" customHeight="1"/>
    <row r="500" spans="1:11" ht="15.95" customHeight="1">
      <c r="A500" s="233"/>
      <c r="B500" s="233"/>
      <c r="C500" s="232"/>
      <c r="D500" s="234"/>
      <c r="F500" s="235"/>
      <c r="G500" s="233"/>
      <c r="H500" s="233"/>
    </row>
    <row r="501" spans="1:11" ht="15.95" customHeight="1">
      <c r="A501" s="233"/>
      <c r="B501" s="233"/>
      <c r="C501" s="233"/>
      <c r="D501" s="233"/>
      <c r="E501" s="233"/>
      <c r="F501" s="233"/>
      <c r="G501" s="233"/>
      <c r="H501" s="233"/>
    </row>
    <row r="502" spans="1:11" ht="15.95" customHeight="1">
      <c r="A502" s="233"/>
      <c r="B502" s="233"/>
      <c r="C502" s="233"/>
      <c r="E502" s="236"/>
      <c r="F502" s="233"/>
      <c r="H502" s="237"/>
      <c r="I502" s="238"/>
    </row>
    <row r="503" spans="1:11" ht="15.95" customHeight="1">
      <c r="A503" s="233"/>
      <c r="B503" s="233"/>
      <c r="C503" s="233"/>
      <c r="D503" s="233"/>
      <c r="E503" s="233"/>
      <c r="F503" s="233"/>
    </row>
    <row r="504" spans="1:11" ht="15.95" customHeight="1">
      <c r="A504" s="233"/>
      <c r="B504" s="233"/>
      <c r="C504" s="238"/>
      <c r="D504" s="233"/>
      <c r="E504" s="233"/>
      <c r="F504" s="233"/>
    </row>
    <row r="505" spans="1:11" ht="18" customHeight="1">
      <c r="A505" s="233"/>
      <c r="B505" s="233"/>
      <c r="C505" s="233"/>
      <c r="D505" s="233"/>
      <c r="H505" s="239"/>
      <c r="I505" s="240"/>
    </row>
    <row r="508" spans="1:11" ht="18" customHeight="1">
      <c r="C508" s="237"/>
      <c r="D508" s="191"/>
    </row>
    <row r="511" spans="1:11" ht="18" customHeight="1">
      <c r="G511" s="237"/>
      <c r="H511" s="213"/>
    </row>
  </sheetData>
  <protectedRanges>
    <protectedRange sqref="H422:H427 E11:F13 F17:F20 G14:H14 H18 H47:H52 H104:H105 H249:H254 H389:H394 G29:G31 G120:G126 I106:I108 H42:H44 J145 J147 H23:H28 H339:H359" name="Range1_1_2"/>
    <protectedRange sqref="H11:H13 K26:L43 J14 J21 H17 H19:H20" name="Range1_2_2"/>
  </protectedRanges>
  <mergeCells count="47">
    <mergeCell ref="B371:E371"/>
    <mergeCell ref="F366:I366"/>
    <mergeCell ref="H379:I379"/>
    <mergeCell ref="H373:I373"/>
    <mergeCell ref="H374:I374"/>
    <mergeCell ref="H375:I375"/>
    <mergeCell ref="H376:I376"/>
    <mergeCell ref="H378:I378"/>
    <mergeCell ref="F367:I367"/>
    <mergeCell ref="F368:I368"/>
    <mergeCell ref="F369:I369"/>
    <mergeCell ref="F370:I370"/>
    <mergeCell ref="F371:I371"/>
    <mergeCell ref="B366:E366"/>
    <mergeCell ref="B369:E369"/>
    <mergeCell ref="B370:E370"/>
    <mergeCell ref="A315:J315"/>
    <mergeCell ref="A1:J1"/>
    <mergeCell ref="H18:J19"/>
    <mergeCell ref="B325:D325"/>
    <mergeCell ref="E325:I325"/>
    <mergeCell ref="H163:I163"/>
    <mergeCell ref="B324:D324"/>
    <mergeCell ref="E324:I324"/>
    <mergeCell ref="H36:J37"/>
    <mergeCell ref="A90:J90"/>
    <mergeCell ref="A225:J225"/>
    <mergeCell ref="A360:J360"/>
    <mergeCell ref="B367:E367"/>
    <mergeCell ref="B368:E368"/>
    <mergeCell ref="E326:I326"/>
    <mergeCell ref="E327:I327"/>
    <mergeCell ref="E328:I328"/>
    <mergeCell ref="E329:I329"/>
    <mergeCell ref="B326:D326"/>
    <mergeCell ref="B327:D327"/>
    <mergeCell ref="B328:D328"/>
    <mergeCell ref="B329:D329"/>
    <mergeCell ref="K225:L225"/>
    <mergeCell ref="A270:J270"/>
    <mergeCell ref="H39:J39"/>
    <mergeCell ref="H162:I162"/>
    <mergeCell ref="H161:I161"/>
    <mergeCell ref="H160:I160"/>
    <mergeCell ref="H159:I159"/>
    <mergeCell ref="C106:C108"/>
    <mergeCell ref="D106:D107"/>
  </mergeCells>
  <dataValidations disablePrompts="1" count="1">
    <dataValidation type="decimal" operator="lessThan" allowBlank="1" showInputMessage="1" showErrorMessage="1" sqref="WVM983310 WLQ983310 E65806 JA65806 SW65806 ACS65806 AMO65806 AWK65806 BGG65806 BQC65806 BZY65806 CJU65806 CTQ65806 DDM65806 DNI65806 DXE65806 EHA65806 EQW65806 FAS65806 FKO65806 FUK65806 GEG65806 GOC65806 GXY65806 HHU65806 HRQ65806 IBM65806 ILI65806 IVE65806 JFA65806 JOW65806 JYS65806 KIO65806 KSK65806 LCG65806 LMC65806 LVY65806 MFU65806 MPQ65806 MZM65806 NJI65806 NTE65806 ODA65806 OMW65806 OWS65806 PGO65806 PQK65806 QAG65806 QKC65806 QTY65806 RDU65806 RNQ65806 RXM65806 SHI65806 SRE65806 TBA65806 TKW65806 TUS65806 UEO65806 UOK65806 UYG65806 VIC65806 VRY65806 WBU65806 WLQ65806 WVM65806 E131342 JA131342 SW131342 ACS131342 AMO131342 AWK131342 BGG131342 BQC131342 BZY131342 CJU131342 CTQ131342 DDM131342 DNI131342 DXE131342 EHA131342 EQW131342 FAS131342 FKO131342 FUK131342 GEG131342 GOC131342 GXY131342 HHU131342 HRQ131342 IBM131342 ILI131342 IVE131342 JFA131342 JOW131342 JYS131342 KIO131342 KSK131342 LCG131342 LMC131342 LVY131342 MFU131342 MPQ131342 MZM131342 NJI131342 NTE131342 ODA131342 OMW131342 OWS131342 PGO131342 PQK131342 QAG131342 QKC131342 QTY131342 RDU131342 RNQ131342 RXM131342 SHI131342 SRE131342 TBA131342 TKW131342 TUS131342 UEO131342 UOK131342 UYG131342 VIC131342 VRY131342 WBU131342 WLQ131342 WVM131342 E196878 JA196878 SW196878 ACS196878 AMO196878 AWK196878 BGG196878 BQC196878 BZY196878 CJU196878 CTQ196878 DDM196878 DNI196878 DXE196878 EHA196878 EQW196878 FAS196878 FKO196878 FUK196878 GEG196878 GOC196878 GXY196878 HHU196878 HRQ196878 IBM196878 ILI196878 IVE196878 JFA196878 JOW196878 JYS196878 KIO196878 KSK196878 LCG196878 LMC196878 LVY196878 MFU196878 MPQ196878 MZM196878 NJI196878 NTE196878 ODA196878 OMW196878 OWS196878 PGO196878 PQK196878 QAG196878 QKC196878 QTY196878 RDU196878 RNQ196878 RXM196878 SHI196878 SRE196878 TBA196878 TKW196878 TUS196878 UEO196878 UOK196878 UYG196878 VIC196878 VRY196878 WBU196878 WLQ196878 WVM196878 E262414 JA262414 SW262414 ACS262414 AMO262414 AWK262414 BGG262414 BQC262414 BZY262414 CJU262414 CTQ262414 DDM262414 DNI262414 DXE262414 EHA262414 EQW262414 FAS262414 FKO262414 FUK262414 GEG262414 GOC262414 GXY262414 HHU262414 HRQ262414 IBM262414 ILI262414 IVE262414 JFA262414 JOW262414 JYS262414 KIO262414 KSK262414 LCG262414 LMC262414 LVY262414 MFU262414 MPQ262414 MZM262414 NJI262414 NTE262414 ODA262414 OMW262414 OWS262414 PGO262414 PQK262414 QAG262414 QKC262414 QTY262414 RDU262414 RNQ262414 RXM262414 SHI262414 SRE262414 TBA262414 TKW262414 TUS262414 UEO262414 UOK262414 UYG262414 VIC262414 VRY262414 WBU262414 WLQ262414 WVM262414 E327950 JA327950 SW327950 ACS327950 AMO327950 AWK327950 BGG327950 BQC327950 BZY327950 CJU327950 CTQ327950 DDM327950 DNI327950 DXE327950 EHA327950 EQW327950 FAS327950 FKO327950 FUK327950 GEG327950 GOC327950 GXY327950 HHU327950 HRQ327950 IBM327950 ILI327950 IVE327950 JFA327950 JOW327950 JYS327950 KIO327950 KSK327950 LCG327950 LMC327950 LVY327950 MFU327950 MPQ327950 MZM327950 NJI327950 NTE327950 ODA327950 OMW327950 OWS327950 PGO327950 PQK327950 QAG327950 QKC327950 QTY327950 RDU327950 RNQ327950 RXM327950 SHI327950 SRE327950 TBA327950 TKW327950 TUS327950 UEO327950 UOK327950 UYG327950 VIC327950 VRY327950 WBU327950 WLQ327950 WVM327950 E393486 JA393486 SW393486 ACS393486 AMO393486 AWK393486 BGG393486 BQC393486 BZY393486 CJU393486 CTQ393486 DDM393486 DNI393486 DXE393486 EHA393486 EQW393486 FAS393486 FKO393486 FUK393486 GEG393486 GOC393486 GXY393486 HHU393486 HRQ393486 IBM393486 ILI393486 IVE393486 JFA393486 JOW393486 JYS393486 KIO393486 KSK393486 LCG393486 LMC393486 LVY393486 MFU393486 MPQ393486 MZM393486 NJI393486 NTE393486 ODA393486 OMW393486 OWS393486 PGO393486 PQK393486 QAG393486 QKC393486 QTY393486 RDU393486 RNQ393486 RXM393486 SHI393486 SRE393486 TBA393486 TKW393486 TUS393486 UEO393486 UOK393486 UYG393486 VIC393486 VRY393486 WBU393486 WLQ393486 WVM393486 E459022 JA459022 SW459022 ACS459022 AMO459022 AWK459022 BGG459022 BQC459022 BZY459022 CJU459022 CTQ459022 DDM459022 DNI459022 DXE459022 EHA459022 EQW459022 FAS459022 FKO459022 FUK459022 GEG459022 GOC459022 GXY459022 HHU459022 HRQ459022 IBM459022 ILI459022 IVE459022 JFA459022 JOW459022 JYS459022 KIO459022 KSK459022 LCG459022 LMC459022 LVY459022 MFU459022 MPQ459022 MZM459022 NJI459022 NTE459022 ODA459022 OMW459022 OWS459022 PGO459022 PQK459022 QAG459022 QKC459022 QTY459022 RDU459022 RNQ459022 RXM459022 SHI459022 SRE459022 TBA459022 TKW459022 TUS459022 UEO459022 UOK459022 UYG459022 VIC459022 VRY459022 WBU459022 WLQ459022 WVM459022 E524558 JA524558 SW524558 ACS524558 AMO524558 AWK524558 BGG524558 BQC524558 BZY524558 CJU524558 CTQ524558 DDM524558 DNI524558 DXE524558 EHA524558 EQW524558 FAS524558 FKO524558 FUK524558 GEG524558 GOC524558 GXY524558 HHU524558 HRQ524558 IBM524558 ILI524558 IVE524558 JFA524558 JOW524558 JYS524558 KIO524558 KSK524558 LCG524558 LMC524558 LVY524558 MFU524558 MPQ524558 MZM524558 NJI524558 NTE524558 ODA524558 OMW524558 OWS524558 PGO524558 PQK524558 QAG524558 QKC524558 QTY524558 RDU524558 RNQ524558 RXM524558 SHI524558 SRE524558 TBA524558 TKW524558 TUS524558 UEO524558 UOK524558 UYG524558 VIC524558 VRY524558 WBU524558 WLQ524558 WVM524558 E590094 JA590094 SW590094 ACS590094 AMO590094 AWK590094 BGG590094 BQC590094 BZY590094 CJU590094 CTQ590094 DDM590094 DNI590094 DXE590094 EHA590094 EQW590094 FAS590094 FKO590094 FUK590094 GEG590094 GOC590094 GXY590094 HHU590094 HRQ590094 IBM590094 ILI590094 IVE590094 JFA590094 JOW590094 JYS590094 KIO590094 KSK590094 LCG590094 LMC590094 LVY590094 MFU590094 MPQ590094 MZM590094 NJI590094 NTE590094 ODA590094 OMW590094 OWS590094 PGO590094 PQK590094 QAG590094 QKC590094 QTY590094 RDU590094 RNQ590094 RXM590094 SHI590094 SRE590094 TBA590094 TKW590094 TUS590094 UEO590094 UOK590094 UYG590094 VIC590094 VRY590094 WBU590094 WLQ590094 WVM590094 E655630 JA655630 SW655630 ACS655630 AMO655630 AWK655630 BGG655630 BQC655630 BZY655630 CJU655630 CTQ655630 DDM655630 DNI655630 DXE655630 EHA655630 EQW655630 FAS655630 FKO655630 FUK655630 GEG655630 GOC655630 GXY655630 HHU655630 HRQ655630 IBM655630 ILI655630 IVE655630 JFA655630 JOW655630 JYS655630 KIO655630 KSK655630 LCG655630 LMC655630 LVY655630 MFU655630 MPQ655630 MZM655630 NJI655630 NTE655630 ODA655630 OMW655630 OWS655630 PGO655630 PQK655630 QAG655630 QKC655630 QTY655630 RDU655630 RNQ655630 RXM655630 SHI655630 SRE655630 TBA655630 TKW655630 TUS655630 UEO655630 UOK655630 UYG655630 VIC655630 VRY655630 WBU655630 WLQ655630 WVM655630 E721166 JA721166 SW721166 ACS721166 AMO721166 AWK721166 BGG721166 BQC721166 BZY721166 CJU721166 CTQ721166 DDM721166 DNI721166 DXE721166 EHA721166 EQW721166 FAS721166 FKO721166 FUK721166 GEG721166 GOC721166 GXY721166 HHU721166 HRQ721166 IBM721166 ILI721166 IVE721166 JFA721166 JOW721166 JYS721166 KIO721166 KSK721166 LCG721166 LMC721166 LVY721166 MFU721166 MPQ721166 MZM721166 NJI721166 NTE721166 ODA721166 OMW721166 OWS721166 PGO721166 PQK721166 QAG721166 QKC721166 QTY721166 RDU721166 RNQ721166 RXM721166 SHI721166 SRE721166 TBA721166 TKW721166 TUS721166 UEO721166 UOK721166 UYG721166 VIC721166 VRY721166 WBU721166 WLQ721166 WVM721166 E786702 JA786702 SW786702 ACS786702 AMO786702 AWK786702 BGG786702 BQC786702 BZY786702 CJU786702 CTQ786702 DDM786702 DNI786702 DXE786702 EHA786702 EQW786702 FAS786702 FKO786702 FUK786702 GEG786702 GOC786702 GXY786702 HHU786702 HRQ786702 IBM786702 ILI786702 IVE786702 JFA786702 JOW786702 JYS786702 KIO786702 KSK786702 LCG786702 LMC786702 LVY786702 MFU786702 MPQ786702 MZM786702 NJI786702 NTE786702 ODA786702 OMW786702 OWS786702 PGO786702 PQK786702 QAG786702 QKC786702 QTY786702 RDU786702 RNQ786702 RXM786702 SHI786702 SRE786702 TBA786702 TKW786702 TUS786702 UEO786702 UOK786702 UYG786702 VIC786702 VRY786702 WBU786702 WLQ786702 WVM786702 E852238 JA852238 SW852238 ACS852238 AMO852238 AWK852238 BGG852238 BQC852238 BZY852238 CJU852238 CTQ852238 DDM852238 DNI852238 DXE852238 EHA852238 EQW852238 FAS852238 FKO852238 FUK852238 GEG852238 GOC852238 GXY852238 HHU852238 HRQ852238 IBM852238 ILI852238 IVE852238 JFA852238 JOW852238 JYS852238 KIO852238 KSK852238 LCG852238 LMC852238 LVY852238 MFU852238 MPQ852238 MZM852238 NJI852238 NTE852238 ODA852238 OMW852238 OWS852238 PGO852238 PQK852238 QAG852238 QKC852238 QTY852238 RDU852238 RNQ852238 RXM852238 SHI852238 SRE852238 TBA852238 TKW852238 TUS852238 UEO852238 UOK852238 UYG852238 VIC852238 VRY852238 WBU852238 WLQ852238 WVM852238 E917774 JA917774 SW917774 ACS917774 AMO917774 AWK917774 BGG917774 BQC917774 BZY917774 CJU917774 CTQ917774 DDM917774 DNI917774 DXE917774 EHA917774 EQW917774 FAS917774 FKO917774 FUK917774 GEG917774 GOC917774 GXY917774 HHU917774 HRQ917774 IBM917774 ILI917774 IVE917774 JFA917774 JOW917774 JYS917774 KIO917774 KSK917774 LCG917774 LMC917774 LVY917774 MFU917774 MPQ917774 MZM917774 NJI917774 NTE917774 ODA917774 OMW917774 OWS917774 PGO917774 PQK917774 QAG917774 QKC917774 QTY917774 RDU917774 RNQ917774 RXM917774 SHI917774 SRE917774 TBA917774 TKW917774 TUS917774 UEO917774 UOK917774 UYG917774 VIC917774 VRY917774 WBU917774 WLQ917774 WVM917774 E983310 JA983310 SW983310 ACS983310 AMO983310 AWK983310 BGG983310 BQC983310 BZY983310 CJU983310 CTQ983310 DDM983310 DNI983310 DXE983310 EHA983310 EQW983310 FAS983310 FKO983310 FUK983310 GEG983310 GOC983310 GXY983310 HHU983310 HRQ983310 IBM983310 ILI983310 IVE983310 JFA983310 JOW983310 JYS983310 KIO983310 KSK983310 LCG983310 LMC983310 LVY983310 MFU983310 MPQ983310 MZM983310 NJI983310 NTE983310 ODA983310 OMW983310 OWS983310 PGO983310 PQK983310 QAG983310 QKC983310 QTY983310 RDU983310 RNQ983310 RXM983310 SHI983310 SRE983310 TBA983310 TKW983310 TUS983310 UEO983310 UOK983310 UYG983310 VIC983310 VRY983310 WBU983310 WVM231 WLQ231 WBU231 VRY231 VIC231 UYG231 UOK231 UEO231 TUS231 TKW231 TBA231 SRE231 SHI231 RXM231 RNQ231 RDU231 QTY231 QKC231 QAG231 PQK231 PGO231 OWS231 OMW231 ODA231 NTE231 NJI231 MZM231 MPQ231 MFU231 LVY231 LMC231 LCG231 KSK231 KIO231 JYS231 JOW231 JFA231 IVE231 ILI231 IBM231 HRQ231 HHU231 GXY231 GOC231 GEG231 FUK231 FKO231 FAS231 EQW231 EHA231 DXE231 DNI231 DDM231 CTQ231 CJU231 BZY231 BQC231 BGG231 AWK231 AMO231 ACS231 SW231 JA231 E277">
      <formula1>$O$228</formula1>
    </dataValidation>
  </dataValidations>
  <printOptions gridLines="1"/>
  <pageMargins left="0.98425196850393704" right="0.78740157480314965" top="0.98425196850393704" bottom="0.59055118110236227" header="0.39370078740157483" footer="0.39370078740157483"/>
  <pageSetup paperSize="9" orientation="portrait" r:id="rId1"/>
  <headerFooter alignWithMargins="0"/>
  <drawing r:id="rId2"/>
  <legacyDrawing r:id="rId3"/>
  <oleObjects>
    <mc:AlternateContent xmlns:mc="http://schemas.openxmlformats.org/markup-compatibility/2006">
      <mc:Choice Requires="x14">
        <oleObject progId="Equation.DSMT4" shapeId="27649" r:id="rId4">
          <objectPr defaultSize="0" autoPict="0" r:id="rId5">
            <anchor moveWithCells="1" sizeWithCells="1">
              <from>
                <xdr:col>15</xdr:col>
                <xdr:colOff>0</xdr:colOff>
                <xdr:row>44</xdr:row>
                <xdr:rowOff>0</xdr:rowOff>
              </from>
              <to>
                <xdr:col>15</xdr:col>
                <xdr:colOff>0</xdr:colOff>
                <xdr:row>44</xdr:row>
                <xdr:rowOff>0</xdr:rowOff>
              </to>
            </anchor>
          </objectPr>
        </oleObject>
      </mc:Choice>
      <mc:Fallback>
        <oleObject progId="Equation.DSMT4" shapeId="27649" r:id="rId4"/>
      </mc:Fallback>
    </mc:AlternateContent>
    <mc:AlternateContent xmlns:mc="http://schemas.openxmlformats.org/markup-compatibility/2006">
      <mc:Choice Requires="x14">
        <oleObject progId="Equation.DSMT4" shapeId="27650" r:id="rId6">
          <objectPr defaultSize="0" autoPict="0" r:id="rId5">
            <anchor moveWithCells="1" sizeWithCells="1">
              <from>
                <xdr:col>15</xdr:col>
                <xdr:colOff>0</xdr:colOff>
                <xdr:row>229</xdr:row>
                <xdr:rowOff>0</xdr:rowOff>
              </from>
              <to>
                <xdr:col>15</xdr:col>
                <xdr:colOff>0</xdr:colOff>
                <xdr:row>229</xdr:row>
                <xdr:rowOff>0</xdr:rowOff>
              </to>
            </anchor>
          </objectPr>
        </oleObject>
      </mc:Choice>
      <mc:Fallback>
        <oleObject progId="Equation.DSMT4" shapeId="27650" r:id="rId6"/>
      </mc:Fallback>
    </mc:AlternateContent>
    <mc:AlternateContent xmlns:mc="http://schemas.openxmlformats.org/markup-compatibility/2006">
      <mc:Choice Requires="x14">
        <oleObject progId="Equation.DSMT4" shapeId="27651" r:id="rId7">
          <objectPr defaultSize="0" autoPict="0" r:id="rId8">
            <anchor moveWithCells="1">
              <from>
                <xdr:col>2</xdr:col>
                <xdr:colOff>28575</xdr:colOff>
                <xdr:row>93</xdr:row>
                <xdr:rowOff>28575</xdr:rowOff>
              </from>
              <to>
                <xdr:col>4</xdr:col>
                <xdr:colOff>257175</xdr:colOff>
                <xdr:row>95</xdr:row>
                <xdr:rowOff>95250</xdr:rowOff>
              </to>
            </anchor>
          </objectPr>
        </oleObject>
      </mc:Choice>
      <mc:Fallback>
        <oleObject progId="Equation.DSMT4" shapeId="27651" r:id="rId7"/>
      </mc:Fallback>
    </mc:AlternateContent>
    <mc:AlternateContent xmlns:mc="http://schemas.openxmlformats.org/markup-compatibility/2006">
      <mc:Choice Requires="x14">
        <oleObject progId="Equation.DSMT4" shapeId="27652" r:id="rId9">
          <objectPr defaultSize="0" autoPict="0" r:id="rId10">
            <anchor moveWithCells="1">
              <from>
                <xdr:col>1</xdr:col>
                <xdr:colOff>590550</xdr:colOff>
                <xdr:row>97</xdr:row>
                <xdr:rowOff>0</xdr:rowOff>
              </from>
              <to>
                <xdr:col>4</xdr:col>
                <xdr:colOff>390525</xdr:colOff>
                <xdr:row>103</xdr:row>
                <xdr:rowOff>38100</xdr:rowOff>
              </to>
            </anchor>
          </objectPr>
        </oleObject>
      </mc:Choice>
      <mc:Fallback>
        <oleObject progId="Equation.DSMT4" shapeId="27652"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6"/>
  <sheetViews>
    <sheetView showGridLines="0" view="pageBreakPreview" workbookViewId="0">
      <selection activeCell="D10" sqref="D10"/>
    </sheetView>
  </sheetViews>
  <sheetFormatPr defaultRowHeight="12.75"/>
  <cols>
    <col min="2" max="2" width="11" bestFit="1" customWidth="1"/>
    <col min="3" max="3" width="9.7109375" bestFit="1" customWidth="1"/>
    <col min="4" max="4" width="10" bestFit="1" customWidth="1"/>
    <col min="6" max="6" width="9.7109375" customWidth="1"/>
    <col min="8" max="8" width="9.7109375" bestFit="1" customWidth="1"/>
    <col min="10" max="11" width="9.140625" hidden="1" customWidth="1"/>
    <col min="12" max="12" width="17.140625" hidden="1" customWidth="1"/>
    <col min="258" max="258" width="11" bestFit="1" customWidth="1"/>
    <col min="259" max="259" width="9.7109375" bestFit="1" customWidth="1"/>
    <col min="260" max="260" width="10" bestFit="1" customWidth="1"/>
    <col min="262" max="262" width="9.7109375" customWidth="1"/>
    <col min="264" max="264" width="9.7109375" bestFit="1" customWidth="1"/>
    <col min="266" max="268" width="0" hidden="1" customWidth="1"/>
    <col min="514" max="514" width="11" bestFit="1" customWidth="1"/>
    <col min="515" max="515" width="9.7109375" bestFit="1" customWidth="1"/>
    <col min="516" max="516" width="10" bestFit="1" customWidth="1"/>
    <col min="518" max="518" width="9.7109375" customWidth="1"/>
    <col min="520" max="520" width="9.7109375" bestFit="1" customWidth="1"/>
    <col min="522" max="524" width="0" hidden="1" customWidth="1"/>
    <col min="770" max="770" width="11" bestFit="1" customWidth="1"/>
    <col min="771" max="771" width="9.7109375" bestFit="1" customWidth="1"/>
    <col min="772" max="772" width="10" bestFit="1" customWidth="1"/>
    <col min="774" max="774" width="9.7109375" customWidth="1"/>
    <col min="776" max="776" width="9.7109375" bestFit="1" customWidth="1"/>
    <col min="778" max="780" width="0" hidden="1" customWidth="1"/>
    <col min="1026" max="1026" width="11" bestFit="1" customWidth="1"/>
    <col min="1027" max="1027" width="9.7109375" bestFit="1" customWidth="1"/>
    <col min="1028" max="1028" width="10" bestFit="1" customWidth="1"/>
    <col min="1030" max="1030" width="9.7109375" customWidth="1"/>
    <col min="1032" max="1032" width="9.7109375" bestFit="1" customWidth="1"/>
    <col min="1034" max="1036" width="0" hidden="1" customWidth="1"/>
    <col min="1282" max="1282" width="11" bestFit="1" customWidth="1"/>
    <col min="1283" max="1283" width="9.7109375" bestFit="1" customWidth="1"/>
    <col min="1284" max="1284" width="10" bestFit="1" customWidth="1"/>
    <col min="1286" max="1286" width="9.7109375" customWidth="1"/>
    <col min="1288" max="1288" width="9.7109375" bestFit="1" customWidth="1"/>
    <col min="1290" max="1292" width="0" hidden="1" customWidth="1"/>
    <col min="1538" max="1538" width="11" bestFit="1" customWidth="1"/>
    <col min="1539" max="1539" width="9.7109375" bestFit="1" customWidth="1"/>
    <col min="1540" max="1540" width="10" bestFit="1" customWidth="1"/>
    <col min="1542" max="1542" width="9.7109375" customWidth="1"/>
    <col min="1544" max="1544" width="9.7109375" bestFit="1" customWidth="1"/>
    <col min="1546" max="1548" width="0" hidden="1" customWidth="1"/>
    <col min="1794" max="1794" width="11" bestFit="1" customWidth="1"/>
    <col min="1795" max="1795" width="9.7109375" bestFit="1" customWidth="1"/>
    <col min="1796" max="1796" width="10" bestFit="1" customWidth="1"/>
    <col min="1798" max="1798" width="9.7109375" customWidth="1"/>
    <col min="1800" max="1800" width="9.7109375" bestFit="1" customWidth="1"/>
    <col min="1802" max="1804" width="0" hidden="1" customWidth="1"/>
    <col min="2050" max="2050" width="11" bestFit="1" customWidth="1"/>
    <col min="2051" max="2051" width="9.7109375" bestFit="1" customWidth="1"/>
    <col min="2052" max="2052" width="10" bestFit="1" customWidth="1"/>
    <col min="2054" max="2054" width="9.7109375" customWidth="1"/>
    <col min="2056" max="2056" width="9.7109375" bestFit="1" customWidth="1"/>
    <col min="2058" max="2060" width="0" hidden="1" customWidth="1"/>
    <col min="2306" max="2306" width="11" bestFit="1" customWidth="1"/>
    <col min="2307" max="2307" width="9.7109375" bestFit="1" customWidth="1"/>
    <col min="2308" max="2308" width="10" bestFit="1" customWidth="1"/>
    <col min="2310" max="2310" width="9.7109375" customWidth="1"/>
    <col min="2312" max="2312" width="9.7109375" bestFit="1" customWidth="1"/>
    <col min="2314" max="2316" width="0" hidden="1" customWidth="1"/>
    <col min="2562" max="2562" width="11" bestFit="1" customWidth="1"/>
    <col min="2563" max="2563" width="9.7109375" bestFit="1" customWidth="1"/>
    <col min="2564" max="2564" width="10" bestFit="1" customWidth="1"/>
    <col min="2566" max="2566" width="9.7109375" customWidth="1"/>
    <col min="2568" max="2568" width="9.7109375" bestFit="1" customWidth="1"/>
    <col min="2570" max="2572" width="0" hidden="1" customWidth="1"/>
    <col min="2818" max="2818" width="11" bestFit="1" customWidth="1"/>
    <col min="2819" max="2819" width="9.7109375" bestFit="1" customWidth="1"/>
    <col min="2820" max="2820" width="10" bestFit="1" customWidth="1"/>
    <col min="2822" max="2822" width="9.7109375" customWidth="1"/>
    <col min="2824" max="2824" width="9.7109375" bestFit="1" customWidth="1"/>
    <col min="2826" max="2828" width="0" hidden="1" customWidth="1"/>
    <col min="3074" max="3074" width="11" bestFit="1" customWidth="1"/>
    <col min="3075" max="3075" width="9.7109375" bestFit="1" customWidth="1"/>
    <col min="3076" max="3076" width="10" bestFit="1" customWidth="1"/>
    <col min="3078" max="3078" width="9.7109375" customWidth="1"/>
    <col min="3080" max="3080" width="9.7109375" bestFit="1" customWidth="1"/>
    <col min="3082" max="3084" width="0" hidden="1" customWidth="1"/>
    <col min="3330" max="3330" width="11" bestFit="1" customWidth="1"/>
    <col min="3331" max="3331" width="9.7109375" bestFit="1" customWidth="1"/>
    <col min="3332" max="3332" width="10" bestFit="1" customWidth="1"/>
    <col min="3334" max="3334" width="9.7109375" customWidth="1"/>
    <col min="3336" max="3336" width="9.7109375" bestFit="1" customWidth="1"/>
    <col min="3338" max="3340" width="0" hidden="1" customWidth="1"/>
    <col min="3586" max="3586" width="11" bestFit="1" customWidth="1"/>
    <col min="3587" max="3587" width="9.7109375" bestFit="1" customWidth="1"/>
    <col min="3588" max="3588" width="10" bestFit="1" customWidth="1"/>
    <col min="3590" max="3590" width="9.7109375" customWidth="1"/>
    <col min="3592" max="3592" width="9.7109375" bestFit="1" customWidth="1"/>
    <col min="3594" max="3596" width="0" hidden="1" customWidth="1"/>
    <col min="3842" max="3842" width="11" bestFit="1" customWidth="1"/>
    <col min="3843" max="3843" width="9.7109375" bestFit="1" customWidth="1"/>
    <col min="3844" max="3844" width="10" bestFit="1" customWidth="1"/>
    <col min="3846" max="3846" width="9.7109375" customWidth="1"/>
    <col min="3848" max="3848" width="9.7109375" bestFit="1" customWidth="1"/>
    <col min="3850" max="3852" width="0" hidden="1" customWidth="1"/>
    <col min="4098" max="4098" width="11" bestFit="1" customWidth="1"/>
    <col min="4099" max="4099" width="9.7109375" bestFit="1" customWidth="1"/>
    <col min="4100" max="4100" width="10" bestFit="1" customWidth="1"/>
    <col min="4102" max="4102" width="9.7109375" customWidth="1"/>
    <col min="4104" max="4104" width="9.7109375" bestFit="1" customWidth="1"/>
    <col min="4106" max="4108" width="0" hidden="1" customWidth="1"/>
    <col min="4354" max="4354" width="11" bestFit="1" customWidth="1"/>
    <col min="4355" max="4355" width="9.7109375" bestFit="1" customWidth="1"/>
    <col min="4356" max="4356" width="10" bestFit="1" customWidth="1"/>
    <col min="4358" max="4358" width="9.7109375" customWidth="1"/>
    <col min="4360" max="4360" width="9.7109375" bestFit="1" customWidth="1"/>
    <col min="4362" max="4364" width="0" hidden="1" customWidth="1"/>
    <col min="4610" max="4610" width="11" bestFit="1" customWidth="1"/>
    <col min="4611" max="4611" width="9.7109375" bestFit="1" customWidth="1"/>
    <col min="4612" max="4612" width="10" bestFit="1" customWidth="1"/>
    <col min="4614" max="4614" width="9.7109375" customWidth="1"/>
    <col min="4616" max="4616" width="9.7109375" bestFit="1" customWidth="1"/>
    <col min="4618" max="4620" width="0" hidden="1" customWidth="1"/>
    <col min="4866" max="4866" width="11" bestFit="1" customWidth="1"/>
    <col min="4867" max="4867" width="9.7109375" bestFit="1" customWidth="1"/>
    <col min="4868" max="4868" width="10" bestFit="1" customWidth="1"/>
    <col min="4870" max="4870" width="9.7109375" customWidth="1"/>
    <col min="4872" max="4872" width="9.7109375" bestFit="1" customWidth="1"/>
    <col min="4874" max="4876" width="0" hidden="1" customWidth="1"/>
    <col min="5122" max="5122" width="11" bestFit="1" customWidth="1"/>
    <col min="5123" max="5123" width="9.7109375" bestFit="1" customWidth="1"/>
    <col min="5124" max="5124" width="10" bestFit="1" customWidth="1"/>
    <col min="5126" max="5126" width="9.7109375" customWidth="1"/>
    <col min="5128" max="5128" width="9.7109375" bestFit="1" customWidth="1"/>
    <col min="5130" max="5132" width="0" hidden="1" customWidth="1"/>
    <col min="5378" max="5378" width="11" bestFit="1" customWidth="1"/>
    <col min="5379" max="5379" width="9.7109375" bestFit="1" customWidth="1"/>
    <col min="5380" max="5380" width="10" bestFit="1" customWidth="1"/>
    <col min="5382" max="5382" width="9.7109375" customWidth="1"/>
    <col min="5384" max="5384" width="9.7109375" bestFit="1" customWidth="1"/>
    <col min="5386" max="5388" width="0" hidden="1" customWidth="1"/>
    <col min="5634" max="5634" width="11" bestFit="1" customWidth="1"/>
    <col min="5635" max="5635" width="9.7109375" bestFit="1" customWidth="1"/>
    <col min="5636" max="5636" width="10" bestFit="1" customWidth="1"/>
    <col min="5638" max="5638" width="9.7109375" customWidth="1"/>
    <col min="5640" max="5640" width="9.7109375" bestFit="1" customWidth="1"/>
    <col min="5642" max="5644" width="0" hidden="1" customWidth="1"/>
    <col min="5890" max="5890" width="11" bestFit="1" customWidth="1"/>
    <col min="5891" max="5891" width="9.7109375" bestFit="1" customWidth="1"/>
    <col min="5892" max="5892" width="10" bestFit="1" customWidth="1"/>
    <col min="5894" max="5894" width="9.7109375" customWidth="1"/>
    <col min="5896" max="5896" width="9.7109375" bestFit="1" customWidth="1"/>
    <col min="5898" max="5900" width="0" hidden="1" customWidth="1"/>
    <col min="6146" max="6146" width="11" bestFit="1" customWidth="1"/>
    <col min="6147" max="6147" width="9.7109375" bestFit="1" customWidth="1"/>
    <col min="6148" max="6148" width="10" bestFit="1" customWidth="1"/>
    <col min="6150" max="6150" width="9.7109375" customWidth="1"/>
    <col min="6152" max="6152" width="9.7109375" bestFit="1" customWidth="1"/>
    <col min="6154" max="6156" width="0" hidden="1" customWidth="1"/>
    <col min="6402" max="6402" width="11" bestFit="1" customWidth="1"/>
    <col min="6403" max="6403" width="9.7109375" bestFit="1" customWidth="1"/>
    <col min="6404" max="6404" width="10" bestFit="1" customWidth="1"/>
    <col min="6406" max="6406" width="9.7109375" customWidth="1"/>
    <col min="6408" max="6408" width="9.7109375" bestFit="1" customWidth="1"/>
    <col min="6410" max="6412" width="0" hidden="1" customWidth="1"/>
    <col min="6658" max="6658" width="11" bestFit="1" customWidth="1"/>
    <col min="6659" max="6659" width="9.7109375" bestFit="1" customWidth="1"/>
    <col min="6660" max="6660" width="10" bestFit="1" customWidth="1"/>
    <col min="6662" max="6662" width="9.7109375" customWidth="1"/>
    <col min="6664" max="6664" width="9.7109375" bestFit="1" customWidth="1"/>
    <col min="6666" max="6668" width="0" hidden="1" customWidth="1"/>
    <col min="6914" max="6914" width="11" bestFit="1" customWidth="1"/>
    <col min="6915" max="6915" width="9.7109375" bestFit="1" customWidth="1"/>
    <col min="6916" max="6916" width="10" bestFit="1" customWidth="1"/>
    <col min="6918" max="6918" width="9.7109375" customWidth="1"/>
    <col min="6920" max="6920" width="9.7109375" bestFit="1" customWidth="1"/>
    <col min="6922" max="6924" width="0" hidden="1" customWidth="1"/>
    <col min="7170" max="7170" width="11" bestFit="1" customWidth="1"/>
    <col min="7171" max="7171" width="9.7109375" bestFit="1" customWidth="1"/>
    <col min="7172" max="7172" width="10" bestFit="1" customWidth="1"/>
    <col min="7174" max="7174" width="9.7109375" customWidth="1"/>
    <col min="7176" max="7176" width="9.7109375" bestFit="1" customWidth="1"/>
    <col min="7178" max="7180" width="0" hidden="1" customWidth="1"/>
    <col min="7426" max="7426" width="11" bestFit="1" customWidth="1"/>
    <col min="7427" max="7427" width="9.7109375" bestFit="1" customWidth="1"/>
    <col min="7428" max="7428" width="10" bestFit="1" customWidth="1"/>
    <col min="7430" max="7430" width="9.7109375" customWidth="1"/>
    <col min="7432" max="7432" width="9.7109375" bestFit="1" customWidth="1"/>
    <col min="7434" max="7436" width="0" hidden="1" customWidth="1"/>
    <col min="7682" max="7682" width="11" bestFit="1" customWidth="1"/>
    <col min="7683" max="7683" width="9.7109375" bestFit="1" customWidth="1"/>
    <col min="7684" max="7684" width="10" bestFit="1" customWidth="1"/>
    <col min="7686" max="7686" width="9.7109375" customWidth="1"/>
    <col min="7688" max="7688" width="9.7109375" bestFit="1" customWidth="1"/>
    <col min="7690" max="7692" width="0" hidden="1" customWidth="1"/>
    <col min="7938" max="7938" width="11" bestFit="1" customWidth="1"/>
    <col min="7939" max="7939" width="9.7109375" bestFit="1" customWidth="1"/>
    <col min="7940" max="7940" width="10" bestFit="1" customWidth="1"/>
    <col min="7942" max="7942" width="9.7109375" customWidth="1"/>
    <col min="7944" max="7944" width="9.7109375" bestFit="1" customWidth="1"/>
    <col min="7946" max="7948" width="0" hidden="1" customWidth="1"/>
    <col min="8194" max="8194" width="11" bestFit="1" customWidth="1"/>
    <col min="8195" max="8195" width="9.7109375" bestFit="1" customWidth="1"/>
    <col min="8196" max="8196" width="10" bestFit="1" customWidth="1"/>
    <col min="8198" max="8198" width="9.7109375" customWidth="1"/>
    <col min="8200" max="8200" width="9.7109375" bestFit="1" customWidth="1"/>
    <col min="8202" max="8204" width="0" hidden="1" customWidth="1"/>
    <col min="8450" max="8450" width="11" bestFit="1" customWidth="1"/>
    <col min="8451" max="8451" width="9.7109375" bestFit="1" customWidth="1"/>
    <col min="8452" max="8452" width="10" bestFit="1" customWidth="1"/>
    <col min="8454" max="8454" width="9.7109375" customWidth="1"/>
    <col min="8456" max="8456" width="9.7109375" bestFit="1" customWidth="1"/>
    <col min="8458" max="8460" width="0" hidden="1" customWidth="1"/>
    <col min="8706" max="8706" width="11" bestFit="1" customWidth="1"/>
    <col min="8707" max="8707" width="9.7109375" bestFit="1" customWidth="1"/>
    <col min="8708" max="8708" width="10" bestFit="1" customWidth="1"/>
    <col min="8710" max="8710" width="9.7109375" customWidth="1"/>
    <col min="8712" max="8712" width="9.7109375" bestFit="1" customWidth="1"/>
    <col min="8714" max="8716" width="0" hidden="1" customWidth="1"/>
    <col min="8962" max="8962" width="11" bestFit="1" customWidth="1"/>
    <col min="8963" max="8963" width="9.7109375" bestFit="1" customWidth="1"/>
    <col min="8964" max="8964" width="10" bestFit="1" customWidth="1"/>
    <col min="8966" max="8966" width="9.7109375" customWidth="1"/>
    <col min="8968" max="8968" width="9.7109375" bestFit="1" customWidth="1"/>
    <col min="8970" max="8972" width="0" hidden="1" customWidth="1"/>
    <col min="9218" max="9218" width="11" bestFit="1" customWidth="1"/>
    <col min="9219" max="9219" width="9.7109375" bestFit="1" customWidth="1"/>
    <col min="9220" max="9220" width="10" bestFit="1" customWidth="1"/>
    <col min="9222" max="9222" width="9.7109375" customWidth="1"/>
    <col min="9224" max="9224" width="9.7109375" bestFit="1" customWidth="1"/>
    <col min="9226" max="9228" width="0" hidden="1" customWidth="1"/>
    <col min="9474" max="9474" width="11" bestFit="1" customWidth="1"/>
    <col min="9475" max="9475" width="9.7109375" bestFit="1" customWidth="1"/>
    <col min="9476" max="9476" width="10" bestFit="1" customWidth="1"/>
    <col min="9478" max="9478" width="9.7109375" customWidth="1"/>
    <col min="9480" max="9480" width="9.7109375" bestFit="1" customWidth="1"/>
    <col min="9482" max="9484" width="0" hidden="1" customWidth="1"/>
    <col min="9730" max="9730" width="11" bestFit="1" customWidth="1"/>
    <col min="9731" max="9731" width="9.7109375" bestFit="1" customWidth="1"/>
    <col min="9732" max="9732" width="10" bestFit="1" customWidth="1"/>
    <col min="9734" max="9734" width="9.7109375" customWidth="1"/>
    <col min="9736" max="9736" width="9.7109375" bestFit="1" customWidth="1"/>
    <col min="9738" max="9740" width="0" hidden="1" customWidth="1"/>
    <col min="9986" max="9986" width="11" bestFit="1" customWidth="1"/>
    <col min="9987" max="9987" width="9.7109375" bestFit="1" customWidth="1"/>
    <col min="9988" max="9988" width="10" bestFit="1" customWidth="1"/>
    <col min="9990" max="9990" width="9.7109375" customWidth="1"/>
    <col min="9992" max="9992" width="9.7109375" bestFit="1" customWidth="1"/>
    <col min="9994" max="9996" width="0" hidden="1" customWidth="1"/>
    <col min="10242" max="10242" width="11" bestFit="1" customWidth="1"/>
    <col min="10243" max="10243" width="9.7109375" bestFit="1" customWidth="1"/>
    <col min="10244" max="10244" width="10" bestFit="1" customWidth="1"/>
    <col min="10246" max="10246" width="9.7109375" customWidth="1"/>
    <col min="10248" max="10248" width="9.7109375" bestFit="1" customWidth="1"/>
    <col min="10250" max="10252" width="0" hidden="1" customWidth="1"/>
    <col min="10498" max="10498" width="11" bestFit="1" customWidth="1"/>
    <col min="10499" max="10499" width="9.7109375" bestFit="1" customWidth="1"/>
    <col min="10500" max="10500" width="10" bestFit="1" customWidth="1"/>
    <col min="10502" max="10502" width="9.7109375" customWidth="1"/>
    <col min="10504" max="10504" width="9.7109375" bestFit="1" customWidth="1"/>
    <col min="10506" max="10508" width="0" hidden="1" customWidth="1"/>
    <col min="10754" max="10754" width="11" bestFit="1" customWidth="1"/>
    <col min="10755" max="10755" width="9.7109375" bestFit="1" customWidth="1"/>
    <col min="10756" max="10756" width="10" bestFit="1" customWidth="1"/>
    <col min="10758" max="10758" width="9.7109375" customWidth="1"/>
    <col min="10760" max="10760" width="9.7109375" bestFit="1" customWidth="1"/>
    <col min="10762" max="10764" width="0" hidden="1" customWidth="1"/>
    <col min="11010" max="11010" width="11" bestFit="1" customWidth="1"/>
    <col min="11011" max="11011" width="9.7109375" bestFit="1" customWidth="1"/>
    <col min="11012" max="11012" width="10" bestFit="1" customWidth="1"/>
    <col min="11014" max="11014" width="9.7109375" customWidth="1"/>
    <col min="11016" max="11016" width="9.7109375" bestFit="1" customWidth="1"/>
    <col min="11018" max="11020" width="0" hidden="1" customWidth="1"/>
    <col min="11266" max="11266" width="11" bestFit="1" customWidth="1"/>
    <col min="11267" max="11267" width="9.7109375" bestFit="1" customWidth="1"/>
    <col min="11268" max="11268" width="10" bestFit="1" customWidth="1"/>
    <col min="11270" max="11270" width="9.7109375" customWidth="1"/>
    <col min="11272" max="11272" width="9.7109375" bestFit="1" customWidth="1"/>
    <col min="11274" max="11276" width="0" hidden="1" customWidth="1"/>
    <col min="11522" max="11522" width="11" bestFit="1" customWidth="1"/>
    <col min="11523" max="11523" width="9.7109375" bestFit="1" customWidth="1"/>
    <col min="11524" max="11524" width="10" bestFit="1" customWidth="1"/>
    <col min="11526" max="11526" width="9.7109375" customWidth="1"/>
    <col min="11528" max="11528" width="9.7109375" bestFit="1" customWidth="1"/>
    <col min="11530" max="11532" width="0" hidden="1" customWidth="1"/>
    <col min="11778" max="11778" width="11" bestFit="1" customWidth="1"/>
    <col min="11779" max="11779" width="9.7109375" bestFit="1" customWidth="1"/>
    <col min="11780" max="11780" width="10" bestFit="1" customWidth="1"/>
    <col min="11782" max="11782" width="9.7109375" customWidth="1"/>
    <col min="11784" max="11784" width="9.7109375" bestFit="1" customWidth="1"/>
    <col min="11786" max="11788" width="0" hidden="1" customWidth="1"/>
    <col min="12034" max="12034" width="11" bestFit="1" customWidth="1"/>
    <col min="12035" max="12035" width="9.7109375" bestFit="1" customWidth="1"/>
    <col min="12036" max="12036" width="10" bestFit="1" customWidth="1"/>
    <col min="12038" max="12038" width="9.7109375" customWidth="1"/>
    <col min="12040" max="12040" width="9.7109375" bestFit="1" customWidth="1"/>
    <col min="12042" max="12044" width="0" hidden="1" customWidth="1"/>
    <col min="12290" max="12290" width="11" bestFit="1" customWidth="1"/>
    <col min="12291" max="12291" width="9.7109375" bestFit="1" customWidth="1"/>
    <col min="12292" max="12292" width="10" bestFit="1" customWidth="1"/>
    <col min="12294" max="12294" width="9.7109375" customWidth="1"/>
    <col min="12296" max="12296" width="9.7109375" bestFit="1" customWidth="1"/>
    <col min="12298" max="12300" width="0" hidden="1" customWidth="1"/>
    <col min="12546" max="12546" width="11" bestFit="1" customWidth="1"/>
    <col min="12547" max="12547" width="9.7109375" bestFit="1" customWidth="1"/>
    <col min="12548" max="12548" width="10" bestFit="1" customWidth="1"/>
    <col min="12550" max="12550" width="9.7109375" customWidth="1"/>
    <col min="12552" max="12552" width="9.7109375" bestFit="1" customWidth="1"/>
    <col min="12554" max="12556" width="0" hidden="1" customWidth="1"/>
    <col min="12802" max="12802" width="11" bestFit="1" customWidth="1"/>
    <col min="12803" max="12803" width="9.7109375" bestFit="1" customWidth="1"/>
    <col min="12804" max="12804" width="10" bestFit="1" customWidth="1"/>
    <col min="12806" max="12806" width="9.7109375" customWidth="1"/>
    <col min="12808" max="12808" width="9.7109375" bestFit="1" customWidth="1"/>
    <col min="12810" max="12812" width="0" hidden="1" customWidth="1"/>
    <col min="13058" max="13058" width="11" bestFit="1" customWidth="1"/>
    <col min="13059" max="13059" width="9.7109375" bestFit="1" customWidth="1"/>
    <col min="13060" max="13060" width="10" bestFit="1" customWidth="1"/>
    <col min="13062" max="13062" width="9.7109375" customWidth="1"/>
    <col min="13064" max="13064" width="9.7109375" bestFit="1" customWidth="1"/>
    <col min="13066" max="13068" width="0" hidden="1" customWidth="1"/>
    <col min="13314" max="13314" width="11" bestFit="1" customWidth="1"/>
    <col min="13315" max="13315" width="9.7109375" bestFit="1" customWidth="1"/>
    <col min="13316" max="13316" width="10" bestFit="1" customWidth="1"/>
    <col min="13318" max="13318" width="9.7109375" customWidth="1"/>
    <col min="13320" max="13320" width="9.7109375" bestFit="1" customWidth="1"/>
    <col min="13322" max="13324" width="0" hidden="1" customWidth="1"/>
    <col min="13570" max="13570" width="11" bestFit="1" customWidth="1"/>
    <col min="13571" max="13571" width="9.7109375" bestFit="1" customWidth="1"/>
    <col min="13572" max="13572" width="10" bestFit="1" customWidth="1"/>
    <col min="13574" max="13574" width="9.7109375" customWidth="1"/>
    <col min="13576" max="13576" width="9.7109375" bestFit="1" customWidth="1"/>
    <col min="13578" max="13580" width="0" hidden="1" customWidth="1"/>
    <col min="13826" max="13826" width="11" bestFit="1" customWidth="1"/>
    <col min="13827" max="13827" width="9.7109375" bestFit="1" customWidth="1"/>
    <col min="13828" max="13828" width="10" bestFit="1" customWidth="1"/>
    <col min="13830" max="13830" width="9.7109375" customWidth="1"/>
    <col min="13832" max="13832" width="9.7109375" bestFit="1" customWidth="1"/>
    <col min="13834" max="13836" width="0" hidden="1" customWidth="1"/>
    <col min="14082" max="14082" width="11" bestFit="1" customWidth="1"/>
    <col min="14083" max="14083" width="9.7109375" bestFit="1" customWidth="1"/>
    <col min="14084" max="14084" width="10" bestFit="1" customWidth="1"/>
    <col min="14086" max="14086" width="9.7109375" customWidth="1"/>
    <col min="14088" max="14088" width="9.7109375" bestFit="1" customWidth="1"/>
    <col min="14090" max="14092" width="0" hidden="1" customWidth="1"/>
    <col min="14338" max="14338" width="11" bestFit="1" customWidth="1"/>
    <col min="14339" max="14339" width="9.7109375" bestFit="1" customWidth="1"/>
    <col min="14340" max="14340" width="10" bestFit="1" customWidth="1"/>
    <col min="14342" max="14342" width="9.7109375" customWidth="1"/>
    <col min="14344" max="14344" width="9.7109375" bestFit="1" customWidth="1"/>
    <col min="14346" max="14348" width="0" hidden="1" customWidth="1"/>
    <col min="14594" max="14594" width="11" bestFit="1" customWidth="1"/>
    <col min="14595" max="14595" width="9.7109375" bestFit="1" customWidth="1"/>
    <col min="14596" max="14596" width="10" bestFit="1" customWidth="1"/>
    <col min="14598" max="14598" width="9.7109375" customWidth="1"/>
    <col min="14600" max="14600" width="9.7109375" bestFit="1" customWidth="1"/>
    <col min="14602" max="14604" width="0" hidden="1" customWidth="1"/>
    <col min="14850" max="14850" width="11" bestFit="1" customWidth="1"/>
    <col min="14851" max="14851" width="9.7109375" bestFit="1" customWidth="1"/>
    <col min="14852" max="14852" width="10" bestFit="1" customWidth="1"/>
    <col min="14854" max="14854" width="9.7109375" customWidth="1"/>
    <col min="14856" max="14856" width="9.7109375" bestFit="1" customWidth="1"/>
    <col min="14858" max="14860" width="0" hidden="1" customWidth="1"/>
    <col min="15106" max="15106" width="11" bestFit="1" customWidth="1"/>
    <col min="15107" max="15107" width="9.7109375" bestFit="1" customWidth="1"/>
    <col min="15108" max="15108" width="10" bestFit="1" customWidth="1"/>
    <col min="15110" max="15110" width="9.7109375" customWidth="1"/>
    <col min="15112" max="15112" width="9.7109375" bestFit="1" customWidth="1"/>
    <col min="15114" max="15116" width="0" hidden="1" customWidth="1"/>
    <col min="15362" max="15362" width="11" bestFit="1" customWidth="1"/>
    <col min="15363" max="15363" width="9.7109375" bestFit="1" customWidth="1"/>
    <col min="15364" max="15364" width="10" bestFit="1" customWidth="1"/>
    <col min="15366" max="15366" width="9.7109375" customWidth="1"/>
    <col min="15368" max="15368" width="9.7109375" bestFit="1" customWidth="1"/>
    <col min="15370" max="15372" width="0" hidden="1" customWidth="1"/>
    <col min="15618" max="15618" width="11" bestFit="1" customWidth="1"/>
    <col min="15619" max="15619" width="9.7109375" bestFit="1" customWidth="1"/>
    <col min="15620" max="15620" width="10" bestFit="1" customWidth="1"/>
    <col min="15622" max="15622" width="9.7109375" customWidth="1"/>
    <col min="15624" max="15624" width="9.7109375" bestFit="1" customWidth="1"/>
    <col min="15626" max="15628" width="0" hidden="1" customWidth="1"/>
    <col min="15874" max="15874" width="11" bestFit="1" customWidth="1"/>
    <col min="15875" max="15875" width="9.7109375" bestFit="1" customWidth="1"/>
    <col min="15876" max="15876" width="10" bestFit="1" customWidth="1"/>
    <col min="15878" max="15878" width="9.7109375" customWidth="1"/>
    <col min="15880" max="15880" width="9.7109375" bestFit="1" customWidth="1"/>
    <col min="15882" max="15884" width="0" hidden="1" customWidth="1"/>
    <col min="16130" max="16130" width="11" bestFit="1" customWidth="1"/>
    <col min="16131" max="16131" width="9.7109375" bestFit="1" customWidth="1"/>
    <col min="16132" max="16132" width="10" bestFit="1" customWidth="1"/>
    <col min="16134" max="16134" width="9.7109375" customWidth="1"/>
    <col min="16136" max="16136" width="9.7109375" bestFit="1" customWidth="1"/>
    <col min="16138" max="16140" width="0" hidden="1" customWidth="1"/>
  </cols>
  <sheetData>
    <row r="1" spans="1:19" ht="26.45" customHeight="1">
      <c r="A1" s="327" t="s">
        <v>241</v>
      </c>
      <c r="B1" s="327"/>
      <c r="C1" s="327"/>
      <c r="D1" s="327"/>
      <c r="E1" s="327"/>
      <c r="F1" s="327"/>
      <c r="G1" s="327"/>
      <c r="H1" s="327"/>
      <c r="I1" s="327"/>
      <c r="J1" s="2" t="s">
        <v>32</v>
      </c>
      <c r="K1" s="2" t="s">
        <v>39</v>
      </c>
      <c r="L1" s="3"/>
      <c r="M1" s="3" t="s">
        <v>242</v>
      </c>
      <c r="N1" s="4" t="s">
        <v>0</v>
      </c>
      <c r="O1" t="s">
        <v>243</v>
      </c>
      <c r="P1" s="4" t="s">
        <v>0</v>
      </c>
      <c r="Q1" t="s">
        <v>244</v>
      </c>
      <c r="R1" s="4" t="s">
        <v>0</v>
      </c>
      <c r="S1" t="s">
        <v>245</v>
      </c>
    </row>
    <row r="2" spans="1:19">
      <c r="A2" s="5" t="s">
        <v>246</v>
      </c>
      <c r="B2" s="3"/>
      <c r="C2" s="3"/>
      <c r="D2" s="3"/>
      <c r="E2" s="3"/>
      <c r="F2" s="3"/>
      <c r="G2" s="3"/>
      <c r="H2" s="3"/>
      <c r="I2" s="3"/>
      <c r="J2" s="2" t="s">
        <v>33</v>
      </c>
      <c r="K2" s="2" t="s">
        <v>41</v>
      </c>
      <c r="L2" s="3"/>
      <c r="M2" s="3"/>
    </row>
    <row r="3" spans="1:19">
      <c r="A3" s="3" t="s">
        <v>247</v>
      </c>
      <c r="B3" s="3"/>
      <c r="C3" s="3"/>
      <c r="D3" s="6" t="e">
        <f>#REF!</f>
        <v>#REF!</v>
      </c>
      <c r="E3" s="3" t="s">
        <v>248</v>
      </c>
      <c r="F3" s="1">
        <f>25*0.5</f>
        <v>12.5</v>
      </c>
      <c r="G3" s="7" t="s">
        <v>249</v>
      </c>
      <c r="H3" s="3"/>
      <c r="I3" s="3"/>
      <c r="J3" s="2" t="s">
        <v>6</v>
      </c>
      <c r="K3" s="2" t="s">
        <v>43</v>
      </c>
      <c r="L3" s="3"/>
      <c r="M3" s="3"/>
    </row>
    <row r="4" spans="1:19">
      <c r="A4" s="3" t="s">
        <v>250</v>
      </c>
      <c r="B4" s="3"/>
      <c r="C4" s="3"/>
      <c r="D4" s="6" t="s">
        <v>39</v>
      </c>
      <c r="E4" s="3" t="s">
        <v>251</v>
      </c>
      <c r="F4" s="1">
        <v>240</v>
      </c>
      <c r="G4" s="7" t="s">
        <v>249</v>
      </c>
      <c r="H4" s="3"/>
      <c r="I4" s="3"/>
      <c r="J4" s="2" t="s">
        <v>7</v>
      </c>
      <c r="K4" s="2" t="s">
        <v>44</v>
      </c>
      <c r="L4" s="3"/>
      <c r="M4" s="3"/>
    </row>
    <row r="5" spans="1:19">
      <c r="A5" s="3"/>
      <c r="B5" s="3"/>
      <c r="C5" s="3"/>
      <c r="D5" s="3"/>
      <c r="E5" s="8" t="s">
        <v>59</v>
      </c>
      <c r="F5" s="1">
        <v>210000</v>
      </c>
      <c r="G5" s="7" t="s">
        <v>249</v>
      </c>
      <c r="H5" s="3"/>
      <c r="I5" s="3"/>
      <c r="J5" s="2"/>
      <c r="K5" s="2"/>
      <c r="L5" s="3"/>
      <c r="M5" s="3"/>
    </row>
    <row r="6" spans="1:19">
      <c r="A6" s="5" t="s">
        <v>252</v>
      </c>
      <c r="B6" s="3"/>
      <c r="C6" s="3"/>
      <c r="D6" s="3"/>
      <c r="E6" s="3"/>
      <c r="F6" s="3"/>
      <c r="G6" s="3"/>
      <c r="H6" s="3"/>
      <c r="I6" s="3"/>
      <c r="J6" s="2" t="s">
        <v>8</v>
      </c>
      <c r="K6" s="2" t="s">
        <v>45</v>
      </c>
      <c r="L6" s="3"/>
      <c r="M6" s="3"/>
    </row>
    <row r="7" spans="1:19">
      <c r="A7" s="326" t="s">
        <v>253</v>
      </c>
      <c r="B7" s="326"/>
      <c r="C7" s="9" t="s">
        <v>254</v>
      </c>
      <c r="D7" s="10">
        <v>100</v>
      </c>
      <c r="E7" s="11" t="s">
        <v>60</v>
      </c>
      <c r="F7" s="3"/>
      <c r="G7" s="3"/>
      <c r="H7" s="3"/>
      <c r="I7" s="3"/>
      <c r="J7" s="2" t="s">
        <v>5</v>
      </c>
      <c r="K7" s="2" t="s">
        <v>46</v>
      </c>
      <c r="L7" s="3"/>
      <c r="M7" s="3"/>
    </row>
    <row r="8" spans="1:19">
      <c r="A8" s="326" t="s">
        <v>255</v>
      </c>
      <c r="B8" s="326"/>
      <c r="C8" s="9" t="s">
        <v>256</v>
      </c>
      <c r="D8" s="12">
        <v>60</v>
      </c>
      <c r="E8" s="11" t="s">
        <v>61</v>
      </c>
      <c r="F8" s="3"/>
      <c r="G8" s="3"/>
      <c r="H8" s="3"/>
      <c r="I8" s="3"/>
      <c r="J8" s="13" t="s">
        <v>9</v>
      </c>
    </row>
    <row r="9" spans="1:19">
      <c r="A9" s="326" t="s">
        <v>257</v>
      </c>
      <c r="B9" s="326"/>
      <c r="C9" s="9" t="s">
        <v>258</v>
      </c>
      <c r="D9" s="10">
        <v>123</v>
      </c>
      <c r="E9" s="11" t="s">
        <v>60</v>
      </c>
      <c r="F9" s="3"/>
      <c r="G9" s="3"/>
      <c r="H9" s="3"/>
      <c r="I9" s="3"/>
      <c r="J9" s="14" t="s">
        <v>10</v>
      </c>
    </row>
    <row r="10" spans="1:19">
      <c r="A10" s="326" t="s">
        <v>259</v>
      </c>
      <c r="B10" s="326"/>
      <c r="C10" s="9" t="s">
        <v>62</v>
      </c>
      <c r="D10" s="12" t="e">
        <f>#REF!</f>
        <v>#REF!</v>
      </c>
      <c r="E10" s="11" t="s">
        <v>1</v>
      </c>
      <c r="F10" s="3"/>
      <c r="G10" s="3"/>
      <c r="H10" s="3"/>
      <c r="I10" s="3"/>
      <c r="J10" s="14" t="s">
        <v>11</v>
      </c>
    </row>
    <row r="11" spans="1:19">
      <c r="A11" s="326" t="s">
        <v>260</v>
      </c>
      <c r="B11" s="326"/>
      <c r="C11" s="9" t="s">
        <v>79</v>
      </c>
      <c r="D11" s="10" t="e">
        <f>#REF!</f>
        <v>#REF!</v>
      </c>
      <c r="E11" s="11" t="s">
        <v>1</v>
      </c>
      <c r="F11" s="15"/>
      <c r="G11" s="3"/>
      <c r="H11" s="3"/>
      <c r="I11" s="3"/>
      <c r="J11" s="16" t="s">
        <v>12</v>
      </c>
    </row>
    <row r="12" spans="1:19">
      <c r="A12" s="17" t="s">
        <v>261</v>
      </c>
      <c r="G12" s="3"/>
      <c r="H12" s="3"/>
      <c r="I12" s="3"/>
      <c r="L12" s="18"/>
    </row>
    <row r="13" spans="1:19">
      <c r="A13" t="s">
        <v>262</v>
      </c>
      <c r="L13" s="18"/>
    </row>
    <row r="14" spans="1:19">
      <c r="G14" s="3"/>
      <c r="L14" s="18"/>
    </row>
    <row r="15" spans="1:19">
      <c r="H15" s="3"/>
      <c r="L15" s="18"/>
    </row>
    <row r="16" spans="1:19">
      <c r="L16" s="18"/>
    </row>
    <row r="17" spans="1:12">
      <c r="L17" s="18"/>
    </row>
    <row r="18" spans="1:12">
      <c r="A18" t="s">
        <v>93</v>
      </c>
      <c r="L18" s="18"/>
    </row>
    <row r="19" spans="1:12">
      <c r="L19" s="18"/>
    </row>
    <row r="20" spans="1:12">
      <c r="E20" s="19" t="e">
        <f>ROUND(B23*0.79*B25*C27/B24*(F37)^(1/3)*(400/D33)^(1/4),4)</f>
        <v>#REF!</v>
      </c>
      <c r="F20" t="s">
        <v>249</v>
      </c>
      <c r="G20" s="20" t="e">
        <f>E20*100</f>
        <v>#REF!</v>
      </c>
      <c r="H20" t="s">
        <v>263</v>
      </c>
      <c r="L20" s="18"/>
    </row>
    <row r="21" spans="1:12">
      <c r="L21" s="18"/>
    </row>
    <row r="22" spans="1:12">
      <c r="L22" s="18"/>
    </row>
    <row r="23" spans="1:12" ht="15.75">
      <c r="A23" t="s">
        <v>264</v>
      </c>
      <c r="B23" s="21">
        <v>1</v>
      </c>
      <c r="L23" s="18"/>
    </row>
    <row r="24" spans="1:12">
      <c r="B24" s="21">
        <v>1.25</v>
      </c>
      <c r="L24" s="18"/>
    </row>
    <row r="25" spans="1:12">
      <c r="A25" t="s">
        <v>265</v>
      </c>
      <c r="B25" s="21">
        <v>1</v>
      </c>
      <c r="L25" s="18"/>
    </row>
    <row r="26" spans="1:12">
      <c r="L26" s="18"/>
    </row>
    <row r="27" spans="1:12">
      <c r="B27" t="s">
        <v>266</v>
      </c>
      <c r="C27" s="22">
        <f>ROUND((F3/25)^(1/3),2)</f>
        <v>0.79</v>
      </c>
      <c r="L27" s="18"/>
    </row>
    <row r="28" spans="1:12">
      <c r="L28" s="18"/>
    </row>
    <row r="29" spans="1:12">
      <c r="L29" s="18"/>
    </row>
    <row r="30" spans="1:12">
      <c r="A30" t="s">
        <v>267</v>
      </c>
      <c r="L30" s="18"/>
    </row>
    <row r="31" spans="1:12">
      <c r="C31" s="23" t="s">
        <v>268</v>
      </c>
      <c r="D31" s="22" t="e">
        <f>#REF!*100</f>
        <v>#REF!</v>
      </c>
      <c r="E31" t="s">
        <v>269</v>
      </c>
      <c r="L31" s="18"/>
    </row>
    <row r="32" spans="1:12">
      <c r="A32" t="s">
        <v>291</v>
      </c>
      <c r="D32" s="4"/>
      <c r="F32" s="24"/>
      <c r="L32" s="18"/>
    </row>
    <row r="33" spans="1:12">
      <c r="C33" s="23" t="s">
        <v>270</v>
      </c>
      <c r="D33" s="22" t="e">
        <f>0.8*D11*1000</f>
        <v>#REF!</v>
      </c>
      <c r="E33" t="s">
        <v>239</v>
      </c>
      <c r="L33" s="18"/>
    </row>
    <row r="34" spans="1:12">
      <c r="A34" t="s">
        <v>271</v>
      </c>
      <c r="L34" s="18"/>
    </row>
    <row r="35" spans="1:12">
      <c r="C35" s="23" t="s">
        <v>272</v>
      </c>
      <c r="D35" s="22" t="e">
        <f>D10*D11-2*D31/1000000</f>
        <v>#REF!</v>
      </c>
      <c r="E35" t="s">
        <v>235</v>
      </c>
      <c r="L35" s="18"/>
    </row>
    <row r="36" spans="1:12">
      <c r="L36" s="18"/>
    </row>
    <row r="37" spans="1:12">
      <c r="A37" t="s">
        <v>139</v>
      </c>
      <c r="D37" s="4" t="s">
        <v>273</v>
      </c>
      <c r="E37" t="s">
        <v>266</v>
      </c>
      <c r="F37" s="25" t="e">
        <f>100*D31/D11/D33</f>
        <v>#REF!</v>
      </c>
      <c r="L37" s="18"/>
    </row>
    <row r="38" spans="1:12">
      <c r="L38" s="18"/>
    </row>
    <row r="39" spans="1:12">
      <c r="L39" s="18"/>
    </row>
    <row r="40" spans="1:12">
      <c r="E40" t="s">
        <v>266</v>
      </c>
      <c r="F40" s="26" t="e">
        <f>(400/D33)^(1/4)</f>
        <v>#REF!</v>
      </c>
      <c r="L40" s="18"/>
    </row>
    <row r="41" spans="1:12">
      <c r="L41" s="18"/>
    </row>
    <row r="42" spans="1:12">
      <c r="L42" s="18"/>
    </row>
    <row r="43" spans="1:12">
      <c r="L43" s="18"/>
    </row>
    <row r="44" spans="1:12">
      <c r="L44" s="18"/>
    </row>
    <row r="45" spans="1:12">
      <c r="L45" s="18"/>
    </row>
    <row r="46" spans="1:12">
      <c r="A46" t="s">
        <v>274</v>
      </c>
      <c r="B46" t="s">
        <v>275</v>
      </c>
      <c r="C46" s="19" t="e">
        <f>ROUND(IF(G20+0.6*D7/D35*D9*D33/1000/D8&lt;=G20*SQRT(1+D7/D35/G20),G20+0.6*D7/D35*D9*D33/1000/D8,G20*SQRT(1+D7/D35/G20)),2)</f>
        <v>#REF!</v>
      </c>
      <c r="D46" t="s">
        <v>263</v>
      </c>
      <c r="E46" s="19" t="e">
        <f>C46/100</f>
        <v>#REF!</v>
      </c>
      <c r="F46" t="s">
        <v>249</v>
      </c>
      <c r="L46" s="18"/>
    </row>
    <row r="47" spans="1:12">
      <c r="B47" s="19"/>
      <c r="D47" s="19"/>
      <c r="L47" s="18"/>
    </row>
    <row r="48" spans="1:12">
      <c r="A48" t="s">
        <v>276</v>
      </c>
      <c r="L48" s="18"/>
    </row>
    <row r="49" spans="1:12">
      <c r="L49" s="18"/>
    </row>
    <row r="50" spans="1:12">
      <c r="B50" t="s">
        <v>277</v>
      </c>
      <c r="C50" s="20" t="e">
        <f>ROUND(D9/D11/D10/0.8,2)</f>
        <v>#REF!</v>
      </c>
      <c r="D50" t="s">
        <v>263</v>
      </c>
      <c r="E50" s="19" t="e">
        <f>C50*10000/10^6</f>
        <v>#REF!</v>
      </c>
      <c r="F50" t="s">
        <v>249</v>
      </c>
      <c r="L50" s="18"/>
    </row>
    <row r="51" spans="1:12">
      <c r="L51" s="18"/>
    </row>
    <row r="52" spans="1:12">
      <c r="E52" s="35">
        <f>ROUND(MIN(0.8*B23*SQRT(F3),5),2)</f>
        <v>2.83</v>
      </c>
      <c r="F52" t="s">
        <v>249</v>
      </c>
      <c r="L52" s="18"/>
    </row>
    <row r="53" spans="1:12">
      <c r="L53" s="18"/>
    </row>
    <row r="54" spans="1:12">
      <c r="L54" s="18"/>
    </row>
    <row r="55" spans="1:12">
      <c r="L55" s="18"/>
    </row>
    <row r="56" spans="1:12">
      <c r="A56" t="s">
        <v>278</v>
      </c>
      <c r="L56" s="18"/>
    </row>
    <row r="57" spans="1:12">
      <c r="A57" t="s">
        <v>279</v>
      </c>
      <c r="L57" s="18"/>
    </row>
    <row r="58" spans="1:12">
      <c r="A58" t="s">
        <v>280</v>
      </c>
      <c r="C58" t="s">
        <v>281</v>
      </c>
      <c r="L58" s="18"/>
    </row>
    <row r="59" spans="1:12">
      <c r="L59" s="18"/>
    </row>
    <row r="60" spans="1:12">
      <c r="L60" s="18"/>
    </row>
    <row r="61" spans="1:12">
      <c r="L61" s="18"/>
    </row>
    <row r="62" spans="1:12">
      <c r="L62" s="18"/>
    </row>
    <row r="63" spans="1:12">
      <c r="A63" t="s">
        <v>280</v>
      </c>
      <c r="D63" t="s">
        <v>281</v>
      </c>
      <c r="L63" s="18"/>
    </row>
    <row r="64" spans="1:12">
      <c r="L64" s="18"/>
    </row>
    <row r="65" spans="1:12">
      <c r="L65" s="18"/>
    </row>
    <row r="66" spans="1:12">
      <c r="L66" s="18"/>
    </row>
    <row r="67" spans="1:12">
      <c r="L67" s="18"/>
    </row>
    <row r="68" spans="1:12">
      <c r="A68" t="s">
        <v>280</v>
      </c>
      <c r="C68" t="s">
        <v>282</v>
      </c>
      <c r="L68" s="18"/>
    </row>
    <row r="70" spans="1:12">
      <c r="A70" s="27" t="s">
        <v>273</v>
      </c>
      <c r="B70" s="20" t="e">
        <f>IF(E50&lt;=E46+0.4,0.4*D11/0.95/F4*1000,IF(AND(E50&gt;E46+0.4,E50&lt;E52),(E50-E46)*D11/0.95/F4*1000,"overstress"))</f>
        <v>#REF!</v>
      </c>
      <c r="C70" t="s">
        <v>239</v>
      </c>
    </row>
    <row r="72" spans="1:12">
      <c r="A72" t="s">
        <v>283</v>
      </c>
      <c r="E72" s="28">
        <v>200</v>
      </c>
      <c r="F72" t="s">
        <v>239</v>
      </c>
    </row>
    <row r="73" spans="1:12">
      <c r="A73" t="s">
        <v>284</v>
      </c>
      <c r="E73" s="29" t="e">
        <f>IF(B70="overstress","tăng chiều dầy vách",E72*B70)</f>
        <v>#REF!</v>
      </c>
      <c r="F73" t="s">
        <v>285</v>
      </c>
      <c r="G73" s="27" t="s">
        <v>0</v>
      </c>
      <c r="H73" s="30" t="e">
        <f>E73/100*(1000/E72)</f>
        <v>#REF!</v>
      </c>
      <c r="I73" t="s">
        <v>286</v>
      </c>
    </row>
    <row r="74" spans="1:12" ht="15.75">
      <c r="A74" t="s">
        <v>292</v>
      </c>
    </row>
    <row r="75" spans="1:12">
      <c r="A75" s="31">
        <v>3</v>
      </c>
      <c r="B75" s="32" t="s">
        <v>287</v>
      </c>
      <c r="C75" s="31">
        <v>16</v>
      </c>
      <c r="D75" s="33"/>
    </row>
    <row r="76" spans="1:12">
      <c r="A76" s="4" t="s">
        <v>288</v>
      </c>
      <c r="C76" s="25">
        <f>A75*PI()*C75^2/4*(1000/E72)/100</f>
        <v>30.15928947446201</v>
      </c>
      <c r="D76" t="s">
        <v>289</v>
      </c>
      <c r="E76" s="4" t="s">
        <v>290</v>
      </c>
      <c r="F76" s="34" t="e">
        <f>IF(C76&gt;=H73,"OK","CHON LAI")</f>
        <v>#REF!</v>
      </c>
    </row>
  </sheetData>
  <mergeCells count="6">
    <mergeCell ref="A11:B11"/>
    <mergeCell ref="A1:I1"/>
    <mergeCell ref="A7:B7"/>
    <mergeCell ref="A8:B8"/>
    <mergeCell ref="A9:B9"/>
    <mergeCell ref="A10:B10"/>
  </mergeCells>
  <conditionalFormatting sqref="F76">
    <cfRule type="cellIs" dxfId="1" priority="1" stopIfTrue="1" operator="equal">
      <formula>"ok"</formula>
    </cfRule>
    <cfRule type="cellIs" dxfId="0" priority="2" stopIfTrue="1" operator="equal">
      <formula>"chon lai"</formula>
    </cfRule>
  </conditionalFormatting>
  <dataValidations count="2">
    <dataValidation type="list" allowBlank="1" showInputMessage="1" showErrorMessage="1"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formula1>$J$1:$J$11</formula1>
    </dataValidation>
    <dataValidation type="list" allowBlank="1" showInputMessage="1" showErrorMessage="1" sqref="D4:D5 IZ4:IZ5 SV4:SV5 ACR4:ACR5 AMN4:AMN5 AWJ4:AWJ5 BGF4:BGF5 BQB4:BQB5 BZX4:BZX5 CJT4:CJT5 CTP4:CTP5 DDL4:DDL5 DNH4:DNH5 DXD4:DXD5 EGZ4:EGZ5 EQV4:EQV5 FAR4:FAR5 FKN4:FKN5 FUJ4:FUJ5 GEF4:GEF5 GOB4:GOB5 GXX4:GXX5 HHT4:HHT5 HRP4:HRP5 IBL4:IBL5 ILH4:ILH5 IVD4:IVD5 JEZ4:JEZ5 JOV4:JOV5 JYR4:JYR5 KIN4:KIN5 KSJ4:KSJ5 LCF4:LCF5 LMB4:LMB5 LVX4:LVX5 MFT4:MFT5 MPP4:MPP5 MZL4:MZL5 NJH4:NJH5 NTD4:NTD5 OCZ4:OCZ5 OMV4:OMV5 OWR4:OWR5 PGN4:PGN5 PQJ4:PQJ5 QAF4:QAF5 QKB4:QKB5 QTX4:QTX5 RDT4:RDT5 RNP4:RNP5 RXL4:RXL5 SHH4:SHH5 SRD4:SRD5 TAZ4:TAZ5 TKV4:TKV5 TUR4:TUR5 UEN4:UEN5 UOJ4:UOJ5 UYF4:UYF5 VIB4:VIB5 VRX4:VRX5 WBT4:WBT5 WLP4:WLP5 WVL4:WVL5 D65540:D65541 IZ65540:IZ65541 SV65540:SV65541 ACR65540:ACR65541 AMN65540:AMN65541 AWJ65540:AWJ65541 BGF65540:BGF65541 BQB65540:BQB65541 BZX65540:BZX65541 CJT65540:CJT65541 CTP65540:CTP65541 DDL65540:DDL65541 DNH65540:DNH65541 DXD65540:DXD65541 EGZ65540:EGZ65541 EQV65540:EQV65541 FAR65540:FAR65541 FKN65540:FKN65541 FUJ65540:FUJ65541 GEF65540:GEF65541 GOB65540:GOB65541 GXX65540:GXX65541 HHT65540:HHT65541 HRP65540:HRP65541 IBL65540:IBL65541 ILH65540:ILH65541 IVD65540:IVD65541 JEZ65540:JEZ65541 JOV65540:JOV65541 JYR65540:JYR65541 KIN65540:KIN65541 KSJ65540:KSJ65541 LCF65540:LCF65541 LMB65540:LMB65541 LVX65540:LVX65541 MFT65540:MFT65541 MPP65540:MPP65541 MZL65540:MZL65541 NJH65540:NJH65541 NTD65540:NTD65541 OCZ65540:OCZ65541 OMV65540:OMV65541 OWR65540:OWR65541 PGN65540:PGN65541 PQJ65540:PQJ65541 QAF65540:QAF65541 QKB65540:QKB65541 QTX65540:QTX65541 RDT65540:RDT65541 RNP65540:RNP65541 RXL65540:RXL65541 SHH65540:SHH65541 SRD65540:SRD65541 TAZ65540:TAZ65541 TKV65540:TKV65541 TUR65540:TUR65541 UEN65540:UEN65541 UOJ65540:UOJ65541 UYF65540:UYF65541 VIB65540:VIB65541 VRX65540:VRX65541 WBT65540:WBT65541 WLP65540:WLP65541 WVL65540:WVL65541 D131076:D131077 IZ131076:IZ131077 SV131076:SV131077 ACR131076:ACR131077 AMN131076:AMN131077 AWJ131076:AWJ131077 BGF131076:BGF131077 BQB131076:BQB131077 BZX131076:BZX131077 CJT131076:CJT131077 CTP131076:CTP131077 DDL131076:DDL131077 DNH131076:DNH131077 DXD131076:DXD131077 EGZ131076:EGZ131077 EQV131076:EQV131077 FAR131076:FAR131077 FKN131076:FKN131077 FUJ131076:FUJ131077 GEF131076:GEF131077 GOB131076:GOB131077 GXX131076:GXX131077 HHT131076:HHT131077 HRP131076:HRP131077 IBL131076:IBL131077 ILH131076:ILH131077 IVD131076:IVD131077 JEZ131076:JEZ131077 JOV131076:JOV131077 JYR131076:JYR131077 KIN131076:KIN131077 KSJ131076:KSJ131077 LCF131076:LCF131077 LMB131076:LMB131077 LVX131076:LVX131077 MFT131076:MFT131077 MPP131076:MPP131077 MZL131076:MZL131077 NJH131076:NJH131077 NTD131076:NTD131077 OCZ131076:OCZ131077 OMV131076:OMV131077 OWR131076:OWR131077 PGN131076:PGN131077 PQJ131076:PQJ131077 QAF131076:QAF131077 QKB131076:QKB131077 QTX131076:QTX131077 RDT131076:RDT131077 RNP131076:RNP131077 RXL131076:RXL131077 SHH131076:SHH131077 SRD131076:SRD131077 TAZ131076:TAZ131077 TKV131076:TKV131077 TUR131076:TUR131077 UEN131076:UEN131077 UOJ131076:UOJ131077 UYF131076:UYF131077 VIB131076:VIB131077 VRX131076:VRX131077 WBT131076:WBT131077 WLP131076:WLP131077 WVL131076:WVL131077 D196612:D196613 IZ196612:IZ196613 SV196612:SV196613 ACR196612:ACR196613 AMN196612:AMN196613 AWJ196612:AWJ196613 BGF196612:BGF196613 BQB196612:BQB196613 BZX196612:BZX196613 CJT196612:CJT196613 CTP196612:CTP196613 DDL196612:DDL196613 DNH196612:DNH196613 DXD196612:DXD196613 EGZ196612:EGZ196613 EQV196612:EQV196613 FAR196612:FAR196613 FKN196612:FKN196613 FUJ196612:FUJ196613 GEF196612:GEF196613 GOB196612:GOB196613 GXX196612:GXX196613 HHT196612:HHT196613 HRP196612:HRP196613 IBL196612:IBL196613 ILH196612:ILH196613 IVD196612:IVD196613 JEZ196612:JEZ196613 JOV196612:JOV196613 JYR196612:JYR196613 KIN196612:KIN196613 KSJ196612:KSJ196613 LCF196612:LCF196613 LMB196612:LMB196613 LVX196612:LVX196613 MFT196612:MFT196613 MPP196612:MPP196613 MZL196612:MZL196613 NJH196612:NJH196613 NTD196612:NTD196613 OCZ196612:OCZ196613 OMV196612:OMV196613 OWR196612:OWR196613 PGN196612:PGN196613 PQJ196612:PQJ196613 QAF196612:QAF196613 QKB196612:QKB196613 QTX196612:QTX196613 RDT196612:RDT196613 RNP196612:RNP196613 RXL196612:RXL196613 SHH196612:SHH196613 SRD196612:SRD196613 TAZ196612:TAZ196613 TKV196612:TKV196613 TUR196612:TUR196613 UEN196612:UEN196613 UOJ196612:UOJ196613 UYF196612:UYF196613 VIB196612:VIB196613 VRX196612:VRX196613 WBT196612:WBT196613 WLP196612:WLP196613 WVL196612:WVL196613 D262148:D262149 IZ262148:IZ262149 SV262148:SV262149 ACR262148:ACR262149 AMN262148:AMN262149 AWJ262148:AWJ262149 BGF262148:BGF262149 BQB262148:BQB262149 BZX262148:BZX262149 CJT262148:CJT262149 CTP262148:CTP262149 DDL262148:DDL262149 DNH262148:DNH262149 DXD262148:DXD262149 EGZ262148:EGZ262149 EQV262148:EQV262149 FAR262148:FAR262149 FKN262148:FKN262149 FUJ262148:FUJ262149 GEF262148:GEF262149 GOB262148:GOB262149 GXX262148:GXX262149 HHT262148:HHT262149 HRP262148:HRP262149 IBL262148:IBL262149 ILH262148:ILH262149 IVD262148:IVD262149 JEZ262148:JEZ262149 JOV262148:JOV262149 JYR262148:JYR262149 KIN262148:KIN262149 KSJ262148:KSJ262149 LCF262148:LCF262149 LMB262148:LMB262149 LVX262148:LVX262149 MFT262148:MFT262149 MPP262148:MPP262149 MZL262148:MZL262149 NJH262148:NJH262149 NTD262148:NTD262149 OCZ262148:OCZ262149 OMV262148:OMV262149 OWR262148:OWR262149 PGN262148:PGN262149 PQJ262148:PQJ262149 QAF262148:QAF262149 QKB262148:QKB262149 QTX262148:QTX262149 RDT262148:RDT262149 RNP262148:RNP262149 RXL262148:RXL262149 SHH262148:SHH262149 SRD262148:SRD262149 TAZ262148:TAZ262149 TKV262148:TKV262149 TUR262148:TUR262149 UEN262148:UEN262149 UOJ262148:UOJ262149 UYF262148:UYF262149 VIB262148:VIB262149 VRX262148:VRX262149 WBT262148:WBT262149 WLP262148:WLP262149 WVL262148:WVL262149 D327684:D327685 IZ327684:IZ327685 SV327684:SV327685 ACR327684:ACR327685 AMN327684:AMN327685 AWJ327684:AWJ327685 BGF327684:BGF327685 BQB327684:BQB327685 BZX327684:BZX327685 CJT327684:CJT327685 CTP327684:CTP327685 DDL327684:DDL327685 DNH327684:DNH327685 DXD327684:DXD327685 EGZ327684:EGZ327685 EQV327684:EQV327685 FAR327684:FAR327685 FKN327684:FKN327685 FUJ327684:FUJ327685 GEF327684:GEF327685 GOB327684:GOB327685 GXX327684:GXX327685 HHT327684:HHT327685 HRP327684:HRP327685 IBL327684:IBL327685 ILH327684:ILH327685 IVD327684:IVD327685 JEZ327684:JEZ327685 JOV327684:JOV327685 JYR327684:JYR327685 KIN327684:KIN327685 KSJ327684:KSJ327685 LCF327684:LCF327685 LMB327684:LMB327685 LVX327684:LVX327685 MFT327684:MFT327685 MPP327684:MPP327685 MZL327684:MZL327685 NJH327684:NJH327685 NTD327684:NTD327685 OCZ327684:OCZ327685 OMV327684:OMV327685 OWR327684:OWR327685 PGN327684:PGN327685 PQJ327684:PQJ327685 QAF327684:QAF327685 QKB327684:QKB327685 QTX327684:QTX327685 RDT327684:RDT327685 RNP327684:RNP327685 RXL327684:RXL327685 SHH327684:SHH327685 SRD327684:SRD327685 TAZ327684:TAZ327685 TKV327684:TKV327685 TUR327684:TUR327685 UEN327684:UEN327685 UOJ327684:UOJ327685 UYF327684:UYF327685 VIB327684:VIB327685 VRX327684:VRX327685 WBT327684:WBT327685 WLP327684:WLP327685 WVL327684:WVL327685 D393220:D393221 IZ393220:IZ393221 SV393220:SV393221 ACR393220:ACR393221 AMN393220:AMN393221 AWJ393220:AWJ393221 BGF393220:BGF393221 BQB393220:BQB393221 BZX393220:BZX393221 CJT393220:CJT393221 CTP393220:CTP393221 DDL393220:DDL393221 DNH393220:DNH393221 DXD393220:DXD393221 EGZ393220:EGZ393221 EQV393220:EQV393221 FAR393220:FAR393221 FKN393220:FKN393221 FUJ393220:FUJ393221 GEF393220:GEF393221 GOB393220:GOB393221 GXX393220:GXX393221 HHT393220:HHT393221 HRP393220:HRP393221 IBL393220:IBL393221 ILH393220:ILH393221 IVD393220:IVD393221 JEZ393220:JEZ393221 JOV393220:JOV393221 JYR393220:JYR393221 KIN393220:KIN393221 KSJ393220:KSJ393221 LCF393220:LCF393221 LMB393220:LMB393221 LVX393220:LVX393221 MFT393220:MFT393221 MPP393220:MPP393221 MZL393220:MZL393221 NJH393220:NJH393221 NTD393220:NTD393221 OCZ393220:OCZ393221 OMV393220:OMV393221 OWR393220:OWR393221 PGN393220:PGN393221 PQJ393220:PQJ393221 QAF393220:QAF393221 QKB393220:QKB393221 QTX393220:QTX393221 RDT393220:RDT393221 RNP393220:RNP393221 RXL393220:RXL393221 SHH393220:SHH393221 SRD393220:SRD393221 TAZ393220:TAZ393221 TKV393220:TKV393221 TUR393220:TUR393221 UEN393220:UEN393221 UOJ393220:UOJ393221 UYF393220:UYF393221 VIB393220:VIB393221 VRX393220:VRX393221 WBT393220:WBT393221 WLP393220:WLP393221 WVL393220:WVL393221 D458756:D458757 IZ458756:IZ458757 SV458756:SV458757 ACR458756:ACR458757 AMN458756:AMN458757 AWJ458756:AWJ458757 BGF458756:BGF458757 BQB458756:BQB458757 BZX458756:BZX458757 CJT458756:CJT458757 CTP458756:CTP458757 DDL458756:DDL458757 DNH458756:DNH458757 DXD458756:DXD458757 EGZ458756:EGZ458757 EQV458756:EQV458757 FAR458756:FAR458757 FKN458756:FKN458757 FUJ458756:FUJ458757 GEF458756:GEF458757 GOB458756:GOB458757 GXX458756:GXX458757 HHT458756:HHT458757 HRP458756:HRP458757 IBL458756:IBL458757 ILH458756:ILH458757 IVD458756:IVD458757 JEZ458756:JEZ458757 JOV458756:JOV458757 JYR458756:JYR458757 KIN458756:KIN458757 KSJ458756:KSJ458757 LCF458756:LCF458757 LMB458756:LMB458757 LVX458756:LVX458757 MFT458756:MFT458757 MPP458756:MPP458757 MZL458756:MZL458757 NJH458756:NJH458757 NTD458756:NTD458757 OCZ458756:OCZ458757 OMV458756:OMV458757 OWR458756:OWR458757 PGN458756:PGN458757 PQJ458756:PQJ458757 QAF458756:QAF458757 QKB458756:QKB458757 QTX458756:QTX458757 RDT458756:RDT458757 RNP458756:RNP458757 RXL458756:RXL458757 SHH458756:SHH458757 SRD458756:SRD458757 TAZ458756:TAZ458757 TKV458756:TKV458757 TUR458756:TUR458757 UEN458756:UEN458757 UOJ458756:UOJ458757 UYF458756:UYF458757 VIB458756:VIB458757 VRX458756:VRX458757 WBT458756:WBT458757 WLP458756:WLP458757 WVL458756:WVL458757 D524292:D524293 IZ524292:IZ524293 SV524292:SV524293 ACR524292:ACR524293 AMN524292:AMN524293 AWJ524292:AWJ524293 BGF524292:BGF524293 BQB524292:BQB524293 BZX524292:BZX524293 CJT524292:CJT524293 CTP524292:CTP524293 DDL524292:DDL524293 DNH524292:DNH524293 DXD524292:DXD524293 EGZ524292:EGZ524293 EQV524292:EQV524293 FAR524292:FAR524293 FKN524292:FKN524293 FUJ524292:FUJ524293 GEF524292:GEF524293 GOB524292:GOB524293 GXX524292:GXX524293 HHT524292:HHT524293 HRP524292:HRP524293 IBL524292:IBL524293 ILH524292:ILH524293 IVD524292:IVD524293 JEZ524292:JEZ524293 JOV524292:JOV524293 JYR524292:JYR524293 KIN524292:KIN524293 KSJ524292:KSJ524293 LCF524292:LCF524293 LMB524292:LMB524293 LVX524292:LVX524293 MFT524292:MFT524293 MPP524292:MPP524293 MZL524292:MZL524293 NJH524292:NJH524293 NTD524292:NTD524293 OCZ524292:OCZ524293 OMV524292:OMV524293 OWR524292:OWR524293 PGN524292:PGN524293 PQJ524292:PQJ524293 QAF524292:QAF524293 QKB524292:QKB524293 QTX524292:QTX524293 RDT524292:RDT524293 RNP524292:RNP524293 RXL524292:RXL524293 SHH524292:SHH524293 SRD524292:SRD524293 TAZ524292:TAZ524293 TKV524292:TKV524293 TUR524292:TUR524293 UEN524292:UEN524293 UOJ524292:UOJ524293 UYF524292:UYF524293 VIB524292:VIB524293 VRX524292:VRX524293 WBT524292:WBT524293 WLP524292:WLP524293 WVL524292:WVL524293 D589828:D589829 IZ589828:IZ589829 SV589828:SV589829 ACR589828:ACR589829 AMN589828:AMN589829 AWJ589828:AWJ589829 BGF589828:BGF589829 BQB589828:BQB589829 BZX589828:BZX589829 CJT589828:CJT589829 CTP589828:CTP589829 DDL589828:DDL589829 DNH589828:DNH589829 DXD589828:DXD589829 EGZ589828:EGZ589829 EQV589828:EQV589829 FAR589828:FAR589829 FKN589828:FKN589829 FUJ589828:FUJ589829 GEF589828:GEF589829 GOB589828:GOB589829 GXX589828:GXX589829 HHT589828:HHT589829 HRP589828:HRP589829 IBL589828:IBL589829 ILH589828:ILH589829 IVD589828:IVD589829 JEZ589828:JEZ589829 JOV589828:JOV589829 JYR589828:JYR589829 KIN589828:KIN589829 KSJ589828:KSJ589829 LCF589828:LCF589829 LMB589828:LMB589829 LVX589828:LVX589829 MFT589828:MFT589829 MPP589828:MPP589829 MZL589828:MZL589829 NJH589828:NJH589829 NTD589828:NTD589829 OCZ589828:OCZ589829 OMV589828:OMV589829 OWR589828:OWR589829 PGN589828:PGN589829 PQJ589828:PQJ589829 QAF589828:QAF589829 QKB589828:QKB589829 QTX589828:QTX589829 RDT589828:RDT589829 RNP589828:RNP589829 RXL589828:RXL589829 SHH589828:SHH589829 SRD589828:SRD589829 TAZ589828:TAZ589829 TKV589828:TKV589829 TUR589828:TUR589829 UEN589828:UEN589829 UOJ589828:UOJ589829 UYF589828:UYF589829 VIB589828:VIB589829 VRX589828:VRX589829 WBT589828:WBT589829 WLP589828:WLP589829 WVL589828:WVL589829 D655364:D655365 IZ655364:IZ655365 SV655364:SV655365 ACR655364:ACR655365 AMN655364:AMN655365 AWJ655364:AWJ655365 BGF655364:BGF655365 BQB655364:BQB655365 BZX655364:BZX655365 CJT655364:CJT655365 CTP655364:CTP655365 DDL655364:DDL655365 DNH655364:DNH655365 DXD655364:DXD655365 EGZ655364:EGZ655365 EQV655364:EQV655365 FAR655364:FAR655365 FKN655364:FKN655365 FUJ655364:FUJ655365 GEF655364:GEF655365 GOB655364:GOB655365 GXX655364:GXX655365 HHT655364:HHT655365 HRP655364:HRP655365 IBL655364:IBL655365 ILH655364:ILH655365 IVD655364:IVD655365 JEZ655364:JEZ655365 JOV655364:JOV655365 JYR655364:JYR655365 KIN655364:KIN655365 KSJ655364:KSJ655365 LCF655364:LCF655365 LMB655364:LMB655365 LVX655364:LVX655365 MFT655364:MFT655365 MPP655364:MPP655365 MZL655364:MZL655365 NJH655364:NJH655365 NTD655364:NTD655365 OCZ655364:OCZ655365 OMV655364:OMV655365 OWR655364:OWR655365 PGN655364:PGN655365 PQJ655364:PQJ655365 QAF655364:QAF655365 QKB655364:QKB655365 QTX655364:QTX655365 RDT655364:RDT655365 RNP655364:RNP655365 RXL655364:RXL655365 SHH655364:SHH655365 SRD655364:SRD655365 TAZ655364:TAZ655365 TKV655364:TKV655365 TUR655364:TUR655365 UEN655364:UEN655365 UOJ655364:UOJ655365 UYF655364:UYF655365 VIB655364:VIB655365 VRX655364:VRX655365 WBT655364:WBT655365 WLP655364:WLP655365 WVL655364:WVL655365 D720900:D720901 IZ720900:IZ720901 SV720900:SV720901 ACR720900:ACR720901 AMN720900:AMN720901 AWJ720900:AWJ720901 BGF720900:BGF720901 BQB720900:BQB720901 BZX720900:BZX720901 CJT720900:CJT720901 CTP720900:CTP720901 DDL720900:DDL720901 DNH720900:DNH720901 DXD720900:DXD720901 EGZ720900:EGZ720901 EQV720900:EQV720901 FAR720900:FAR720901 FKN720900:FKN720901 FUJ720900:FUJ720901 GEF720900:GEF720901 GOB720900:GOB720901 GXX720900:GXX720901 HHT720900:HHT720901 HRP720900:HRP720901 IBL720900:IBL720901 ILH720900:ILH720901 IVD720900:IVD720901 JEZ720900:JEZ720901 JOV720900:JOV720901 JYR720900:JYR720901 KIN720900:KIN720901 KSJ720900:KSJ720901 LCF720900:LCF720901 LMB720900:LMB720901 LVX720900:LVX720901 MFT720900:MFT720901 MPP720900:MPP720901 MZL720900:MZL720901 NJH720900:NJH720901 NTD720900:NTD720901 OCZ720900:OCZ720901 OMV720900:OMV720901 OWR720900:OWR720901 PGN720900:PGN720901 PQJ720900:PQJ720901 QAF720900:QAF720901 QKB720900:QKB720901 QTX720900:QTX720901 RDT720900:RDT720901 RNP720900:RNP720901 RXL720900:RXL720901 SHH720900:SHH720901 SRD720900:SRD720901 TAZ720900:TAZ720901 TKV720900:TKV720901 TUR720900:TUR720901 UEN720900:UEN720901 UOJ720900:UOJ720901 UYF720900:UYF720901 VIB720900:VIB720901 VRX720900:VRX720901 WBT720900:WBT720901 WLP720900:WLP720901 WVL720900:WVL720901 D786436:D786437 IZ786436:IZ786437 SV786436:SV786437 ACR786436:ACR786437 AMN786436:AMN786437 AWJ786436:AWJ786437 BGF786436:BGF786437 BQB786436:BQB786437 BZX786436:BZX786437 CJT786436:CJT786437 CTP786436:CTP786437 DDL786436:DDL786437 DNH786436:DNH786437 DXD786436:DXD786437 EGZ786436:EGZ786437 EQV786436:EQV786437 FAR786436:FAR786437 FKN786436:FKN786437 FUJ786436:FUJ786437 GEF786436:GEF786437 GOB786436:GOB786437 GXX786436:GXX786437 HHT786436:HHT786437 HRP786436:HRP786437 IBL786436:IBL786437 ILH786436:ILH786437 IVD786436:IVD786437 JEZ786436:JEZ786437 JOV786436:JOV786437 JYR786436:JYR786437 KIN786436:KIN786437 KSJ786436:KSJ786437 LCF786436:LCF786437 LMB786436:LMB786437 LVX786436:LVX786437 MFT786436:MFT786437 MPP786436:MPP786437 MZL786436:MZL786437 NJH786436:NJH786437 NTD786436:NTD786437 OCZ786436:OCZ786437 OMV786436:OMV786437 OWR786436:OWR786437 PGN786436:PGN786437 PQJ786436:PQJ786437 QAF786436:QAF786437 QKB786436:QKB786437 QTX786436:QTX786437 RDT786436:RDT786437 RNP786436:RNP786437 RXL786436:RXL786437 SHH786436:SHH786437 SRD786436:SRD786437 TAZ786436:TAZ786437 TKV786436:TKV786437 TUR786436:TUR786437 UEN786436:UEN786437 UOJ786436:UOJ786437 UYF786436:UYF786437 VIB786436:VIB786437 VRX786436:VRX786437 WBT786436:WBT786437 WLP786436:WLP786437 WVL786436:WVL786437 D851972:D851973 IZ851972:IZ851973 SV851972:SV851973 ACR851972:ACR851973 AMN851972:AMN851973 AWJ851972:AWJ851973 BGF851972:BGF851973 BQB851972:BQB851973 BZX851972:BZX851973 CJT851972:CJT851973 CTP851972:CTP851973 DDL851972:DDL851973 DNH851972:DNH851973 DXD851972:DXD851973 EGZ851972:EGZ851973 EQV851972:EQV851973 FAR851972:FAR851973 FKN851972:FKN851973 FUJ851972:FUJ851973 GEF851972:GEF851973 GOB851972:GOB851973 GXX851972:GXX851973 HHT851972:HHT851973 HRP851972:HRP851973 IBL851972:IBL851973 ILH851972:ILH851973 IVD851972:IVD851973 JEZ851972:JEZ851973 JOV851972:JOV851973 JYR851972:JYR851973 KIN851972:KIN851973 KSJ851972:KSJ851973 LCF851972:LCF851973 LMB851972:LMB851973 LVX851972:LVX851973 MFT851972:MFT851973 MPP851972:MPP851973 MZL851972:MZL851973 NJH851972:NJH851973 NTD851972:NTD851973 OCZ851972:OCZ851973 OMV851972:OMV851973 OWR851972:OWR851973 PGN851972:PGN851973 PQJ851972:PQJ851973 QAF851972:QAF851973 QKB851972:QKB851973 QTX851972:QTX851973 RDT851972:RDT851973 RNP851972:RNP851973 RXL851972:RXL851973 SHH851972:SHH851973 SRD851972:SRD851973 TAZ851972:TAZ851973 TKV851972:TKV851973 TUR851972:TUR851973 UEN851972:UEN851973 UOJ851972:UOJ851973 UYF851972:UYF851973 VIB851972:VIB851973 VRX851972:VRX851973 WBT851972:WBT851973 WLP851972:WLP851973 WVL851972:WVL851973 D917508:D917509 IZ917508:IZ917509 SV917508:SV917509 ACR917508:ACR917509 AMN917508:AMN917509 AWJ917508:AWJ917509 BGF917508:BGF917509 BQB917508:BQB917509 BZX917508:BZX917509 CJT917508:CJT917509 CTP917508:CTP917509 DDL917508:DDL917509 DNH917508:DNH917509 DXD917508:DXD917509 EGZ917508:EGZ917509 EQV917508:EQV917509 FAR917508:FAR917509 FKN917508:FKN917509 FUJ917508:FUJ917509 GEF917508:GEF917509 GOB917508:GOB917509 GXX917508:GXX917509 HHT917508:HHT917509 HRP917508:HRP917509 IBL917508:IBL917509 ILH917508:ILH917509 IVD917508:IVD917509 JEZ917508:JEZ917509 JOV917508:JOV917509 JYR917508:JYR917509 KIN917508:KIN917509 KSJ917508:KSJ917509 LCF917508:LCF917509 LMB917508:LMB917509 LVX917508:LVX917509 MFT917508:MFT917509 MPP917508:MPP917509 MZL917508:MZL917509 NJH917508:NJH917509 NTD917508:NTD917509 OCZ917508:OCZ917509 OMV917508:OMV917509 OWR917508:OWR917509 PGN917508:PGN917509 PQJ917508:PQJ917509 QAF917508:QAF917509 QKB917508:QKB917509 QTX917508:QTX917509 RDT917508:RDT917509 RNP917508:RNP917509 RXL917508:RXL917509 SHH917508:SHH917509 SRD917508:SRD917509 TAZ917508:TAZ917509 TKV917508:TKV917509 TUR917508:TUR917509 UEN917508:UEN917509 UOJ917508:UOJ917509 UYF917508:UYF917509 VIB917508:VIB917509 VRX917508:VRX917509 WBT917508:WBT917509 WLP917508:WLP917509 WVL917508:WVL917509 D983044:D983045 IZ983044:IZ983045 SV983044:SV983045 ACR983044:ACR983045 AMN983044:AMN983045 AWJ983044:AWJ983045 BGF983044:BGF983045 BQB983044:BQB983045 BZX983044:BZX983045 CJT983044:CJT983045 CTP983044:CTP983045 DDL983044:DDL983045 DNH983044:DNH983045 DXD983044:DXD983045 EGZ983044:EGZ983045 EQV983044:EQV983045 FAR983044:FAR983045 FKN983044:FKN983045 FUJ983044:FUJ983045 GEF983044:GEF983045 GOB983044:GOB983045 GXX983044:GXX983045 HHT983044:HHT983045 HRP983044:HRP983045 IBL983044:IBL983045 ILH983044:ILH983045 IVD983044:IVD983045 JEZ983044:JEZ983045 JOV983044:JOV983045 JYR983044:JYR983045 KIN983044:KIN983045 KSJ983044:KSJ983045 LCF983044:LCF983045 LMB983044:LMB983045 LVX983044:LVX983045 MFT983044:MFT983045 MPP983044:MPP983045 MZL983044:MZL983045 NJH983044:NJH983045 NTD983044:NTD983045 OCZ983044:OCZ983045 OMV983044:OMV983045 OWR983044:OWR983045 PGN983044:PGN983045 PQJ983044:PQJ983045 QAF983044:QAF983045 QKB983044:QKB983045 QTX983044:QTX983045 RDT983044:RDT983045 RNP983044:RNP983045 RXL983044:RXL983045 SHH983044:SHH983045 SRD983044:SRD983045 TAZ983044:TAZ983045 TKV983044:TKV983045 TUR983044:TUR983045 UEN983044:UEN983045 UOJ983044:UOJ983045 UYF983044:UYF983045 VIB983044:VIB983045 VRX983044:VRX983045 WBT983044:WBT983045 WLP983044:WLP983045 WVL983044:WVL983045">
      <formula1>$K$1:$K$8</formula1>
    </dataValidation>
  </dataValidations>
  <pageMargins left="0.75" right="0.75" top="1" bottom="1" header="0.5" footer="0.5"/>
  <pageSetup paperSize="9" orientation="portrait" horizontalDpi="300" verticalDpi="300" r:id="rId1"/>
  <headerFooter alignWithMargins="0">
    <oddHeader>&amp;RBản tính kết cấu</oddHeader>
    <oddFooter>&amp;CXí Nghiệp TVTK Xây Dựng Số 1-Công Ty CDC&amp;RTrang....</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Dia chat</vt:lpstr>
      <vt:lpstr>Kiểm tra sct đất nền</vt:lpstr>
      <vt:lpstr>Tinh dai theo bs</vt:lpstr>
      <vt:lpstr>'Dia chat'!betong</vt:lpstr>
      <vt:lpstr>'Dia chat'!Cotthep</vt:lpstr>
      <vt:lpstr>'Dia chat'!Print_Area</vt:lpstr>
      <vt:lpstr>'Kiểm tra sct đất nền'!Print_Area</vt:lpstr>
      <vt:lpstr>'Tinh dai theo bs'!Print_Area</vt:lpstr>
      <vt:lpstr>'Dia chat'!Print_Titles</vt:lpstr>
      <vt:lpstr>'Dia chat'!thep</vt:lpstr>
    </vt:vector>
  </TitlesOfParts>
  <Company>CDC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TPhuong</dc:creator>
  <cp:lastModifiedBy>Dell</cp:lastModifiedBy>
  <cp:lastPrinted>2017-03-22T02:18:23Z</cp:lastPrinted>
  <dcterms:created xsi:type="dcterms:W3CDTF">2008-04-20T17:18:22Z</dcterms:created>
  <dcterms:modified xsi:type="dcterms:W3CDTF">2022-03-14T07:58:54Z</dcterms:modified>
</cp:coreProperties>
</file>